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https://d.docs.live.net/a7803aebbb215645/Documents/Syracuse IST 718/Final Project/"/>
    </mc:Choice>
  </mc:AlternateContent>
  <xr:revisionPtr revIDLastSave="1" documentId="8_{0D898260-7E7B-4156-9257-456A765239C6}" xr6:coauthVersionLast="47" xr6:coauthVersionMax="47" xr10:uidLastSave="{61F96642-9A29-426A-BED9-7EC97C7D6288}"/>
  <bookViews>
    <workbookView xWindow="2175" yWindow="2175" windowWidth="15390" windowHeight="9532" xr2:uid="{00000000-000D-0000-FFFF-FFFF00000000}"/>
  </bookViews>
  <sheets>
    <sheet name="Data" sheetId="6" r:id="rId1"/>
    <sheet name="Disclaimer" sheetId="7" r:id="rId2"/>
  </sheets>
  <definedNames>
    <definedName name="CreatedFor">Data!$G$6</definedName>
    <definedName name="CreatedForTitle">Data!$F$6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E1009" i="6" l="1"/>
  <c r="EE1008" i="6"/>
  <c r="EE1007" i="6"/>
  <c r="EE1006" i="6"/>
  <c r="EE1005" i="6"/>
  <c r="EE1004" i="6"/>
  <c r="EE1003" i="6"/>
  <c r="EE1002" i="6"/>
  <c r="EE1001" i="6"/>
  <c r="EE1000" i="6"/>
  <c r="EE999" i="6"/>
  <c r="EE998" i="6"/>
  <c r="EE997" i="6"/>
  <c r="EE996" i="6"/>
  <c r="EE995" i="6"/>
  <c r="EE994" i="6"/>
  <c r="EE993" i="6"/>
  <c r="EE992" i="6"/>
  <c r="EE991" i="6"/>
  <c r="EE990" i="6"/>
  <c r="EE989" i="6"/>
  <c r="EE988" i="6"/>
  <c r="EE987" i="6"/>
  <c r="EE986" i="6"/>
  <c r="EE985" i="6"/>
  <c r="EE984" i="6"/>
  <c r="EE983" i="6"/>
  <c r="EE982" i="6"/>
  <c r="EE981" i="6"/>
  <c r="EE980" i="6"/>
  <c r="EE979" i="6"/>
  <c r="EE978" i="6"/>
  <c r="EE977" i="6"/>
  <c r="EE976" i="6"/>
  <c r="EE975" i="6"/>
  <c r="EE974" i="6"/>
  <c r="EE973" i="6"/>
  <c r="EE972" i="6"/>
  <c r="EE971" i="6"/>
  <c r="EE970" i="6"/>
  <c r="EE969" i="6"/>
  <c r="EE968" i="6"/>
  <c r="EE967" i="6"/>
  <c r="EE966" i="6"/>
  <c r="EE965" i="6"/>
  <c r="EE964" i="6"/>
  <c r="EE963" i="6"/>
  <c r="EE962" i="6"/>
  <c r="EE961" i="6"/>
  <c r="EE960" i="6"/>
  <c r="EE959" i="6"/>
  <c r="EE958" i="6"/>
  <c r="EE957" i="6"/>
  <c r="EE956" i="6"/>
  <c r="EE955" i="6"/>
  <c r="EE954" i="6"/>
  <c r="EE953" i="6"/>
  <c r="EE952" i="6"/>
  <c r="EE951" i="6"/>
  <c r="EE950" i="6"/>
  <c r="EE949" i="6"/>
  <c r="EE948" i="6"/>
  <c r="EE947" i="6"/>
  <c r="EE946" i="6"/>
  <c r="EE945" i="6"/>
  <c r="EE944" i="6"/>
  <c r="EE943" i="6"/>
  <c r="EE942" i="6"/>
  <c r="EE941" i="6"/>
  <c r="EE940" i="6"/>
  <c r="EE939" i="6"/>
  <c r="EE938" i="6"/>
  <c r="EE937" i="6"/>
  <c r="EE936" i="6"/>
  <c r="EE935" i="6"/>
  <c r="EE934" i="6"/>
  <c r="EE933" i="6"/>
  <c r="EE932" i="6"/>
  <c r="EE931" i="6"/>
  <c r="EE930" i="6"/>
  <c r="EE929" i="6"/>
  <c r="EE928" i="6"/>
  <c r="EE927" i="6"/>
  <c r="EE926" i="6"/>
  <c r="EE925" i="6"/>
  <c r="EE924" i="6"/>
  <c r="EE923" i="6"/>
  <c r="EE922" i="6"/>
  <c r="EE921" i="6"/>
  <c r="EE920" i="6"/>
  <c r="EE919" i="6"/>
  <c r="EE918" i="6"/>
  <c r="EE917" i="6"/>
  <c r="EE916" i="6"/>
  <c r="EE915" i="6"/>
  <c r="EE914" i="6"/>
  <c r="EE913" i="6"/>
  <c r="EE912" i="6"/>
  <c r="EE911" i="6"/>
  <c r="EE910" i="6"/>
  <c r="EE909" i="6"/>
  <c r="EE908" i="6"/>
  <c r="EE907" i="6"/>
  <c r="EE906" i="6"/>
  <c r="EE905" i="6"/>
  <c r="EE904" i="6"/>
  <c r="EE903" i="6"/>
  <c r="EE902" i="6"/>
  <c r="EE901" i="6"/>
  <c r="EE900" i="6"/>
  <c r="EE899" i="6"/>
  <c r="EE898" i="6"/>
  <c r="EE897" i="6"/>
  <c r="EE896" i="6"/>
  <c r="EE895" i="6"/>
  <c r="EE894" i="6"/>
  <c r="EE893" i="6"/>
  <c r="EE892" i="6"/>
  <c r="EE891" i="6"/>
  <c r="EE890" i="6"/>
  <c r="EE889" i="6"/>
  <c r="EE888" i="6"/>
  <c r="EE887" i="6"/>
  <c r="EE886" i="6"/>
  <c r="EE885" i="6"/>
  <c r="EE884" i="6"/>
  <c r="EE883" i="6"/>
  <c r="EE882" i="6"/>
  <c r="EE881" i="6"/>
  <c r="EE880" i="6"/>
  <c r="EE879" i="6"/>
  <c r="EE878" i="6"/>
  <c r="EE877" i="6"/>
  <c r="EE876" i="6"/>
  <c r="EE875" i="6"/>
  <c r="EE874" i="6"/>
  <c r="EE873" i="6"/>
  <c r="EE872" i="6"/>
  <c r="EE871" i="6"/>
  <c r="EE870" i="6"/>
  <c r="EE869" i="6"/>
  <c r="EE868" i="6"/>
  <c r="EE867" i="6"/>
  <c r="EE866" i="6"/>
  <c r="EE865" i="6"/>
  <c r="EE864" i="6"/>
  <c r="EE863" i="6"/>
  <c r="EE862" i="6"/>
  <c r="EE861" i="6"/>
  <c r="EE860" i="6"/>
  <c r="EE859" i="6"/>
  <c r="EE858" i="6"/>
  <c r="EE857" i="6"/>
  <c r="EE856" i="6"/>
  <c r="EE855" i="6"/>
  <c r="EE854" i="6"/>
  <c r="EE853" i="6"/>
  <c r="EE852" i="6"/>
  <c r="EE851" i="6"/>
  <c r="EE850" i="6"/>
  <c r="EE849" i="6"/>
  <c r="EE848" i="6"/>
  <c r="EE847" i="6"/>
  <c r="EE846" i="6"/>
  <c r="EE845" i="6"/>
  <c r="EE844" i="6"/>
  <c r="EE843" i="6"/>
  <c r="EE842" i="6"/>
  <c r="EE841" i="6"/>
  <c r="EE840" i="6"/>
  <c r="EE839" i="6"/>
  <c r="EE838" i="6"/>
  <c r="EE837" i="6"/>
  <c r="EE836" i="6"/>
  <c r="EE835" i="6"/>
  <c r="EE834" i="6"/>
  <c r="EE833" i="6"/>
  <c r="EE832" i="6"/>
  <c r="EE831" i="6"/>
  <c r="EE830" i="6"/>
  <c r="EE829" i="6"/>
  <c r="EE828" i="6"/>
  <c r="EE827" i="6"/>
  <c r="EE826" i="6"/>
  <c r="EE825" i="6"/>
  <c r="EE824" i="6"/>
  <c r="EE823" i="6"/>
  <c r="EE822" i="6"/>
  <c r="EE821" i="6"/>
  <c r="EE820" i="6"/>
  <c r="EE819" i="6"/>
  <c r="EE818" i="6"/>
  <c r="EE817" i="6"/>
  <c r="EE816" i="6"/>
  <c r="EE815" i="6"/>
  <c r="EE814" i="6"/>
  <c r="EE813" i="6"/>
  <c r="EE812" i="6"/>
  <c r="EE811" i="6"/>
  <c r="EE810" i="6"/>
  <c r="EE809" i="6"/>
  <c r="EE808" i="6"/>
  <c r="EE807" i="6"/>
  <c r="EE806" i="6"/>
  <c r="EE805" i="6"/>
  <c r="EE804" i="6"/>
  <c r="EE803" i="6"/>
  <c r="EE802" i="6"/>
  <c r="EE801" i="6"/>
  <c r="EE800" i="6"/>
  <c r="EE799" i="6"/>
  <c r="EE798" i="6"/>
  <c r="EE797" i="6"/>
  <c r="EE796" i="6"/>
  <c r="EE795" i="6"/>
  <c r="EE794" i="6"/>
  <c r="EE793" i="6"/>
  <c r="EE792" i="6"/>
  <c r="EE791" i="6"/>
  <c r="EE790" i="6"/>
  <c r="EE789" i="6"/>
  <c r="EE788" i="6"/>
  <c r="EE787" i="6"/>
  <c r="EE786" i="6"/>
  <c r="EE785" i="6"/>
  <c r="EE784" i="6"/>
  <c r="EE783" i="6"/>
  <c r="EE782" i="6"/>
  <c r="EE781" i="6"/>
  <c r="EE780" i="6"/>
  <c r="EE779" i="6"/>
  <c r="EE778" i="6"/>
  <c r="EE777" i="6"/>
  <c r="EE776" i="6"/>
  <c r="EE775" i="6"/>
  <c r="EE774" i="6"/>
  <c r="EE773" i="6"/>
  <c r="EE772" i="6"/>
  <c r="EE771" i="6"/>
  <c r="EE770" i="6"/>
  <c r="EE769" i="6"/>
  <c r="EE768" i="6"/>
  <c r="EE767" i="6"/>
  <c r="EE766" i="6"/>
  <c r="EE765" i="6"/>
  <c r="EE764" i="6"/>
  <c r="EE763" i="6"/>
  <c r="EE762" i="6"/>
  <c r="EE761" i="6"/>
  <c r="EE760" i="6"/>
  <c r="EE759" i="6"/>
  <c r="EE758" i="6"/>
  <c r="EE757" i="6"/>
  <c r="EE756" i="6"/>
  <c r="EE755" i="6"/>
  <c r="EE754" i="6"/>
  <c r="EE753" i="6"/>
  <c r="EE752" i="6"/>
  <c r="EE751" i="6"/>
  <c r="EE750" i="6"/>
  <c r="EE749" i="6"/>
  <c r="EE748" i="6"/>
  <c r="EE747" i="6"/>
  <c r="EE746" i="6"/>
  <c r="EE745" i="6"/>
  <c r="EE744" i="6"/>
  <c r="EE743" i="6"/>
  <c r="EE742" i="6"/>
  <c r="EE741" i="6"/>
  <c r="EE740" i="6"/>
  <c r="EE739" i="6"/>
  <c r="EE738" i="6"/>
  <c r="EE737" i="6"/>
  <c r="EE736" i="6"/>
  <c r="EE735" i="6"/>
  <c r="EE734" i="6"/>
  <c r="EE733" i="6"/>
  <c r="EE732" i="6"/>
  <c r="EE731" i="6"/>
  <c r="EE730" i="6"/>
  <c r="EE729" i="6"/>
  <c r="EE728" i="6"/>
  <c r="EE727" i="6"/>
  <c r="EE726" i="6"/>
  <c r="EE725" i="6"/>
  <c r="EE724" i="6"/>
  <c r="EE723" i="6"/>
  <c r="EE722" i="6"/>
  <c r="EE721" i="6"/>
  <c r="EE720" i="6"/>
  <c r="EE719" i="6"/>
  <c r="EE718" i="6"/>
  <c r="EE717" i="6"/>
  <c r="EE716" i="6"/>
  <c r="EE715" i="6"/>
  <c r="EE714" i="6"/>
  <c r="EE713" i="6"/>
  <c r="EE712" i="6"/>
  <c r="EE711" i="6"/>
  <c r="EE710" i="6"/>
  <c r="EE709" i="6"/>
  <c r="EE708" i="6"/>
  <c r="EE707" i="6"/>
  <c r="EE706" i="6"/>
  <c r="EE705" i="6"/>
  <c r="EE704" i="6"/>
  <c r="EE703" i="6"/>
  <c r="EE702" i="6"/>
  <c r="EE701" i="6"/>
  <c r="EE700" i="6"/>
  <c r="EE699" i="6"/>
  <c r="EE698" i="6"/>
  <c r="EE697" i="6"/>
  <c r="EE696" i="6"/>
  <c r="EE695" i="6"/>
  <c r="EE694" i="6"/>
  <c r="EE693" i="6"/>
  <c r="EE692" i="6"/>
  <c r="EE691" i="6"/>
  <c r="EE690" i="6"/>
  <c r="EE689" i="6"/>
  <c r="EE688" i="6"/>
  <c r="EE687" i="6"/>
  <c r="EE686" i="6"/>
  <c r="EE685" i="6"/>
  <c r="EE684" i="6"/>
  <c r="EE683" i="6"/>
  <c r="EE682" i="6"/>
  <c r="EE681" i="6"/>
  <c r="EE680" i="6"/>
  <c r="EE679" i="6"/>
  <c r="EE678" i="6"/>
  <c r="EE677" i="6"/>
  <c r="EE676" i="6"/>
  <c r="EE675" i="6"/>
  <c r="EE674" i="6"/>
  <c r="EE673" i="6"/>
  <c r="EE672" i="6"/>
  <c r="EE671" i="6"/>
  <c r="EE670" i="6"/>
  <c r="EE669" i="6"/>
  <c r="EE668" i="6"/>
  <c r="EE667" i="6"/>
  <c r="EE666" i="6"/>
  <c r="EE665" i="6"/>
  <c r="EE664" i="6"/>
  <c r="EE663" i="6"/>
  <c r="EE662" i="6"/>
  <c r="EE661" i="6"/>
  <c r="EE660" i="6"/>
  <c r="EE659" i="6"/>
  <c r="EE658" i="6"/>
  <c r="EE657" i="6"/>
  <c r="EE656" i="6"/>
  <c r="EE655" i="6"/>
  <c r="EE654" i="6"/>
  <c r="EE653" i="6"/>
  <c r="EE652" i="6"/>
  <c r="EE651" i="6"/>
  <c r="EE650" i="6"/>
  <c r="EE649" i="6"/>
  <c r="EE648" i="6"/>
  <c r="EE647" i="6"/>
  <c r="EE646" i="6"/>
  <c r="EE645" i="6"/>
  <c r="EE644" i="6"/>
  <c r="EE643" i="6"/>
  <c r="EE642" i="6"/>
  <c r="EE641" i="6"/>
  <c r="EE640" i="6"/>
  <c r="EE639" i="6"/>
  <c r="EE638" i="6"/>
  <c r="EE637" i="6"/>
  <c r="EE636" i="6"/>
  <c r="EE635" i="6"/>
  <c r="EE634" i="6"/>
  <c r="EE633" i="6"/>
  <c r="EE632" i="6"/>
  <c r="EE631" i="6"/>
  <c r="EE630" i="6"/>
  <c r="EE629" i="6"/>
  <c r="EE628" i="6"/>
  <c r="EE627" i="6"/>
  <c r="EE626" i="6"/>
  <c r="EE625" i="6"/>
  <c r="EE624" i="6"/>
  <c r="EE623" i="6"/>
  <c r="EE622" i="6"/>
  <c r="EE621" i="6"/>
  <c r="EE620" i="6"/>
  <c r="EE619" i="6"/>
  <c r="EE618" i="6"/>
  <c r="EE617" i="6"/>
  <c r="EE616" i="6"/>
  <c r="EE615" i="6"/>
  <c r="EE614" i="6"/>
  <c r="EE613" i="6"/>
  <c r="EE612" i="6"/>
  <c r="EE611" i="6"/>
  <c r="EE610" i="6"/>
  <c r="EE609" i="6"/>
  <c r="EE608" i="6"/>
  <c r="EE607" i="6"/>
  <c r="EE606" i="6"/>
  <c r="EE605" i="6"/>
  <c r="EE604" i="6"/>
  <c r="EE603" i="6"/>
  <c r="EE602" i="6"/>
  <c r="EE601" i="6"/>
  <c r="EE600" i="6"/>
  <c r="EE599" i="6"/>
  <c r="EE598" i="6"/>
  <c r="EE597" i="6"/>
  <c r="EE596" i="6"/>
  <c r="EE595" i="6"/>
  <c r="EE594" i="6"/>
  <c r="EE593" i="6"/>
  <c r="EE592" i="6"/>
  <c r="EE591" i="6"/>
  <c r="EE590" i="6"/>
  <c r="EE589" i="6"/>
  <c r="EE588" i="6"/>
  <c r="EE587" i="6"/>
  <c r="EE586" i="6"/>
  <c r="EE585" i="6"/>
  <c r="EE584" i="6"/>
  <c r="EE583" i="6"/>
  <c r="EE582" i="6"/>
  <c r="EE581" i="6"/>
  <c r="EE580" i="6"/>
  <c r="EE579" i="6"/>
  <c r="EE578" i="6"/>
  <c r="EE577" i="6"/>
  <c r="EE576" i="6"/>
  <c r="EE575" i="6"/>
  <c r="EE574" i="6"/>
  <c r="EE573" i="6"/>
  <c r="EE572" i="6"/>
  <c r="EE571" i="6"/>
  <c r="EE570" i="6"/>
  <c r="EE569" i="6"/>
  <c r="EE568" i="6"/>
  <c r="EE567" i="6"/>
  <c r="EE566" i="6"/>
  <c r="EE565" i="6"/>
  <c r="EE564" i="6"/>
  <c r="EE563" i="6"/>
  <c r="EE562" i="6"/>
  <c r="EE561" i="6"/>
  <c r="EE560" i="6"/>
  <c r="EE559" i="6"/>
  <c r="EE558" i="6"/>
  <c r="EE557" i="6"/>
  <c r="EE556" i="6"/>
  <c r="EE555" i="6"/>
  <c r="EE554" i="6"/>
  <c r="EE553" i="6"/>
  <c r="EE552" i="6"/>
  <c r="EE551" i="6"/>
  <c r="EE550" i="6"/>
  <c r="EE549" i="6"/>
  <c r="EE548" i="6"/>
  <c r="EE547" i="6"/>
  <c r="EE546" i="6"/>
  <c r="EE545" i="6"/>
  <c r="EE544" i="6"/>
  <c r="EE543" i="6"/>
  <c r="EE542" i="6"/>
  <c r="EE541" i="6"/>
  <c r="EE540" i="6"/>
  <c r="EE539" i="6"/>
  <c r="EE538" i="6"/>
  <c r="EE537" i="6"/>
  <c r="EE536" i="6"/>
  <c r="EE535" i="6"/>
  <c r="EE534" i="6"/>
  <c r="EE533" i="6"/>
  <c r="EE532" i="6"/>
  <c r="EE531" i="6"/>
  <c r="EE530" i="6"/>
  <c r="EE529" i="6"/>
  <c r="EE528" i="6"/>
  <c r="EE527" i="6"/>
  <c r="EE526" i="6"/>
  <c r="EE525" i="6"/>
  <c r="EE524" i="6"/>
  <c r="EE523" i="6"/>
  <c r="EE522" i="6"/>
  <c r="EE521" i="6"/>
  <c r="EE520" i="6"/>
  <c r="EE519" i="6"/>
  <c r="EE518" i="6"/>
  <c r="EE517" i="6"/>
  <c r="EE516" i="6"/>
  <c r="EE515" i="6"/>
  <c r="EE514" i="6"/>
  <c r="EE513" i="6"/>
  <c r="EE512" i="6"/>
  <c r="EE511" i="6"/>
  <c r="EE510" i="6"/>
  <c r="EE509" i="6"/>
  <c r="EE508" i="6"/>
  <c r="EE507" i="6"/>
  <c r="EE506" i="6"/>
  <c r="EE505" i="6"/>
  <c r="EE504" i="6"/>
  <c r="EE503" i="6"/>
  <c r="EE502" i="6"/>
  <c r="EE501" i="6"/>
  <c r="EE500" i="6"/>
  <c r="EE499" i="6"/>
  <c r="EE498" i="6"/>
  <c r="EE497" i="6"/>
  <c r="EE496" i="6"/>
  <c r="EE495" i="6"/>
  <c r="EE494" i="6"/>
  <c r="EE493" i="6"/>
  <c r="EE492" i="6"/>
  <c r="EE491" i="6"/>
  <c r="EE490" i="6"/>
  <c r="EE489" i="6"/>
  <c r="EE488" i="6"/>
  <c r="EE487" i="6"/>
  <c r="EE486" i="6"/>
  <c r="EE485" i="6"/>
  <c r="EE484" i="6"/>
  <c r="EE483" i="6"/>
  <c r="EE482" i="6"/>
  <c r="EE481" i="6"/>
  <c r="EE480" i="6"/>
  <c r="EE479" i="6"/>
  <c r="EE478" i="6"/>
  <c r="EE477" i="6"/>
  <c r="EE476" i="6"/>
  <c r="EE475" i="6"/>
  <c r="EE474" i="6"/>
  <c r="EE473" i="6"/>
  <c r="EE472" i="6"/>
  <c r="EE471" i="6"/>
  <c r="EE470" i="6"/>
  <c r="EE469" i="6"/>
  <c r="EE468" i="6"/>
  <c r="EE467" i="6"/>
  <c r="EE466" i="6"/>
  <c r="EE465" i="6"/>
  <c r="EE464" i="6"/>
  <c r="EE463" i="6"/>
  <c r="EE462" i="6"/>
  <c r="EE461" i="6"/>
  <c r="EE460" i="6"/>
  <c r="EE459" i="6"/>
  <c r="EE458" i="6"/>
  <c r="EE457" i="6"/>
  <c r="EE456" i="6"/>
  <c r="EE455" i="6"/>
  <c r="EE454" i="6"/>
  <c r="EE453" i="6"/>
  <c r="EE452" i="6"/>
  <c r="EE451" i="6"/>
  <c r="EE450" i="6"/>
  <c r="EE449" i="6"/>
  <c r="EE448" i="6"/>
  <c r="EE447" i="6"/>
  <c r="EE446" i="6"/>
  <c r="EE445" i="6"/>
  <c r="EE444" i="6"/>
  <c r="EE443" i="6"/>
  <c r="EE442" i="6"/>
  <c r="EE441" i="6"/>
  <c r="EE440" i="6"/>
  <c r="EE439" i="6"/>
  <c r="EE438" i="6"/>
  <c r="EE437" i="6"/>
  <c r="EE436" i="6"/>
  <c r="EE435" i="6"/>
  <c r="EE434" i="6"/>
  <c r="EE433" i="6"/>
  <c r="EE432" i="6"/>
  <c r="EE431" i="6"/>
  <c r="EE430" i="6"/>
  <c r="EE429" i="6"/>
  <c r="EE428" i="6"/>
  <c r="EE427" i="6"/>
  <c r="EE426" i="6"/>
  <c r="EE425" i="6"/>
  <c r="EE424" i="6"/>
  <c r="EE423" i="6"/>
  <c r="EE422" i="6"/>
  <c r="EE421" i="6"/>
  <c r="EE420" i="6"/>
  <c r="EE419" i="6"/>
  <c r="EE418" i="6"/>
  <c r="EE417" i="6"/>
  <c r="EE416" i="6"/>
  <c r="EE415" i="6"/>
  <c r="EE414" i="6"/>
  <c r="EE413" i="6"/>
  <c r="EE412" i="6"/>
  <c r="EE411" i="6"/>
  <c r="EE410" i="6"/>
  <c r="EE409" i="6"/>
  <c r="EE408" i="6"/>
  <c r="EE407" i="6"/>
  <c r="EE406" i="6"/>
  <c r="EE405" i="6"/>
  <c r="EE404" i="6"/>
  <c r="EE403" i="6"/>
  <c r="EE402" i="6"/>
  <c r="EE401" i="6"/>
  <c r="EE400" i="6"/>
  <c r="EE399" i="6"/>
  <c r="EE398" i="6"/>
  <c r="EE397" i="6"/>
  <c r="EE396" i="6"/>
  <c r="EE395" i="6"/>
  <c r="EE394" i="6"/>
  <c r="EE393" i="6"/>
  <c r="EE392" i="6"/>
  <c r="EE391" i="6"/>
  <c r="EE390" i="6"/>
  <c r="EE389" i="6"/>
  <c r="EE388" i="6"/>
  <c r="EE387" i="6"/>
  <c r="EE386" i="6"/>
  <c r="EE385" i="6"/>
  <c r="EE384" i="6"/>
  <c r="EE383" i="6"/>
  <c r="EE382" i="6"/>
  <c r="EE381" i="6"/>
  <c r="EE380" i="6"/>
  <c r="EE379" i="6"/>
  <c r="EE378" i="6"/>
  <c r="EE377" i="6"/>
  <c r="EE376" i="6"/>
  <c r="EE375" i="6"/>
  <c r="EE374" i="6"/>
  <c r="EE373" i="6"/>
  <c r="EE372" i="6"/>
  <c r="EE371" i="6"/>
  <c r="EE370" i="6"/>
  <c r="EE369" i="6"/>
  <c r="EE368" i="6"/>
  <c r="EE367" i="6"/>
  <c r="EE366" i="6"/>
  <c r="EE365" i="6"/>
  <c r="EE364" i="6"/>
  <c r="EE363" i="6"/>
  <c r="EE362" i="6"/>
  <c r="EE361" i="6"/>
  <c r="EE360" i="6"/>
  <c r="EE359" i="6"/>
  <c r="EE358" i="6"/>
  <c r="EE357" i="6"/>
  <c r="EE356" i="6"/>
  <c r="EE355" i="6"/>
  <c r="EE354" i="6"/>
  <c r="EE353" i="6"/>
  <c r="EE352" i="6"/>
  <c r="EE351" i="6"/>
  <c r="EE350" i="6"/>
  <c r="EE349" i="6"/>
  <c r="EE348" i="6"/>
  <c r="EE347" i="6"/>
  <c r="EE346" i="6"/>
  <c r="EE345" i="6"/>
  <c r="EE344" i="6"/>
  <c r="EE343" i="6"/>
  <c r="EE342" i="6"/>
  <c r="EE341" i="6"/>
  <c r="EE340" i="6"/>
  <c r="EE339" i="6"/>
  <c r="EE338" i="6"/>
  <c r="EE337" i="6"/>
  <c r="EE336" i="6"/>
  <c r="EE335" i="6"/>
  <c r="EE334" i="6"/>
  <c r="EE333" i="6"/>
  <c r="EE332" i="6"/>
  <c r="EE331" i="6"/>
  <c r="EE330" i="6"/>
  <c r="EE329" i="6"/>
  <c r="EE328" i="6"/>
  <c r="EE327" i="6"/>
  <c r="EE326" i="6"/>
  <c r="EE325" i="6"/>
  <c r="EE324" i="6"/>
  <c r="EE323" i="6"/>
  <c r="EE322" i="6"/>
  <c r="EE321" i="6"/>
  <c r="EE320" i="6"/>
  <c r="EE319" i="6"/>
  <c r="EE318" i="6"/>
  <c r="EE317" i="6"/>
  <c r="EE316" i="6"/>
  <c r="EE315" i="6"/>
  <c r="EE314" i="6"/>
  <c r="EE313" i="6"/>
  <c r="EE312" i="6"/>
  <c r="EE311" i="6"/>
  <c r="EE310" i="6"/>
  <c r="EE309" i="6"/>
  <c r="EE308" i="6"/>
  <c r="EE307" i="6"/>
  <c r="EE306" i="6"/>
  <c r="EE305" i="6"/>
  <c r="EE304" i="6"/>
  <c r="EE303" i="6"/>
  <c r="EE302" i="6"/>
  <c r="EE301" i="6"/>
  <c r="EE300" i="6"/>
  <c r="EE299" i="6"/>
  <c r="EE298" i="6"/>
  <c r="EE297" i="6"/>
  <c r="EE296" i="6"/>
  <c r="EE295" i="6"/>
  <c r="EE294" i="6"/>
  <c r="EE293" i="6"/>
  <c r="EE292" i="6"/>
  <c r="EE291" i="6"/>
  <c r="EE290" i="6"/>
  <c r="EE289" i="6"/>
  <c r="EE288" i="6"/>
  <c r="EE287" i="6"/>
  <c r="EE286" i="6"/>
  <c r="EE285" i="6"/>
  <c r="EE284" i="6"/>
  <c r="EE283" i="6"/>
  <c r="EE282" i="6"/>
  <c r="EE281" i="6"/>
  <c r="EE280" i="6"/>
  <c r="EE279" i="6"/>
  <c r="EE278" i="6"/>
  <c r="EE277" i="6"/>
  <c r="EE276" i="6"/>
  <c r="EE275" i="6"/>
  <c r="EE274" i="6"/>
  <c r="EE273" i="6"/>
  <c r="EE272" i="6"/>
  <c r="EE271" i="6"/>
  <c r="EE270" i="6"/>
  <c r="EE269" i="6"/>
  <c r="EE268" i="6"/>
  <c r="EE267" i="6"/>
  <c r="EE266" i="6"/>
  <c r="EE265" i="6"/>
  <c r="EE264" i="6"/>
  <c r="EE263" i="6"/>
  <c r="EE262" i="6"/>
  <c r="EE261" i="6"/>
  <c r="EE260" i="6"/>
  <c r="EE259" i="6"/>
  <c r="EE258" i="6"/>
  <c r="EE257" i="6"/>
  <c r="EE256" i="6"/>
  <c r="EE255" i="6"/>
  <c r="EE254" i="6"/>
  <c r="EE253" i="6"/>
  <c r="EE252" i="6"/>
  <c r="EE251" i="6"/>
  <c r="EE250" i="6"/>
  <c r="EE249" i="6"/>
  <c r="EE248" i="6"/>
  <c r="EE247" i="6"/>
  <c r="EE246" i="6"/>
  <c r="EE245" i="6"/>
  <c r="EE244" i="6"/>
  <c r="EE243" i="6"/>
  <c r="EE242" i="6"/>
  <c r="EE241" i="6"/>
  <c r="EE240" i="6"/>
  <c r="EE239" i="6"/>
  <c r="EE238" i="6"/>
  <c r="EE237" i="6"/>
  <c r="EE236" i="6"/>
  <c r="EE235" i="6"/>
  <c r="EE234" i="6"/>
  <c r="EE233" i="6"/>
  <c r="EE232" i="6"/>
  <c r="EE231" i="6"/>
  <c r="EE230" i="6"/>
  <c r="EE229" i="6"/>
  <c r="EE228" i="6"/>
  <c r="EE227" i="6"/>
  <c r="EE226" i="6"/>
  <c r="EE225" i="6"/>
  <c r="EE224" i="6"/>
  <c r="EE223" i="6"/>
  <c r="EE222" i="6"/>
  <c r="EE221" i="6"/>
  <c r="EE220" i="6"/>
  <c r="EE219" i="6"/>
  <c r="EE218" i="6"/>
  <c r="EE217" i="6"/>
  <c r="EE216" i="6"/>
  <c r="EE215" i="6"/>
  <c r="EE214" i="6"/>
  <c r="EE213" i="6"/>
  <c r="EE212" i="6"/>
  <c r="EE211" i="6"/>
  <c r="EE210" i="6"/>
  <c r="EE209" i="6"/>
  <c r="EE208" i="6"/>
  <c r="EE207" i="6"/>
  <c r="EE206" i="6"/>
  <c r="EE205" i="6"/>
  <c r="EE204" i="6"/>
  <c r="EE203" i="6"/>
  <c r="EE202" i="6"/>
  <c r="EE201" i="6"/>
  <c r="EE200" i="6"/>
  <c r="EE199" i="6"/>
  <c r="EE198" i="6"/>
  <c r="EE197" i="6"/>
  <c r="EE196" i="6"/>
  <c r="EE195" i="6"/>
  <c r="EE194" i="6"/>
  <c r="EE193" i="6"/>
  <c r="EE192" i="6"/>
  <c r="EE191" i="6"/>
  <c r="EE190" i="6"/>
  <c r="EE189" i="6"/>
  <c r="EE188" i="6"/>
  <c r="EE187" i="6"/>
  <c r="EE186" i="6"/>
  <c r="EE185" i="6"/>
  <c r="EE184" i="6"/>
  <c r="EE183" i="6"/>
  <c r="EE182" i="6"/>
  <c r="EE181" i="6"/>
  <c r="EE180" i="6"/>
  <c r="EE179" i="6"/>
  <c r="EE178" i="6"/>
  <c r="EE177" i="6"/>
  <c r="EE176" i="6"/>
  <c r="EE175" i="6"/>
  <c r="EE174" i="6"/>
  <c r="EE173" i="6"/>
  <c r="EE172" i="6"/>
  <c r="EE171" i="6"/>
  <c r="EE170" i="6"/>
  <c r="EE169" i="6"/>
  <c r="EE168" i="6"/>
  <c r="EE167" i="6"/>
  <c r="EE166" i="6"/>
  <c r="EE165" i="6"/>
  <c r="EE164" i="6"/>
  <c r="EE163" i="6"/>
  <c r="EE162" i="6"/>
  <c r="EE161" i="6"/>
  <c r="EE160" i="6"/>
  <c r="EE159" i="6"/>
  <c r="EE158" i="6"/>
  <c r="EE157" i="6"/>
  <c r="EE156" i="6"/>
  <c r="EE155" i="6"/>
  <c r="EE154" i="6"/>
  <c r="EE153" i="6"/>
  <c r="EE152" i="6"/>
  <c r="EE151" i="6"/>
  <c r="EE150" i="6"/>
  <c r="EE149" i="6"/>
  <c r="EE148" i="6"/>
  <c r="EE147" i="6"/>
  <c r="EE146" i="6"/>
  <c r="EE145" i="6"/>
  <c r="EE144" i="6"/>
  <c r="EE143" i="6"/>
  <c r="EE142" i="6"/>
  <c r="EE141" i="6"/>
  <c r="EE140" i="6"/>
  <c r="EE139" i="6"/>
  <c r="EE138" i="6"/>
  <c r="EE137" i="6"/>
  <c r="EE136" i="6"/>
  <c r="EE135" i="6"/>
  <c r="EE134" i="6"/>
  <c r="EE133" i="6"/>
  <c r="EE132" i="6"/>
  <c r="EE131" i="6"/>
  <c r="EE130" i="6"/>
  <c r="EE129" i="6"/>
  <c r="EE128" i="6"/>
  <c r="EE127" i="6"/>
  <c r="EE126" i="6"/>
  <c r="EE125" i="6"/>
  <c r="EE124" i="6"/>
  <c r="EE123" i="6"/>
  <c r="EE122" i="6"/>
  <c r="EE121" i="6"/>
  <c r="EE120" i="6"/>
  <c r="EE119" i="6"/>
  <c r="EE118" i="6"/>
  <c r="EE117" i="6"/>
  <c r="EE116" i="6"/>
  <c r="EE115" i="6"/>
  <c r="EE114" i="6"/>
  <c r="EE113" i="6"/>
  <c r="EE112" i="6"/>
  <c r="EE111" i="6"/>
  <c r="EE110" i="6"/>
  <c r="EE109" i="6"/>
  <c r="EE108" i="6"/>
  <c r="EE107" i="6"/>
  <c r="EE106" i="6"/>
  <c r="EE105" i="6"/>
  <c r="EE104" i="6"/>
  <c r="EE103" i="6"/>
  <c r="EE102" i="6"/>
  <c r="EE101" i="6"/>
  <c r="EE100" i="6"/>
  <c r="EE99" i="6"/>
  <c r="EE98" i="6"/>
  <c r="EE97" i="6"/>
  <c r="EE96" i="6"/>
  <c r="EE95" i="6"/>
  <c r="EE94" i="6"/>
  <c r="EE93" i="6"/>
  <c r="EE92" i="6"/>
  <c r="EE91" i="6"/>
  <c r="EE90" i="6"/>
  <c r="EE89" i="6"/>
  <c r="EE88" i="6"/>
  <c r="EE87" i="6"/>
  <c r="EE86" i="6"/>
  <c r="EE85" i="6"/>
  <c r="EE84" i="6"/>
  <c r="EE83" i="6"/>
  <c r="EE82" i="6"/>
  <c r="EE81" i="6"/>
  <c r="EE80" i="6"/>
  <c r="EE79" i="6"/>
  <c r="EE78" i="6"/>
  <c r="EE77" i="6"/>
  <c r="EE76" i="6"/>
  <c r="EE75" i="6"/>
  <c r="EE74" i="6"/>
  <c r="EE73" i="6"/>
  <c r="EE72" i="6"/>
  <c r="EE71" i="6"/>
  <c r="EE70" i="6"/>
  <c r="EE69" i="6"/>
  <c r="EE68" i="6"/>
  <c r="EE67" i="6"/>
  <c r="EE66" i="6"/>
  <c r="EE65" i="6"/>
  <c r="EE64" i="6"/>
  <c r="EE63" i="6"/>
  <c r="EE62" i="6"/>
  <c r="EE61" i="6"/>
  <c r="EE60" i="6"/>
  <c r="EE59" i="6"/>
  <c r="EE58" i="6"/>
  <c r="EE57" i="6"/>
  <c r="EE56" i="6"/>
  <c r="EE55" i="6"/>
  <c r="EE54" i="6"/>
  <c r="EE53" i="6"/>
  <c r="EE52" i="6"/>
  <c r="EE51" i="6"/>
  <c r="EE50" i="6"/>
  <c r="EE49" i="6"/>
  <c r="EE48" i="6"/>
  <c r="EE47" i="6"/>
  <c r="EE46" i="6"/>
  <c r="EE45" i="6"/>
  <c r="EE44" i="6"/>
  <c r="EE43" i="6"/>
  <c r="EE42" i="6"/>
  <c r="EE41" i="6"/>
  <c r="EE40" i="6"/>
  <c r="EE39" i="6"/>
  <c r="EE38" i="6"/>
  <c r="EE37" i="6"/>
  <c r="EE36" i="6"/>
  <c r="EE35" i="6"/>
  <c r="EE34" i="6"/>
  <c r="EE33" i="6"/>
  <c r="EE32" i="6"/>
  <c r="EE31" i="6"/>
  <c r="EE30" i="6"/>
  <c r="EE29" i="6"/>
  <c r="EE28" i="6"/>
  <c r="EE27" i="6"/>
  <c r="EE26" i="6"/>
  <c r="EE25" i="6"/>
  <c r="EE24" i="6"/>
  <c r="EE23" i="6"/>
  <c r="EE22" i="6"/>
  <c r="EE21" i="6"/>
  <c r="EE20" i="6"/>
  <c r="EE19" i="6"/>
  <c r="EE18" i="6"/>
  <c r="EE17" i="6"/>
  <c r="EE16" i="6"/>
  <c r="EE15" i="6"/>
  <c r="EE14" i="6"/>
  <c r="EE13" i="6"/>
  <c r="EE12" i="6"/>
  <c r="EE11" i="6"/>
  <c r="EE10" i="6"/>
</calcChain>
</file>

<file path=xl/sharedStrings.xml><?xml version="1.0" encoding="utf-8"?>
<sst xmlns="http://schemas.openxmlformats.org/spreadsheetml/2006/main" count="110505" uniqueCount="19874">
  <si>
    <t>Search Criteria:</t>
  </si>
  <si>
    <t>Downloaded on:</t>
  </si>
  <si>
    <t xml:space="preserve"> Search Link:</t>
  </si>
  <si>
    <t>All Columns</t>
  </si>
  <si>
    <t xml:space="preserve">Include Active Positions; </t>
  </si>
  <si>
    <t>https://my.pitchbook.com/?pcc=494516-98</t>
  </si>
  <si>
    <t>7/26/2021</t>
  </si>
  <si>
    <t>Company ID</t>
  </si>
  <si>
    <t>Companies</t>
  </si>
  <si>
    <t>Latest Note</t>
  </si>
  <si>
    <t>Latest Note – Author</t>
  </si>
  <si>
    <t>Company Former Name</t>
  </si>
  <si>
    <t>Company Also Known As</t>
  </si>
  <si>
    <t>Company Legal Name</t>
  </si>
  <si>
    <t>Competitors</t>
  </si>
  <si>
    <t>PBId</t>
  </si>
  <si>
    <t>Description</t>
  </si>
  <si>
    <t>Primary Industry Sector</t>
  </si>
  <si>
    <t>Primary Industry Group</t>
  </si>
  <si>
    <t>Primary Industry Code</t>
  </si>
  <si>
    <t>All Industries</t>
  </si>
  <si>
    <t>Verticals</t>
  </si>
  <si>
    <t>Keywords</t>
  </si>
  <si>
    <t>Company Financing Status</t>
  </si>
  <si>
    <t>Total Raised</t>
  </si>
  <si>
    <t>Business Status</t>
  </si>
  <si>
    <t>Ownership Status</t>
  </si>
  <si>
    <t>Universe</t>
  </si>
  <si>
    <t>Website</t>
  </si>
  <si>
    <t>Employees</t>
  </si>
  <si>
    <t>Employee History</t>
  </si>
  <si>
    <t>Exchange</t>
  </si>
  <si>
    <t>Ticker</t>
  </si>
  <si>
    <t>Year Founded</t>
  </si>
  <si>
    <t>Parent Company</t>
  </si>
  <si>
    <t>Daily Updates</t>
  </si>
  <si>
    <t>Weekly Updates</t>
  </si>
  <si>
    <t>Revenue</t>
  </si>
  <si>
    <t>Gross Profit</t>
  </si>
  <si>
    <t>Net Income</t>
  </si>
  <si>
    <t>Enterprise Value</t>
  </si>
  <si>
    <t>EBITDA</t>
  </si>
  <si>
    <t>EBIT</t>
  </si>
  <si>
    <t>Market Cap</t>
  </si>
  <si>
    <t>Net Debt</t>
  </si>
  <si>
    <t>Revenue Growth %</t>
  </si>
  <si>
    <t>Fiscal Period</t>
  </si>
  <si>
    <t>Primary Contact PBId</t>
  </si>
  <si>
    <t>Primary Contact</t>
  </si>
  <si>
    <t>Primary Contact Title</t>
  </si>
  <si>
    <t>Primary Contact Email</t>
  </si>
  <si>
    <t>Primary Contact Phone</t>
  </si>
  <si>
    <t>HQ Location</t>
  </si>
  <si>
    <t>HQ Address Line 1</t>
  </si>
  <si>
    <t>HQ Address Line 2</t>
  </si>
  <si>
    <t>HQ City</t>
  </si>
  <si>
    <t>HQ State/Province</t>
  </si>
  <si>
    <t>HQ Post Code</t>
  </si>
  <si>
    <t>HQ Country</t>
  </si>
  <si>
    <t>HQ Phone</t>
  </si>
  <si>
    <t>HQ Fax</t>
  </si>
  <si>
    <t>HQ Email</t>
  </si>
  <si>
    <t>HQ Global Region</t>
  </si>
  <si>
    <t>HQ Global Sub Region</t>
  </si>
  <si>
    <t>Financing Status Note</t>
  </si>
  <si>
    <t>Active Investors</t>
  </si>
  <si>
    <t># Active Investors</t>
  </si>
  <si>
    <t>Acquirers</t>
  </si>
  <si>
    <t>Former Investors</t>
  </si>
  <si>
    <t>Other Investors</t>
  </si>
  <si>
    <t>Active Investors Websites</t>
  </si>
  <si>
    <t>Former Investors Websites</t>
  </si>
  <si>
    <t>Other Investors Websites</t>
  </si>
  <si>
    <t>General Services</t>
  </si>
  <si>
    <t>Services on a Deal</t>
  </si>
  <si>
    <t>First Financing Date</t>
  </si>
  <si>
    <t>First Financing Size</t>
  </si>
  <si>
    <t>First Financing Size Status</t>
  </si>
  <si>
    <t>First Financing Valuation</t>
  </si>
  <si>
    <t>First Financing Valuation Status</t>
  </si>
  <si>
    <t>First Financing Deal Type</t>
  </si>
  <si>
    <t>First Financing Deal Type 2</t>
  </si>
  <si>
    <t>First Financing Deal Type 3</t>
  </si>
  <si>
    <t>First Financing Deal Class</t>
  </si>
  <si>
    <t>First Financing Debt</t>
  </si>
  <si>
    <t>First Financing Status</t>
  </si>
  <si>
    <t>Last Financing Date</t>
  </si>
  <si>
    <t>Last Financing Size</t>
  </si>
  <si>
    <t>Last Financing Size Status</t>
  </si>
  <si>
    <t>Last Financing Valuation</t>
  </si>
  <si>
    <t>Last Financing Valuation Status</t>
  </si>
  <si>
    <t>Last Financing Deal Type</t>
  </si>
  <si>
    <t>Last Financing Deal Type 2</t>
  </si>
  <si>
    <t>Last Financing Deal Type 3</t>
  </si>
  <si>
    <t>Last Financing Deal Class</t>
  </si>
  <si>
    <t>Last Financing Debt Date</t>
  </si>
  <si>
    <t>Last Financing Debt Size</t>
  </si>
  <si>
    <t>Last Financing Debt</t>
  </si>
  <si>
    <t>Last Financing Status</t>
  </si>
  <si>
    <t>Growth Rate</t>
  </si>
  <si>
    <t>Growth Rate Percentile</t>
  </si>
  <si>
    <t>Growth Rate Change</t>
  </si>
  <si>
    <t>Growth Rate % Change</t>
  </si>
  <si>
    <t>Web Growth Rate</t>
  </si>
  <si>
    <t>Web Growth Rate Percentile</t>
  </si>
  <si>
    <t>Social Growth Rate</t>
  </si>
  <si>
    <t>Social Growth Rate Percentile</t>
  </si>
  <si>
    <t>SimilarWeb Growth Rate</t>
  </si>
  <si>
    <t>SimilarWeb Growth Rate Percentile</t>
  </si>
  <si>
    <t>Majestic Growth Rate</t>
  </si>
  <si>
    <t>Majestic Growth Rate Percentile</t>
  </si>
  <si>
    <t>Twitter Growth Rate</t>
  </si>
  <si>
    <t>Twitter Growth Rate Percentile</t>
  </si>
  <si>
    <t>Size Multiple</t>
  </si>
  <si>
    <t>Size Multiple Percentile</t>
  </si>
  <si>
    <t>Size Multiple Change</t>
  </si>
  <si>
    <t>Size Multiple % Change</t>
  </si>
  <si>
    <t>Web Size Multiple</t>
  </si>
  <si>
    <t>Web Size Multiple Percentile</t>
  </si>
  <si>
    <t>Social Size Multiple</t>
  </si>
  <si>
    <t>Social Size Multiple Percentile</t>
  </si>
  <si>
    <t>SimilarWeb Size Multiple</t>
  </si>
  <si>
    <t>SimilarWeb Size Multiple Percentile</t>
  </si>
  <si>
    <t>Majestic Size Multiple</t>
  </si>
  <si>
    <t>Majestic Size Multiple Percentile</t>
  </si>
  <si>
    <t>Twitter Size Multiple</t>
  </si>
  <si>
    <t>Twitter Size Multiple Percentile</t>
  </si>
  <si>
    <t>SimilarWeb Unique Visitors</t>
  </si>
  <si>
    <t>SimilarWeb Unique Visitors Change</t>
  </si>
  <si>
    <t>SimilarWeb Unique Visitors % Change</t>
  </si>
  <si>
    <t>Majestic Referring Domains</t>
  </si>
  <si>
    <t>Majestic Referring Domains Change</t>
  </si>
  <si>
    <t>Majestic Referring Domains % Change</t>
  </si>
  <si>
    <t>Twitter Followers</t>
  </si>
  <si>
    <t>Twitter Followers Change</t>
  </si>
  <si>
    <t>Twitter Followers % Change</t>
  </si>
  <si>
    <t>Profile Data Source</t>
  </si>
  <si>
    <t>Last Updated Date</t>
  </si>
  <si>
    <t>Last Known Valuation</t>
  </si>
  <si>
    <t>Last Known Valuation Date</t>
  </si>
  <si>
    <t>Last Known Valuation Deal Type</t>
  </si>
  <si>
    <t>PitchBook Link</t>
  </si>
  <si>
    <t>All data copyright PitchBook Data, Inc.</t>
  </si>
  <si>
    <t>For customized data reports and analyses, contact us at:</t>
  </si>
  <si>
    <t xml:space="preserve">clientservices@pitchbook.com </t>
  </si>
  <si>
    <t xml:space="preserve">In accordance with the </t>
  </si>
  <si>
    <t>PitchBook User Agreement</t>
  </si>
  <si>
    <t>, this document and its contents are meant for data purposes only. This file must be deleted by all recipients after 30 days of download unless express written consent has been given by PitchBook Data, Inc.</t>
  </si>
  <si>
    <t>If you have any further questions or concerns, please contact client services at 1-877-267-5593 or by email at</t>
  </si>
  <si>
    <t>clientservices@pitchbook.com.</t>
  </si>
  <si>
    <t>© PitchBook Data, Inc. 2021</t>
  </si>
  <si>
    <t>60476-32</t>
  </si>
  <si>
    <t>Accord Housing Association</t>
  </si>
  <si>
    <t/>
  </si>
  <si>
    <t>Accord</t>
  </si>
  <si>
    <t>Accord Housing Association Ltd</t>
  </si>
  <si>
    <t>Provider of housing and social care organizations based in West Bromwich, United Kingdom. The company offers affordable homes and a range of services which includes social care.</t>
  </si>
  <si>
    <t>Consumer Products and Services (B2C)</t>
  </si>
  <si>
    <t>Services (Non-Financial)</t>
  </si>
  <si>
    <t>Real Estate Services (B2C)</t>
  </si>
  <si>
    <t>Elder and Disabled Care, Other Services (B2C Non-Financial), Real Estate Services (B2C)*</t>
  </si>
  <si>
    <t>real estate, real estate commercial property, real estate company, real estate developer, social care</t>
  </si>
  <si>
    <t>Private Equity-Backed</t>
  </si>
  <si>
    <t>Generating Revenue</t>
  </si>
  <si>
    <t>Acquired/Merged (Operating Subsidiary)</t>
  </si>
  <si>
    <t>Private Equity</t>
  </si>
  <si>
    <t>www.accordgroup.org.uk</t>
  </si>
  <si>
    <t>Pension Insurance Corporation</t>
  </si>
  <si>
    <t>FY 2020</t>
  </si>
  <si>
    <t>56978-29P</t>
  </si>
  <si>
    <t>Christopher Handy</t>
  </si>
  <si>
    <t>Chief Executive Officer</t>
  </si>
  <si>
    <t>ch@accordgroup.org.uk</t>
  </si>
  <si>
    <t>+44 (0)30 0111 7000</t>
  </si>
  <si>
    <t>West Bromwich, United Kingdom</t>
  </si>
  <si>
    <t>178 Birmingham Road</t>
  </si>
  <si>
    <t>West Bromwich</t>
  </si>
  <si>
    <t>England</t>
  </si>
  <si>
    <t>B70 6QG</t>
  </si>
  <si>
    <t>United Kingdom</t>
  </si>
  <si>
    <t>Europe</t>
  </si>
  <si>
    <t>Western Europe</t>
  </si>
  <si>
    <t>The company was acquired by Pension Insurance Corporation, via its financial sponsors Swiss Re Group, CVC Capital Partners, Disruptive Capital Finance, Istithmar World, J.C. Flowers &amp; Co., J.P. Morgan, Legend Holdings, Reinet Investments, Royal Bank of Scotland and Abu Dhabi Investment Authority through an LBO on an undisclosed date.</t>
  </si>
  <si>
    <t>CVC Capital Partners, Disruptive Capital, Istithmar World, J.C. Flowers &amp; Co., J.P. Morgan, Legend Holdings, NatWest Group, Reinet Investments, Swiss Re Group, The Abu Dhabi Investment Authority</t>
  </si>
  <si>
    <t>CVC Capital Partners(www.cvc.com), Disruptive Capital(www.disruptivecapital.com), Istithmar World(www.istithmarworld.com), J.C. Flowers &amp; Co.(www.jcfco.com), J.P. Morgan(www.jpmorgan.com), Legend Holdings(www.legendholdings.com.cn), NatWest Group(www.natwestgroup.com), Reinet Investments(www.reinet.com), Swiss Re Group(www.swissre.com), The Abu Dhabi Investment Authority(www.adia.ae)</t>
  </si>
  <si>
    <t>Centrus Financial(Advisor: General)</t>
  </si>
  <si>
    <t>Actual</t>
  </si>
  <si>
    <t>Estimated</t>
  </si>
  <si>
    <t>Buyout/LBO</t>
  </si>
  <si>
    <t>Add-on</t>
  </si>
  <si>
    <t>Completed</t>
  </si>
  <si>
    <t>PitchBook Research</t>
  </si>
  <si>
    <t>106687-99</t>
  </si>
  <si>
    <t>Verizon Wireless</t>
  </si>
  <si>
    <t>Verizon, Cellco Partnership</t>
  </si>
  <si>
    <t>Verizon Wireless, Inc.</t>
  </si>
  <si>
    <t>ZWireless, T-Mobile Netherlands, Cradlepoint, Cricket Wireless, C Spire Wireless, RCN (San Francisco Operations), 1stPoint Communications, RCN Telecom Services, Wave, iWireless, Altice Portugal, EnTouch Systems, Hawaiian Telcom Holdco, Mediacom, Atlant Telecom, Magenta (Electronic Marketplace), Telecom Liechtenstein, Truphone, Cbeyond, SONY Slovakia, Eir Telecom, Claro Puerto Rico, Feeney Wireless, Towerstream, NuLink</t>
  </si>
  <si>
    <t>Operator of a wireless communications firm intended to connect people and businesses based in Wallingford, Connecticut. The company provides basic phones, smartphones, tablets, internet devices, and accessories along with prepaid plans and home phones, enabling its customers to access the internet and stream media.</t>
  </si>
  <si>
    <t>Information Technology</t>
  </si>
  <si>
    <t>Communications and Networking</t>
  </si>
  <si>
    <t>Wireless Communications Equipment</t>
  </si>
  <si>
    <t>Electronics (B2C), Telecommunications Service Providers, Wireless Communications Equipment*</t>
  </si>
  <si>
    <t>Mobile, TMT</t>
  </si>
  <si>
    <t>broadband service, cellular telecommunication cellphone, internet device, mobile phone, wireless network</t>
  </si>
  <si>
    <t>Corporate Backed or Acquired</t>
  </si>
  <si>
    <t>Acquired/Merged</t>
  </si>
  <si>
    <t>M&amp;A</t>
  </si>
  <si>
    <t>www.verizonwireless.com</t>
  </si>
  <si>
    <t>2012: 82000, 2020: 140000</t>
  </si>
  <si>
    <t>FY 2013</t>
  </si>
  <si>
    <t>Wallingford, CT</t>
  </si>
  <si>
    <t>PO Box 5029</t>
  </si>
  <si>
    <t>Wallingford</t>
  </si>
  <si>
    <t>Connecticut</t>
  </si>
  <si>
    <t>06492</t>
  </si>
  <si>
    <t>United States</t>
  </si>
  <si>
    <t>Americas</t>
  </si>
  <si>
    <t>North America</t>
  </si>
  <si>
    <t>The company was acquired by Verizon Communications (NYSE: VZ) for $130 billion on February 21, 2014. After the transaction, Verizon Communications hold a100% stake in the company. The company is no longer actively tracked by PitchBook.</t>
  </si>
  <si>
    <t>Verizon Communications</t>
  </si>
  <si>
    <t>Vodafone Group</t>
  </si>
  <si>
    <t>Vodafone Group(www.vodafone.com)</t>
  </si>
  <si>
    <t>AIT Business Solutions(Advisor: General), BrandStar(Advisor: Communications), Bush Seyferth(Legal Advisor), Chief Outsiders(Consulting), CL King &amp; Associates(Advisor: General), Clarity Consultants(Consulting), CMA Enterprise Incorporated(Consulting), EA Markets(Advisor: General), Fitzpatrick Lentz &amp; Bubba(Legal Advisor), Hawke Media(Consulting), Landmark Ventures(Advisor: General), Leading Path Consulting(Consulting), Site Selection Group(Consulting), Stonecroft Capital(Advisor: General), Thompson Hine(Legal Advisor)</t>
  </si>
  <si>
    <t>Davis Polk(Legal Advisor), Merrill Lynch Pierce Fenner &amp; Smith(Underwriter), Simpson Thacher &amp; Bartlett(Legal Advisor), The Goldman Sachs Group(Underwriter)</t>
  </si>
  <si>
    <t>Joint Venture</t>
  </si>
  <si>
    <t>Corporate</t>
  </si>
  <si>
    <t>Merger/Acquisition</t>
  </si>
  <si>
    <t>168813-28</t>
  </si>
  <si>
    <t>Al Hilal Bank</t>
  </si>
  <si>
    <t>Al Hilal Bank PJSC</t>
  </si>
  <si>
    <t>Commercial Bank of Dubai, Capital One Financial, First Nationwide Bank, Dubai Islamic Bank, ABN AMRO Bank, Northern Trust, Abu Dhabi Commercial Bank, Emirates NBD, The Royal Bank of Scotland (Malaysia), United Arab Bank, HSBC Holdings, Commercial International Bank, DBS Bank, Bank of Ireland, Sharjah Islamic Bank, First Gulf Bank, Standard Chartered Bank Kenya, NatWest Group</t>
  </si>
  <si>
    <t>Operator of a commercial bank. The company provides a wide range of financial products and services including deposit accounts, debit and credit cards, safe deposit boxes, wholesale banking services, foreign exchange, debt and equity capital markets, money market advisory services, treasury products to institutions, government entities, and high-net-worth individuals.</t>
  </si>
  <si>
    <t>Financial Services</t>
  </si>
  <si>
    <t>Commercial Banks</t>
  </si>
  <si>
    <t>National Banks</t>
  </si>
  <si>
    <t>National Banks*</t>
  </si>
  <si>
    <t>bank deposits, banking services, debit card, foreign exchange, money market broker</t>
  </si>
  <si>
    <t>M&amp;A, Publicly Listed</t>
  </si>
  <si>
    <t>www.alhilalbank.ae</t>
  </si>
  <si>
    <t>Abu Dhabi Commercial Bank</t>
  </si>
  <si>
    <t>192950-65P</t>
  </si>
  <si>
    <t>Alex Coelho</t>
  </si>
  <si>
    <t>alex.coelho@alhilalbank.ae</t>
  </si>
  <si>
    <t>+971 (0)2 499 4444</t>
  </si>
  <si>
    <t>Abu Dhabi, United Arab Emirates</t>
  </si>
  <si>
    <t>PO Box 63111</t>
  </si>
  <si>
    <t>Abu Dhabi</t>
  </si>
  <si>
    <t>United Arab Emirates</t>
  </si>
  <si>
    <t>Middle East</t>
  </si>
  <si>
    <t>The company was acquired by Abu Dhabi Commercial Bank (ADS: ADCB), a subsidiary of Abu Dhabi Investment Council, and Union National Bank of United Arab Emirates for an undisclosed amount on May 1, 2019. The transaction will create a robust platform to grow the bank's consumer and wholesale businesses in both conventional and Islamic banking.</t>
  </si>
  <si>
    <t>Abu Dhabi Commercial Bank, Union National Bank of United Arab Emirates</t>
  </si>
  <si>
    <t>IPO</t>
  </si>
  <si>
    <t>Public Investment</t>
  </si>
  <si>
    <t>151770-52</t>
  </si>
  <si>
    <t>Warner-Lambert Company</t>
  </si>
  <si>
    <t>Warner-Lambert Company LLC</t>
  </si>
  <si>
    <t>Manufacturer of pharmaceuticals and consumer health care products. The company's pharmaceuticals products include prescription medicines for heart disease, diabetes and epilepsy, consumer health products such as listerine, lubriderm and benadryl, confectioneries like trident, certs and chiclets, schick &amp; wilkinson sword razors and tetra aquarium product.</t>
  </si>
  <si>
    <t>Healthcare</t>
  </si>
  <si>
    <t>Pharmaceuticals and Biotechnology</t>
  </si>
  <si>
    <t>Pharmaceuticals</t>
  </si>
  <si>
    <t>Pharmaceuticals*</t>
  </si>
  <si>
    <t>Manufacturing</t>
  </si>
  <si>
    <t>consumer healthcare, diabetes medicine, epilepsy medicine, heart disease drugs, pharmaceutical drugs, pharmaceutical manufacturing</t>
  </si>
  <si>
    <t>www.warner-lambert.com</t>
  </si>
  <si>
    <t>1989: 33000, 1990: 34000, 1991: 34000, 1992: 34000, 1993: 35000, 1994: 36000, 1995: 37000, 1996: 38000, 1997: 40000, 1998: 41000, 1999: 44000</t>
  </si>
  <si>
    <t>Pfizer</t>
  </si>
  <si>
    <t>TTM 1Q2000</t>
  </si>
  <si>
    <t>189284-95P</t>
  </si>
  <si>
    <t>Burke Giblin</t>
  </si>
  <si>
    <t>Chairman &amp; Chief Executive Officer</t>
  </si>
  <si>
    <t>Morris Plains, NJ</t>
  </si>
  <si>
    <t>201 Tabor Road</t>
  </si>
  <si>
    <t>Morris Plains</t>
  </si>
  <si>
    <t>New Jersey</t>
  </si>
  <si>
    <t>07950</t>
  </si>
  <si>
    <t>The company was acquired by Pfizer for $110 billion on June 19, 2000. The company is no longer actively tracked by PitchBook.</t>
  </si>
  <si>
    <t>Foley &amp; Lardner(Legal Advisor)</t>
  </si>
  <si>
    <t>Skadden, Arps, Slate, Meagher &amp; Flom(Legal Advisor)</t>
  </si>
  <si>
    <t>41082-40</t>
  </si>
  <si>
    <t>Apple (NAS: AAPL)</t>
  </si>
  <si>
    <t>Apple computer</t>
  </si>
  <si>
    <t>Apple, Inc.</t>
  </si>
  <si>
    <t>Coocaa, Smartisan Technology, SONY Slovakia, Microsoft, Hewlett-Packard, Alphabet, Dell Technologies, tile</t>
  </si>
  <si>
    <t>Apple designs a wide variety of consumer electronic devices, including smartphones (iPhone), tablets (iPad), PCs (Mac), smartwatches (Apple Watch), and TV boxes (Apple TV), among others. The iPhone makes up the majority of Apple's total revenue. In addition, Apple offers its customers a variety of services such as Apple Music, iCloud, Apple Care, Apple TV+, Apple Arcade, Apple Card, and Apple Pay, among others. Apple's products run internally developed software and semiconductors, and the firm is well known for its integration of hardware, software and services. Apple's products are distributed online as well as through company-owned stores and third-party retailers. The company generates roughly 40% of its revenue from the Americas, with the remainder earned internationally.</t>
  </si>
  <si>
    <t>Computer Hardware</t>
  </si>
  <si>
    <t>Computers, Parts and Peripherals</t>
  </si>
  <si>
    <t>Computers, Parts and Peripherals*, Electronics (B2C), Operating Systems Software</t>
  </si>
  <si>
    <t>AudioTech, CloudTech &amp; DevOps, Manufacturing, Mobile, TMT, Wearables &amp; Quantified Self</t>
  </si>
  <si>
    <t>cloudtech and devops, communication device, laptops computer, mobile communication, personal computer, smartphone, tinyml</t>
  </si>
  <si>
    <t>Formerly VC-backed</t>
  </si>
  <si>
    <t>Profitable</t>
  </si>
  <si>
    <t>Publicly Held</t>
  </si>
  <si>
    <t>M&amp;A, Private Equity, Publicly Listed, Venture Capital</t>
  </si>
  <si>
    <t>www.apple.com</t>
  </si>
  <si>
    <t>1980: 1000, 1990: 14517, 1991: 14432, 1992: 14798, 1993: 14938, 1994: 11287, 1995: 13191, 1996: 10896, 1997: 8437, 1998: 6658, 1999: 9736, 2000: 11728, 2001: 11434, 2002: 12241, 2003: 13566, 2004: 13426, 2005: 16820, 2006: 20186, 2007: 23700, 2008: 35100, 2009: 36800, 2010: 49400, 2011: 63300, 2012: 76100, 2013: 84400, 2014: 97000, 2015: 110000, 2016: 116000, 2017: 123000, 2018: 132000, 2019: 137000, 2020: 147000</t>
  </si>
  <si>
    <t>NAS</t>
  </si>
  <si>
    <t>AAPL</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</si>
  <si>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</si>
  <si>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</si>
  <si>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TTM 2Q2021</t>
  </si>
  <si>
    <t>33193-54P</t>
  </si>
  <si>
    <t>Luca Maestri</t>
  </si>
  <si>
    <t>Chief Financial Officer &amp; Senior Vice President</t>
  </si>
  <si>
    <t>maestri@apple.com</t>
  </si>
  <si>
    <t>+1 (408) 996-1010</t>
  </si>
  <si>
    <t>Cupertino, CA</t>
  </si>
  <si>
    <t>One Apple Park Way</t>
  </si>
  <si>
    <t>Cupertino</t>
  </si>
  <si>
    <t>California</t>
  </si>
  <si>
    <t>95014</t>
  </si>
  <si>
    <t>The company repurchased an undisclosed number of shares for $127.6 billion in December 2018.</t>
  </si>
  <si>
    <t>Berkshire Hathaway, The Vanguard Group</t>
  </si>
  <si>
    <t>2020 Ventures, Anthem Capital Management, Atheneum Capital, Brentwood Venture Capital, Brouwer &amp; Janachowski, California State Teachers' Retirement System, Carl Icahn, Eaton Vance, Fidelity Management &amp; Research, Firsthand Capital Management, Founders Capital Management, GAM Holding, Gierl Augustine Investment Management, Hook Partners, J.P. Morgan, Janus Henderson Investors, Kleiner Perkins, Martin Tobias, Matrix Partners, Morgenthaler Ventures, Oakmont Partners, Sequoia Capital, Stonewood Wealth Management, Tiger Global Management, Venrock, Wealthcare Capital Management</t>
  </si>
  <si>
    <t>Berkshire Hathaway(www.berkshirehathaway.com), The Vanguard Group(www.vanguard.com)</t>
  </si>
  <si>
    <t>2020 Ventures(knick.io), Anthem Capital Management(www.anthemcapital.com), Atheneum Capital(www.atheneumcapital.com), Brouwer &amp; Janachowski(www.bandjadvisors.com), California State Teachers' Retirement System(www.calstrs.com), Carl Icahn(www.carlicahn.com), Eaton Vance(www.eatonvance.com), Firsthand Capital Management(www.firsthandcapital.com), Founders Capital Management(www.foundcapital.com), Gierl Augustine Investment Management(www.retirewithga.com), Hook Partners(www.hookpartners.com), J.P. Morgan(www.jpmorgan.com), Janus Henderson Investors(www.janushenderson.com), Kleiner Perkins(www.kleinerperkins.com), Matrix Partners(www.matrixpartners.com), Morgenthaler Ventures(www.morgenthaler.com), Oakmont Partners(www.oakmontpwm.com), Sequoia Capital(www.sequoiacap.com), Stonewood Wealth Management(www.stonewoodwealth.com), Tiger Global Management(www.tigerglobal.com), Venrock(www.venrock.com), Wealthcare Capital Management(www.wealthcaregdx.com)</t>
  </si>
  <si>
    <t>Adept Resources Group(Consulting), Advantary(Consulting), ALIGNMT(Consulting), B2World(Advisor: General), Bank of America Merrill Lynch(Underwriter), Barclays(Underwriter), Blue Dots Partners(Advisor: General), BofA Securities(Lead Manager or Arranger), Capital Futures(Consulting), CastleOak Securities(Advisor: General), Clarity Consultants(Consulting), David Powell(Consulting), Deutsche Bank Securities(Underwriter), EY(Auditor), Founders Keepers(Consulting), Greenwich Associates(Consulting), GrowthPoint Technology Partners(Advisor: General), Hayden Bergman, Professional Corporation(Legal Advisor), Herbert Smith Freehills(Legal Advisor), J.P. Morgan(Underwriter), J.W. Burns &amp; Company(LP Consultant: General), JASEC Consulting(Consulting), Johnson &amp; Urban(Consulting), Loop Capital Markets(Underwriter), MAQS Advokatbyrå(Legal Advisor), Mesirow Financial(Advisor: General), Mischler Financial Group(Underwriter), Morgan Stanley(Underwriter), Pedersen &amp; Partners(Consulting), PMG Worldwide(Consulting), Qruize Technologies(Consulting), Red Chalk Group(Consulting), Robert K. Futterman &amp; Associates(Consulting), Rosenblatt Securities(Advisor: General), Rushton Atlantic(Valuation/Appraiser), Siebert Cisneros Shank &amp; Co.(Lead Manager or Arranger), Siebert Williams Shank &amp; Co.(Underwriter), Site Selection Group(Consulting), Thanathip &amp; Partners(Legal Advisor), The Errigo Group(Consulting), The Goldman Sachs Group(Underwriter), Tonex(Consulting), Tughans Solicitors(Legal Advisor), Widebridge Group(Advisor: General), Willow Factor(Consulting), Winthrop Group(Consulting)</t>
  </si>
  <si>
    <t>Hambrecht &amp; Quist(Underwriter), Morgan Stanley(Underwriter)</t>
  </si>
  <si>
    <t>Angel (individual)</t>
  </si>
  <si>
    <t>Individual</t>
  </si>
  <si>
    <t>Loan - $0.17M</t>
  </si>
  <si>
    <t>Share Repurchase</t>
  </si>
  <si>
    <t>Other</t>
  </si>
  <si>
    <t>41224-06</t>
  </si>
  <si>
    <t>RBS Holdings N.V.</t>
  </si>
  <si>
    <t>ABN AMRO Bank, ABN AMRO Bank (Former)</t>
  </si>
  <si>
    <t>Provider of commercial banking services. The company operates as an international banking group offering banking products and financial services.</t>
  </si>
  <si>
    <t>Other Commercial Banks</t>
  </si>
  <si>
    <t>Other Commercial Banks*, Other Financial Services</t>
  </si>
  <si>
    <t>banking product, commercial banking service</t>
  </si>
  <si>
    <t>1997: 36055, 1998: 105826, 1999: 105855, 2000: 115098, 2001: 109930, 2002: 106438, 2003: 110201, 2004: 105918, 2005: 96835, 2006: 106999, 2007: 114082, 2008: 57000, 2009: 27251, 2010: 19300, 2011: 24225</t>
  </si>
  <si>
    <t>FY 2011</t>
  </si>
  <si>
    <t>Amsterdam, Netherlands</t>
  </si>
  <si>
    <t>Gustav Mahlerlaan 10</t>
  </si>
  <si>
    <t>Amsterdam</t>
  </si>
  <si>
    <t>1082 PP</t>
  </si>
  <si>
    <t>Netherlands</t>
  </si>
  <si>
    <t>+31 (0)10 241 1720</t>
  </si>
  <si>
    <t>The company was acquired by RFS Holdings, a consortium of Royal Bank of Scotland Group, Fortis and Banco Santander for $98.19 billion on April 7, 2007. The company is no longer actively tracked by PitchBook.</t>
  </si>
  <si>
    <t>Banco Santander, Fortis, NatWest Group</t>
  </si>
  <si>
    <t>Fenchurch Advisory Partners(Advisor: General)</t>
  </si>
  <si>
    <t>126489-16</t>
  </si>
  <si>
    <t>Mannesmann</t>
  </si>
  <si>
    <t>Mannesmann AG</t>
  </si>
  <si>
    <t>Provider of telecommunication services based in Düsseldorf, Germany.</t>
  </si>
  <si>
    <t>Telecommunications Service Providers</t>
  </si>
  <si>
    <t>Telecommunications Service Providers*</t>
  </si>
  <si>
    <t>connectivity wire, telecommunication service, telecommunication service operator, telecommunication service provider</t>
  </si>
  <si>
    <t>www.mannesmann.com</t>
  </si>
  <si>
    <t>Düsseldorf, Germany</t>
  </si>
  <si>
    <t>Mannesmannufer 2</t>
  </si>
  <si>
    <t>Düsseldorf</t>
  </si>
  <si>
    <t>40213</t>
  </si>
  <si>
    <t>Germany</t>
  </si>
  <si>
    <t>The company was acquired by Vodafone Group (LON: VOD) for EUR 101.25 billion on April 12, 2000. The company is no longer actively tracked by PitchBook.</t>
  </si>
  <si>
    <t>SEViX GROUP(Consulting)</t>
  </si>
  <si>
    <t>Mackenzie Partners(Advisor: General)</t>
  </si>
  <si>
    <t>11613-79</t>
  </si>
  <si>
    <t>Raytheon Technologies (NYS: RTX)</t>
  </si>
  <si>
    <t>United Technologies Corporation, United Aircraft</t>
  </si>
  <si>
    <t>Raytheon Technologies Corporation</t>
  </si>
  <si>
    <t>Lockheed Martin, General Dynamics, Triumph Group, GE Aviation, Bombardier, Orbital ATK, Airbus, Korea Aerospace Industries</t>
  </si>
  <si>
    <t>Raytheon Technologies is a diversified aerospace and defense industrial company formed from the merger of United Technologies and Raytheon, with roughly equal exposure as a supplier to the commercial aerospace manufactures and to the defense market as a prime and subprime contractor. The company operates in four segments: Pratt &amp; Whitney, an engine manufacturer, Collins Aerospace, which is a diversified aerospace supplier, and intelligence, space and airborne systems, a mix between a sensors business and a government IT contractor, and integrated defense and missile systems, a defense prime contractor focusing on missiles and missile defense hardware.</t>
  </si>
  <si>
    <t>Other Financial Services</t>
  </si>
  <si>
    <t>Holding Companies</t>
  </si>
  <si>
    <t>Aerospace and Defense, Holding Companies*</t>
  </si>
  <si>
    <t>Industrials, Manufacturing</t>
  </si>
  <si>
    <t>aircraft parts, commercial aerospace, elevators, hvac equiptment, military aerospace, multinational company</t>
  </si>
  <si>
    <t>Corporation</t>
  </si>
  <si>
    <t>Generating Revenue/Not Profitable</t>
  </si>
  <si>
    <t>M&amp;A, Private Equity, Publicly Listed</t>
  </si>
  <si>
    <t>www.rtx.com</t>
  </si>
  <si>
    <t>1989: 201400, 1990: 192600, 1991: 192600, 1992: 185100, 1993: 168600, 1994: 171500, 1995: 170600, 1996: 173800, 1997: 180100, 1998: 178800, 1999: 148300, 2000: 153800, 2001: 152000, 2002: 155000, 2003: 203300, 2004: 209700, 2005: 222200, 2006: 214500, 2007: 225600, 2008: 223100, 2009: 206700, 2010: 208200, 2011: 199900, 2012: 218000, 2013: 212000, 2014: 211500, 2015: 197000, 2016: 202000, 2017: 204700, 2018: 240000, 2019: 243200, 2020: 181000</t>
  </si>
  <si>
    <t>NYS</t>
  </si>
  <si>
    <t>RTX</t>
  </si>
  <si>
    <t>People (New) Steven Forrest, Acting Controller &amp; Acting Principal Accounting Officer, News (New)</t>
  </si>
  <si>
    <t>People (New) Steven Forrest, Acting Controller &amp; Acting Principal Accounting Officer, Promotion (New) Gregory Hayes, Chief Executive Officer &amp; Board Member, News (New) , News (New) , News (New) , News (New) , News (New) , News (New) , News (New) , News (New) , News (New) , News (New) , News (New) , News (New) , News (New) , News (New) , News (New) , News (New) , News (New) , News (New)</t>
  </si>
  <si>
    <t>TTM 1Q2021</t>
  </si>
  <si>
    <t>23658-85P</t>
  </si>
  <si>
    <t>Gregory Hayes</t>
  </si>
  <si>
    <t>Chief Executive Officer &amp; Board Member</t>
  </si>
  <si>
    <t>gregory.hayes@rtx.com</t>
  </si>
  <si>
    <t>+1 (781) 522-3000</t>
  </si>
  <si>
    <t>Waltham, MA</t>
  </si>
  <si>
    <t>870 Winter Street</t>
  </si>
  <si>
    <t>Waltham</t>
  </si>
  <si>
    <t>Massachusetts</t>
  </si>
  <si>
    <t>02451</t>
  </si>
  <si>
    <t>Deutsche Bank (ETR: DBK) and JPMorgan Chase (NYSE: JPM) sold their minority stake in the company (NYSE: UTX) to the company's management for $6 billion on November 12, 2015. Following, the company was in talks to be acquired by Honeywell International (NYSE: HON) for $90.7 billion in December, 2015. Subsequently the deal was cancelled. Honeywell said its offer included $42.63 in cash and 0.614 of its shares for each United Tech share. Previously, Deutsche Bank (ETR: DBK) and JPMorgan Chase (NYSE: JPM) sold their minority stake in the company (NYSE: UTX) to the company's management for $6 billion on November 12, 2015.</t>
  </si>
  <si>
    <t>Deutsche Bank, JPMorgan Chase, TRC Capital</t>
  </si>
  <si>
    <t>Honeywell</t>
  </si>
  <si>
    <t>Deutsche Bank(www.db.com), JPMorgan Chase(www.jpmorganchase.com)</t>
  </si>
  <si>
    <t>Honeywell(www.honeywell.com)</t>
  </si>
  <si>
    <t>Allison+Partners(Advisor: Communications), Barnes &amp; Thornburg(Legal Advisor), Bartlit Beck(Legal Advisor), BrandStar(Advisor: Communications), Burnham Sterling &amp; Company(Advisor: General), Cambridge Associates(LP Consultant: General), ClearBridge Compensation Group(Consulting), Crowell &amp; Moring(Legal Advisor), DVB Bank(Debt Financing), Fitzgibbon Toigo &amp; Co.(Advisor: General), FMG Leading(Consulting), Gunster(Legal Advisor), Integris Partners(Advisor: General), Kirkland &amp; Ellis(Legal Advisor), McGuireWoods(Legal Advisor), REL Consultancy(Consulting), Seale &amp; Associates(Advisor: General), SGC Partners(Consulting), Simpson Thacher &amp; Bartlett(Legal Advisor), Spectrum Gaming Capital(Advisor: General), The TaxBack Group(Advisor: General), Thompson Hine(Legal Advisor)</t>
  </si>
  <si>
    <t>PIPE</t>
  </si>
  <si>
    <t>Failed/Cancelled</t>
  </si>
  <si>
    <t>11123-74</t>
  </si>
  <si>
    <t>BellSouth</t>
  </si>
  <si>
    <t>Provider of telecommunications and data services. The company offers call forwarding, voice mail, dial-up access to the internet, broadband Internet access, wireless Internet browsing and other related services.</t>
  </si>
  <si>
    <t>Internet Service Providers, Telecommunications Service Providers*, Wireless Service Providers</t>
  </si>
  <si>
    <t>TMT</t>
  </si>
  <si>
    <t>data services, telecommunication service provider, voicemail</t>
  </si>
  <si>
    <t>1989: 101230, 1990: 101945, 1991: 96084, 1992: 97100, 1993: 95084, 1994: 92100, 1995: 87600, 1996: 81200, 1997: 81000, 1998: 88400, 1999: 96200, 2000: 103900, 2001: 87875, 2002: 77000, 2003: 76000, 2004: 63000, 2005: 63000</t>
  </si>
  <si>
    <t>AT&amp;T</t>
  </si>
  <si>
    <t>TTM 3Q2006</t>
  </si>
  <si>
    <t>Atlanta, GA</t>
  </si>
  <si>
    <t>1155 Peachtree Street NorthEast</t>
  </si>
  <si>
    <t>Room 15G03</t>
  </si>
  <si>
    <t>Atlanta</t>
  </si>
  <si>
    <t>Georgia</t>
  </si>
  <si>
    <t>30309</t>
  </si>
  <si>
    <t>The company was acquired by AT&amp;T for $89.43 billion on December 29, 2006. The company is no longer actively tracked by PitchBook.</t>
  </si>
  <si>
    <t>AT&amp;T, Crown Castle International</t>
  </si>
  <si>
    <t>Analytica Investments(Advisor: General), PMI Advisors(Consulting), Tonex(Consulting)</t>
  </si>
  <si>
    <t>Axinn, Veltrop &amp; Harkrider(Legal Advisor), Citigroup(Advisor: General), Fried, Frank, Harris, Shriver &amp; Jacobson(Legal Advisor), Kilpatrick Townsend &amp; Stockton(Legal Advisor), PwC(Advisor: General), The Goldman Sachs Group(Advisor: General)</t>
  </si>
  <si>
    <t>42081-76</t>
  </si>
  <si>
    <t>Time Warner Cable</t>
  </si>
  <si>
    <t>American Television and Communications</t>
  </si>
  <si>
    <t>TWC</t>
  </si>
  <si>
    <t>Time Warner Cable, Inc.</t>
  </si>
  <si>
    <t>Bright House Networks, RCN Telecom Services, Atlantic Broadband Group, Cox Communications, Google Fiber, Grande Communications Networks, WideOpenWest, Sparklight, EarthLink, Cbeyond, Starz Entertainment, Hawaiian Telcom Holdco, C Spire Wireless, EnTouch Systems, Hulu, Sling TV, Electric Lightwave, NewWave Communications, Consolidated Communications, Metro by T-Mobile, Cablevision, Telefónica El Salvador, Mediacom, A&amp;E Television Networks, Unite Private Networks, Broadview Networks, Wave, T-Mobile Netherlands, Karma (Connectivity Products), 1stPoint Communications, Verizon Wireless, Go, Towerstream, Claro Puerto Rico, Showtime Networks, WarnerMedia, Windstream</t>
  </si>
  <si>
    <t>Provider of online video services. The company's services include video on demand and digital video recorder services, as well as programming in three-dimensional format, residential high-speed data services with connection to the Internet and digital phone services, enabling the residential and business service customers to enjoy online video services.</t>
  </si>
  <si>
    <t>Media</t>
  </si>
  <si>
    <t>Broadcasting, Radio and Television</t>
  </si>
  <si>
    <t>Broadcasting, Radio and Television*, Cable Service Providers, Internet Service Providers</t>
  </si>
  <si>
    <t>digital video, digital video recorder, high speed data, recorder service, video on demand</t>
  </si>
  <si>
    <t>www.timewarnercable.com</t>
  </si>
  <si>
    <t>2004: 39900, 2005: 43000, 2006: 43000, 2007: 45600, 2008: 46600, 2009: 47000, 2010: 47500, 2011: 48500, 2012: 51000, 2013: 51600, 2014: 54800, 2015: 56600</t>
  </si>
  <si>
    <t>Charter Communications</t>
  </si>
  <si>
    <t>News (New)</t>
  </si>
  <si>
    <t>TTM 1Q2016</t>
  </si>
  <si>
    <t>42322-96P</t>
  </si>
  <si>
    <t>Gail MacKinnon</t>
  </si>
  <si>
    <t>Executive Vice President &amp; Chief Government Relations Officer</t>
  </si>
  <si>
    <t>New York, NY</t>
  </si>
  <si>
    <t>60 Columbus Circle</t>
  </si>
  <si>
    <t>Floor 17</t>
  </si>
  <si>
    <t>New York</t>
  </si>
  <si>
    <t>10023</t>
  </si>
  <si>
    <t>The company (NYSE: TWC) was acquired by Charter Communications (NASDAQ: CHTR) for approximately $85 billion as of May 18, 2016. Charter Communications is backed by Crestview Partners, Franklin Templeton Group and Oaktree Capital Management. Charter Communications provides US$55.2 billion in cash and stock. Under the terms of the agreement, the shareholders of Time Warner Cable Inc, excluding Liberty Broadband Corp and Liberty Interactive, have the option to receive either US$100 in cash and 0.5409 Charter Communications shares or US$115 in cash or 0.456 Charter shares for every Time Warner share held. Liberty Broadband Corp is expected to receive all stock for its shares in Time Warner. In addition, Liberty Broadband will also buy newly issued shares of Charter Communications worth US$4.3 billion. The company is no longer actively tracked by PitchBook.</t>
  </si>
  <si>
    <t>Altice, Comcast, Cox Communications, Liberty Broadband, Netflix</t>
  </si>
  <si>
    <t>Altice(www.altice.net), Comcast(corporate.comcast.com), Cox Communications(www.cox.com), Liberty Broadband(www.libertybroadband.com), Netflix(www.netflix.com)</t>
  </si>
  <si>
    <t>Brainerd Communicators(Advisor: Communications), BrandStar(Advisor: Communications), Evercore Group(Advisor: General), Fahrenheit 212(Advisor: General), Horatio-Rose Group(Consulting), Sheppard Mullin(Legal Advisor), Telsey Advisory Group(Advisor: General), Tenzing Consulting(Consulting), Tonex(Consulting)</t>
  </si>
  <si>
    <t>Allen &amp; Company(Advisor: General), Centerview Partners(Advisor: General), Citigroup(Advisor: General), EY(Accounting), Fahrenheit 212(Advisor: General), Latham &amp; Watkins(Legal Advisor), Mackenzie Partners(Advisor: General), Morgan Stanley(Advisor: General), Paul, Weiss, Rifkind, Wharton &amp; Garrison(Legal Advisor), Skadden, Arps, Slate, Meagher &amp; Flom(Legal Advisor), Thomson Reuters(Advisor: General), Waller Capital Partners(Advisor: General)</t>
  </si>
  <si>
    <t>41333-95</t>
  </si>
  <si>
    <t>Celgene</t>
  </si>
  <si>
    <t>Celgene Corp.</t>
  </si>
  <si>
    <t>Bharat Serums and Vaccines, Nektar Therapeutics, Octapharma, EMD Serono, Shire, Intas Pharmaceuticals, Biocon, Gilead Sciences, Crucell, Seagen, Exelixis, Novo Nordisk, Regeneron Pharmaceuticals, Peloton Therapeutics, OncoMed Pharmaceuticals, AbbVie, MannKind Corporation, Teva Pharmaceutical Industries, Biogen, Genentech, Agenus, CSL, Morphotek, Immunogen</t>
  </si>
  <si>
    <t>Celgene is a biopharmaceutical firm that discovers, develops, and markets therapeutics for the treatment of cancer and immunological diseases. Celgene markets Thalomid and Pomalyst to treat multiple myeloma and Revlimid, a less toxic thalidomide derivative, to treat myelodysplastic syndromes, multiple myeloma, and mantle cell lymphoma. Acquisitions have brought MDS drug Vidaza, T-cell lymphoma drug Istodax, and cancer drug Abraxane. The firm's first immunology drug, Otezla, was approved in the U.S. in 2014. Recent acquisitions of Juno and Impact bring additional drugs for Celgene's blood cancer pipeline.</t>
  </si>
  <si>
    <t>Biotechnology</t>
  </si>
  <si>
    <t>Biotechnology*, Pharmaceuticals</t>
  </si>
  <si>
    <t>Life Sciences, Oncology</t>
  </si>
  <si>
    <t>cancer therapy, cancer treatment, chronic lymphocyte leukemia, myelodysplastic syndromes, myeloma</t>
  </si>
  <si>
    <t>Private Equity, Publicly Listed, Venture Capital</t>
  </si>
  <si>
    <t>www.celgene.com</t>
  </si>
  <si>
    <t>1991: 46, 1992: 73, 1993: 80, 1994: 47, 1995: 47, 1996: 79, 1997: 94, 1998: 112, 1999: 151, 2000: 316, 2001: 383, 2002: 560, 2003: 679, 2004: 766, 2005: 944, 2006: 1287, 2007: 1685, 2008: 2441, 2009: 2813, 2010: 4182, 2011: 4460, 2012: 4700, 2013: 5100, 2014: 6012, 2015: 6971, 2016: 7132, 2017: 7467, 2018: 8852, 2019: 8800, 2020: 8800, 2021: 8800</t>
  </si>
  <si>
    <t>Bristol-Myers Squibb</t>
  </si>
  <si>
    <t>FY 2019</t>
  </si>
  <si>
    <t>44324-56P</t>
  </si>
  <si>
    <t>Robert Hugin</t>
  </si>
  <si>
    <t>Chief Executive Officer &amp; Executive Chairman</t>
  </si>
  <si>
    <t>+1 (908) 673-9000</t>
  </si>
  <si>
    <t>Summit, NJ</t>
  </si>
  <si>
    <t>86 Morris Avenue</t>
  </si>
  <si>
    <t>Summit</t>
  </si>
  <si>
    <t>07901</t>
  </si>
  <si>
    <t>+1 (908) 673-9115</t>
  </si>
  <si>
    <t>The company (NAS: CELG) was acquired by Bristol-Myers Squibb (NYS: BMY) for $80.26 billion on November 20, 2019. This acquisition helps Bristol-Myers Squibb to create a leading biopharma company.</t>
  </si>
  <si>
    <t>Asseily Ventures, BB Biotech, CHL Medical Partners, Edelson Technology Partners, Ridgeback Capital</t>
  </si>
  <si>
    <t>Asseily Ventures(www.asseily.ventures), BB Biotech(www.bbbiotech.ch), CHL Medical Partners(www.chlmedical.com), Edelson Technology Partners(www.edelsontech.com), Ridgeback Capital(www.ridgebackcap.com)</t>
  </si>
  <si>
    <t>AlphaVate(Consulting), Ferghana Partners Group(Advisor: General), Geller Biopharm(Advisor: General), Kessler Topaz Meltzer &amp; Check(Legal Advisor), KPMG(Auditor), ProClinical(Consulting), Roswell Capital Partners(Advisor: General), Sage Healthcare(Advisor: General), Seed Intellectual Property Law Group(Legal Advisor), Strawn Arnold &amp; Associates(Consulting), T.R. Winston &amp; Company(Advisor: General), ZS Associates(Consulting)</t>
  </si>
  <si>
    <t>Arnold &amp; Porter Kaye Scholer(Legal Advisor), Baker Botts(Legal Advisor), Citibank(Advisor: General), Citigroup Global Markets(Advisor: General), Davies Ward Phillips &amp; Vineberg(Legal Advisor), Goodwin(Legal Advisor), J.P. Morgan(Debt Financing), J.P. Morgan Securities(Advisor: General), Jones Day(Legal Advisor), Mackenzie Partners(Advisor: General), Morrow Sodali(Advisor: Communications), Proskauer Rose(Legal Advisor), Rigrodsky &amp; Long(Legal Advisor), Roswell Capital Partners(Advisor: General), Wachtell, Lipton, Rosen &amp; Katz(Legal Advisor)</t>
  </si>
  <si>
    <t>Early Stage VC</t>
  </si>
  <si>
    <t>Venture Capital</t>
  </si>
  <si>
    <t>11918-53</t>
  </si>
  <si>
    <t>Allergan (Acquired 2015)</t>
  </si>
  <si>
    <t>Botox maker</t>
  </si>
  <si>
    <t>Allergan, Inc.</t>
  </si>
  <si>
    <t>Developer of pharmaceuticals products. The company is focused on discovering, developing and commercializing pharmaceuticals, biologics, medical devices and over-the-counter consumer products. Its products include: BOTOX® (onabotulinumtoxinA), RESTASIS® (cyclosporine ophthalmic emulsion) 0.05%, LUMIGAN® (bimatoprost ophthalmic solution) 0.01%, BOTOX® Cosmetic (onabotulinumtoxinA) and the JUVÉDERM® family of dermal fillers.</t>
  </si>
  <si>
    <t>Healthcare Devices and Supplies</t>
  </si>
  <si>
    <t>Surgical Devices</t>
  </si>
  <si>
    <t>Other Devices and Supplies, Pharmaceuticals, Surgical Devices*</t>
  </si>
  <si>
    <t>dermatology product, health care product, healthcare device, therapeutic device</t>
  </si>
  <si>
    <t>M&amp;A, Publicly Listed, Venture Capital</t>
  </si>
  <si>
    <t>1989: 6800, 1990: 6344, 1991: 5600, 1992: 5158, 1993: 4749, 1994: 4900, 1995: 6000, 1996: 6100, 1997: 6100, 1998: 5972, 1999: 5969, 2000: 6181, 2001: 6436, 2002: 4900, 2003: 4930, 2004: 5030, 2005: 5055, 2006: 6772, 2007: 7886, 2008: 8740, 2009: 8300, 2010: 9200, 2011: 10000, 2012: 10800, 2013: 11400, 2014: 11700, 2016: 16000, 2018: 18000</t>
  </si>
  <si>
    <t>FY 2014</t>
  </si>
  <si>
    <t>Irvine, CA</t>
  </si>
  <si>
    <t>2525 Dupont Drive</t>
  </si>
  <si>
    <t>Irvine</t>
  </si>
  <si>
    <t>92612</t>
  </si>
  <si>
    <t>The company was acquired by Actavis (NYSE: ACT) for $77 billion on March 17, 2015. The deal includes Bridge Loan of $30.9 billion. The addition of the company's therapeutic franchises in ophthalmology, neurosciences and medical aesthetics/dermatology/plastic surgery complements Actavis's existing central nervous system, gastroenterology, women's health and urology franchises. The company is no longer actively tracked by PitchBook.</t>
  </si>
  <si>
    <t>Allergan</t>
  </si>
  <si>
    <t>Bausch Health Companies, Compass Technology Partners, Pentwater Capital Management, Pershing Square Holdings, T. Rowe Price</t>
  </si>
  <si>
    <t>Bausch Health Companies(www.bauschhealth.com), Compass Technology Partners(www.compasstechpartners.com), Pentwater Capital Management(www.pwcm.com), Pershing Square Holdings(www.pershingsquareholdings.com), T. Rowe Price(www.troweprice.com)</t>
  </si>
  <si>
    <t>Talenta Global(Consulting)</t>
  </si>
  <si>
    <t>Alvarez &amp; Marsal(Advisor: General), Bank of America Merrill Lynch(Advisor: General), FTI Consulting(Advisor: General), Kirkland &amp; Ellis(Legal Advisor), Latham &amp; Watkins(Legal Advisor), Richards Layton &amp; Finger(Legal Advisor), The Goldman Sachs Group(Advisor: General), Wachtell, Lipton, Rosen &amp; Katz(Legal Advisor), Weil, Gotshal &amp; Manges(Legal Advisor)</t>
  </si>
  <si>
    <t>Bridge - $40.00B</t>
  </si>
  <si>
    <t>57961-99</t>
  </si>
  <si>
    <t>21st Century Fox</t>
  </si>
  <si>
    <t>News Corporation</t>
  </si>
  <si>
    <t>Fox</t>
  </si>
  <si>
    <t>21st Century Fox America, Inc.</t>
  </si>
  <si>
    <t>RTL Group, ESPN, Corus Entertainment, Zodiak Media, WarnerMedia, Disney/ABC Television Group, iHeartMedia, Entertainment One, Fox Family Worldwide, Starz Entertainment, Mediaset, Viacom, Fremantle, Paramount Pictures, AMC Networks, MGM Studios, ITV, A&amp;E Television Networks, LionsGate Entertainment, Channel 5 Broadcasting, Zattoo International, Showtime Networks, Turner Broadcasting System, Endemol Shine Group, ViacomCBS, Sony Pictures Entertainment, Mediaset España Comunicación, Hulu, Amazon Studios, Joe FM, Brainpool TV, Cable News Network, Audacy (Digital Audio), Cox Communications, ProSiebenSat.1 Media, Home Box Office, Twentieth Century Fox Film</t>
  </si>
  <si>
    <t>Provider of media and mass communications services based in New York, United States. The company engages in operating a film and television studio which creates television programs and movies as well as operates cable and broadcasting networks globally.</t>
  </si>
  <si>
    <t>Movies, Music and Entertainment</t>
  </si>
  <si>
    <t>Broadcasting, Radio and Television, Movies, Music and Entertainment*</t>
  </si>
  <si>
    <t>broadcasting network, film and television, film studio, mass communications services, television studio</t>
  </si>
  <si>
    <t>www.21cf.com</t>
  </si>
  <si>
    <t>1990: 38400, 1991: 30700, 1992: 27250, 1993: 27250, 1994: 27250, 1995: 27250, 1996: 27250, 1997: 27250, 1998: 27250, 1999: 50000, 2000: 33800, 2001: 31400, 2002: 33800, 2003: 37000, 2004: 37000, 2006: 47300, 2007: 53000, 2008: 64000, 2009: 55000, 2010: 51000, 2011: 51000, 2012: 48000, 2013: 25600, 2014: 27000, 2015: 20500, 2016: 21500, 2017: 21700, 2018: 22400, 2019: 22000</t>
  </si>
  <si>
    <t>News (New) , News (New) , News (New) , News (New)</t>
  </si>
  <si>
    <t>TTM 2Q2019</t>
  </si>
  <si>
    <t>194553-46P</t>
  </si>
  <si>
    <t>Steve Tomsic</t>
  </si>
  <si>
    <t>Chief Financial Officer</t>
  </si>
  <si>
    <t>1211 Avenue of the Americas</t>
  </si>
  <si>
    <t>13th floor</t>
  </si>
  <si>
    <t>10036</t>
  </si>
  <si>
    <t>The company (NASDAQ: FOXA) was acquired by The Walt Disney Company (NYS: DIS) for $71.3 billion on March 20, 2019. With this acquisition, Walt Disney will be able to provide more appealing high-quality content and entertainment options to meet growing consumer demand, increase its international footprint and expand its direct-to-consumer offerings. The company is no longer actively tracked by PitchBook.</t>
  </si>
  <si>
    <t>The Walt Disney Company</t>
  </si>
  <si>
    <t>Breyer Capital, News Corp, ValueAct Capital Management</t>
  </si>
  <si>
    <t>Comcast</t>
  </si>
  <si>
    <t>Breyer Capital(www.breyercapital.com), News Corp(www.newscorp.com), ValueAct Capital Management(www.valueact.com)</t>
  </si>
  <si>
    <t>Comcast(corporate.comcast.com)</t>
  </si>
  <si>
    <t>Davis Polk(Legal Advisor), Monteverde &amp; Associates(Legal Advisor), Telsey Advisory Group(Advisor: General), Wachtell, Lipton, Rosen &amp; Katz(Legal Advisor)</t>
  </si>
  <si>
    <t>Allen &amp; Overy(Legal Advisor), Allens(Legal Advisor), Centerview Partners(Advisor: General), Herbert Smith Freehills(Legal Advisor), Hogan Lovells(Legal Advisor), McCarthy Tétrault(Legal Advisor), Simpson Thacher &amp; Bartlett(Legal Advisor), Skadden, Arps, Slate, Meagher &amp; Flom(Legal Advisor), The Goldman Sachs Group(Advisor: General)</t>
  </si>
  <si>
    <t>Spin-Off</t>
  </si>
  <si>
    <t>11543-32</t>
  </si>
  <si>
    <t>Aetna</t>
  </si>
  <si>
    <t>Aetna, Inc.</t>
  </si>
  <si>
    <t>Zoom+Care, Health Net, Magellan Health, UnitedHealth Group, Affinity Health Plan, American Specialty Health, Prime Therapeutics, Universal American, Optum, Cambia Health Solutions, Navitus Health Solutions, WellCare Health Plans, Express Scripts, Oscar, Molina Healthcare, Healthways Medical Centre, Blue Shield of California, Unicare, Anthem, Cigna, Fidelis Care, Humana, AARP</t>
  </si>
  <si>
    <t>Aetna is a provider of managed healthcare and accessibility services in Hartford, Connecticut. The company offers customized healthcare plans for individuals, employers, healthcare providers and brokers. The firm was founded in 1852 and is based in Hartford, Connecticut.</t>
  </si>
  <si>
    <t>Healthcare Services</t>
  </si>
  <si>
    <t>Managed Care</t>
  </si>
  <si>
    <t>Managed Care*, Other Healthcare Services</t>
  </si>
  <si>
    <t>accountable care, consumer health, health care innovation, health care insurance, healthcare benefits, life insurance planning</t>
  </si>
  <si>
    <t>www.aetna.com</t>
  </si>
  <si>
    <t>1989: 40900, 1990: 40900, 1991: 47100, 1992: 48300, 1993: 43000, 1994: 43000, 1995: 43000, 1996: 38600, 1997: 40300, 1998: 41100, 1999: 55900, 2000: 55900, 2001: 35700, 2002: 28000, 2003: 27600, 2004: 26700, 2005: 28200, 2006: 30000, 2007: 35200, 2009: 35000, 2010: 34000, 2011: 33300, 2012: 35000, 2013: 48600, 2014: 48800, 2015: 50100, 2016: 49500, 2017: 47950, 2019: 35000</t>
  </si>
  <si>
    <t>CVS Health</t>
  </si>
  <si>
    <t>News (New) , News (New) , News (New)</t>
  </si>
  <si>
    <t>TTM 3Q2018</t>
  </si>
  <si>
    <t>50596-30P</t>
  </si>
  <si>
    <t>Ralph Parente</t>
  </si>
  <si>
    <t>Executive Director, Aetna Private Equity Solutions</t>
  </si>
  <si>
    <t>parenter@aetna.com</t>
  </si>
  <si>
    <t>+1 (917) 574-7308</t>
  </si>
  <si>
    <t>Hartford, CT</t>
  </si>
  <si>
    <t>151 Farmington Avenue</t>
  </si>
  <si>
    <t>Hartford</t>
  </si>
  <si>
    <t>06156</t>
  </si>
  <si>
    <t>+1 (800) 872-3862</t>
  </si>
  <si>
    <t>The company was acquired by CVS Health (NYS: CVS) for $69.77 billion on November 28, 2018. The combined company will connect consumers with the powerful health resources of CVS Health in communities across the country.</t>
  </si>
  <si>
    <t>UnitedHealth Group</t>
  </si>
  <si>
    <t>UnitedHealth Group(www.unitedhealthgroup.com)</t>
  </si>
  <si>
    <t>Acumen Learning(Consulting), Allen &amp; Company(Advisor: General), Barclays Bank UK(Advisor: General), Bliss Integrated Communication(Advisor: Communications), Centerview Partners(Advisor: General), Cipher Systems (Acquired)(Consulting), FSG(Consulting), Growthink(Advisor: General), Hahn Loeser &amp; Parks(Legal Advisor), KPMG(Auditor), Leydig, Voit &amp; Mayer(Legal Advisor), McDermott Will &amp; Emery(Legal Advisor), N2Growth(Consulting), Nebrodi Partners(LP Consultant: General), Next Level Partners(Consulting), Performance Capital Partners(Consulting), Proudfoot(Consulting), Russell Investments Group(LP Consultant: General)</t>
  </si>
  <si>
    <t>Allen &amp; Company(Advisor: General), Davis Polk(Legal Advisor), Dresner Partners(Advisor: General), Evercore Group(Advisor: General), Hahn Loeser &amp; Parks(Legal Advisor), Kaplitt Legal Consulting(Legal Advisor), KPMG(Auditor), Lazard Middle Market(Advisor: General), Rigrodsky &amp; Long(Legal Advisor), Simpson Thacher &amp; Bartlett(Legal Advisor), Tri-River Capital(Advisor: General)</t>
  </si>
  <si>
    <t>153332-11</t>
  </si>
  <si>
    <t>SABIC (SAU: 2010)</t>
  </si>
  <si>
    <t>Saudi Basic Industries Corporation</t>
  </si>
  <si>
    <t>Yanbu National Petrochemicals, Braskem, Minerals Technologies, EMS-Chemie Holding, CF Industries Holdings, CVR Partners, Avient, Nutrien, Clariant International, Tokuyama, AgroFresh Solutions, American Vanguard, Versalis (Italy), Huntsman, OMNOVA Solutions, Castrol India, Liqui Moly, CVR Energy, Nufarm, Celanese, Wanhua Chemical Group Company, Imerys, Westlake Chemical, Chevron Phillips Chemical Company, Evonik Jayhawk Fine Chemicals Corporation, Momentive Performance Materials, Sadara Chemical Company, H.B. Fuller</t>
  </si>
  <si>
    <t>Saudi Basic Industries Corp is a chemical manufacturer in Saudi Arabia. The primary business segments of the company are Petrochemicals and Specialties, Agri-nutrients, and Hadeed. In Petrochemicals and Specialties segment products are produced from hydrocarbon feedstock including methane, ethane, and propane, it also includes the production of a range of fertilisers; including urea, ammonia, phosphate, as well as compound fertilisers. The Hadeed is concerned with production of steel products, long products and flat products. The company derives maximum revenue from Petrochemicals and Specialties segment. Geographically, it generates maximum revenue from the Rest of Asia.</t>
  </si>
  <si>
    <t>Materials and Resources</t>
  </si>
  <si>
    <t>Chemicals and Gases</t>
  </si>
  <si>
    <t>Agricultural Chemicals</t>
  </si>
  <si>
    <t>Agricultural Chemicals*, Industrial Chemicals</t>
  </si>
  <si>
    <t>agricultural chemicals, agro chemicals, chemical manufacturer company, intermediate chemicals, styrene monomer</t>
  </si>
  <si>
    <t>Formerly PE-Backed</t>
  </si>
  <si>
    <t>Private Equity, Publicly Listed</t>
  </si>
  <si>
    <t>www.sabic.com</t>
  </si>
  <si>
    <t>2011: 33000, 2012: 33000, 2013: 40000, 2015: 40000, 2016: 35000, 2017: 34000, 2018: 34000, 2019: 34000, 2020: 34000</t>
  </si>
  <si>
    <t>SAU</t>
  </si>
  <si>
    <t>2010</t>
  </si>
  <si>
    <t>News (New) , News (New)</t>
  </si>
  <si>
    <t>233240-68P</t>
  </si>
  <si>
    <t>Khalid Al Dabbagh</t>
  </si>
  <si>
    <t>Chairman</t>
  </si>
  <si>
    <t>aldabbaghk@sabic.com</t>
  </si>
  <si>
    <t>+966 (0)11 225 8000</t>
  </si>
  <si>
    <t>Riyadh, Saudi Arabia</t>
  </si>
  <si>
    <t>PO Box 5101</t>
  </si>
  <si>
    <t>Riyadh</t>
  </si>
  <si>
    <t>11422</t>
  </si>
  <si>
    <t>Saudi Arabia</t>
  </si>
  <si>
    <t>+966 (0)11 225 9000</t>
  </si>
  <si>
    <t>info@sabic.com</t>
  </si>
  <si>
    <t>The company (TADAWUL: 2010) was acquired by Saudi Aramco (SAU: 2222) for SAR 259.125 billion on June 17, 2020.</t>
  </si>
  <si>
    <t>Saudi Aramco</t>
  </si>
  <si>
    <t>Saudi Arabia's Public Investment Fund</t>
  </si>
  <si>
    <t>Saudi Arabia's Public Investment Fund(www.pif.gov.sa)</t>
  </si>
  <si>
    <t>Apricum(Advisor: General), Corporate Professional(Advisor: General), ITECS Innovative(Consulting)</t>
  </si>
  <si>
    <t>Khoshaim &amp; Associates(Legal Advisor)</t>
  </si>
  <si>
    <t>Platform Creation</t>
  </si>
  <si>
    <t>10384-84</t>
  </si>
  <si>
    <t>Wyeth</t>
  </si>
  <si>
    <t>American Home Products, John Wyeth and Brother, American Home Products Corp</t>
  </si>
  <si>
    <t>Abbott</t>
  </si>
  <si>
    <t>Manufacturer of biotechnology products and medicines. The company engages in the discovery, development, manufacture, distribution and sale in a line of pharmaceuticals and animal health products.</t>
  </si>
  <si>
    <t>Biotechnology, Drug Discovery, Pharmaceuticals*</t>
  </si>
  <si>
    <t>Life Sciences, Manufacturing</t>
  </si>
  <si>
    <t>healthcare product, neuroscience therapy, nutrition product</t>
  </si>
  <si>
    <t>1989: 50816, 1990: 48700, 1991: 47938, 1992: 50653, 1993: 51399, 1994: 74009, 1995: 64712, 1996: 59747, 1997: 60523, 1998: 52984, 1999: 51656, 2000: 48036, 2001: 52289, 2002: 52762, 2003: 52385, 2004: 51401, 2005: 49732, 2006: 50060, 2007: 50527, 2008: 47426</t>
  </si>
  <si>
    <t>TTM 2Q2009</t>
  </si>
  <si>
    <t>161749-90P</t>
  </si>
  <si>
    <t>Frank Walsh</t>
  </si>
  <si>
    <t>Executive Vice President</t>
  </si>
  <si>
    <t>Madison, NJ</t>
  </si>
  <si>
    <t>5 Giralda Farms</t>
  </si>
  <si>
    <t>Madison</t>
  </si>
  <si>
    <t>07940</t>
  </si>
  <si>
    <t>The company was acquired by Pfizer (NYSE: PFE) for $68 billion in 2009. Loan of $22.5 billion was provided for the deal by undisclosed lenders. The company is no longer actively tracked by PitchBook.</t>
  </si>
  <si>
    <t>TechAcq Ventures</t>
  </si>
  <si>
    <t>TechAcq Ventures(www.techacq.com)</t>
  </si>
  <si>
    <t>Allen Advisory Group(Advisor: General), ARPC(Consulting), ASAP+(Consulting), Foley &amp; Lardner(Legal Advisor), Johnson &amp; Urban(Consulting), McDermott Will &amp; Emery(Legal Advisor)</t>
  </si>
  <si>
    <t>Evercore Group(Advisor: General)</t>
  </si>
  <si>
    <t>Loan - $22.50B</t>
  </si>
  <si>
    <t>41127-76</t>
  </si>
  <si>
    <t>Watson Pharmaceuticals, Actavis</t>
  </si>
  <si>
    <t>Allergan PLC</t>
  </si>
  <si>
    <t>Beximco Pharmaceuticals, Dr. Reddy's Laboratories, Zydus Cadila, Abbott India, Mallinckrodt, AstraZeneca, Lannett Company, Sun Pharmaceutical Industries, Knight Therapeutics, Novartis, Sagent Pharmaceuticals, Bluefish Pharmaceuticals, Perrigo Company, Cipla, GlaxoSmithKline, Eagle Pharmaceuticals, Aerie Pharmaceuticals, Boehringer Ingelheim, Par Pharmaceutical Companies, Teva Pharmaceutical Industries, Novo Nordisk, Merus Labs International, Taro Pharmaceutical Industries, LEO Pharma, Regeneron Pharmaceuticals, Roche Holding, Perrigo Australia, Mylan, Impax Laboratories, The Zambon Group, Almirall, Akorn, Johnson &amp; Johnson, Xoma, Merck &amp; Co., Bausch Health Companies</t>
  </si>
  <si>
    <t>Allergan PLC is one of the largest specialty pharmaceutical manufacturers. It specializes in aesthetics, ophthalmology, women's health, gastrointestinal, and central nervous system products. The products offered by the company include Botox, Celexa, Fetzima, Refresh, Ozurdex and Zenpep among others.</t>
  </si>
  <si>
    <t>branding pharmaceutical, generics pharmaceutical, injection, medical devices, medicine, over the counter pharmaceuticals, pharmaceutical manufacturer</t>
  </si>
  <si>
    <t>www.allergan.com</t>
  </si>
  <si>
    <t>1991: 225, 1992: 225, 1993: 318, 1994: 379, 1995: 554, 1996: 515, 1997: 1020, 1998: 1510, 1999: 1950, 2000: 3000, 2001: 3416, 2002: 3729, 2003: 3983, 2004: 3851, 2005: 3844, 2006: 5830, 2007: 5640, 2008: 5070, 2009: 5830, 2010: 6030, 2011: 6686, 2012: 17700, 2013: 19200, 2014: 21600, 2015: 31200, 2016: 16700, 2017: 17800, 2018: 16900, 2019: 17400</t>
  </si>
  <si>
    <t>AbbVie</t>
  </si>
  <si>
    <t>News (New) , News (New) , News (New) , News (New) , News (New)</t>
  </si>
  <si>
    <t>TTM 1Q2020</t>
  </si>
  <si>
    <t>Dublin, Ireland</t>
  </si>
  <si>
    <t>Clonshaugh Business and Technology Park</t>
  </si>
  <si>
    <t>Coolock</t>
  </si>
  <si>
    <t>Dublin</t>
  </si>
  <si>
    <t>D17 E400</t>
  </si>
  <si>
    <t>Ireland</t>
  </si>
  <si>
    <t>The company was acquired by AbbVie (NYS: ABBV) for $63 billion on May 8, 2020. The acquisition provides immediate scale and profitability to AbbVie's growth platform, excluding Humira, significantly expanding and diversifying its revenue base with new therapeutic areas, including the company's leading medical aesthetics business. The company is no longer actively tracked by PitchBook.</t>
  </si>
  <si>
    <t>NovaQuest Capital Management</t>
  </si>
  <si>
    <t>NovaQuest Capital Management(www.novaquest.com)</t>
  </si>
  <si>
    <t>Pfizer(www.pfizer.com)</t>
  </si>
  <si>
    <t>Asters Law Firm(Legal Advisor), Atlas Advisors(Advisor: General), Axiom Global(Legal Advisor), Bartlit Beck(Legal Advisor), Beccar Varela(Legal Advisor), Bond, Schoeneck &amp; King(Legal Advisor), Cohen Tauber Spievack &amp; Wagner(Legal Advisor), DelMorgan &amp; Co.(Advisor: General), DLC (California)(Advisor: General), Fish &amp; Richardson(Legal Advisor), Gleason(Consulting), Global Productivity Solutions(Consulting), Kahn Swick &amp; Foti(Legal Advisor), M&amp;A Capital(Advisor: General), Richards Layton &amp; Finger(Legal Advisor), SH Gillamor Stephens(Consulting), Torreya Partners(Advisor: General), ZS Associates(Consulting)</t>
  </si>
  <si>
    <t>Arthur Cox(Legal Advisor), BioQuest (San Francisco)(Advisor: General), Cleary Gottlieb(Legal Advisor), Cravath, Swaine &amp; Moore(Legal Advisor), J.P. Morgan(Advisor: General), JPMorgan Chase(Advisor: General), Latham &amp; Watkins(Legal Advisor), Matheson(Legal Advisor), Morgan Stanley(Advisor: General), Slaughter and May(Legal Advisor), Stikeman Elliott(Legal Advisor), TroyGould(Legal Advisor), Wachtell, Lipton, Rosen &amp; Katz(Legal Advisor), Weil, Gotshal &amp; Manges(Legal Advisor)</t>
  </si>
  <si>
    <t>10466-92</t>
  </si>
  <si>
    <t>Monsanto</t>
  </si>
  <si>
    <t>Monsanto Company</t>
  </si>
  <si>
    <t>Corteva Agriscience, VoloAgri, American Vanguard, SePRO, Arysta LifeScience, Syngenta, Bayer</t>
  </si>
  <si>
    <t>Manufacturer of agricultural products intended to help farmers around the world grow crops while using energy, water, and land more efficiently. The company offers seeds, advanced traits, software, and crop protection products, thereby helping fameres improve yield and efficiency.</t>
  </si>
  <si>
    <t>Agriculture</t>
  </si>
  <si>
    <t>Other Agriculture</t>
  </si>
  <si>
    <t>Agricultural Chemicals, Other Agriculture*</t>
  </si>
  <si>
    <t>AgTech, Manufacturing</t>
  </si>
  <si>
    <t>agricultural product, agricultural technology, genetically engineers, herbicides</t>
  </si>
  <si>
    <t>www.monsanto.com</t>
  </si>
  <si>
    <t>1999: 14700, 2000: 14700, 2001: 14600, 2002: 13700, 2003: 13200, 2004: 1500, 2005: 16500, 2006: 17500, 2007: 18800, 2008: 26400, 2009: 27000, 2016: 20000, 2018: 20000</t>
  </si>
  <si>
    <t>TTM 2Q2018</t>
  </si>
  <si>
    <t>Saint Louis, MO</t>
  </si>
  <si>
    <t>800 North Lindbergh Boulevard</t>
  </si>
  <si>
    <t>Saint Louis</t>
  </si>
  <si>
    <t>Missouri</t>
  </si>
  <si>
    <t>63167</t>
  </si>
  <si>
    <t>The company was acquired by Bayer (ETR: BAYN) for $63 billion on June 7, 2018. Bayer intends to finance the transaction with a combination of debt and equity. The equity component of approximately $19 billion is expected to be raised through an issuance of 4 billion euros in mandatory convertible notes and through a $7 billion rights issue with subscription rights. Bridge financing for $57 billion is committed by BofA Merrill Lynch, Credit Suisse, Goldman Sachs, HSBC and JP Morgan. The company is no longer actively tracked by PitchBook.</t>
  </si>
  <si>
    <t>Bayer</t>
  </si>
  <si>
    <t>Allen &amp; Overy(Legal Advisor), Arnold &amp; Porter Kaye Scholer(Legal Advisor), Aziz &amp; Kaye Abogados(Legal Advisor), Bank of America Merrill Lynch(Debt Financing), Bear Stearns(Underwriter), Boyanov &amp; Company(Legal Advisor), Carnegie Investment Bank(Advisor: General), Challenge Advisory(Consulting), Chase Securities(Underwriter), Commerzbank Capital Markets(Underwriter), Compass Lexecon(Consulting), Cravath, Swaine &amp; Moore(Legal Advisor), Credit Suisse(Debt Financing), Davies Ward Phillips &amp; Vineberg(Legal Advisor), Debevoise &amp; Plimpton(Legal Advisor), Deloitte(Accounting), Deutsche Bank(Underwriter), Ducera Partners(Advisor: General), Edward Jones Investments(Underwriter), Evarts Capital(Advisor: General), FortéONE(Consulting), Hejun Group(Consulting), HighQuest Group(Consulting), HSBC Holdings(Debt Financing), ING Barings Private Equity(Underwriter), Integration Consulting(Consulting), J.P. Morgan(Debt Financing), L&amp;L Partners(Legal Advisor), Miebach Consulting(Consulting), Morgan Stanley(Advisor: General), Morrison &amp; Foerster(Legal Advisor), Morrow Sodali(Advisor: Communications), Paul, Weiss, Rifkind, Wharton &amp; Garrison(Legal Advisor), Robertson Stephens (Out of Business in 2017)(Underwriter), Rothschild &amp; Co(Advisor: General), Salomon Brothers(Underwriter), SG Cowen Securities(Underwriter), Shearman &amp; Sterling(Legal Advisor), Sierra Asia Partners(Advisor: General), Simmons &amp; Simmons(Legal Advisor), Singhi Advisors(Advisor: General), Sprim(Consulting), Stikeman Elliott(Legal Advisor), Sullivan &amp; Cromwell(Legal Advisor), SZA Schilling, Zutt &amp; Anschütz(Legal Advisor), The Goldman Sachs Group(Debt Financing), Thompson Coburn(Legal Advisor), UBS Group(Underwriter), Verdant Partners(Advisor: General), Wachtell, Lipton, Rosen &amp; Katz(Legal Advisor), Wells Fargo Advisors(Underwriter), WilmerHale(Legal Advisor), Winthrop Group(Consulting)</t>
  </si>
  <si>
    <t>Arnold &amp; Porter Kaye Scholer(Legal Advisor), Bank of America Merrill Lynch(Debt Financing), Bear Stearns(Underwriter), Chase Securities(Underwriter), Commerzbank Capital Markets(Underwriter), Compass Lexecon(Consulting), Davies Ward Phillips &amp; Vineberg(Legal Advisor), Debevoise &amp; Plimpton(Legal Advisor), Deloitte(Accounting), Deutsche Bank(Underwriter), Ducera Partners(Advisor: General), Edward Jones Investments(Underwriter), ING Barings Private Equity(Underwriter), J.P. Morgan(Debt Financing), Morgan Stanley(Advisor: General), Morrow Sodali(Advisor: Communications), Paul, Weiss, Rifkind, Wharton &amp; Garrison(Legal Advisor), Robertson Stephens (Out of Business in 2017)(Underwriter), Salomon Brothers(Underwriter), SG Cowen Securities(Underwriter), Simmons &amp; Simmons(Legal Advisor), SZA Schilling, Zutt &amp; Anschütz(Legal Advisor), The Goldman Sachs Group(Debt Financing), UBS Group(Underwriter), Wachtell, Lipton, Rosen &amp; Katz(Legal Advisor), Wells Fargo Advisors(Underwriter)</t>
  </si>
  <si>
    <t>41360-68</t>
  </si>
  <si>
    <t>Luxottica Group</t>
  </si>
  <si>
    <t>Luxottica</t>
  </si>
  <si>
    <t>Luxottica Group S.p.A</t>
  </si>
  <si>
    <t>Von Zipper, Rodenstock, Costa Del Mar Sunglasses, Privé Revaux, Mykita, Spy, Gianni Versace, De Rigo, eyebobs, Marcolin, Marchon Eyewear, Warby Parker, Chanel, Safilo Group, Toms Shoes, Zenni Optical</t>
  </si>
  <si>
    <t>Manufacturer and distributor of fashion, luxury and sports eyewear. The company offers prescription eyewear, frames and sunglasses, thereby protecting the eyes and enhance the look of women and men in the world.</t>
  </si>
  <si>
    <t>Apparel and Accessories</t>
  </si>
  <si>
    <t>Accessories</t>
  </si>
  <si>
    <t>Accessories*</t>
  </si>
  <si>
    <t>eyewear product, prescription eyewear, prescription eyewear producer, sunglass maker</t>
  </si>
  <si>
    <t>www.luxottica.com</t>
  </si>
  <si>
    <t>1990: 600, 1991: 2600, 1992: 2250, 1993: 2900, 1994: 3510, 1995: 3850, 1996: 3850, 1997: 3850, 1998: 4520, 1999: 22200, 2000: 24500, 2001: 24500, 2002: 34700, 2003: 36900, 2004: 55000, 2005: 55000, 2006: 51000, 2007: 64000, 2008: 61000, 2009: 60800, 2017: 85150, 2018: 85000, 2020: 80000, 2021: 80000</t>
  </si>
  <si>
    <t>Essilor</t>
  </si>
  <si>
    <t>News (New) , News (New) , News (New) , News (New) , News (New) , News (New) , News (New) , News (New) , News (New) , News (New) , News (New) , News (New) , News (New)</t>
  </si>
  <si>
    <t>76428-28P</t>
  </si>
  <si>
    <t>Leonardo Vecchio</t>
  </si>
  <si>
    <t>Founder &amp; Executive Chairman</t>
  </si>
  <si>
    <t>lvecchio@luxoptica.ua</t>
  </si>
  <si>
    <t>+380 (0)67 249 62 09</t>
  </si>
  <si>
    <t>Milan, Italy</t>
  </si>
  <si>
    <t>Piazzale Cadorna, 3</t>
  </si>
  <si>
    <t>Milan</t>
  </si>
  <si>
    <t>20123</t>
  </si>
  <si>
    <t>Italy</t>
  </si>
  <si>
    <t>+39 02 8633 41</t>
  </si>
  <si>
    <t>info@luxottica.com</t>
  </si>
  <si>
    <t>Southern Europe</t>
  </si>
  <si>
    <t>The company (MIL: LUX) was acquired by Essilor (PAR: EI) for EUR 54 billion on October 1, 2018. The deal creates a branded goods giant with a market value that rivals the second-biggest luxury maker Hermes International.</t>
  </si>
  <si>
    <t>Delfin</t>
  </si>
  <si>
    <t>ACN Corporate Finance(Advisor: General), Colombo &amp; Associati(Advisor: General), Hulce Associates(Consulting), KMK Law(Legal Advisor), Lenovys(Consulting), Mediobanca(Advisor: General), Peterka &amp; Partners(Legal Advisor)</t>
  </si>
  <si>
    <t>Pillsbury Winthrop Shaw Pittman(Legal Advisor)</t>
  </si>
  <si>
    <t>40675-24</t>
  </si>
  <si>
    <t>Aventis</t>
  </si>
  <si>
    <t>Aventis SA</t>
  </si>
  <si>
    <t>Developer of pharmaceuticals and vaccines for preventative medicine.</t>
  </si>
  <si>
    <t>pharmaceutical company, preventive medicine, vaccines</t>
  </si>
  <si>
    <t>www.aventis.com</t>
  </si>
  <si>
    <t>1997: 68377, 1998: 65180, 1999: 107300, 2000: 102489, 2001: 91729, 2002: 78099, 2003: 75567</t>
  </si>
  <si>
    <t>TTM 2Q2004</t>
  </si>
  <si>
    <t>Schiltigheim, France</t>
  </si>
  <si>
    <t>16 avenue de l'Europe</t>
  </si>
  <si>
    <t>Schiltigheim</t>
  </si>
  <si>
    <t>67300</t>
  </si>
  <si>
    <t>France</t>
  </si>
  <si>
    <t>+33 (0)1 53 77 40 00</t>
  </si>
  <si>
    <t>The company was acquired by Sanofi-Synthelabo for EUR 53.4 billion (US$64.3 billion) on August 12, 2004. The company is no longer actively tracked by PitchBook.</t>
  </si>
  <si>
    <t>Sanofi-Synthelabo</t>
  </si>
  <si>
    <t>HealthCare Royalty Partners, Paul Capital</t>
  </si>
  <si>
    <t>HealthCare Royalty Partners(www.healthcareroyalty.com), Paul Capital(www.paulcap.com)</t>
  </si>
  <si>
    <t>CET(Advisor: General), REL Consultancy(Consulting), Sage Healthcare(Advisor: General), Verdant Partners(Advisor: General)</t>
  </si>
  <si>
    <t>Bredin Prat(Legal Advisor), Citigroup Global Markets(Advisor: General), Mackenzie Partners(Advisor: General), Morgan Stanley(Advisor: General), PwC(Auditor), Rothschild &amp; Co(Advisor: General), Salustro Reydel(Auditor), Sullivan &amp; Cromwell(Legal Advisor), The Goldman Sachs Group(Advisor: General), UBS Group(Advisor: General)</t>
  </si>
  <si>
    <t>PE Growth/Expansion</t>
  </si>
  <si>
    <t>13195-09</t>
  </si>
  <si>
    <t>Comcast MO Group</t>
  </si>
  <si>
    <t>Mediaone Group, Continental Cablevision</t>
  </si>
  <si>
    <t>Comcast MO Group, Inc.</t>
  </si>
  <si>
    <t>Operator of cable television system. The company specializes in television signals over coaxial cable predates cable-exclusive programming, television networks and broadcasting systems.</t>
  </si>
  <si>
    <t>Broadcasting, Radio and Television*, Cable Service Providers</t>
  </si>
  <si>
    <t>coaxial cable, television network</t>
  </si>
  <si>
    <t>www.mediaonegroup.com</t>
  </si>
  <si>
    <t>1993: 60778, 1994: 61505, 1995: 61047, 1996: 10000, 1997: 10000, 1998: 16847, 1999: 15196</t>
  </si>
  <si>
    <t>127257-94P</t>
  </si>
  <si>
    <t>Roger Christensen</t>
  </si>
  <si>
    <t>Chief Administrative Officer and Executive Vice President</t>
  </si>
  <si>
    <t>Tiffin, OH</t>
  </si>
  <si>
    <t>Tiffin</t>
  </si>
  <si>
    <t>Ohio</t>
  </si>
  <si>
    <t>The company was acquired by Comcast (NASDAQ: CMCSA) for $60 billion on January 2, 2002. The company is no longer actively tracked by PitchBook.</t>
  </si>
  <si>
    <t>Alta Communications, AT&amp;T, Burr, Egan, Deleage, BV Investment Partners, Corporate Partners, CRV, Dow Jones &amp; Company, Greylock Partners, Highland Capital Partners, Providence Equity Partners, TA Associates Management, Thomas H. Lee Partners, US West Media Group</t>
  </si>
  <si>
    <t>Alta Communications(www.altacomm.com), AT&amp;T(www.att.com), BV Investment Partners(www.bvlp.com), Corporate Partners(www.corporatepartnersllc.com), CRV(www.crv.com), Dow Jones &amp; Company(www.dowjones.com), Greylock Partners(www.greylock.com), Highland Capital Partners(www.hcp.com), Providence Equity Partners(www.provequity.com), TA Associates Management(www.ta.com), Thomas H. Lee Partners(www.thl.com)</t>
  </si>
  <si>
    <t>Allen &amp; Company(Advisor: General), Andersen Global(Auditor), Cadwalader, Wickersham &amp; Taft(Legal Advisor), Lazard Middle Market(Advisor: General), Lehman Brothers(Advisor: General), Weil, Gotshal &amp; Manges(Legal Advisor), Willkie Farr &amp; Gallagher(Legal Advisor)</t>
  </si>
  <si>
    <t>Corporate Divestiture</t>
  </si>
  <si>
    <t>65650-33</t>
  </si>
  <si>
    <t>Pharmacia</t>
  </si>
  <si>
    <t>Pharmacia &amp; Upjohn</t>
  </si>
  <si>
    <t>Pharmacia Corporation</t>
  </si>
  <si>
    <t>Provider of pharmaceutical products. The company manufactures products used in cardiology, endocrinology, neuroscience, rheumatology, urology, ophthalmology, oncology and other branches of medicine.</t>
  </si>
  <si>
    <t>Pharmaceuticals*, Therapeutic Devices</t>
  </si>
  <si>
    <t>oncology device, pharmaceutical manufacturer</t>
  </si>
  <si>
    <t>www.pharmacia.com</t>
  </si>
  <si>
    <t>1989: 42179, 1990: 41081, 1991: 39281, 1992: 33797, 1993: 30019, 1994: 29000, 1995: 28500, 1996: 28000, 1997: 21900, 1998: 31800, 1999: 29900, 2000: 59000, 2001: 45000, 2002: 43000</t>
  </si>
  <si>
    <t>FY 2002</t>
  </si>
  <si>
    <t>Peapack, NJ</t>
  </si>
  <si>
    <t>100 Route 206 North</t>
  </si>
  <si>
    <t>Peapack</t>
  </si>
  <si>
    <t>07977</t>
  </si>
  <si>
    <t>The company was acquired by Pfizer (NYSE:PFE) for $60 billion on April 16, 2003. The merged company will hold about 11 percent of the world's market for prescription drugs.</t>
  </si>
  <si>
    <t>Monsanto(www.monsanto.com)</t>
  </si>
  <si>
    <t>BDA Partners(Advisor: General), CET(Advisor: General), Eureka Capital Partners(Advisor: General)</t>
  </si>
  <si>
    <t>BDA Partners(Advisor: General), Carnegie Investment Bank(Advisor: General), Eureka Capital Partners(Advisor: General)</t>
  </si>
  <si>
    <t>Reverse Merger</t>
  </si>
  <si>
    <t>13257-46</t>
  </si>
  <si>
    <t>Shire</t>
  </si>
  <si>
    <t>Shire PLC</t>
  </si>
  <si>
    <t>UCB, Idorsia Pharmaceuticals, Celgene, EMD Serono, BioCryst Pharmaceuticals, Novo Nordisk, XBiotech, Gilead Sciences, Salix Pharmaceuticals, Alexion, CSL, Biotest, AstraZeneca, Molecular Partners, Teva Pharmaceutical Industries, Actelion Pharmaceuticals, Intercept(Biotechnology), Evolus, Biogen, Madrigal Pharmaceuticals, Genentech, OncoMed Pharmaceuticals, Amgen, Emergent Biosolutions</t>
  </si>
  <si>
    <t>Shire is a diversified, Ireland-based specialty drug firm. Shire has grown primarily through mergers and acquisitions, including the Transkaryotic Therapies acquisition in 2005, which established its genetic disease business with Replagal and Elaprase, and the merger with New River in 2007, which brought full rights to neuroscience drug Vyvanse. Shire completed the acquisition of ViroPharma (genetic diseases) in 2014, NPS Pharma (internal medicine) in 2015, and Baxalta (hematology, immunology, and oncology) and Dyax (genetic diseases) in 2016.</t>
  </si>
  <si>
    <t>Biotechnology, Pharmaceuticals*</t>
  </si>
  <si>
    <t>Life Sciences</t>
  </si>
  <si>
    <t>enzymes replacement therapy, gastrointestinal, internal medicine, neuroscience, regenerative medicine, unmet patient needs</t>
  </si>
  <si>
    <t>www.shire.com</t>
  </si>
  <si>
    <t>2003: 1901, 2004: 1833, 2005: 2081, 2013: 5338, 2014: 5016, 2015: 5548, 2016: 23906, 2017: 23044</t>
  </si>
  <si>
    <t>Block 2 &amp; 3 Miesian Plaza</t>
  </si>
  <si>
    <t>50-58 Baggot Street Lower</t>
  </si>
  <si>
    <t>2</t>
  </si>
  <si>
    <t>The company (LON: SHP) was acquired by Takeda Pharmaceutical Company (TYO: 4502) for GBP 46 billion on January 8, 2019. The company is no longer actively tracked by PitchBook.</t>
  </si>
  <si>
    <t>Takeda Pharmaceutical Company</t>
  </si>
  <si>
    <t>HealthCare Ventures, Permira, SV Health Investors</t>
  </si>
  <si>
    <t>HealthCare Ventures(www.hcven.com), Permira(www.permira.com), SV Health Investors(www.svhealthinvestors.com)</t>
  </si>
  <si>
    <t>AbbVie(www.abbvie.com)</t>
  </si>
  <si>
    <t>Blueprint Life Science Group(Consulting), Cello Health BioConsulting(Consulting), DWS(Advisor: General), Evercore Group(Advisor: General), Ferghana Partners Group(Advisor: General), Goulston &amp; Storrs(Legal Advisor), Guggenheim Securities(Advisor: General), Japan Bank for International Cooperation(Debt Financing), Mediobanca(Debt Financing), ON Partners(Consulting), Perspective Group(Consulting), Pestalozzi(Legal Advisor), Schellenberg Wittmer(Legal Advisor), Sprim(Consulting), SPRYTE Communications(Consulting), Tenzing Consulting(Consulting), William Fry(Legal Advisor), ZS Associates(Consulting)</t>
  </si>
  <si>
    <t>Citigroup(Debt Financing), Davis Polk(Legal Advisor), McCarthy Tétrault(Legal Advisor), Morgan Stanley(Advisor: General), Mourant(Legal Advisor), The Goldman Sachs Group(Advisor: General)</t>
  </si>
  <si>
    <t>10266-13</t>
  </si>
  <si>
    <t>Bank One Equity Capital</t>
  </si>
  <si>
    <t>First Chicago Equity Capital</t>
  </si>
  <si>
    <t>Bank One</t>
  </si>
  <si>
    <t>Bank One Corporation</t>
  </si>
  <si>
    <t>Operator of a multi-bank holding company based in Chicago, Illinois. The company provides retail banking, finance, credit card services, commercial banking services, investment management services to its clients in Arizona, Colorado, Florida, Illinois, Indiana, Kentucky, Louisiana, Michigan, Ohio, Oklahoma, Texas, Utah, West Virginia, and Wisconsin.</t>
  </si>
  <si>
    <t>Holding Companies*, National Banks</t>
  </si>
  <si>
    <t>bank holding company, bank holding company operator, credit card services, investment management, multibank holding</t>
  </si>
  <si>
    <t>www.bankone.com</t>
  </si>
  <si>
    <t>1989: 17000, 1990: 19300, 1991: 27500, 1992: 32700, 1993: 45300, 1994: 48800, 1995: 46900, 1996: 51100, 1997: 56600, 1998: 91310, 1999: 91310, 2000: 80778, 2001: 73519, 2002: 73685, 2003: 71196</t>
  </si>
  <si>
    <t>TTM 1Q2004</t>
  </si>
  <si>
    <t>Chicago, IL</t>
  </si>
  <si>
    <t>1 Bank One Plaza</t>
  </si>
  <si>
    <t>Chicago</t>
  </si>
  <si>
    <t>Illinois</t>
  </si>
  <si>
    <t>60670</t>
  </si>
  <si>
    <t>The company was acquired by JPMorgan Chase for $58 billion on July 1, 2004. The company is no longer actively tracked by PitchBook.</t>
  </si>
  <si>
    <t>JPMorgan Chase</t>
  </si>
  <si>
    <t>Brock Capital Group(Advisor: General), Gleason(Consulting), MASI(Advisor: General), Performance Capital Partners(Consulting)</t>
  </si>
  <si>
    <t>164333-17</t>
  </si>
  <si>
    <t>RITEK-Vnedrenie</t>
  </si>
  <si>
    <t>RITEK-Vnedrenie ZAO</t>
  </si>
  <si>
    <t>Provider of oil extraction services. The company primarily provides crude oil and natural gas extraction services and is based in Moscow, Russia.</t>
  </si>
  <si>
    <t>Energy</t>
  </si>
  <si>
    <t>Energy Services</t>
  </si>
  <si>
    <t>Other Energy Services</t>
  </si>
  <si>
    <t>Other Energy Services*</t>
  </si>
  <si>
    <t>Oil &amp; Gas</t>
  </si>
  <si>
    <t>crude oil exploration</t>
  </si>
  <si>
    <t>FY 2003</t>
  </si>
  <si>
    <t>143490-79P</t>
  </si>
  <si>
    <t>Valery Voronovskiy</t>
  </si>
  <si>
    <t>Director General</t>
  </si>
  <si>
    <t>Moscow, Russia</t>
  </si>
  <si>
    <t>24 Gubkin street, Aktyubinsky</t>
  </si>
  <si>
    <t>Republic of Tatarstan</t>
  </si>
  <si>
    <t>Moscow</t>
  </si>
  <si>
    <t>Aznakaevsk</t>
  </si>
  <si>
    <t>423304</t>
  </si>
  <si>
    <t>Russia</t>
  </si>
  <si>
    <t>Eastern Europe</t>
  </si>
  <si>
    <t>The company was acquired by Russian Innovation Fuel &amp; Energy Company, a subsidiary of LukOil (MCX: LKOH) for RUB 1.7 billion on March 22, 2012. The company is no longer actively tracked by PitchBook.</t>
  </si>
  <si>
    <t>Russian Innovation Fuel &amp; Energy Company</t>
  </si>
  <si>
    <t>13342-51</t>
  </si>
  <si>
    <t>Gillette</t>
  </si>
  <si>
    <t>The Gillette Company, Inc.</t>
  </si>
  <si>
    <t>Walker and Company Brands, Aveda, Cornerstone, Bayer (Coppertone brand), Burt's Bees, Kiehl's Since 1851, Brickell Men's Products, Rodan &amp; Fields, Elizabeth Arden, Neutrogena, Every Man Jack, Amorepacific Group, RazWar, Colgate-Palmolive (India), Mornin' Glory, Oars + Alps, Beiersdorf, gDiapers, BeardBrand, The Art of Shaving, 800Razors, SC Johnson, Billie (Personal Products), Harry's, Rituels, Dollar Shave Club</t>
  </si>
  <si>
    <t>Manufacturer of personal products for men. The company provides razors, body wash, after shave lotion, shaving gel etc.</t>
  </si>
  <si>
    <t>Consumer Non-Durables</t>
  </si>
  <si>
    <t>Personal Products</t>
  </si>
  <si>
    <t>Personal Products*</t>
  </si>
  <si>
    <t>Beauty, Manufacturing</t>
  </si>
  <si>
    <t>beauty vertical, body washing, face product, personal care</t>
  </si>
  <si>
    <t>www.gillette.com</t>
  </si>
  <si>
    <t>1989: 29600, 1990: 30400, 1991: 31200, 1992: 30900, 1993: 33400, 1994: 32800, 1995: 33500, 1996: 44100, 1997: 44000, 1998: 43100, 1999: 39800, 2000: 35200, 2001: 31500, 2002: 30300, 2003: 29400, 2004: 28700, 2020: 800, 2021: 1200</t>
  </si>
  <si>
    <t>Procter &amp; Gamble</t>
  </si>
  <si>
    <t>TTM 2Q2005</t>
  </si>
  <si>
    <t>Boston, MA</t>
  </si>
  <si>
    <t>1 Gillette Park</t>
  </si>
  <si>
    <t>Boston</t>
  </si>
  <si>
    <t>02127</t>
  </si>
  <si>
    <t>+1 (617) 463-3000</t>
  </si>
  <si>
    <t>+1 (617) 463-4122</t>
  </si>
  <si>
    <t>The company was acquired by Procter &amp; Gamble Company (NYSE: PG) for $57 billion on October 1, 2005.</t>
  </si>
  <si>
    <t>NDE Capital</t>
  </si>
  <si>
    <t>NDE Capital(www.ndecapital.com)</t>
  </si>
  <si>
    <t>Appraisal Economics(Advisor: General), Bukhash Brothers(Consulting), Bushkin Associates(Advisor: General), Jáuregui y Del Valle(Legal Advisor), REL Consultancy(Consulting), SWBi International(Advisor: General), Tecnova(Consulting), Thinking Dimensions Global(Consulting)</t>
  </si>
  <si>
    <t>64973-80</t>
  </si>
  <si>
    <t>RN Holding (Russia)</t>
  </si>
  <si>
    <t>TNK-BP</t>
  </si>
  <si>
    <t>RN Holding OJSC</t>
  </si>
  <si>
    <t>Operator of a vertically integrated oil company with a diversified upstream and downstream portfolio in Russia and Ukraine. The company's upstream operations and drilling productions are located primarily in West Siberia (Khanty-Mansiysk and Yamalo-Nenets Autonomous Districts, Tyumen Region), East Siberia (Irkutsk Region), and Volga-Urals (Orenburg Region).</t>
  </si>
  <si>
    <t>Exploration, Production and Refining</t>
  </si>
  <si>
    <t>Energy Exploration</t>
  </si>
  <si>
    <t>Energy Exploration*, Energy Production</t>
  </si>
  <si>
    <t>gas exploration service, oil company, oil production, oil refinery, upstream operations</t>
  </si>
  <si>
    <t>www.tnk-bp.com</t>
  </si>
  <si>
    <t>2007: 60000</t>
  </si>
  <si>
    <t>3, building 1</t>
  </si>
  <si>
    <t>Begovaya Street</t>
  </si>
  <si>
    <t>125284</t>
  </si>
  <si>
    <t>The company (RSMN: TNBP) was acquired by Rosneft (OTC: RNFTF) for $56 billion on March 21, 2013. The company is no longer actively tracked by PitchBook.</t>
  </si>
  <si>
    <t>A1 Investment Company</t>
  </si>
  <si>
    <t>Rosneft</t>
  </si>
  <si>
    <t>AAR Consortium, BP</t>
  </si>
  <si>
    <t>A1 Investment Company(www.a-1.com)</t>
  </si>
  <si>
    <t>AAR Consortium(www.aar.ru), BP(bp.com)</t>
  </si>
  <si>
    <t>ALTHAUS Group(Advisor: General), Euromax Capital(Advisor: General), FORMATTA(Consulting), PwC(Advisor: General)</t>
  </si>
  <si>
    <t>Conyers Dill &amp; Pearman(Legal Advisor), Perella Weinberg Partners(Advisor: General), Renaissance Financial Holdings(Advisor: General), Skadden, Arps, Slate, Meagher &amp; Flom(Legal Advisor)</t>
  </si>
  <si>
    <t>55786-51</t>
  </si>
  <si>
    <t>Kraft Foods Group</t>
  </si>
  <si>
    <t>Kraft Foods Global</t>
  </si>
  <si>
    <t>Kraft Foods Group, Inc.</t>
  </si>
  <si>
    <t>Operator of a food and beverage company. The company's product line offers refreshment beverages, coffee products, cheese and other grocery products to consumers around the globe.</t>
  </si>
  <si>
    <t>Food Products</t>
  </si>
  <si>
    <t>Beverages, Food Products*</t>
  </si>
  <si>
    <t>coffee product, cream cheese, grocery product, ketchup manufacturer, refreshments beverages</t>
  </si>
  <si>
    <t>www.kraftrecipes.com</t>
  </si>
  <si>
    <t>2013: 23000, 2015: 22000</t>
  </si>
  <si>
    <t>FY 2017</t>
  </si>
  <si>
    <t>Winnetka, IL</t>
  </si>
  <si>
    <t>3 3 Lakes Drive</t>
  </si>
  <si>
    <t>Winnetka</t>
  </si>
  <si>
    <t>60093</t>
  </si>
  <si>
    <t>The company was acquired by Kraft Heinz (NAS: KHC) for $55 billion on July 2, 2015. The company is no longer actively tracked by PitchBook.</t>
  </si>
  <si>
    <t>Kraft Heinz</t>
  </si>
  <si>
    <t>BrandStar(Advisor: Communications), Brunswick Group(Advisor: General), Cappello Global(Advisor: General), Carpathia Summits(Consulting), Centerview Partners(Advisor: General), Clareo Partners(Consulting), Cravath, Swaine &amp; Moore(Legal Advisor), Crenshaw Associates(Consulting), Davies Ward Phillips &amp; Vineberg(Legal Advisor), Davis Polk(Legal Advisor), Hunton &amp; Williams(Legal Advisor), Innisfree M&amp;A(Legal Advisor), InnovationXchange(Consulting), Kirkland &amp; Ellis(Legal Advisor), Koller Search Partners(Consulting), KPMG Corporate Finance(Advisor: General), Lazard(Advisor: General), McGuireWoods(Legal Advisor), Mergium Advisors(Advisor: General), Morris, Nichols, Arsht &amp; Tunnell(Legal Advisor), Munger, Tolles &amp; Olson(Legal Advisor), Paul, Weiss, Rifkind, Wharton &amp; Garrison(Legal Advisor), Performance Capital Partners(Consulting), Radian (Tennessee)(Advisor: General), Richards Layton &amp; Finger(Legal Advisor), Rigrodsky &amp; Long(Legal Advisor), Sullivan &amp; Cromwell(Legal Advisor), The Grant Law Firm(Legal Advisor), Thinking Dimensions Global(Consulting), Verdant Partners(Advisor: General)</t>
  </si>
  <si>
    <t>Brunswick Group(Advisor: General), Centerview Partners(Advisor: General), Cravath, Swaine &amp; Moore(Legal Advisor), Hunton &amp; Williams(Legal Advisor), Innisfree M&amp;A(Legal Advisor), KPMG Corporate Finance(Advisor: General), Sullivan &amp; Cromwell(Legal Advisor), The Grant Law Firm(Legal Advisor)</t>
  </si>
  <si>
    <t>57110-77</t>
  </si>
  <si>
    <t>Fabrika Cementa Lukavac</t>
  </si>
  <si>
    <t>FC Lukavac</t>
  </si>
  <si>
    <t>Fabrika Cementa Lukavac d.d.</t>
  </si>
  <si>
    <t>Manufacturer of portland and masonry cement in Bosnia and Herzegovina. The company offers Portland cement for individual construction, ground works and industry of pumped concrete.</t>
  </si>
  <si>
    <t>Business Products and Services (B2B)</t>
  </si>
  <si>
    <t>Commercial Products</t>
  </si>
  <si>
    <t>Building Products</t>
  </si>
  <si>
    <t>Building Products*, Construction and Engineering</t>
  </si>
  <si>
    <t>masonry cement, portland, pumped concrete</t>
  </si>
  <si>
    <t>M&amp;A, Venture Capital</t>
  </si>
  <si>
    <t>www.fclukavac.ba</t>
  </si>
  <si>
    <t>2002: 450, 2005: 360</t>
  </si>
  <si>
    <t>53200-99P</t>
  </si>
  <si>
    <t>Izet Imamovic</t>
  </si>
  <si>
    <t>Managing Director &amp; Board Member</t>
  </si>
  <si>
    <t>i.imamovic@fclukavac.ba</t>
  </si>
  <si>
    <t>Lukavac, Bosnia and Herzegovina</t>
  </si>
  <si>
    <t>Lukavackih brigada bb</t>
  </si>
  <si>
    <t>Lukavac</t>
  </si>
  <si>
    <t>75300</t>
  </si>
  <si>
    <t>Bosnia and Herzegovina</t>
  </si>
  <si>
    <t>An undisclosed stake in the company was acquired by Accentus Beteiligungs for EUR 40 billion on May 29, 2014. The company is no longer actively tracked by PitchBook.</t>
  </si>
  <si>
    <t>Asamer Baustoffe</t>
  </si>
  <si>
    <t>Accentus Beteiligungs</t>
  </si>
  <si>
    <t>Horizonte Venture Management</t>
  </si>
  <si>
    <t>Asamer Baustoffe(www.asamer.at)</t>
  </si>
  <si>
    <t>Horizonte Venture Management(www.horizonte.at)</t>
  </si>
  <si>
    <t>Later Stage VC</t>
  </si>
  <si>
    <t>Secondary Transaction - Private</t>
  </si>
  <si>
    <t>11792-44</t>
  </si>
  <si>
    <t>BG Group</t>
  </si>
  <si>
    <t>British Gas</t>
  </si>
  <si>
    <t>Bg Group Plc</t>
  </si>
  <si>
    <t>Dana Petroleum, Roc Oil Company, Anadarko Petroleum, KrisEnergy, Mid-Con Energy Partners, DCP Midstream, Centrica, South Sumatra Energy, Ithaca Energy, Premier Oil, EnQuest, EOG Resources, Chevron, Cairn India, Noble Energy, Ophir Energy, Hurricane Energy, Total, Cairn Energy, Pharos Energy, ConocoPhillips, Apache, Eni, Repsol, Esso Schweiz, Tullow Oil, Iberdrola (French Renewables Unit)</t>
  </si>
  <si>
    <t>Producer and distributor of oil and gas. The company engages in the international exploration, production, transmission and distribution of gas, oil and liquefied natural gas (LNG). It has operations in 24 countries.</t>
  </si>
  <si>
    <t>Energy Production</t>
  </si>
  <si>
    <t>Energy Exploration, Energy Production*, Energy Storage, Energy Transportation</t>
  </si>
  <si>
    <t>energy explorer, gas distribution, liquefied natural gas, oil transmission</t>
  </si>
  <si>
    <t>bg-group.com</t>
  </si>
  <si>
    <t>1985: 95554, 1986: 91876, 1987: 88469, 1988: 84587, 1989: 81832, 1990: 80481, 1991: 81805, 1992: 84023, 1993: 79358, 1994: 69971, 1995: 55382, 1996: 43106, 1997: 21891, 1998: 18894, 1999: 19594, 2000: 19745, 2001: 4309, 2002: 4491, 2003: 4596, 2004: 4836, 2005: 5363, 2006: 4665, 2007: 4949, 2008: 5395, 2009: 5811, 2010: 6025, 2011: 6472, 2012: 6568, 2013: 5248, 2014: 5143, 2015: 5200, 2016: 5200</t>
  </si>
  <si>
    <t>FY 2015</t>
  </si>
  <si>
    <t>Berkshire, United Kingdom</t>
  </si>
  <si>
    <t>100 Thames Valley Park Drive</t>
  </si>
  <si>
    <t>Reading</t>
  </si>
  <si>
    <t>Berkshire</t>
  </si>
  <si>
    <t>RG6 1PT</t>
  </si>
  <si>
    <t>The company was acquired by Royal Dutch Shell (LON: RDSB) for $54.03 billion on February 15, 2016. As the part of the transaction the company will be no longer traded on LSE under the ticker symbol BG.</t>
  </si>
  <si>
    <t>Royal Dutch Shell</t>
  </si>
  <si>
    <t>Temasek Holdings</t>
  </si>
  <si>
    <t>Temasek Holdings(www.temasek.com.sg)</t>
  </si>
  <si>
    <t>Practicus(Consulting), Rothschild &amp; Co(Advisor: General), Taylor-DeJongh(Advisor: General)</t>
  </si>
  <si>
    <t>Banco Santander(Lead Manager or Arranger), Bank of America Merrill Lynch(Debt Financing), Barclays Investment Bank(Lead Manager or Arranger), BNP Paribas(Lead Manager or Arranger), CIBC Capital Markets(Lead Manager or Arranger), Citigroup(Lead Manager or Arranger), Credit Agricole(Lead Manager or Arranger), Credit Suisse(Lead Manager or Arranger), Deutsche Bank(Lead Manager or Arranger), Freshfields Bruckhaus Deringer(Legal Advisor), HSBC Holdings(Lead Manager or Arranger), JP Morgan Cazenove(Advisor: General), JPMorgan Chase(Lead Manager or Arranger), King &amp; Wood Mallesons(Legal Advisor), Lee &amp; Ko(Legal Advisor), Lloyds Bank Commercial Finance(Debt Financing), Mattos Filho, Veiga Filho, Marrey Jr. e Quiroga Advogados(Legal Advisor), Morgan Stanley(Lead Manager or Arranger), NatWest Group(Lead Manager or Arranger), Robey Warshaw(Advisor: General), Rothschild &amp; Co(Advisor: General), Royal Bank of Canada(Lead Manager or Arranger), Société Générale(Debt Financing), Standard Chartered(Lead Manager or Arranger), Sumitomo Mitsui Banking(Debt Financing), The Goldman Sachs Group(Advisor: General)</t>
  </si>
  <si>
    <t>Public to Private</t>
  </si>
  <si>
    <t>Loan (Senior); Loan</t>
  </si>
  <si>
    <t>10140-85</t>
  </si>
  <si>
    <t>General Telephone and Electronics Service</t>
  </si>
  <si>
    <t>GTE</t>
  </si>
  <si>
    <t>General Telephone and Electronics Service Corp</t>
  </si>
  <si>
    <t>Provider of advanced wire-line voice and data services intended to offer advanced telephony services and directory information. The company's advanced wire-line voice and data services include a broad array of products and services such as nationwide long-distance, directory and inter-networking services, enabling residential and small-business consumers avail a range of internet and related wireless communication services.</t>
  </si>
  <si>
    <t>Consumer Durables</t>
  </si>
  <si>
    <t>Electronics (B2C)</t>
  </si>
  <si>
    <t>Electronics (B2C)*, Other Consumer Products and Services</t>
  </si>
  <si>
    <t>data services, electronic device, wireline voice, wireline voice services, wiring, wiring devices</t>
  </si>
  <si>
    <t>Publicly Listed, Venture Capital</t>
  </si>
  <si>
    <t>www.gte.com</t>
  </si>
  <si>
    <t>1989: 158000, 1990: 154000, 1991: 162000, 1992: 131000, 1993: 117000, 1994: 111000, 1995: 111000, 1996: 102000, 1997: 102000, 1998: 120000, 1999: 99000</t>
  </si>
  <si>
    <t>163726-21P</t>
  </si>
  <si>
    <t>Charles Lee</t>
  </si>
  <si>
    <t>Stamford, CT</t>
  </si>
  <si>
    <t>One Stamford Forum</t>
  </si>
  <si>
    <t>Stamford</t>
  </si>
  <si>
    <t>06904</t>
  </si>
  <si>
    <t>The company was acquired by Verizon Communications (NYSE: VZ) for $52.9 billion on February 22, 2000. The company is no longer actively tracked by PitchBook.</t>
  </si>
  <si>
    <t>Mobility Ventures</t>
  </si>
  <si>
    <t>Mobility Ventures(mobilityventures.com)</t>
  </si>
  <si>
    <t>Eden Acquisitions Group(Advisor: General)</t>
  </si>
  <si>
    <t>13383-64</t>
  </si>
  <si>
    <t>Express Scripts</t>
  </si>
  <si>
    <t>ESRX</t>
  </si>
  <si>
    <t>Express Scripts Holding Company</t>
  </si>
  <si>
    <t>ProCare Pharmacy Benefit Manager, U.S. Bioservices, Envision Healthcare, Excelsior Solutions, Navitus Health Solutions, Comprehensive Pharmacy Services, Proxsys Rx, Prime Therapeutics, Aetna, Optum, Magellan Health, AmeriChoice, PMOA, Caremark, Maxor National Pharmacy Services, Health Net, SmithRx, Citizens Rx, Omnicare, TrialCard, PharMerica, MedImpact HealthCare Systems, TNH Advanced Specialty Pharmacy, nirvanaHealth, Aureus Health Services, CareMed Specialty Pharmacy, E4 Health, Surescripts, OptumRx</t>
  </si>
  <si>
    <t>Provider of pharmacy benefit management services intended to make better health more affordable and accessible. The company's integrated pharmacy benefit management services include network-pharmacy claims processing, home delivery, specialty benefit management, benefit-design consultation, drug-utilization review, formulary management, medical and drug data analysis services, enabling physicians and pharmacists to reducing their administrative process enables them to be more timely, efficiently and effective in providing care for patients.</t>
  </si>
  <si>
    <t>Other Healthcare Services</t>
  </si>
  <si>
    <t>Managed Care, Other Healthcare Services*, Practice Management (Healthcare)</t>
  </si>
  <si>
    <t>drugs data analysis, drug-utilization, health services, healthcare consultant, physician engagement</t>
  </si>
  <si>
    <t>www.express-scripts.com</t>
  </si>
  <si>
    <t>1992: 500, 1993: 710, 1994: 710, 1995: 710, 1996: 1513, 1997: 1570, 1998: 3354, 1999: 4529, 2000: 5346, 2001: 5765, 2002: 7424, 2003: 8408, 2004: 10662, 2005: 14020, 2006: 22400, 2007: 23120, 2008: 10820, 2009: 14270, 2010: 13170, 2011: 13120, 2012: 30215, 2013: 29975, 2014: 29500, 2015: 25900, 2016: 25600, 2017: 26600</t>
  </si>
  <si>
    <t>Cigna</t>
  </si>
  <si>
    <t>81109-18P</t>
  </si>
  <si>
    <t>Dave Queller</t>
  </si>
  <si>
    <t>President</t>
  </si>
  <si>
    <t>dqueller@express-scripts.com</t>
  </si>
  <si>
    <t>+1 (800) 282-2881</t>
  </si>
  <si>
    <t>One Express Way</t>
  </si>
  <si>
    <t>63121</t>
  </si>
  <si>
    <t>The company was acquired by Cigna (NYS: CI) for $52.8 billion on December 20, 2018.</t>
  </si>
  <si>
    <t>Morgan Stanley</t>
  </si>
  <si>
    <t>Morgan Stanley(www.morganstanley.com)</t>
  </si>
  <si>
    <t>2e Creative(Advisor: Communications), CRW Executive Search Consultants(Consulting), DeSantis Breindel(Advisor: General), Goodman Derrick(Legal Advisor), PwC(Auditor), The Audible Group(Consulting)</t>
  </si>
  <si>
    <t>Centerview Partners(Advisor: General), Holland &amp; Knight(Legal Advisor), Kahn Swick &amp; Foti(Legal Advisor), Skadden, Arps, Slate, Meagher &amp; Flom(Legal Advisor)</t>
  </si>
  <si>
    <t>52950-43</t>
  </si>
  <si>
    <t>Pinterest (NYS: PINS)</t>
  </si>
  <si>
    <t>Cold Brew Labs</t>
  </si>
  <si>
    <t>Pinterest Inc.</t>
  </si>
  <si>
    <t>Twitter, Bloglovin', Reddit, We Heart It, Tango, Tumblr, Path Mobile, SoThree, Dailymotion, Wiser, Instagram, Vine Labs, Twitch Interactive, Tagstr, Dailyhunt, LinkedIn, Roposo, Facebook, Instapaper, Imgur, WeVideo, Pixorial, Snapchat, imgfave, Pocket, Fancy, Glassdoor, Etsy</t>
  </si>
  <si>
    <t>Pinterest is an online product and idea discovery platform that helps users gather ideas on everything from recipes to cook to destinations to travel to. Founded in 2010, the platform consists of a largely female audience, at roughly two thirds of its more than 365 million monthly active users. The company generates revenue by selling digital ads and is now rolling out more in-platform e-commerce features.</t>
  </si>
  <si>
    <t>Software</t>
  </si>
  <si>
    <t>Social/Platform Software</t>
  </si>
  <si>
    <t>Information Services (B2C), Social Content, Social/Platform Software*</t>
  </si>
  <si>
    <t>E-Commerce, Mobile, TMT</t>
  </si>
  <si>
    <t>online bulletin board, online catalog, social blog, social commerce application, social web content, style inspiration, virtual pinboard</t>
  </si>
  <si>
    <t>in.pinterest.com</t>
  </si>
  <si>
    <t>2012: 20, 2013: 100, 2014: 400, 2015: 600, 2016: 800, 2017: 500, 2018: 1797, 2019: 2217, 2020: 2545, 2021: 4226</t>
  </si>
  <si>
    <t>PINS</t>
  </si>
  <si>
    <t>38876-41P</t>
  </si>
  <si>
    <t>Benjamin Silbermann</t>
  </si>
  <si>
    <t>Chief Executive Officer &amp; Chairman</t>
  </si>
  <si>
    <t>benjamin.silbermann@pinterest.com</t>
  </si>
  <si>
    <t>+1 (650) 561-5407</t>
  </si>
  <si>
    <t>San Francisco, CA</t>
  </si>
  <si>
    <t>651 Brannan Street</t>
  </si>
  <si>
    <t>San Francisco</t>
  </si>
  <si>
    <t>94107</t>
  </si>
  <si>
    <t>info@pinterest.com</t>
  </si>
  <si>
    <t>The company was rumored to be in talks regarding a potential acquisition by Microsoft (NAS: MSFT) for $51 billion on February 11, 2021. Subsequently, the deal was cancelled on February 12, 2021. Previously, the company raised $1.43 billion in its initial public offering on the New York Stock Exchange under the ticker symbol of PINS on April 18, 2019. A total of 75,000,000 shares were sold at $19 per share. After the offering, there was a total of 529,344,043 outstanding shares at $19 per share, valuing the company at $10.06 billion.</t>
  </si>
  <si>
    <t>A.Capital Ventures, ACE &amp; Company, Acequia Capital, Adrian Aoun, All Blue Capital, Andreessen Horowitz, Armat Group, Bessemer Venture Partners, Betaworks, Biz Stone, Blisce, CE-Ventures, Channel 4 Ventures, Christian Herrera, Christopher Dixon, Coffin Capital &amp; Ventures, Columbia Partners Private Capital, Concept to Co, David Brown, David Morin, DSCN Capital, Elad Gil, Emerson Collective, Endowment Wealth Management, Fidelity Investments, FirstMark Capital, Founders Circle Capital, Founders Future, Fritz Lanman, G Squared, GC1 Ventures, Goldman Sachs Investment Partners, Greg Yaitanes, Hank Vigil, Hartford Financial Services Group (Mutual Fund Business), Industry Ventures, Innovation Department, Jack Abraham, Jeffrey Jordan, Jeremy Stoppelman, John Hancock Investments, Kevin Colleran, Kevin Hartz, KG Investments, Kleiner Perkins, La Maison Partners, Late Stage Management, Light Street Investments, M13, Manatt Venture Fund, Manhattan Venture Partners, Marc Andreessen, Max Levchin, Michael Birch, MicroVentures, Migration Capital, Millennium Technology Value Partners, Miroma Ventures, New York Angels, New York Venture Partners, Nucleus Adventure Capital, Othman Laraki, Peregrine Ventures (California), Pokora Capital, Quantum Global Partners, Rakuten Capital, Reform Ventures, Richard Heitzmann, Ronald Conway, SciFi VC, Scott Belsky, Shana Fisher, SharesPost, Sinai Ventures, Slow Ventures, Social Starts, Stockwell Capital, StraightPath Venture Partners, Suleman Ali, SV Angel, SWaN &amp; Legend Venture Partners, The Vanguard Group, TrueBridge Capital Partners, University Growth Fund, Valiant Capital Partners, Variable Annuity Life Insurance Company, Virgin (London), Wellington Management, William Lohse, You &amp; Mr Jones</t>
  </si>
  <si>
    <t>A.Capital Ventures(www.acapital.com), ACE &amp; Company(www.aceandcompany.com), Acequia Capital(acecap.com), All Blue Capital(www.allbluecapital.com), Andreessen Horowitz(www.a16z.com), Armat Group(www.armatgroup.com), Bessemer Venture Partners(www.bvp.com), Betaworks(www.betaworks.com), Blisce(www.blisce.com), Channel 4 Ventures(www.channel4ventures.com), Coffin Capital &amp; Ventures(coffincapital.co), Columbia Partners Private Capital(www.cpprivatecap.com), Concept to Co(www.concepttoco.com), David Morin(www.davemorin.com), DSCN Capital(www.dscncapital.com), Emerson Collective(www.emersoncollective.com), Endowment Wealth Management(www.endowmentwm.com), Fidelity Investments(www.fidelity.com), FirstMark Capital(www.firstmarkcap.com), Founders Circle Capital(www.founderscircle.com), Founders Future(www.foundersfuture.com), G Squared(www.gsquared.com), Goldman Sachs Investment Partners(www.gsipventures.com), Greg Yaitanes(www.gregyaitanes.com), Industry Ventures(www.industryventures.com), Innovation Department(www.innovationdept.com), Jeffrey Jordan(jeff.a16z.com), John Hancock Investments(jhinvestments.com), KG Investments(www.kginvest.net), Kleiner Perkins(www.kleinerperkins.com), La Maison Partners(www.lamaisonpartners.fr), Late Stage Management(www.latestagemanagement.com), Light Street Investments(www.lightstreetinvestments.com), M13(www.m13.co), Manhattan Venture Partners(www.mvp.vc), Max Levchin(www.levchin.com), MicroVentures(www.microventures.com), Migration Capital(www.migrationcapital.com), Millennium Technology Value Partners(www.mtvlp.com), Miroma Ventures(www.miromaventures.com), New York Angels(www.newyorkangels.com), New York Venture Partners(www.nyvp.com), Nucleus Adventure Capital(www.nucleusavc.com), Peregrine Ventures (California)(www.peregrine.vc), Pokora Capital(www.pokoracapital.com), Quantum Global Partners(quantumgp.com), Rakuten Capital(capital.rakuten.com), Reform Ventures(www.reformventures.com), SciFi VC(www.scifi.vc), Scott Belsky(www.scottbelsky.com), SharesPost(www.sharespost.com), Sinai Ventures(www.sinaivc.com), Slow Ventures(slow-prod.herokuapp.com), Social Starts(www.socialstarts.com), Stockwell Capital(www.stockwellcapital.com), StraightPath Venture Partners(www.straightpathventurepartners.com), Suleman Ali(www.sulemanali.com), SV Angel(www.svangel.com), SWaN &amp; Legend Venture Partners(www.swanandlegend.com), The Vanguard Group(www.vanguard.com), TrueBridge Capital Partners(www.truebridgecapital.com), University Growth Fund(www.ugrowthfund.com), Valiant Capital Partners(www.valiantcapital.com), Virgin (London)(www.virgin.com), Wellington Management(www.wellington.com), You &amp; Mr Jones(www.youandmrjones.com)</t>
  </si>
  <si>
    <t>Daversa Partners(Consulting), Matter Communications(Advisor: General), Orrick(Legal Advisor), Paradigm Strategy(Consulting), Riviera Partners(Consulting), Silicon Legal Strategy(Legal Advisor)</t>
  </si>
  <si>
    <t>Allen &amp; Company(Underwriter), Bank of America Merrill Lynch(Underwriter), Barclays Investment Bank(Underwriter), Citigroup(Underwriter), CL King &amp; Associates(Advisor: General), Cleary Gottlieb(Legal Advisor), Credit Suisse Securities (USA)(Underwriter), Daversa Partners(Consulting), Deutsche Bank Securities(Underwriter), EY(Accounting), Fenwick &amp; West(Legal Advisor), J.P. Morgan(Underwriter), JPMorgan Chase(Advisor: General), Loop Capital Markets(Advisor: General), Orrick(Legal Advisor), Paradigm Strategy(Consulting), Potter Anderson &amp; Corroon(Legal Advisor), RainMaker Securities(Advisor: General), RBC Capital Markets(Underwriter), Riviera Partners(Consulting), Robert W. Baird &amp; Co(Underwriter), The Goldman Sachs Group(Underwriter), U First Capital(Consulting), UBS Group(Underwriter), Wells Fargo Securities(Underwriter)</t>
  </si>
  <si>
    <t>Seed Round</t>
  </si>
  <si>
    <t>Series 1</t>
  </si>
  <si>
    <t>10037-35</t>
  </si>
  <si>
    <t>Bank of America Merrill Lynch</t>
  </si>
  <si>
    <t>Banc of America Securities Limited</t>
  </si>
  <si>
    <t>BAML, Bank of America Merrill Lynch Banco Múltiplo S.A</t>
  </si>
  <si>
    <t>Bank of America Merrill Lynch International Limited</t>
  </si>
  <si>
    <t>Morgan Stanley, Citigroup, Scottrade Financial Services, Credit Suisse Group, LPL Financial, Stifel Financial, Wells Fargo Advantage Income Opportunity Fund, Bank of America, Deutsche Schiffsbank</t>
  </si>
  <si>
    <t>Provider of financial services. The company provides underwriting, advisory, loan arranging, trading and selling, brokerage, settlements and market marking in securities, financial instruments and derivatives.</t>
  </si>
  <si>
    <t>Capital Markets/Institutions</t>
  </si>
  <si>
    <t>Brokerage</t>
  </si>
  <si>
    <t>Brokerage*, Consumer Finance, Other Financial Services</t>
  </si>
  <si>
    <t>loans arranging, market markers, underwriting</t>
  </si>
  <si>
    <t>www.bofaml.com/content/boaml/en_us/home.html</t>
  </si>
  <si>
    <t>1989: 41654, 1990: 39000, 1991: 38300, 1992: 38300, 1993: 41900, 1994: 43800, 1995: 46000, 1996: 49800, 1997: 65000, 1998: 63800, 1999: 67200, 2000: 72000, 2001: 57400, 2002: 50900, 2003: 48100, 2004: 50600, 2005: 54600, 2006: 56200, 2007: 64200, 2009: 64200</t>
  </si>
  <si>
    <t>Bank of America</t>
  </si>
  <si>
    <t>TTM 2Q2013</t>
  </si>
  <si>
    <t>16378-03P</t>
  </si>
  <si>
    <t>Jean-Eudes Renier</t>
  </si>
  <si>
    <t>Managing Director and Head of Industrial Investment Banking EMEA &amp; Asia</t>
  </si>
  <si>
    <t>jean-eudes.renier@baml.com</t>
  </si>
  <si>
    <t>+44 (0)20 7628 1000</t>
  </si>
  <si>
    <t>One Bryant Park</t>
  </si>
  <si>
    <t>+1 (212) 284-5600</t>
  </si>
  <si>
    <t>+1 (646) 805-1459</t>
  </si>
  <si>
    <t>The company was acquired by Bank of America (NYSE: BAC) for $50 billion in January, 2009. The company is no longer actively tracked by PitchBook.</t>
  </si>
  <si>
    <t>Davis Selected Advisers, Korea Investment Corporation, Kuwait Investment Authority, Mizuho Financial Group, Temasek Holdings</t>
  </si>
  <si>
    <t>Korea Investment Corporation(www.kic.kr), Kuwait Investment Authority(www.kia.gov.kw), Mizuho Financial Group(www.mizuho-fg.co.jp), Temasek Holdings(www.temasek.com.sg)</t>
  </si>
  <si>
    <t>The Blackstone Group(Lead Manager or Arranger)</t>
  </si>
  <si>
    <t>41630-95</t>
  </si>
  <si>
    <t>Covidien</t>
  </si>
  <si>
    <t>Tyco Healthcare</t>
  </si>
  <si>
    <t>Covidien Plc</t>
  </si>
  <si>
    <t>Argon Medical Devices, Dale Medical Products, Smiths Medical, Arthrex, Grifols Diagnostic Solutions, Vention Medical, Mölnlycke Health Care, Baril Corporation, Janak Healthcare, Aspen Surgical, KCI Holdings, Kimal, Hospira, Drägerwerk, TIDI Products, Misonix, The O.R. Company, Sphere Medical Holding, Avanos Medical, Alesi Surgical, Globus Medical, Ambu, Angiodynamics, Omron Healthcare, Medline Industries, Spine Wave, Orthofix International, ResMed, Cook Medical, Intersurgical, Silverlon, Terumo, ZOLL Medical, C. R. Bard, Cordis, Apyx Medical, SeaSpine Holdings, Coloplast, DJO Global, DeRoyal, Stereotaxis, CryoLife, SonarMed, Fresenius Medical Care, Hologic, Edwards Lifesciences, BSN medical, Shurship, Philips, VitalConnect, Integra LifeSciences, ArthroCare, Bellco, Corin Group, Volcano, NuVasive, Stryker, SpineFrontier, Buffalo Filter, Becton, Dickinson and Company, Nipro, Zimmer Biomet, Penumbra, PerkinElmer, EndoChoice, Boston Scientific, Ethicon, Fisher &amp; Paykel Healthcare, Steris, Kelvin Medical</t>
  </si>
  <si>
    <t>Manufacturer of healthcare products intended to improve patient outcomes and lower the cost of healthcare delivery. The company offers medical devices that are developed in collaboration with medical professionals such as surgical, respiratory, monitoring and vascular devices as well as medical supplies including the operating room, nursing care and sharp safety products, thereby enhancing the quality of life for patients.</t>
  </si>
  <si>
    <t>Medical Supplies, Monitoring Equipment, Surgical Devices*</t>
  </si>
  <si>
    <t>healthcare products, operating room supply, patient monitoring, surgical device, vascular product</t>
  </si>
  <si>
    <t>www.covidien.com</t>
  </si>
  <si>
    <t>2006: 43300, 2007: 43800, 2008: 41700, 2009: 41800, 2010: 41500, 2011: 41300, 2012: 43400, 2013: 38500, 2014: 39500</t>
  </si>
  <si>
    <t>TTM 1Q2015</t>
  </si>
  <si>
    <t>20 Lower Hatch Street</t>
  </si>
  <si>
    <t>The company (NYSE: COV) was acquired by Medtronic for $50 billion on January 26, 2015. The company is no longer actively tracked by PitchBook.</t>
  </si>
  <si>
    <t>Medtronic</t>
  </si>
  <si>
    <t>Tyco International Holding</t>
  </si>
  <si>
    <t>Birr-Group(Consulting), Bryan Cave Leighton Paisner (Russia)(Legal Advisor), EverEdge Global(Advisor: General), Seed Intellectual Property Law Group(Legal Advisor), The Issuer Network(Advisor: General)</t>
  </si>
  <si>
    <t>Arthur Cox(Legal Advisor), Bank of America Merrill Lynch(Debt Financing), Davies Ward Phillips &amp; Vineberg(Legal Advisor), The Goldman Sachs Group(Advisor: General), Wachtell, Lipton, Rosen &amp; Katz(Legal Advisor)</t>
  </si>
  <si>
    <t>24761-35</t>
  </si>
  <si>
    <t>Worldpay</t>
  </si>
  <si>
    <t>Fifth Third Processing Solutions, Midwest Payment Systems, Vantiv</t>
  </si>
  <si>
    <t>Worldpay, Inc.</t>
  </si>
  <si>
    <t>Worldline, Wirecard, Nuvei, Pay and Shop, C&amp;H Financial Services, First Data, Adyen, Planet Payment (Acquired/Merged), BillingTree, Integrity Payment Systems, Remitly, Fiserv, Paysafe Group, PayNearMe, Equinox Payments, Vocalink, Klarna, Total System Services, Nets, BluePay, Evertec, Merchant e-Solutions, Ingo Money, Stripe, Net 1 UEPS Technologies, Visa, SIX Payment Services, Moneris Solutions, Northern Leasing Systems, Elavon, Green Dot, PPRO Financial, allpago, 2C2P, Payvision, Square, GlobalCollect, 2Checkout (Acquired), Ingenico Group, Mash Finance Corporation, Sterling Payment Technologies, Aevi (Financial Software), HiPay, Wipit, Braintree, DIBS Payment Services, Payline Data, SafetyPay, Payworks, Monex Financial Services, Sage Pay, TrustCommerce, Payfirma, Cayan</t>
  </si>
  <si>
    <t>Worldpay is a leading provider of payment processing services for merchants, and holds leading positions in the U.S. and the U.K. The company processes about 42 billion transactions and $1.6 trillion in payment volume annually. Worldpay also operates a business that provides debit and credit card processing for banks, which handled 3.5 billion transactions in 2017. On 31st July 2019 FIS acquired Worldplay.</t>
  </si>
  <si>
    <t>Specialized Finance</t>
  </si>
  <si>
    <t>Financial Software, Other Commercial Banks, Specialized Finance*</t>
  </si>
  <si>
    <t>FinTech</t>
  </si>
  <si>
    <t>electronic payment, encryption, fraud management, merchant processing, payment processing, prepaid payment processing</t>
  </si>
  <si>
    <t>Debt Financed, Private Equity, Publicly Listed</t>
  </si>
  <si>
    <t>online.worldpay.com</t>
  </si>
  <si>
    <t>2011: 2455, 2012: 2671, 2013: 2791, 2014: 3299, 2015: 3313, 2016: 3526, 2017: 3661, 2018: 8186, 2019: 5000</t>
  </si>
  <si>
    <t>Fidelity National Information Services</t>
  </si>
  <si>
    <t>News (New) , News (New) , News (New) , News (New) , News (New) , News (New) , News (New) , News (New) , News (New) , News (New) , News (New)</t>
  </si>
  <si>
    <t>135265-42P</t>
  </si>
  <si>
    <t>Stephanie Ferris</t>
  </si>
  <si>
    <t>stephanie.ferris@worldpay.com</t>
  </si>
  <si>
    <t>London, United Kingdom</t>
  </si>
  <si>
    <t>The Walbrook Building</t>
  </si>
  <si>
    <t>25 Walbrook</t>
  </si>
  <si>
    <t>London</t>
  </si>
  <si>
    <t>EC4N 8AF</t>
  </si>
  <si>
    <t>The company (NYSE: WP) was acquired by Fidelity National Information Services (NYSE: FIS) for $48.245 billion on July 31, 2019. In connection with the acquisition, FIS also repaid approximately $7.5 billion of the company's debt.</t>
  </si>
  <si>
    <t>Advent International, BPEA Private Equity, Fifth Third Bank</t>
  </si>
  <si>
    <t>Advent International(www.adventinternational.com), BPEA Private Equity(www.bpea-pe.com), Fifth Third Bank(www.53.com)</t>
  </si>
  <si>
    <t>Houlihan Lokey(Advisor: General), Morgan Stanley(Underwriter), Notch Partners(Consulting)</t>
  </si>
  <si>
    <t>Bank of America(Debt Financing), Barclays(Debt Financing), BBVA USA Bancshares(Debt Financing), Capital One Securities(Debt Financing), Citigroup(Underwriter), Corporate Capital Trust(Debt Financing), Corporate Risk Solutions(Advisor: General), Credit Suisse(Underwriter), Credit Suisse(Debt Financing), Davis Polk(Legal Advisor), Deloitte(Accounting), Deutsche Bank(Underwriter), Fifth Third Bank(Debt Financing), FS KKR Capital(Debt Financing), Gladstone Capital(Debt Financing), J.P. Morgan(Underwriter), Jefferies Financial Group(Underwriter), JPMorgan Chase(Debt Financing), Kahn Swick &amp; Foti(Legal Advisor), Mizuho Securities(Debt Financing), Morgan Stanley(Debt Financing), Morgan Stanley MUFG Loan Partners(Debt Financing), Portman Ridge Finance Corp(Debt Financing), PwC(Accounting), Raymond James Financial(Underwriter), Rigrodsky &amp; Long(Legal Advisor), Robert W. Baird &amp; Co(Underwriter), Royal Bank of Canada(Debt Financing), Skadden, Arps, Slate, Meagher &amp; Flom(Legal Advisor), Sumitomo Mitsui Banking(Debt Financing), SunTrust Robinson Humphrey(Underwriter), The Goldman Sachs Group(Debt Financing), The Goldman Sachs Group(Underwriter), UBS Group(Underwriter), Weil, Gotshal &amp; Manges(Legal Advisor), Wells Fargo(Underwriter), William Blair &amp; Company(Underwriter)</t>
  </si>
  <si>
    <t>Loan (Senior); Revolving Credit Line</t>
  </si>
  <si>
    <t>149969-71</t>
  </si>
  <si>
    <t>BP Amoco</t>
  </si>
  <si>
    <t>Amoco</t>
  </si>
  <si>
    <t>BP Amoco plc</t>
  </si>
  <si>
    <t>Operator of a leading integrated oil and gas company. The company's integrated oil and gas services include developing and producing essential sources of energy and enabling them to turn into products that people need like petrochemicals products used to make everyday items as diverse as paints, clothes and packaging. It operates through two main operating segments, upstream and downstream. The company's Upstream segment is responsible for activities in oil and natural gas exploration, field development and production, as well as midstream transportation, storage and processing and downstream segment has global manufacturing and marketing operations.</t>
  </si>
  <si>
    <t>Energy Exploration*, Energy Production, Energy Transportation</t>
  </si>
  <si>
    <t>Manufacturing, Oil &amp; Gas</t>
  </si>
  <si>
    <t>gas company, gas transportation, natural gas exploration, oil company, oil exploration</t>
  </si>
  <si>
    <t>www.Amoco.com</t>
  </si>
  <si>
    <t>1998: 43450</t>
  </si>
  <si>
    <t>200 East Randolph Drive</t>
  </si>
  <si>
    <t>60601</t>
  </si>
  <si>
    <t>The company was acquired by BP (LON: BP.) for $48.2 billion in December 1998. The acquisition will enable the acquirer to expand its footprints into the United States and thus expand its products offering.</t>
  </si>
  <si>
    <t>BP</t>
  </si>
  <si>
    <t>J.P. Morgan(Advisor: General), Wachtell, Lipton, Rosen &amp; Katz(Legal Advisor)</t>
  </si>
  <si>
    <t>89512-75</t>
  </si>
  <si>
    <t>FleetBoston Financial</t>
  </si>
  <si>
    <t>FleetBank, Fleet/Norstar Financial Group, Fleet Financial Group, Providence Bank</t>
  </si>
  <si>
    <t>FleetBoston Financial Corporation</t>
  </si>
  <si>
    <t>Provider of investment and banking services. The company offers facilities such as mortgage, refinance, home equity, business loans and online banking services.</t>
  </si>
  <si>
    <t>Other Financial Services*</t>
  </si>
  <si>
    <t>business banking, personal loans, retail banking loans</t>
  </si>
  <si>
    <t>www.fleetbank.com</t>
  </si>
  <si>
    <t>1989: 18789, 1990: 18000, 1991: 18000, 1992: 18000, 1993: 27500, 1994: 21500, 1995: 30800, 1996: 36000, 1997: 36000, 1998: 36000, 1999: 59200, 2000: 53000, 2001: 56000, 2002: 50000, 2003: 47500</t>
  </si>
  <si>
    <t>100 Federal Street</t>
  </si>
  <si>
    <t>10034F</t>
  </si>
  <si>
    <t>02110</t>
  </si>
  <si>
    <t>The company was acquired by Bank of America for $48,100 million on April 1, 2004. Bank of America agreed to issue 0.5553 of its shares for every FleetBoston Financial share. The company is no longer actively tracked by PitchBook.</t>
  </si>
  <si>
    <t>Sandler O'Neill + Partners(Lead Manager or Arranger)</t>
  </si>
  <si>
    <t>Morgan Stanley(Advisor: General), PwC(Advisor: General), Stevens &amp; Lee(Legal Advisor), Wachtell, Lipton, Rosen &amp; Katz(Legal Advisor)</t>
  </si>
  <si>
    <t>41194-72</t>
  </si>
  <si>
    <t>Kinder Morgan Energy Partners</t>
  </si>
  <si>
    <t>Enrons Liquids Pipeline</t>
  </si>
  <si>
    <t>Kinder Morgan Energy Partners LP</t>
  </si>
  <si>
    <t>Kinder Morgan Energy Partners LP is a Delaware limited partnership formed in August 1992. The Company is engaged in pipeline transportation and energy storage company in North America. They own an interest in or operate approximately 52,000 miles of pipelines and 180 terminals. Its pipelines transport natural gas, refined petroleum products, crude oil, condensate, CO2 and other products, and its terminals store petroleum products, ethanol and chemicals, and handle such products as coal, petroleum coke and steel. They are also the producer and transporter of CO2, for enhanced oil recovery projects in North America. Its operations are conducted through our five operating limited partnerships and their subsidiaries and are grouped into five reportable business segments: Natural Gas Pipelines-consists of approximately 40,000 miles of natural gas transmission pipelines and gathering lines, plus natural gas storage, treating and processing facilities, through which natural gas is gathered, transported, stored, treated, processed and sold; O2-which produces, markets and transports, through approximately 1,500 miles of pipelines, CO2 to oil fields that use CO2 to increase production of oil; owns interests in and/or operate four primary oil fields in West Texas; and owns and operates a 450-mile crude oil pipeline system in West Texas; Products Pipelines-consists of approximately 9,000 miles of refined petroleum products and crude oil and condensate pipelines that deliver refined petroleum products (gasoline, diesel fuel and jet fuel), NGL, crude oil, condensate and bio-fuels to various markets; plus approximately 62 associated product terminals and petroleum pipeline transmix processing facilities serving customers across the U.S.; Terminals-consists of approximately 122 owned or operated liquids and bulk terminal facilities and approximately 10 rail transloading and materials handling facilities located throughout the U.S. and portions of Canada, which together transload, store and deliver a wide variety of bulk, petroleum, petrochemical and other liquids products for customers across the U.S. and Canada; and Kinder Morgan Canada-transports crude oil and refined petroleum products through approximately 800 miles of pipelines from Alberta, Canada to marketing terminals and refineries in British Columbia and the state of Washington; plus five associated product terminal facilities. The Company's business operations are subject to federal, state, provincial and local laws and regulations relating to environmental protection, pollution and human health and safety in the U.S. and Canada.</t>
  </si>
  <si>
    <t>Energy Transportation</t>
  </si>
  <si>
    <t>Energy Transportation*</t>
  </si>
  <si>
    <t>Industrials, Infrastructure, Oil &amp; Gas</t>
  </si>
  <si>
    <t>energy transportation, natural gas pipeline</t>
  </si>
  <si>
    <t>1996: 182, 1997: 550, 1998: 1200, 1999: 1200, 2000: 1600, 2001: 4937, 2002: 5390, 2003: 5539, 2004: 6072, 2005: 8481, 2006: 8600, 2007: 7600, 2008: 7800, 2009: 7931, 2010: 8142, 2011: 8120, 2012: 10685, 2013: 11075</t>
  </si>
  <si>
    <t>Kinder Morgan</t>
  </si>
  <si>
    <t>TTM 3Q2014</t>
  </si>
  <si>
    <t>Houston, TX</t>
  </si>
  <si>
    <t>1001 Louisiana Street</t>
  </si>
  <si>
    <t>Suite 1000</t>
  </si>
  <si>
    <t>Houston</t>
  </si>
  <si>
    <t>Texas</t>
  </si>
  <si>
    <t>77002</t>
  </si>
  <si>
    <t>The company was acquired by Kinder Morgan (NYSE: KMI) for $47.9 billion on November 26, 2014. The company is no longer actively tracked by PitchBook.</t>
  </si>
  <si>
    <t>Raymond James Financial(Advisor: General)</t>
  </si>
  <si>
    <t>Baker Botts(Legal Advisor), Jefferies Financial Group(Advisor: General)</t>
  </si>
  <si>
    <t>11197-36</t>
  </si>
  <si>
    <t>Genentech</t>
  </si>
  <si>
    <t>Genentech, Inc.</t>
  </si>
  <si>
    <t>Alexion, Intercept(Biotechnology), Catalyst Biosciences, CymaBay Therapeutics, NGM Biopharmaceuticals, Seagen, Madrigal Pharmaceuticals, Flex Pharma, Cirius Therapeutics, XBiotech, Nuron Biotech, Regeneron Pharmaceuticals, Novartis Gene Therapies, MannKind Corporation, Gilead Sciences, Evolus, Allozyne, Idorsia Pharmaceuticals, Aptalis Pharma, The Medicines Company, Alkem Laboratories, Proteostasis Therapeutics, Salix Pharmaceuticals, Loxo Oncology, Novo Nordisk, Inovio Pharmaceuticals, Pfenex, Theravance Biopharma, Emergent Biosolutions, Sanofi Genzyme, Adimab, BioAtla, Boehringer Ingelheim, CytomX Therapeutics, Biogen, PaxVax, GeoVax, Ambrx, Dynavax Technologies, Baxalta, Amgen, BioMotiv, Celgene, Shire, Revance Therapeutics, Immunocore, Bristol-Myers Squibb, Icagen</t>
  </si>
  <si>
    <t>Discoverer, developer and manufacturer of pharmaceutical products focusing on immunology and oncology medical fields. The company offers pharmaceutical products that have applications in ophthalmology, metabolism, and virology fields and includes Lucentis, a ranibizumab injection for the treatment of diabetic macular edema, and ACTEMRA (tocilizumab) for the treatment of adults with moderately to severely active rheumatoid arthritis.</t>
  </si>
  <si>
    <t>Biotechnology*, Drug Discovery, Pharmaceuticals</t>
  </si>
  <si>
    <t>Life Sciences, Manufacturing, Oncology</t>
  </si>
  <si>
    <t>diabetic macular edema, metabolism, ophthalmology, ranibizumab injection, rheumatoid arthritis, virology</t>
  </si>
  <si>
    <t>www.gene.com</t>
  </si>
  <si>
    <t>1991: 2202, 1992: 2202, 1993: 2331, 1994: 2738, 1995: 2842, 1996: 3071, 1997: 3242, 1998: 3389, 1999: 3883, 2000: 4459, 2001: 4950, 2002: 5252, 2003: 6226, 2004: 7646, 2005: 9500, 2006: 10533, 2007: 11174, 2008: 11186, 2015: 13000, 2019: 14279, 2020: 15000</t>
  </si>
  <si>
    <t>Roche Holding</t>
  </si>
  <si>
    <t>FY 2008</t>
  </si>
  <si>
    <t>133592-59P</t>
  </si>
  <si>
    <t>Ed Harrington</t>
  </si>
  <si>
    <t>harrington.edward@gene.com</t>
  </si>
  <si>
    <t>+1 (650) 225-1000</t>
  </si>
  <si>
    <t>South San Francisco, CA</t>
  </si>
  <si>
    <t>1 DNA Way</t>
  </si>
  <si>
    <t>South San Francisco</t>
  </si>
  <si>
    <t>94080</t>
  </si>
  <si>
    <t>+1 (650) 225-6000</t>
  </si>
  <si>
    <t>An undisclosed investor sold a 44% stake in the company to F. Hoffmann-La Roche for $46.8 billion on March 12, 2009. As a result of the transaction, La Roche holds a 100% stake in the company and the company's stock will no longer be traded on the New York Stock Exchange.</t>
  </si>
  <si>
    <t>Ignite 500, Kleiner Perkins, Lubrizol, Mayfield (Private Equity)</t>
  </si>
  <si>
    <t>Ignite 500(www.ignite500.com), Kleiner Perkins(www.kleinerperkins.com), Lubrizol(www.lubrizol.com), Mayfield (Private Equity)(www.mayfield.com)</t>
  </si>
  <si>
    <t>AmbroseAdvisors(Advisor: General), DeWinter Group(Consulting), Eureka Capital Partners(Advisor: General), Foley &amp; Lardner(Legal Advisor), FSG(Consulting), I-Scale(Consulting), Infortal Worldwide(Advisor: General), Inventus Law(Legal Advisor), Ironheart Corporate Advisory(Consulting), Jones Day(Legal Advisor), Keker, Van Nest &amp; Peters(Legal Advisor), Mercury Associates(Consulting), N2Growth(Consulting), Orrick(Legal Advisor), Perspective Group(Consulting), Project Management Advisors(Consulting), Stonecroft Capital(Advisor: General), TouchStone Executive Consultants(Consulting), Vault Bioventures(Consulting), WaveEdge Capital(Advisor: General), Weaver Austin Villeneuve &amp; Sampson(Legal Advisor), ZS Associates(Consulting)</t>
  </si>
  <si>
    <t>Holland &amp; Hart(Legal Advisor), Lehman Brothers(Advisor: General), Morgan Stanley(Advisor: General), The Goldman Sachs Group(Advisor: General), Torreya Partners(Advisor: General), Wilson Sonsini Goodrich &amp; Rosati(Legal Advisor)</t>
  </si>
  <si>
    <t>10352-98</t>
  </si>
  <si>
    <t>First Data</t>
  </si>
  <si>
    <t>First Data Resources</t>
  </si>
  <si>
    <t>First Data Merchant Services, LLC</t>
  </si>
  <si>
    <t>Pay and Shop, Paysafe Group, Worldline, BillingTree, Euronet Worldwide, Nuvei, Flywire, Helcim, Adyen, Moneygram, eWAY (Other Financial Services), WorldPay (Global Payment Processing), Marqeta, Remitly, Depopass, Transfast, Solupay, QRails, Klarna, Stripe, PayStand, FattMerchant, Dream Payments, Wirecard, Integrity Payment Systems, i3 Verticals, Sentenial, Afterpay (Netherlands ), NMI, iPAY, Transactis, Fama Cash, Affirm, Ixaris, HiPay, I2c, Moneris Solutions, DH, Dwolla, Square, TransFirst, Payvision, Softgate Systems, Paymentus, Visa Europe, Total System Services, Equinox Payments, GlobalCollect, Nymbus, Elavon, Lendstar, Net Element, Skrill, Dalenys, NxGen, BPC (Switzerland), Braintree, Litle &amp; Co. (Payemnt Platform), ProPay, Ingenico Group, Vocalink, CardinalCommerce, Flashbanc, Wise, Payscape, Bindo Labs, Green Dot, Fiserv, Evertec, Arroweye, eNett International, Engage Financial Technology, Prepaid Services Company, Mint Payments, Wibmo, Worldpay, WorldPay US, Paymentwall, 2C2P, Monitise, Total Merchant Services, VeriFone, Alt Thirty Six, Central Payment, Revolut, Northern Leasing Systems, Mozido, Finastra, Buckaroo, Payfirma, GPUK, Q2 Software, Merchant e-Solutions, Temenos, Bambora, Bell Identification, Paytm, Paydiant, SIX Payment Services, North American Bancard, CyberSource, ROAM Data, ACI Worldwide, PPRO Financial, Serrala, ShopKeep, Monex Financial Services, SafetyPay, WePay, Paymentech, NCR, CurrencyCloud, Ripple Labs, Fidelity National Information Services, IDEMIA, Earthport, Ackroo, SAP Hybris, KUBRA, Altisource Portfolio Solutions, Paytrust, NetSpend, Payment plugin, Global Payments, Payoneer, Western Union Global Network, Revel Systems, Fexco</t>
  </si>
  <si>
    <t>First Data Corp is a provider of e-commerce solutions including payment and transactions services as well as credit solutions. The largest segment by revenue, global business solutions, offers point-of-sale solutions such as merchant acquiring, e-commerce, and mobile commerce. The business unit facilitates the acceptance of commercial transactions at the point of sale. The other segments offer credit card and loan-processing solutions and private-label card programmes for bank and nonbank institutions, as well as network security and fraud-management solutions. First Data's largest end market is North America.</t>
  </si>
  <si>
    <t>Financial Software</t>
  </si>
  <si>
    <t>Financial Software*, Other Financial Services</t>
  </si>
  <si>
    <t>FinTech, TMT</t>
  </si>
  <si>
    <t>authentication service, merchant transaction processing, payment processing service, prepaid, prepaid card offering</t>
  </si>
  <si>
    <t>Debt Financed, M&amp;A, Private Equity, Publicly Listed, Venture Capital</t>
  </si>
  <si>
    <t>www.firstdata.com</t>
  </si>
  <si>
    <t>1992: 18300, 1993: 19300, 1994: 22000, 1995: 22000, 1996: 38000, 1997: 36000, 1998: 32000, 1999: 31000, 2000: 27000, 2001: 29000, 2002: 29000, 2003: 29000, 2004: 33600, 2005: 34100, 2006: 31000, 2007: 27000, 2008: 26600, 2009: 24900, 2010: 24500, 2011: 24000, 2012: 24000, 2013: 23000, 2014: 23000, 2015: 24000, 2016: 24000, 2017: 22000, 2018: 19000, 2020: 10000</t>
  </si>
  <si>
    <t>Fiserv</t>
  </si>
  <si>
    <t>86884-84P</t>
  </si>
  <si>
    <t>Himanshu Patel</t>
  </si>
  <si>
    <t>Chief Financial Officer &amp; Executive Vice President</t>
  </si>
  <si>
    <t>himanshu.patel@firstdatacorp.com</t>
  </si>
  <si>
    <t>+1 (404) 890-2000</t>
  </si>
  <si>
    <t>5565 Glenridge Connector Northeast</t>
  </si>
  <si>
    <t>Suite 2000</t>
  </si>
  <si>
    <t>30342</t>
  </si>
  <si>
    <t>The company was acquired by Fiserv (NAS: FISV) for $46.47 billion on July 29, 2019. Fiserv Shareholders will own 57.5% of the combined company, while First Data shareholders will have 42.5%. JPMorgan Chase provided debt financing in the form of Senior Unsecured Term Loan, Revolving Credit loan and Senior Unsecured Bridge Loan.</t>
  </si>
  <si>
    <t>AlpInvest Partners, American Express, Ardian, Court Square, JANA Partners, Kohlberg Kravis Roberts, Lehman Brothers, NB Alternatives Advisers, New Omaha Holdings, Owl Capital, Rancilio Cube, Stockwell Capital, Stone Point Capital, W Capital Partners</t>
  </si>
  <si>
    <t>AlpInvest Partners(www.alpinvest.com), American Express(www.americanexpress.com), Ardian(www.ardian.com), Court Square(www.courtsquare.com), JANA Partners(www.janapartners.com), Kohlberg Kravis Roberts(www.kkr.com), Lehman Brothers(www.lehman.com), Owl Capital(www.owlcapital.com), Rancilio Cube(www.ranciliocube.com), Stockwell Capital(www.stockwellcapital.com), Stone Point Capital(www.stonepoint.com), W Capital Partners(www.wcapgroup.com)</t>
  </si>
  <si>
    <t>A/E/C Solutions(Consulting), Academy Securities(Placement Agent), Apollo Investment(Debt Financing), Auriemma Consulting Group(Consulting), BMC Group(Advisor: General), Citigroup Global Markets(Underwriter), Credit Suisse Securities (USA)(Underwriter), Deutsche Bank Securities(Underwriter), EY(Auditor), Houlihan Capital(Valuation/Appraiser), Kelly Hart &amp; Hallman(Legal Advisor), Key Pacific Advisory Partners(Advisor: General), Merrill Lynch Pierce Fenner &amp; Smith(Underwriter), Ross &amp; Company(Consulting), SaxonCantrell(Consulting), Simpson Thacher &amp; Bartlett(Legal Advisor), Stifel Financial(Advisor: General)</t>
  </si>
  <si>
    <t>Allen &amp; Company(Underwriter), American Appraisal(Advisor: General), American Capital Senior Floating(Debt Financing), Apollo Investment(Debt Financing), Bank of America Merrill Lynch(Debt Financing), Barclays Bank UK(Underwriter), Barclays Investment Bank(Debt Financing), BB&amp;T Capital Markets(Underwriter), BBVA Securities(Underwriter), BMO Capital Markets(Underwriter), Cahill(Legal Advisor), Citigroup(Debt Financing), Citizens Commercial Banking(Underwriter), CL King &amp; Associates(Underwriter), Columbia Capital Securities(Advisor: General), Cowen &amp; Company(Underwriter), Craft Capital Management(Underwriter), Craig-Hallum Capital Group(Underwriter), Credit Suisse(Debt Financing), Crescent Capital BDC(Debt Financing), Deutsche Bank(Debt Financing), Evercore Group(Advisor: General), EY(Auditor), FS KKR Capital(D&amp;O Insurance), FS KKR Capital Corp. II(Debt Financing), Garrison Capital(Debt Financing), HSBC Holdings(Debt Financing), JPMorgan Chase(Debt Financing), Kahn Swick &amp; Foti(Legal Advisor), KBCM Technology Group(Underwriter), Keefe, Bruyette &amp; Woods(Underwriter), KeyBanc Capital Markets(Underwriter), KeyBank(Underwriter), Kohlberg Kravis Roberts(Underwriter), Latham &amp; Watkins(Legal Advisor), Lehman Brothers(Debt Financing), Main Street Capital(Debt Financing), McCarthy Tétrault(Legal Advisor), Mizuho Securities(Underwriter), Morgan Stanley(Advisor: General), New Mountain Finance(Debt Financing), Oxford Square Capital(Debt Financing), PNC(Underwriter), Portman Ridge Finance Corp(Debt Financing), Rigrodsky &amp; Long(Legal Advisor), Schulte Roth &amp; Zabel(Legal Advisor), Sidley Austin(Legal Advisor), Sierra Income(Debt Financing), Simpson Thacher &amp; Bartlett(Legal Advisor), Sullivan &amp; Cromwell(Legal Advisor), SunTrust Robinson Humphrey(Underwriter), TD Securities(Underwriter), The Goldman Sachs Group(Debt Financing), The Huntington Investment Company(Underwriter), Wells Fargo Securities(Underwriter), Wolfe Capital Markets and Advisory(Underwriter)</t>
  </si>
  <si>
    <t>Loan; Loan (Term Loan); Revolving Credit Line</t>
  </si>
  <si>
    <t>121267-72</t>
  </si>
  <si>
    <t>Schering-Plough</t>
  </si>
  <si>
    <t>Plough Inc., Schering AG</t>
  </si>
  <si>
    <t>Schering-Plough Corp.</t>
  </si>
  <si>
    <t>Developer of pharmaceuticals drugs based in Kenilworth, New Jersey. The company engages in the discovery, development and marketing of pharmaceutical products for the human health as well as animal health sector.</t>
  </si>
  <si>
    <t>animal pharmaceuticals, pharmaceutical developer, pharmaceutical drugs</t>
  </si>
  <si>
    <t>www.schering-plough.com</t>
  </si>
  <si>
    <t>1989: 21300, 1990: 19700, 1991: 20200, 1992: 20200, 1993: 21600, 1994: 21200, 1995: 20100, 1996: 20600, 1997: 22700, 1998: 25100, 1999: 26500, 2000: 28100, 2001: 28100, 2002: 17000, 2003: 17000, 2004: 18500, 2005: 32600, 2006: 33500, 2007: 55000, 2008: 51000, 2009: 100000</t>
  </si>
  <si>
    <t>TTM 1Q2010</t>
  </si>
  <si>
    <t>Kenilworth, NJ</t>
  </si>
  <si>
    <t>2000 Galloping Hill Road</t>
  </si>
  <si>
    <t>Kenilworth</t>
  </si>
  <si>
    <t>07033</t>
  </si>
  <si>
    <t>The company was acquired by Merck &amp; Co. (NYS: MRK) for $45.7 billion on November 3, 2009.</t>
  </si>
  <si>
    <t>Merck &amp; Co.</t>
  </si>
  <si>
    <t>Bank of America Merrill Lynch(www.bofaml.com/content/boaml/en_us/home.html)</t>
  </si>
  <si>
    <t>Axiom Consulting Partners(Consulting), Azimutus Associates(Advisor: General), Boyanov &amp; Company(Legal Advisor), Johnson &amp; Urban(Consulting), Mantica Ventures(Consulting), The Selig Capital Group(Advisor: General), Truscel Capital(Advisor: Communications)</t>
  </si>
  <si>
    <t>Asters Law Firm(Legal Advisor), Junewicz &amp; Co.(Advisor: General), Morgan Stanley(Advisor: General), Skadden, Arps, Slate, Meagher &amp; Flom(Legal Advisor), The Goldman Sachs Group(Advisor: General), Wachtell, Lipton, Rosen &amp; Katz(Legal Advisor)</t>
  </si>
  <si>
    <t>42819-67</t>
  </si>
  <si>
    <t>Texaco</t>
  </si>
  <si>
    <t>Texas Company</t>
  </si>
  <si>
    <t>Texaco, Inc.</t>
  </si>
  <si>
    <t>Speedway, Gulf Oil, Andeavor, Phoenix LPG Philippines, Phillips 66 Power Operations, NGL Energy Partners</t>
  </si>
  <si>
    <t>Texaco is a distributor of petroleum products. The company's petroleum and gasoline products are offered through the gas stations enabling the customers to refuel their cars.</t>
  </si>
  <si>
    <t>Energy Marketing</t>
  </si>
  <si>
    <t>Energy Marketing*, Specialty Retail</t>
  </si>
  <si>
    <t>diesel gasoline, gasoline, gasoline product, petroleum, petroleum product</t>
  </si>
  <si>
    <t>www.texaco.com</t>
  </si>
  <si>
    <t>1989: 38240, 1990: 32840, 1991: 32840, 1992: 37582, 1993: 37582, 1994: 29713, 1995: 28247, 1996: 28957, 1997: 29313, 1998: 24628, 1999: 18443, 2000: 19011</t>
  </si>
  <si>
    <t>Chevron</t>
  </si>
  <si>
    <t>TTM 2Q2001</t>
  </si>
  <si>
    <t>White Plains, NY</t>
  </si>
  <si>
    <t>2000 Westchester Avenue</t>
  </si>
  <si>
    <t>White Plains</t>
  </si>
  <si>
    <t>10650</t>
  </si>
  <si>
    <t>+1 (914) 253-4000</t>
  </si>
  <si>
    <t>The company was acquired by Chevron (NYSE: CVX) for $36 billion in 2001.</t>
  </si>
  <si>
    <t>Performance Capital Partners(Consulting)</t>
  </si>
  <si>
    <t>41098-96</t>
  </si>
  <si>
    <t>Burlington Northern Santa Fe</t>
  </si>
  <si>
    <t>BNSF, BNSF Railway Company, BNSF Railway</t>
  </si>
  <si>
    <t>Burlington Northern Santa Fe Corp.</t>
  </si>
  <si>
    <t>Patriot Rail Company, Cando Rail &amp; Terminals, OmniTRAX, Appalachian Railcar Services, Penske Truck Leasing, Swift Transportation, Ryder System, Saga Italia, Hyundai Glovis Company, Fastfrate, Iowa Interstate Railroad, Arrow Material Services, Geodis, Summit Northwest, Mainfreight, Dhl International, Delta Railroad Services, Penske Logistics, Traffic Tech, Transport America, Deutsche Bahn, NFI Industries, Deutsche Post DHL Group, Metro Trains Melbourne JV, RailWorks, Norfolk Southern, GENCO Product Lifecycle Logistics, CSX (Freight Transportation)</t>
  </si>
  <si>
    <t>Operator of railroad system based in Fort Worth, Texas. The company offers freight and rail transportation services and offers transportation of products, commodities, consumer products, industrial products, coal, agricultural products and related products.</t>
  </si>
  <si>
    <t>Commercial Transportation</t>
  </si>
  <si>
    <t>Rail</t>
  </si>
  <si>
    <t>Logistics, Other Commercial Services, Rail*</t>
  </si>
  <si>
    <t>Industrials</t>
  </si>
  <si>
    <t>agricultural product transportation, freight management, freight service, freight transport, rail transportation service, railroad system, transportation services</t>
  </si>
  <si>
    <t>www.bnsf.com</t>
  </si>
  <si>
    <t>1995: 45000, 1996: 43000, 1997: 44500, 1998: 42900, 1999: 41600, 2000: 39600, 2001: 39000, 2002: 36000, 2003: 36500, 2004: 38000, 2005: 40000, 2006: 41000, 2007: 40000, 2008: 40000, 2009: 37359, 2010: 38000, 2011: 39000, 2012: 41000, 2013: 43000, 2016: 42000, 2017: 41000, 2018: 45000, 2019: 40750, 2020: 36000</t>
  </si>
  <si>
    <t>Berkshire Hathaway</t>
  </si>
  <si>
    <t>73885-15P</t>
  </si>
  <si>
    <t>Carl Ice</t>
  </si>
  <si>
    <t>President &amp; Chief Executive Officer</t>
  </si>
  <si>
    <t>carl.ice@bnsf.com</t>
  </si>
  <si>
    <t>+1 (800) 795-2673</t>
  </si>
  <si>
    <t>Fort Worth, TX</t>
  </si>
  <si>
    <t>2650 Lou Menk Drive</t>
  </si>
  <si>
    <t>Fort Worth</t>
  </si>
  <si>
    <t>76131</t>
  </si>
  <si>
    <t>+1 (817) 333-2377</t>
  </si>
  <si>
    <t>The company was acquired by Berkshire Hathaway (NYSE: BRK.A) for $26.8 billion on February 12, 2010.</t>
  </si>
  <si>
    <t>Cravath, Swaine &amp; Moore(Legal Advisor), Evercore Group(Advisor: General), The Goldman Sachs Group(Advisor: General)</t>
  </si>
  <si>
    <t>40779-19</t>
  </si>
  <si>
    <t>IHS Markit (NYS: INFO)</t>
  </si>
  <si>
    <t>IHS</t>
  </si>
  <si>
    <t>IHS Markit Ltd.</t>
  </si>
  <si>
    <t>Frost &amp; Sullivan, S&amp;P Global</t>
  </si>
  <si>
    <t>IHS Markit is a leading provider of data and analytics to corporate and sovereign clients across a wide variety of industries. Financial markets accounted for 42% of fiscal 2020 revenue, transportation 27%, resources (energy and chemicals) 20%, and CMS (consolidated markets) 11%. Approximately 60% of fiscal 2020 revenue came from the United States. IHS Markit has approximately 16,000 employees worldwide. About 74% of fiscal 2020 revenue was recurring and fixed, 14% recurring and variable, and 12% non-recurring. S&amp;P Global has offered to acquire IHS Markit, with holders of the target firm set to receive 0.2838 shares of the combined entity (a little less than one third of the total), in a deal valued at $44 billion upon announcement.</t>
  </si>
  <si>
    <t>Commercial Services</t>
  </si>
  <si>
    <t>Consulting Services (B2B)</t>
  </si>
  <si>
    <t>Consulting Services (B2B)*</t>
  </si>
  <si>
    <t>analytics, analytics system, data, database, information, insights, insights data, interactive search, strategy</t>
  </si>
  <si>
    <t>www.ihsmarkit.com</t>
  </si>
  <si>
    <t>2003: 2400, 2004: 2400, 2005: 2300, 2006: 2500, 2007: 3000, 2008: 3800, 2009: 4100, 2010: 4400, 2011: 5500, 2012: 6000, 2013: 8000, 2014: 8800, 2015: 8800, 2016: 12500, 2017: 13000, 2018: 14900, 2019: 15500, 2020: 16000</t>
  </si>
  <si>
    <t>INFO</t>
  </si>
  <si>
    <t>News (New) , News (New) , News (New) , News (New) , News (New) , News (New) , News (New)</t>
  </si>
  <si>
    <t>109742-95P</t>
  </si>
  <si>
    <t>Jonathan Gear</t>
  </si>
  <si>
    <t>Executive Vice President and Chief Financial Officer</t>
  </si>
  <si>
    <t>jonathan.gear@ihsmarkit.com</t>
  </si>
  <si>
    <t>4th Floor Ropemaker Place</t>
  </si>
  <si>
    <t>25 Ropemaker Street</t>
  </si>
  <si>
    <t>EC2Y 9LY</t>
  </si>
  <si>
    <t>The company (NYSE: INFO) reached a definitive agreement to be acquired by S&amp;P Global (NYS: SPGI) for $44 billion on November 30, 2020. This merger will increase S&amp;P Global's scale while rounding out its combined capabilities and accelerates and amplifies its ability to deliver customers the essential intelligence needed to make decisions with conviction.</t>
  </si>
  <si>
    <t>General Atlantic, Saints Capital, Temasek Holdings</t>
  </si>
  <si>
    <t>S&amp;P Global</t>
  </si>
  <si>
    <t>General Atlantic(www.generalatlantic.com), Saints Capital(www.saintscapital.com), Temasek Holdings(www.temasek.com.sg)</t>
  </si>
  <si>
    <t>S&amp;P Global(www.spglobal.com)</t>
  </si>
  <si>
    <t>Barclays(Advisor: General), Boston Consulting Group(Consulting), Citigroup(Underwriter), Davis Polk(Legal Advisor), EY(Accounting), Hamilton Clark(Advisor: General), J.P. Morgan Securities(Advisor: General), Jefferies Financial Group(Advisor: General), KeyBank(Underwriter), KPMG(Consulting), Morgan Stanley(Underwriter), Oliver Wyman(Consulting), Piper Sandler(Underwriter), The Goldman Sachs Group(Underwriter), UBS Group(Underwriter)</t>
  </si>
  <si>
    <t>Announced/In Progress</t>
  </si>
  <si>
    <t>161782-93</t>
  </si>
  <si>
    <t>US West</t>
  </si>
  <si>
    <t>US West, Inc.</t>
  </si>
  <si>
    <t>Provider of telecommunication services. The company's telecommunication services include local telephone and intraLATA long distance services, data transmission services, cable television services, wireless communications services and related telecommunications products.</t>
  </si>
  <si>
    <t>Telecommunications Service Providers*, Wireless Service Providers</t>
  </si>
  <si>
    <t>data transmission service, local telephone service, telecommunication service provider, wireless communication service</t>
  </si>
  <si>
    <t>189270-28P</t>
  </si>
  <si>
    <t>Sol Trujillo</t>
  </si>
  <si>
    <t>Denver, CO</t>
  </si>
  <si>
    <t>1801 California Street</t>
  </si>
  <si>
    <t>Suite 5200</t>
  </si>
  <si>
    <t>Denver</t>
  </si>
  <si>
    <t>Colorado</t>
  </si>
  <si>
    <t>80202</t>
  </si>
  <si>
    <t>The company was acquired by Qwest Communications International, a subsidiary of CenturyLink (NYS: CTL), for $44 billion on July 3, 2000. The company is no longer actively tracked by PitchBook.</t>
  </si>
  <si>
    <t>Qwest Communications International</t>
  </si>
  <si>
    <t>25269-94</t>
  </si>
  <si>
    <t>Praxair</t>
  </si>
  <si>
    <t>Praxair Technology, Inc</t>
  </si>
  <si>
    <t>Chevron, Anadarko Petroleum, Sasol, Suncor Energy, LukOil, Total, Royal Dutch Shell, Apache, Devon Energy, CVR Energy, Yingde Gases, Airgas, Linde</t>
  </si>
  <si>
    <t>Operator of an industrial gas company in Danbury, Connecticut.</t>
  </si>
  <si>
    <t>Energy Exploration, Energy Production*</t>
  </si>
  <si>
    <t>energy extraction, energy production, gas drilling, gas extractor, gas production</t>
  </si>
  <si>
    <t>www.praxair.com</t>
  </si>
  <si>
    <t>2018: 26000</t>
  </si>
  <si>
    <t>Danbury, CT</t>
  </si>
  <si>
    <t>10 Riverview Drive</t>
  </si>
  <si>
    <t>Danbury</t>
  </si>
  <si>
    <t>06810</t>
  </si>
  <si>
    <t>The company was acquired by Linde (NYS: LIN) for $43.288 billion on October 31, 2018. The company is no longer actively tracked by PitchBook.</t>
  </si>
  <si>
    <t>Linde</t>
  </si>
  <si>
    <t>Shardul Amarchand Mangaldas &amp; Company(Legal Advisor), ZS Associates(Consulting)</t>
  </si>
  <si>
    <t>Arthur Cox(Legal Advisor), Credit Suisse(Advisor: General), EY(Advisor: General), Sullivan &amp; Cromwell(Legal Advisor), Yulchon(Legal Advisor)</t>
  </si>
  <si>
    <t>11634-76</t>
  </si>
  <si>
    <t>WarnerMedia</t>
  </si>
  <si>
    <t>Time Warner</t>
  </si>
  <si>
    <t>Warner Media</t>
  </si>
  <si>
    <t>Warner Media, LLC</t>
  </si>
  <si>
    <t>Zodiak Media, 21st Century Fox, Starz Entertainment, NBCUniversal, Amazon Studios, Hulu, Fremantle, iHeartMedia, RTL Group, DirecTV, A&amp;E Television Networks, Fox Entertainment Group, Legendary Entertainment, Entertainment One, ESPN, In Demand, Disney/ABC Television Group, Showtime Networks, Audacy (Digital Audio), LionsGate Entertainment, VICE Media, Fox Family Worldwide, Mediaset, Silver Chalice Ventures, Viacom, The Walt Disney Company, Cox Communications, MGM Studios, Sony Pictures Entertainment, Mediaset España Comunicación, Paramount Pictures, Cumulus Media, Joe FM, AMC Networks, YG Entertainment, ViacomCBS, Endemol, Dish Network, Time Warner Cable, Warner Bros. Entertainment</t>
  </si>
  <si>
    <t>Provider of media and entertainment services intended to create cultural touchstones. The company offers cable networks, filmed entertainment and publishing services, delivering audiences with stories and engaging content from talented storytellers and journalists.</t>
  </si>
  <si>
    <t>entertainment business, filmed entertainment, movies distributor, publishing service, television network</t>
  </si>
  <si>
    <t>www.warnermedia.com</t>
  </si>
  <si>
    <t>1991: 116, 1992: 124, 1993: 236, 1994: 527, 1995: 2481, 1996: 5828, 1997: 7371, 1998: 8500, 1999: 12100, 2000: 88500, 2001: 89300, 2002: 91250, 2003: 80000, 2004: 84900, 2005: 87850, 2006: 92700, 2007: 86400, 2008: 87000, 2009: 31000, 2010: 31000, 2011: 34000, 2012: 34000, 2013: 34000, 2014: 25600, 2015: 24800, 2016: 25000, 2017: 26000, 2018: 26000, 2020: 30000</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</si>
  <si>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</si>
  <si>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TTM 1Q2018</t>
  </si>
  <si>
    <t>247417-39P</t>
  </si>
  <si>
    <t>Jennifer Biry</t>
  </si>
  <si>
    <t>jennifer.biry@warnermediagroup.com</t>
  </si>
  <si>
    <t>+1 (212) 484-8000</t>
  </si>
  <si>
    <t>30 Hudson Yards</t>
  </si>
  <si>
    <t>10001</t>
  </si>
  <si>
    <t>AT&amp;T reached a definitive agreement to sell the company through an all-stock transaction to Discovery for $43 billion on May 17, 2021. As a result of the transaction, AT&amp;T's shareholders would receive stock representing 71 percent of the new company. The deal enables AT&amp;T to focus on its broadband business and pay down its debt. The company is being actively tracked by PitchBook.</t>
  </si>
  <si>
    <t>Istithmar World</t>
  </si>
  <si>
    <t>21st Century Fox, Discovery</t>
  </si>
  <si>
    <t>AT&amp;T(www.att.com)</t>
  </si>
  <si>
    <t>Istithmar World(www.istithmarworld.com)</t>
  </si>
  <si>
    <t>21st Century Fox(www.21cf.com), Discovery(www.discovery.com)</t>
  </si>
  <si>
    <t>Bushkin Associates(Advisor: General), Creel, García-Cuéllar, Aiza y Enríquez(Legal Advisor), Crowell &amp; Moring(Legal Advisor), Gibson, Dunn &amp; Crutcher(Legal Advisor), J.P. Morgan(Debt Financing), M&amp;A Media Group(Advisor: General), Mintz(Legal Advisor), Motion!(Advisor: General), Rossoff &amp; Company(Underwriter), Siebert Cisneros Shank &amp; Co.(Lead Manager or Arranger), Site Selection Group(Consulting), TDI Corporate Finance(Advisor: General), Telsey Advisory Group(Advisor: General), Triton Value Partners(Advisor: General)</t>
  </si>
  <si>
    <t>Allen &amp; Company(Advisor: General), Arnold &amp; Porter Kaye Scholer(Legal Advisor), Citigroup(Advisor: General), Citigroup Global Markets(Advisor: General), Cravath, Swaine &amp; Moore(Legal Advisor), EY(Accounting), Galicia Abogados(Legal Advisor), JPMorgan Chase(Debt Financing), LionTree Advisors(Advisor: General), Morgan Stanley(Advisor: General), Morrow Sodali(Advisor: Communications), MUFG Securities EMEA(Underwriter), Paul, Weiss, Rifkind, Wharton &amp; Garrison(Legal Advisor), Sidley Austin(Legal Advisor), Swiss Bank(Lead Manager or Arranger), The Goldman Sachs Group(Advisor: General), The Goldman Sachs Group(Debt Financing), UBS Group(Lead Manager or Arranger)</t>
  </si>
  <si>
    <t>Bridge - $43.00B</t>
  </si>
  <si>
    <t>62022-25</t>
  </si>
  <si>
    <t>Rio Tinto Alcan</t>
  </si>
  <si>
    <t>Alcan</t>
  </si>
  <si>
    <t>Rio Tinto Alcan Inc.</t>
  </si>
  <si>
    <t>Rio Tinto</t>
  </si>
  <si>
    <t>Operator of bauxite mining. The company produces primary aluminum, bauxite and alumina. It also offers bathmaterial, cryolite and aluminum fluoride.</t>
  </si>
  <si>
    <t>Metals, Minerals and Mining</t>
  </si>
  <si>
    <t>Aluminum Mining</t>
  </si>
  <si>
    <t>Aluminum Mining*</t>
  </si>
  <si>
    <t>Industrials, Infrastructure, Manufacturing</t>
  </si>
  <si>
    <t>aluminum fluoride, aluminum ore mining, bauxite, mining company, primary aluminum</t>
  </si>
  <si>
    <t>www.alcan.com</t>
  </si>
  <si>
    <t>1989: 57000, 1990: 55000, 1991: 54000, 1992: 49000, 1993: 44000, 1994: 42000, 1995: 39000, 1996: 34000, 1997: 33000, 1998: 36000, 1999: 38000, 2000: 53400, 2001: 51800, 2002: 48100, 2003: 52000, 2004: 82500, 2005: 64900, 2006: 64700, 2007: 68000, 2014: 64200</t>
  </si>
  <si>
    <t>TTM 3Q2007</t>
  </si>
  <si>
    <t>Montreal, Canada</t>
  </si>
  <si>
    <t>1188, Sherbrooke Street West</t>
  </si>
  <si>
    <t>Montreal</t>
  </si>
  <si>
    <t>Quebec</t>
  </si>
  <si>
    <t>H3A 3G2</t>
  </si>
  <si>
    <t>Canada</t>
  </si>
  <si>
    <t>The company was acquired by Rio Tinto (TSX: RIO) for CAD 39.6 billion on November 14, 2007. The company is no longer actively tracked by PitchBook.</t>
  </si>
  <si>
    <t>PARTER Capital Group</t>
  </si>
  <si>
    <t>PARTER Capital Group(www.parter-capital.com)</t>
  </si>
  <si>
    <t>BM&amp;A Partners(Advisor: General)</t>
  </si>
  <si>
    <t>Valitas Capital Partners(Advisor: General)</t>
  </si>
  <si>
    <t>235146-61</t>
  </si>
  <si>
    <t>SDL USA</t>
  </si>
  <si>
    <t>SDL</t>
  </si>
  <si>
    <t>SDL Inc.</t>
  </si>
  <si>
    <t>Manufacturer of lasers for the purpose of strengthening signals on telecommunications networks. The company's high-speed networks that send data on light impulses over hair-thin glass fibers, enabling its customers to get the most innovative and technologically advanced products that enhance their ability to deliver next-generation optical systems.</t>
  </si>
  <si>
    <t>Industrial Supplies and Parts</t>
  </si>
  <si>
    <t>Fiberoptic Equipment, Industrial Supplies and Parts*, Wireless Communications Equipment</t>
  </si>
  <si>
    <t>demultiplexers, distributing laser, modulators, multiplexer, network monitor, optical communication, optical system, receivers circuit</t>
  </si>
  <si>
    <t>2001: 1700</t>
  </si>
  <si>
    <t>FY 2000</t>
  </si>
  <si>
    <t>13916-62P</t>
  </si>
  <si>
    <t>Donald Scifres</t>
  </si>
  <si>
    <t>Chief Executive Officer &amp; President</t>
  </si>
  <si>
    <t>dscifres@sdlventures.com</t>
  </si>
  <si>
    <t>+1 (650) 559-9355</t>
  </si>
  <si>
    <t>San Jose, CA</t>
  </si>
  <si>
    <t>San Jose</t>
  </si>
  <si>
    <t>The company was acquired by Viavi Solutions (NAS: VIAV) for $41.19 billion on February 16, 2001. This merger is intended to expedite the development and deployment of high-capacity, flexible optical networks by speeding-up the delivery of optical amplifiers, lossless optical switches, integrated optical modules and other innovative solutions. The company is no longer actively tracked by PitchBook.</t>
  </si>
  <si>
    <t>Viavi Solutions</t>
  </si>
  <si>
    <t>Aspect Consumer Partners(Advisor: General)</t>
  </si>
  <si>
    <t>42010-30</t>
  </si>
  <si>
    <t>NTT DoCoMo</t>
  </si>
  <si>
    <t>NTT Docomo, Inc.</t>
  </si>
  <si>
    <t>Orange, Nippon Telegraph &amp; Telephone, BT Group (UK), SoftBank Group</t>
  </si>
  <si>
    <t>NTT DoCoMo is Japan's largest wireless telephone operator. It has 78 million subscribers, leading to its market share of approximately 44%. The firm has been a technological leader, introducing wireless Internet access through its i-mode service in 1999, along with the ability to use a handset like a credit card. NTT DoCoMo also owns minority stakes in Philippine Long Distance Telephone, Hutchison Telecom Hong Kong Holdings, and other smaller phone companies. The firm's objective is to have the highest-quality network and customer service in Japan.</t>
  </si>
  <si>
    <t>Other Communications and Networking</t>
  </si>
  <si>
    <t>Other Communications and Networking*</t>
  </si>
  <si>
    <t>network provider, telecommunication, telephone network, wireless communication, wireless telecommunication</t>
  </si>
  <si>
    <t>Privately Held (backing)</t>
  </si>
  <si>
    <t>www.nttdocomo.co.jp</t>
  </si>
  <si>
    <t>2001: 18015, 2002: 19700, 2003: 20792, 2004: 21241, 2005: 21527, 2006: 21765, 2007: 21646, 2008: 22100, 2009: 22843, 2010: 22297, 2019: 35084, 2020: 34370</t>
  </si>
  <si>
    <t>88499-80P</t>
  </si>
  <si>
    <t>Hirotaka Sato</t>
  </si>
  <si>
    <t>Executive Vice President, Board of Directors &amp; Chief Financial Officer</t>
  </si>
  <si>
    <t>+81 (0)35 156 1111</t>
  </si>
  <si>
    <t>Tokyo, Japan</t>
  </si>
  <si>
    <t>Sanno Park Tower</t>
  </si>
  <si>
    <t>11-1, Nagata-cho 2-chome, Chiyoda-ku</t>
  </si>
  <si>
    <t>Tokyo</t>
  </si>
  <si>
    <t>100-6150</t>
  </si>
  <si>
    <t>Japan</t>
  </si>
  <si>
    <t>+81 (0)35 156 0271</t>
  </si>
  <si>
    <t>Asia</t>
  </si>
  <si>
    <t>East Asia</t>
  </si>
  <si>
    <t>An undisclosed investor sold a 34% stake in the company to Nippon Telegraph &amp; Telephone (TYO: 9432) for JPY 4.3 trillion on November 16, 2020.</t>
  </si>
  <si>
    <t>Nippon Telegraph &amp; Telephone</t>
  </si>
  <si>
    <t>Nippon Telegraph &amp; Telephone(www.group.ntt)</t>
  </si>
  <si>
    <t>beBit(Consulting), Brock Capital Group(Advisor: General), Digi-Capital(Advisor: General), International Interface Co.(Consulting), KCA Capital(Advisor: General), KPMG AZSA(Auditor), Tonex(Consulting)</t>
  </si>
  <si>
    <t>Orrick(Legal Advisor)</t>
  </si>
  <si>
    <t>25167-43</t>
  </si>
  <si>
    <t>Actavis Generics</t>
  </si>
  <si>
    <t>Pharmaco</t>
  </si>
  <si>
    <t>CorePharma, Representaciones e Investigaciones Médicas, Lannett Company, MS Pharma Ventures, Bluefish Pharmaceuticals, Sagent Pharmaceuticals, Camber Pharmaceuticals, Innovus Pharmaceuticals, InvaGen Pharmaceuticals, Tris Pharma, Sunovion Pharmaceuticals, Alvogen Group, The Harvard Drug Group, Medis ( Pharmaceuticals), Iroko Pharmaceuticals, Teva Pharmaceutical Industries, Sandoz</t>
  </si>
  <si>
    <t>Provider of generic pharmaceutical products. The company provides generic pharmaceutical products for human use covering alimentary tract and metabolism, cardiovascular system, central nervous system, genito-urinary and sex hormones, anti-infective, musculo-skeletal system, oncology, respiratory system and dermatological therapeutic categories.</t>
  </si>
  <si>
    <t>cardiovascular system, nervous system, oncology, pharmaceutical product, respiratory system, valacyclovir hydrochloride tablets</t>
  </si>
  <si>
    <t>www.actavis.com</t>
  </si>
  <si>
    <t>1997: 150, 2007: 11000, 2011: 10000, 2012: 10000</t>
  </si>
  <si>
    <t>FY 2012</t>
  </si>
  <si>
    <t>Zug, Switzerland</t>
  </si>
  <si>
    <t>Turmstrasse 24</t>
  </si>
  <si>
    <t>Zug</t>
  </si>
  <si>
    <t>6300</t>
  </si>
  <si>
    <t>Switzerland</t>
  </si>
  <si>
    <t>The company, a subsidiary of Allergan, was acquired by Teva Pharmaceutical Industries (NYS: TEVA) for $40.5 billion on August 2, 2016. The acquisition will thrive in an evolving global marketplace, to realize the opportunities the very attractive global and U.S. generics markets offer, and to deliver the highest-quality generic medicines at the most competitive prices, unlocking value to patients, healthcare systems and investors around the world. The company is no longer actively tracked by PitchBook.</t>
  </si>
  <si>
    <t>Teva Pharmaceutical Industries</t>
  </si>
  <si>
    <t>Allergan, ALMC, Landsbankinn, Novator Partners</t>
  </si>
  <si>
    <t>Allergan(www.allergan.com), ALMC(www.almchf.com), Landsbankinn(www.landsbankinn.com), Novator Partners(www.novator.co.uk)</t>
  </si>
  <si>
    <t>Bank of America Merrill Lynch(Advisor: General), Barclays(Debt Financing), BNP Paribas(Debt Financing), Citigroup(Debt Financing), Credit Suisse(Debt Financing), Deutsche Bank(Debt Financing), J.P. Morgan(Advisor: General), Linklaters(Legal Advisor), Mizuho Bank(Debt Financing), Morgan Stanley(Debt Financing), RBC Capital Markets(Debt Financing), Shearman &amp; Sterling(Legal Advisor), Sumitomo Mitsui Banking(Debt Financing), The Blackstone Group(Advisor: General), Wells Fargo(Debt Financing)</t>
  </si>
  <si>
    <t>Loan (Senior)</t>
  </si>
  <si>
    <t>42001-93</t>
  </si>
  <si>
    <t>Sky UK</t>
  </si>
  <si>
    <t>Sky</t>
  </si>
  <si>
    <t>Sky UK Limited</t>
  </si>
  <si>
    <t>Provider of television broadcasting and telecommunication services based in Isleworth, United Kingdom. The company offers satellite television and pay-TV as well as bundles of broadband, telephony services.</t>
  </si>
  <si>
    <t>Broadcasting, Radio and Television*, Internet Service Providers</t>
  </si>
  <si>
    <t>broadband internet, entertainment facility, network broadcast, television broadcasting, television service</t>
  </si>
  <si>
    <t>www.sky.com</t>
  </si>
  <si>
    <t>1992: 1351, 1993: 1765, 1994: 2390, 1995: 3050, 1996: 4202, 1997: 4577, 1998: 4629, 1999: 8251, 2000: 10730, 2001: 9946, 2002: 9081, 2003: 9115, 2004: 9483, 2005: 9958, 2006: 11216, 2007: 13087, 2008: 14145, 2009: 14922, 2010: 16439, 2011: 16006, 2012: 17937, 2017: 30000, 2019: 31000, 2020: 32000</t>
  </si>
  <si>
    <t>FY 2018</t>
  </si>
  <si>
    <t>172747-72P</t>
  </si>
  <si>
    <t>Simon Robson</t>
  </si>
  <si>
    <t>Group Chief Financial Officer</t>
  </si>
  <si>
    <t>srobson@sky.com</t>
  </si>
  <si>
    <t>Isleworth, United Kingdom</t>
  </si>
  <si>
    <t>Grant Way</t>
  </si>
  <si>
    <t>Isleworth</t>
  </si>
  <si>
    <t>TW7 5QD</t>
  </si>
  <si>
    <t>The company was acquired by Comcast (NAS: CMCSA) for $39.387 billion on October 9, 2018. The acquisition will allow Comcast to expand in Europe, adding nearly 23 million customers across five countries, including Britain, Germany and Italy.</t>
  </si>
  <si>
    <t>21st Century Fox, BT Alex.Brown, Church of England, Deutsche Bank, Elliott Management, Granada Group, Pearson, Royal London Asset Management, Vivendi</t>
  </si>
  <si>
    <t>21st Century Fox(www.21cf.com), Church of England(www.churchofengland.org), Deutsche Bank(www.db.com), Elliott Management(www.elliottmgmt.com), Granada Group(www.granada-group.com), Pearson(pearson.com), Royal London Asset Management(www.rlam.co.uk), Vivendi(www.vivendi.com)</t>
  </si>
  <si>
    <t>Allen &amp; Overy(Legal Advisor), Axxeltrova(Advisor: General), Bank of America Merrill Lynch(Advisor: General), Barclays Investment Bank(Debt Financing), Cia Financiere Lazard Freres(Advisor: General), Cleary Gottlieb(Legal Advisor), Cravath, Swaine &amp; Moore(Legal Advisor), Deloitte(Auditor), Freshfields Bruckhaus Deringer(Legal Advisor), Herbert Smith(Legal Advisor), KPMG(Advisor: General), Macfarlanes(Legal Advisor), Mattos Filho, Veiga Filho, Marrey Jr. e Quiroga Advogados(Legal Advisor), Morgan Stanley(Advisor: General), Rothschild Holding(Advisor: General), Trillium Partners(Advisor: General), UBS Group(Advisor: General), White Space Strategy(Consulting)</t>
  </si>
  <si>
    <t>Bank of America(Debt Financing), Bank of America Merrill Lynch(Advisor: General), Barclays Bank UK(Advisor: General), Citibank(Debt Financing), Cravath, Swaine &amp; Moore(Legal Advisor), Herbert Smith(Legal Advisor), Morgan Stanley(Advisor: General), PJT Partners(Advisor: General), UBS Group(Advisor: General)</t>
  </si>
  <si>
    <t>41106-70</t>
  </si>
  <si>
    <t>Alexion</t>
  </si>
  <si>
    <t>Alex Pharmaceuticals</t>
  </si>
  <si>
    <t>Alexion Pharmaceuticals, Inc.</t>
  </si>
  <si>
    <t>BioMarin Pharmaceutical, Jazz Pharmaceuticals, Biogen, Amgen, Regeneron Pharmaceuticals, Genentech, ViaCyte, Chemocentryx, Ocugen, Blueprint Medicines, Molecular Partners, Seagen, Gilead Sciences, Hansa Biopharma, BioCryst Pharmaceuticals, Selecta Biosciences, Catalyst Biosciences, Proteostasis Therapeutics, Akari Therapeutics, VBI Vaccines(Rehovot), Seragon Pharmaceuticals, United Therapeutics, Galera Therapeutics, Galapagos (Belgium), Peloton Therapeutics, Boston Biomedical, Editas Medicine, Azur Pharma, Loxo Oncology, Inovio Pharmaceuticals, Sutro Biopharma, Apellis, TiGenix, BioAtla, MannKind Corporation, OncoResponse, Novo Nordisk, Semma Therapeutics, Dynavax Technologies, Lundbeck, Evolus, Salix Pharmaceuticals, CytomX Therapeutics, Diamyd Medical, Theravance Biopharma, Ambrx, AVEO Oncology, PaxVax, Spark Therapeutics, Shire, Acura Pharmaceuticals, Arbor Pharmaceuticals, Actelion Pharmaceuticals, Janssen Global Services, Boehringer Ingelheim, Calimmune, Baxalta, Revance Therapeutics, Celgene</t>
  </si>
  <si>
    <t>Alexion Pharmaceuticals specializes in developing and marketing drugs for rare, life-threatening medical conditions. Its blockbuster product, Soliris, is approved for paroxysmal nocturnal hemoglobinuria (PNH), atypical hemolytic uremic syndrome (aHUS), generalized myasthenia gravis (gMG), and neuromyelitis optica spectrum disorder (NMOSD). Next-generation Ultomiris is approved in PNH and aHUS. Strensiq and Kanuma target ultrarare metabolic diseases. Alexion's pipeline targets rare diseases with high unmet need in hematology, nephrology, metabolic diseases, neurology, cardiology, and other areas.</t>
  </si>
  <si>
    <t>biopharmaceutical product, biopharmaceuticals, inhibitors, pharmaceutical manufacturer, therapeutic treatment</t>
  </si>
  <si>
    <t>www.alexion.com</t>
  </si>
  <si>
    <t>1996: 49, 1997: 51, 1998: 69, 1999: 90, 2000: 113, 2001: 140, 2002: 172, 2003: 191, 2004: 204, 2005: 241, 2006: 296, 2007: 434, 2008: 504, 2009: 673, 2010: 792, 2011: 1008, 2012: 1373, 2013: 1774, 2014: 2273, 2015: 2924, 2016: 3121, 2017: 2525, 2018: 2656, 2019: 3082, 2020: 3837, 2021: 4150</t>
  </si>
  <si>
    <t>AstraZeneca</t>
  </si>
  <si>
    <t>Deal (Update) Merger/Acquisition, 2021|Completed|ACQ|ANNO, People (New) Uzair Qadeer, Chief Diversity Officer &amp; Senior Vice President, Promotion (New) Aradhana Sarin, Chief Financial Officer &amp; Executive Vice President, Promotion (New) Brian Goff, Chief Commercial and Global Operations Officer, Promotion (New) Indrani Franchini, Executive Vice President &amp; Chief Compliance Officer, Promotion (New) John Orloff, Executive Vice President &amp; Global Head of Research &amp; Development, Promotion (New) Tanisha Carino, Chief Corporate Affairs Officer, Ownership Status (Update) Acquired/Merged (Operating Subsidiary), News (New) , News (New) , News (New) , News (New) , News (New) , News (New) , News (New) , News (New) , News (New) , News (New) , News (New) , News (New) , News (New) , News (New) , News (New) , News (New)</t>
  </si>
  <si>
    <t>209985-04P</t>
  </si>
  <si>
    <t>Aradhana Sarin</t>
  </si>
  <si>
    <t>aradhana.sarin@alexion.com</t>
  </si>
  <si>
    <t>+1 (475) 230-2596</t>
  </si>
  <si>
    <t>121 Seaport Boulevard</t>
  </si>
  <si>
    <t>02210</t>
  </si>
  <si>
    <t>+1 (203) 271-8198</t>
  </si>
  <si>
    <t>medinfo@alexion.com</t>
  </si>
  <si>
    <t>The company was acquired by AstraZeneca (LON: AZN) for USD 39 billion on July 21, 2021. The acquisition allows AstraZeneca to move further into immunology with an enhanced scientific presence and giving it Alexion's lead medicine soliris (eculizumab), among four other approved medicines and a pipeline of 11 molecules.</t>
  </si>
  <si>
    <t>Alkeon Capital Management, Bank of the West, BMO Financial Group, Capital One Financial, Covenant Asset Management, Elliott Management, Gateway Investment Advisers, Jennison Associates, The Private Trust Company</t>
  </si>
  <si>
    <t>BB Biotech, CHL Medical Partners, Connecticut Innovations, Federated Kaufmann Fund, OrbiMed, Scudder Kemper, T. Rowe Price, Zesiger Capital Group</t>
  </si>
  <si>
    <t>Alkeon Capital Management(www.alkeoncapital.com), Bank of the West(www.bankofthewest.com), Capital One Financial(www.capitalone.com), Covenant Asset Management(www.covasset.com), Elliott Management(www.elliottmgmt.com), Gateway Investment Advisers(www.gia.com), Jennison Associates(www.jennison.com), The Private Trust Company(www.theprivatetrustcompany.com)</t>
  </si>
  <si>
    <t>BB Biotech(www.bbbiotech.ch), CHL Medical Partners(www.chlmedical.com), Connecticut Innovations(www.ctinnovations.com), OrbiMed(www.orbimed.com), T. Rowe Price(www.troweprice.com), Zesiger Capital Group(www.zesigercapital.com)</t>
  </si>
  <si>
    <t>Bank of America(Advisor: General), BofA Securities(Advisor: General), Davies Ward Phillips &amp; Vineberg(Legal Advisor), Kahn Swick &amp; Foti(Legal Advisor), Macfarlanes(Legal Advisor), Morgan Lewis(Legal Advisor), Piper Sandler(Underwriter), Wachtell, Lipton, Rosen &amp; Katz(Legal Advisor)</t>
  </si>
  <si>
    <t>434942-11</t>
  </si>
  <si>
    <t>Fixed-Mobile Provider (Liberty Global / Telefónica)</t>
  </si>
  <si>
    <t>Joint Venture (Liberty Global / Telefónica)</t>
  </si>
  <si>
    <t>Provider of converged fixed-mobile services based in the United Kingdom.</t>
  </si>
  <si>
    <t>Mobile</t>
  </si>
  <si>
    <t>broadband network, broadband network provider, mobile network provider, mobile platform, network operations</t>
  </si>
  <si>
    <t>Pending Transaction (M&amp;A)</t>
  </si>
  <si>
    <t>Privately Held (no backing)</t>
  </si>
  <si>
    <t>2021: 18000</t>
  </si>
  <si>
    <t>Liberty Global (UK) (NAS: LBTYA) and Telefónica (BME: TEF) have entered into a definitive agreement to form a joint venture for GBP 31 billion as of May 7, 2020. Liberty Global (UK) and Telefónica both will hold a 50% stake in the company. The joint venture creates a stronger fixed and mobile competitor in the U.K. market, supporting the expansion of Virgin Media's giga-ready network and O2's 5G mobile deployment for the benefit of consumers, businesses and the public sector. The joint venture is being actively tracked by PitchBook.</t>
  </si>
  <si>
    <t>Liberty Global (UK), Telefónica</t>
  </si>
  <si>
    <t>Liberty Global (UK)(www.libertyglobal.com), Telefónica(www.telefonica.com)</t>
  </si>
  <si>
    <t>127705-51</t>
  </si>
  <si>
    <t>Seagram</t>
  </si>
  <si>
    <t>Distillers Corp-Seagram, Bronfmans' Distillers, Distillers Corporation</t>
  </si>
  <si>
    <t>Seagram Co</t>
  </si>
  <si>
    <t>The Seagram Co. Ltd.</t>
  </si>
  <si>
    <t>Provider of music and film entertainment services. The company is engaged in providing music, entertainment, recreation and wine businesses in Canada and also specializes in selling distilled spirits, wines, sherries, coolers, beers, mixers, and other low alcoholic beverages.</t>
  </si>
  <si>
    <t>Beverages</t>
  </si>
  <si>
    <t>Beverages*, Movies, Music and Entertainment</t>
  </si>
  <si>
    <t>beer, film and entertainment, music and film</t>
  </si>
  <si>
    <t>www.seagramsginlive.com</t>
  </si>
  <si>
    <t>1990: 17600, 1991: 17700, 1992: 16800, 1993: 16800, 1994: 16800, 1995: 16800, 1996: 30000, 1997: 30000, 1998: 24200, 1999: 34000, 2000: 34000</t>
  </si>
  <si>
    <t>TTM 1Q2001</t>
  </si>
  <si>
    <t>1430 Peel Street</t>
  </si>
  <si>
    <t>H3A 1S9</t>
  </si>
  <si>
    <t>The company was acquired by Vivendi for CAD 59.296 billion on December 8, 2000. The company is no loner actively tracked by PitchBook.</t>
  </si>
  <si>
    <t>Joseph E. Seagrams and Sons</t>
  </si>
  <si>
    <t>Vivendi</t>
  </si>
  <si>
    <t>Joseph E. Seagrams and Sons(www.seagramsgin.com)</t>
  </si>
  <si>
    <t>Brainerd Communicators(Advisor: Communications)</t>
  </si>
  <si>
    <t>Gide Loyrette Nouel(Legal Advisor), Goodman Phillips &amp; Vineberg(Legal Advisor), Morgan Stanley(Advisor: General), Osler, Hoskin &amp; Harcourt(Legal Advisor), Simpson Thacher &amp; Bartlett(Legal Advisor), The Goldman Sachs Group(Advisor: General)</t>
  </si>
  <si>
    <t>437543-20</t>
  </si>
  <si>
    <t>PetroChina (Oil and Gas Pipelines and Storage Facilities Located in China)</t>
  </si>
  <si>
    <t>Oil and gas pipelines and storage facilities located in China.</t>
  </si>
  <si>
    <t>Other Energy</t>
  </si>
  <si>
    <t>Buildings and Property, Energy Storage, Energy Transportation, Other Energy*</t>
  </si>
  <si>
    <t>energy, energy storage, energy transfer, gas storage, oil storage</t>
  </si>
  <si>
    <t>China</t>
  </si>
  <si>
    <t>The Oil and Gas Pipelines and Storage Facilities of PetroChina (SHG: 601857) were acquired by China Oil And Gas (HKG: 00603) for $38.36 billion in September 2020. The asset is no longer actively tracked by PitchBook.</t>
  </si>
  <si>
    <t>China Oil And Gas</t>
  </si>
  <si>
    <t>PetroChina Company</t>
  </si>
  <si>
    <t>PetroChina Company(www.petrochina.com.cn)</t>
  </si>
  <si>
    <t>Corporate Asset Purchase</t>
  </si>
  <si>
    <t>Asset Acquisition</t>
  </si>
  <si>
    <t>Asset Divestiture (Corporate)</t>
  </si>
  <si>
    <t>10321-93</t>
  </si>
  <si>
    <t>The Williams Companies (NYS: WMB)</t>
  </si>
  <si>
    <t>Williams Energy Partners</t>
  </si>
  <si>
    <t>Williams</t>
  </si>
  <si>
    <t>The Williams Companies, Inc.</t>
  </si>
  <si>
    <t>MPLX, Kinder Morgan, EnLink Midstream, ONEOK, Enable Midstream Partners, Caiman Energy, BlueRacer Midstream, Pembina Pipeline, Transneft, TC Energy, EagleClaw Midstream Ventures, Open Grid Europe, NGL Energy Partners, Magellan Midstream Partners, Buckeye Partners, Southcross Energy Partners, Williams Partners, Cogentrix Energy Power Management, Enbridge, Plains Midstream Canada, Superior Energy Services, AltaGas, Overseas Shipholding Group, Plains All American Pipeline</t>
  </si>
  <si>
    <t>Williams is a midstream energy company that owns and operates the large Transco and Northwest pipeline systems and associated natural gas gathering, processing, and storage assets. In August 2018, the firm acquired the remaining 26% ownership of its limited partner, Williams Partners.</t>
  </si>
  <si>
    <t>Energy Infrastructure</t>
  </si>
  <si>
    <t>Energy Infrastructure*, Energy Transportation, Other Energy Services</t>
  </si>
  <si>
    <t>olefins production, petroleum product</t>
  </si>
  <si>
    <t>co.williams.com</t>
  </si>
  <si>
    <t>1989: 3700, 1990: 3797, 1991: 6491, 1992: 6795, 1993: 6543, 1994: 8200, 1995: 10000, 1996: 11000, 1997: 15000, 1998: 21011, 1999: 21000, 2000: 24100, 2001: 12433, 2002: 7300, 2003: 4800, 2004: 3656, 2005: 3913, 2006: 4313, 2007: 4319, 2008: 4704, 2009: 4801, 2010: 5022, 2011: 4293, 2012: 4639, 2013: 4909, 2014: 6742, 2015: 6578, 2016: 5604, 2017: 5425, 2018: 5322, 2019: 4812, 2020: 4739</t>
  </si>
  <si>
    <t>WMB</t>
  </si>
  <si>
    <t>News (New) , News (New) , News (New) , News (New) , News (New) , News (New) , News (New) , News (New) , News (New)</t>
  </si>
  <si>
    <t>92239-21P</t>
  </si>
  <si>
    <t>Larry Larsen</t>
  </si>
  <si>
    <t>Vice President, Strategic Development</t>
  </si>
  <si>
    <t>larry@williams.com</t>
  </si>
  <si>
    <t>+1 (800) 945-5426</t>
  </si>
  <si>
    <t>Tulsa, OK</t>
  </si>
  <si>
    <t>One Williams Center</t>
  </si>
  <si>
    <t>PO BOX 2400</t>
  </si>
  <si>
    <t>Tulsa</t>
  </si>
  <si>
    <t>Oklahoma</t>
  </si>
  <si>
    <t>74102-2400</t>
  </si>
  <si>
    <t>williamscontact@williams.com</t>
  </si>
  <si>
    <t>The company (NYSE: WMB) was in talks to be acquired by Enterprise Product Partners (NYSE: EPD) for $38 billion on August 18, 2016. Subsequently the deal was cancelled on September 8, 2016. Previously, the company (NYS:WMB) received an undisclosed amount of development capital from Corvex Management and Soroban Capital on July 1, 2016 through a private placement.</t>
  </si>
  <si>
    <t>Charles Schwab &amp; Co., Corvex Management, First Western Capital Management, FNY Managed Accounts, Kohlberg Kravis Roberts, Mizuho Asia Partners, Piedmont Investment Advisors, Soroban Capital Partners, The Walnut Group, Third Point</t>
  </si>
  <si>
    <t>Energy Transfer (Acquired in 2017), Enterprise Products Partners</t>
  </si>
  <si>
    <t>Charles Schwab &amp; Co.(www.schwab.com), First Western Capital Management(www.fwcapmgmt.com), Kohlberg Kravis Roberts(www.kkr.com), Mizuho Asia Partners(www.mizuho-ap.com), Piedmont Investment Advisors(www.piedmontinvestmentadvisors.com), Soroban Capital Partners(www.sorobancap.com), The Walnut Group(www.thewalnutgroup.com), Third Point(www.thirdpoint.com)</t>
  </si>
  <si>
    <t>Enterprise Products Partners(www.enterpriseproducts.com)</t>
  </si>
  <si>
    <t>Acumen Learning(Consulting), Dawson &amp; Associates(Legal Advisor), Kean Miller(Legal Advisor), McCabe Resource Group(Accounting)</t>
  </si>
  <si>
    <t>Egan-Jones(Advisor: General), EY(Advisor: General), Gibson, Dunn &amp; Crutcher(Legal Advisor), Intrepid Capital Partners(Advisor: General), Joele Frank(Advisor: Communications), Latham &amp; Watkins(Legal Advisor), Morgan Lewis(Legal Advisor), Morgan Stanley(Advisor: General), Shearman &amp; Sterling(Legal Advisor), The Goldman Sachs Group(Advisor: General), UBS Group(Advisor: General)</t>
  </si>
  <si>
    <t>26033-59</t>
  </si>
  <si>
    <t>Precision Castparts</t>
  </si>
  <si>
    <t>PCC</t>
  </si>
  <si>
    <t>Precision Castparts Corp.</t>
  </si>
  <si>
    <t>Plastic Components, Allegheny Technologies, Carpenter Technology, Kansai Paint, Firstmark (Chatsworth), VSMPO-AVISMA, Dow Silicones, Forged Products, Ascent Aerospace, RTI International Metals, Illinois Tool Works, Steel Dynamics, Paradigm Precision, Bossard Group, Marotta Controls, Fountaintown Forge, Sonaca Group, Aubert &amp; Duval, Würth Group, Metalurgica Gerdau, Greene, Tweed, Mattco Forge, TriMas, LoneStar Group, Moog, Nova-Tech Engineering, Lisi Aerospace, UAC Europe, Novelis, Rockwell Automation, Advanced Integration Technology, Curtiss-Wright, Momentive Performance Materials, Lawson Products, Meggitt, Woodward, Onboard Systems, Esterline Technologies, Gulf Controls Company, Pratt &amp; Whitney Measurement Systems, Itt, Howmet Aerospace</t>
  </si>
  <si>
    <t>Manufacturer of complex metal components and products serving aerospace, power, and general industrial markets. The company's products include nickel, titanium and cobalt-based alloys engineered forgings, fasteners systems and aerostructures for critical aerospace and power generation applications.</t>
  </si>
  <si>
    <t>Industrial Supplies and Parts*, Other Commercial Products</t>
  </si>
  <si>
    <t>airfoil castings, airframe components, armament systems, forged components, forgings</t>
  </si>
  <si>
    <t>www.precast.com</t>
  </si>
  <si>
    <t>1991: 7339, 1992: 7339, 1993: 4341, 1994: 3993, 1995: 5166, 1996: 5646, 1997: 9280, 1998: 10367, 1999: 12335, 2000: 13090, 2001: 14288, 2002: 13800, 2003: 11900, 2004: 15700, 2005: 15400, 2006: 16063, 2007: 20000, 2008: 21600, 2009: 20300, 2010: 18100, 2011: 18300, 2012: 21500, 2013: 28500, 2014: 29100, 2015: 30100, 2018: 30500, 2020: 33000</t>
  </si>
  <si>
    <t>TTM 3Q2016</t>
  </si>
  <si>
    <t>33107-95P</t>
  </si>
  <si>
    <t>Shawn Hagel</t>
  </si>
  <si>
    <t>shagel@precastcorp.com</t>
  </si>
  <si>
    <t>+1 (503) 946-4800</t>
  </si>
  <si>
    <t>Portland, OR</t>
  </si>
  <si>
    <t>4650 South Macadam Avenue</t>
  </si>
  <si>
    <t>Suite 400</t>
  </si>
  <si>
    <t>Portland</t>
  </si>
  <si>
    <t>Oregon</t>
  </si>
  <si>
    <t>97239</t>
  </si>
  <si>
    <t>The company (NYSE: PCP) was acquired by Berkshire Hathaway (NYSE: BRK.A) for $37.2 billion on January 29, 2016. The acquisition allows Berkshire Hathaway to expand its product portfolio in the industrial sector.</t>
  </si>
  <si>
    <t>Bushkin Associates(Advisor: General), The Abernathy MacGregor Group(Advisor: Communications), Wood Warren(Advisor: General)</t>
  </si>
  <si>
    <t>Bank of America Merrill Lynch(Advisor: General), Citigroup(Advisor: General), Cravath, Swaine &amp; Moore(Legal Advisor), Credit Suisse(Advisor: General), Stoel Rives(Legal Advisor), The Abernathy MacGregor Group(Advisor: Communications)</t>
  </si>
  <si>
    <t>10010-89</t>
  </si>
  <si>
    <t>Broadcom (Acquired 2016)</t>
  </si>
  <si>
    <t>Broadcom Corp.</t>
  </si>
  <si>
    <t>Intel, Qualcomm</t>
  </si>
  <si>
    <t>Manufacturer of semiconductors. The company designs, develops and supplies of of analog, digital, mixed signal and optoelectronics components and subsystems with a focus in III-V compound and CMOS based semiconductor design and processing.</t>
  </si>
  <si>
    <t>Semiconductors</t>
  </si>
  <si>
    <t>General Purpose Semiconductors</t>
  </si>
  <si>
    <t>General Purpose Semiconductors*, Production (Semiconductors)</t>
  </si>
  <si>
    <t>Manufacturing, TMT</t>
  </si>
  <si>
    <t>ethernet communication, fabless semiconductor, system-on-chip</t>
  </si>
  <si>
    <t>1997: 299, 1998: 411, 1999: 1247, 2000: 2797, 2001: 2824, 2002: 2589, 2003: 2833, 2004: 3373, 2005: 4287, 2006: 5233, 2007: 6347, 2008: 7402, 2009: 7407, 2010: 8950, 2011: 9590, 2012: 11300, 2013: 12550, 2014: 10650, 2016: 8200, 2021: 10000</t>
  </si>
  <si>
    <t>TTM 3Q2015</t>
  </si>
  <si>
    <t>193992-31P</t>
  </si>
  <si>
    <t>Scott Bushman</t>
  </si>
  <si>
    <t>Executive</t>
  </si>
  <si>
    <t>5300 California Avenue</t>
  </si>
  <si>
    <t>92617</t>
  </si>
  <si>
    <t>The company (NASDAQ: BRCM) was acquired by Avago Technologies (NASDAQ: AVGO) for $37 billion on February 1, 2016. As part of the transaction the company will be no longer trade on NASDAQ. The company is no longer actively tracked by PitchBook.</t>
  </si>
  <si>
    <t>Broadcom</t>
  </si>
  <si>
    <t>CampVentures, General Instruments Corporation, Intel, Mohr Davidow Ventures</t>
  </si>
  <si>
    <t>CampVentures(www.campventures.com), Intel(www.intel.com), Mohr Davidow Ventures(www.mdv.com)</t>
  </si>
  <si>
    <t>Black Stone IP(Advisor: General), Deutsche Bank Securities(Advisor: General), Gesmer Updegrove(Legal Advisor), Globalview Advisors(Valuation/Appraiser), Howard Fischer Associates(Consulting), Joseph Gunnar &amp; Co.(Underwriter), Keker, Van Nest &amp; Peters(Legal Advisor), Knobbe Martens(Legal Advisor), ON Partners(Consulting), Pagemill Partners(Advisor: General), Sitrick and Company(Advisor: Communications), WilmerHale(Legal Advisor), Winston &amp; Strawn(Legal Advisor)</t>
  </si>
  <si>
    <t>Bank of America(Debt Financing), Barclays Investment Bank(Advisor: General), Brad Peery Capital(Underwriter), Brobeck, Phleger &amp; Harrison(Legal Advisor), BT Alex Brown International(Underwriter), Centerview Partners(Advisor: General), Citigroup(Advisor: General), Credit Suisse(Advisor: General), Dain Rauscher Wessels(Underwriter), Davis Polk(Legal Advisor), Deutsche Bank(Advisor: General), Edward Jones Investments(Underwriter), Evercore Group(Advisor: General), EY(Accounting), Hambrecht &amp; Quist(Underwriter), J. Sagar Associates(Legal Advisor), J.P. Morgan(Advisor: General), Ladenburg Thalmann Financial Services(Underwriter), Mackenzie Partners(Advisor: General), Merrill Lynch Pierce Fenner &amp; Smith(Advisor: General), Morgan Stanley(Underwriter), Morrison &amp; Foerster(Legal Advisor), NationsBanc Montgomery Securities(Underwriter), Needham &amp; Company(Underwriter), Paul, Weiss, Rifkind, Wharton &amp; Garrison(Legal Advisor), Skadden, Arps, Slate, Meagher &amp; Flom(Legal Advisor), Wedbush Securities(Underwriter), Wells Fargo Advisors(Advisor: General), WongPartnership(Legal Advisor)</t>
  </si>
  <si>
    <t>Loan</t>
  </si>
  <si>
    <t>41238-73</t>
  </si>
  <si>
    <t>L3 Technologies</t>
  </si>
  <si>
    <t>L-3 Communications Holdings</t>
  </si>
  <si>
    <t>L3</t>
  </si>
  <si>
    <t>L3 Technologies, Inc.</t>
  </si>
  <si>
    <t>Northrop Grumman, Telephonics, Meggitt, BAE Systems, General Dynamics Ordnance and Tactical Systems, Thales Group, Spacety, Orbital ATK, Airbus, Saab, United Aircraft Corporation, GE Aviation, General Dynamics, Korea Aerospace Industries, L3 Harris Technologies, Textron, Raytheon, Exelis, Honeywell, Cobham, IAP, FLIR Systems, Rolls-Royce, MDA, CAE</t>
  </si>
  <si>
    <t>L-3 Technologies provides high-technology products, systems, and subsystems in the defense electronics business. Customers include the U.S. Department of Defense and U.S. government agencies (roughly 70% of sales), as well as foreign governments and commercial customers. Areas of focus include aircraft modernization and maintenance, training and simulation, communication systems, electro-optical sensors, and airport security screening equipment. L-3 and Harris Corporation plan to merge and deal closing should occur around mid-2019, assuming all regulatory hurdles are overcome.</t>
  </si>
  <si>
    <t>Aerospace and Defense</t>
  </si>
  <si>
    <t>Aerospace and Defense*, Electrical Equipment</t>
  </si>
  <si>
    <t>arms ammunition, defense arms, electronic systems, military cyber security, military product</t>
  </si>
  <si>
    <t>www.l3t.com</t>
  </si>
  <si>
    <t>1997: 8000, 1998: 8000, 1999: 10200, 2000: 14000, 2001: 18000, 2002: 27000, 2003: 38700, 2004: 44200, 2005: 59586, 2006: 63783, 2007: 64600, 2008: 65001, 2009: 67000, 2010: 63000, 2011: 61000, 2012: 51000, 2013: 48000, 2014: 45000, 2015: 38000, 2016: 38000, 2017: 31000, 2018: 30669, 2019: 31000, 2020: 50000</t>
  </si>
  <si>
    <t>TTM 1Q2019</t>
  </si>
  <si>
    <t>255677-23P</t>
  </si>
  <si>
    <t>LaTonia Pouncey</t>
  </si>
  <si>
    <t>Corporate Manager &amp; Head of Diversity and Inclusion</t>
  </si>
  <si>
    <t>latonia.pouncey@l3harris.com</t>
  </si>
  <si>
    <t>600 Third Avenue</t>
  </si>
  <si>
    <t>10016</t>
  </si>
  <si>
    <t>The company was acquired by Harris (NYS: LHX) for $37 billion on June 29, 2019. The transaction extends Harris's position as a premier global defense technology company that unlocks additional growth opportunities and generates value for our customers, employees and shareholders. The company is no longer actively tracked by PitchBook.</t>
  </si>
  <si>
    <t>L3 Harris Technologies</t>
  </si>
  <si>
    <t>Trilantic North America</t>
  </si>
  <si>
    <t>Trilantic North America(www.trilanticnorthamerica.com)</t>
  </si>
  <si>
    <t>Aaron Capital(Advisor: General), AlphaBrook(Consulting), BB&amp;T Capital Markets(Advisor: General), Cresa(Advisor: General), Cypress Associates(Advisor: General), Diamond Capital Advisors(Advisor: General), Fish &amp; Richardson(Legal Advisor)</t>
  </si>
  <si>
    <t>Bank of America Merrill Lynch(Underwriter), Bear Stearns(Underwriter), C.E. Unterberg, Towbin Holdings(Underwriter), CIBC Oppenheimer(Underwriter), CL King &amp; Associates(Underwriter), Coopers &amp; Lybrand(Accounting), Cowen &amp; Company(Underwriter), Credit Suisse First Boston(Underwriter), Diamond Capital Advisors(Advisor: General), Donaldson, Lufkin &amp; Jenrette(Underwriter), Edward Jones Investments(Underwriter), Fahnestock &amp; Co.(Underwriter), Kahn Swick &amp; Foti(Legal Advisor), Lehman Brothers(Underwriter), McCarthy Tétrault(Legal Advisor), Morgan Stanley(Underwriter), PaineWebber Group(Underwriter), Paul, Weiss, Rifkind, Wharton &amp; Garrison(Legal Advisor), Raymond James Financial(Underwriter), Rigrodsky &amp; Long(Legal Advisor), Sands Brothers &amp; Co(Underwriter), Sard Verbinnen(Advisor: Communications), SBC Warburg Dillon Read(Underwriter), Simpson Thacher &amp; Bartlett(Legal Advisor), Smith Barney(Underwriter), Société Générale(Advisor: General), Sullivan &amp; Cromwell(Legal Advisor), The Goldman Sachs Group(Underwriter), The Goldman Sachs Group(Advisor: Financial Due Diligence), Wells Fargo Advisors(Underwriter)</t>
  </si>
  <si>
    <t>57839-05</t>
  </si>
  <si>
    <t>London Stock Exchange Group (LON: LSEG)</t>
  </si>
  <si>
    <t>LSEG</t>
  </si>
  <si>
    <t>London Stock Exchange Group Plc</t>
  </si>
  <si>
    <t>Euronext, Borsa Italiana</t>
  </si>
  <si>
    <t>London Stock Exchange Group is a fully integrated financial exchange company covering the financial market value chain from primary and secondary markets across multiple asset classes over data, index and analytics down to clearing and post-trading reporting. With the acquisition of Refinitiv, LSEG generates about two thirds of its revenue from data and analytics including its FTSE Russell and WM/Refinitiv benchmarks as well as data feeds and terminals. The group is also a majority shareholder in Tradeweb, one of the dominant global fixed income trading venues, as well as LCH, the largest clearing house for over-the-counter swaps globally.</t>
  </si>
  <si>
    <t>Other Capital Markets/Institutions</t>
  </si>
  <si>
    <t>Other Capital Markets/Institutions*, Other Commercial Services, Other Financial Services</t>
  </si>
  <si>
    <t>regtech vertical, security market, stock exchange, stock market, stock marketplace</t>
  </si>
  <si>
    <t>www.lseg.com</t>
  </si>
  <si>
    <t>1999: 536, 2000: 588, 2001: 534, 2002: 552, 2003: 513, 2004: 517, 2005: 513, 2006: 514, 2007: 446, 2008: 872, 2009: 1175, 2010: 1545, 2011: 1515, 2012: 1916, 2013: 1962, 2014: 4692, 2015: 5551, 2016: 3976, 2017: 4896, 2018: 3138, 2019: 4965, 2020: 1907</t>
  </si>
  <si>
    <t>LON</t>
  </si>
  <si>
    <t>152578-09P</t>
  </si>
  <si>
    <t>Anna Manz</t>
  </si>
  <si>
    <t>Chief Financial Officer, Finance &amp; Board Member</t>
  </si>
  <si>
    <t>anna.manz@matthey.com</t>
  </si>
  <si>
    <t>+44 (0)20 7797 1000</t>
  </si>
  <si>
    <t>10 Paternoster Square</t>
  </si>
  <si>
    <t>EC4M 7LS</t>
  </si>
  <si>
    <t>The company was in talks with HKEx (HKG: 00388) regarding a potential acquisition for $36.6 billion on September 11, 2019. Subsequently, the deal was canceled. Previously, the company was in talks to be acquired by CME Group or Intercontinental Exchange for GBP 15 billion on January 24, 2018. Subsequently, that deal too was canceled.</t>
  </si>
  <si>
    <t>Credit Suisse, Qatar Holding, TCI Fund Management</t>
  </si>
  <si>
    <t>Borse Dubai, NASDAQ, Threadneedle Asset Management Holdings</t>
  </si>
  <si>
    <t>Deutsche Börse Group, HKEx, Intercontinental Exchange, Macquarie Bank</t>
  </si>
  <si>
    <t>Credit Suisse(www.credit-suisse.com), Qatar Holding(www.qh.com.qa), TCI Fund Management(www.tcifund.com)</t>
  </si>
  <si>
    <t>Borse Dubai(www.borsedubai.ae), NASDAQ(www.nasdaq.com)</t>
  </si>
  <si>
    <t>Deutsche Börse Group(www.deutsche-boerse.com), HKEx(www.hkexgroup.com), Intercontinental Exchange(www.intercontinentalexchange.com)</t>
  </si>
  <si>
    <t>Argento Capital Markets(Advisor: General), Banco Santander(Advisor: General), Citigate Dewe Rogerson(Advisor: Communications), IMI Corporate &amp; Investment Banking(Advisor: General), JP Morgan Cazenove(Advisor: General), MUFG Securities EMEA(Advisor: General), Numis Securities(Advisor: General), Paragon Advisory Services(Valuation/Appraiser), PJ SOLOMON(Advisor: General), Teneo Capital(Advisor: General)</t>
  </si>
  <si>
    <t>Bank of America Merrill Lynch(Advisor: General), Barclays Investment Bank(Advisor: General), Citigroup(Advisor: General), Cravath, Swaine &amp; Moore(Legal Advisor), Fenchurch Advisory Partners(Advisor: General), Finsbury(Advisor: Communications), Herbert Smith Freehills(Legal Advisor), HSBC Bank UK(Advisor: General), JPMorgan Chase(Advisor: General), Linklaters(Legal Advisor), Metzler(Advisor: General), Morgan Stanley(Advisor: General), RBC Capital Markets(Advisor: General), Robey Warshaw(Advisor: General), Société Générale(Advisor: General), TB Cardew(Advisor: Communications), The Goldman Sachs Group(Advisor: General), UBS Group(Advisor: General)</t>
  </si>
  <si>
    <t>59592-70</t>
  </si>
  <si>
    <t>BYD Company (HKG: 01211)</t>
  </si>
  <si>
    <t>BYD</t>
  </si>
  <si>
    <t>BYD Company Ltd.</t>
  </si>
  <si>
    <t>Ford Otomotiv Sanayi, Renault Argentina, Hyundai Motor, Li Auto, Mazda Motor, Mercedes Benz, Jaguar Land Rover Automotive, Volkswagen, Volvo Car, Amersham Jaguar, Baltic Motors, Nio, Rivian, General Motors, Lamborghini, Audi, Rimac Automobili, Tesla, Toyota Motor, Guangzhou Xiaopeng Motors Technology, SAIC Motor Corporation, Tata Motors, Lincoln Motor, Byton, Lucid Motors, VIA Motors</t>
  </si>
  <si>
    <t>BYD is a Chinese automobile and electronics manufacturing company organized into three segments. The automobile segment, contributing about half of company revenue, manufactures and sells electric and internal combustion automobiles, primarily passenger vehicles and buses, and provides low-carbon urban rail transportation products. The mobile handset components and assembly segment, contributing more than a third of consolidated revenue, sells individual components and the entire assembly of mobile handsets, tablets, and notebook computers. BYD's rechargeable battery and photovoltaic business manufacture batteries for mobile phone handsets, portable electronics, and electric power tools. BYD derives the vast majority of company revenue domestically.</t>
  </si>
  <si>
    <t>Transportation</t>
  </si>
  <si>
    <t>Automotive</t>
  </si>
  <si>
    <t>Automotive*</t>
  </si>
  <si>
    <t>Manufacturing, Mobility Tech</t>
  </si>
  <si>
    <t>automobile, electric car, electric vehicle, transportation, vehicle</t>
  </si>
  <si>
    <t>www.byd.com</t>
  </si>
  <si>
    <t>1995: 20, 2008: 124121, 2009: 97400, 2010: 183317, 2011: 177624, 2012: 166411, 2013: 159440, 2014: 187028, 2015: 196026, 2016: 193842, 2017: 200949, 2018: 220152, 2019: 229154, 2020: 224280</t>
  </si>
  <si>
    <t>HKG</t>
  </si>
  <si>
    <t>01211</t>
  </si>
  <si>
    <t>News (New) , News (New) , News (New) , News (New) , News (New) , News (New) , News (New) , News (New) , News (New) , News (New) , News (New) , News (New) , News (New) , News (New)</t>
  </si>
  <si>
    <t>Promotion (New) Chuanfu Wang, Chief Executive Officer &amp; Founder, News (New) , News (New) , News (New) , News (New) , News (New) , News (New) , News (New) , News (New) , News (New) , News (New) , News (New) , News (New) , News (New) , News (New) , News (New) , News (New) , News (New) , News (New) , News (New) , News (New) , News (New) , News (New) , News (New) , News (New)</t>
  </si>
  <si>
    <t>251231-68P</t>
  </si>
  <si>
    <t>Qian Li</t>
  </si>
  <si>
    <t>Secretary</t>
  </si>
  <si>
    <t>qian.li@byd.com.cn</t>
  </si>
  <si>
    <t>+86 (0)755 8988 8888</t>
  </si>
  <si>
    <t>Shenzhen, China</t>
  </si>
  <si>
    <t>3009 BYD Road</t>
  </si>
  <si>
    <t>Pingshan District</t>
  </si>
  <si>
    <t>Shenzhen</t>
  </si>
  <si>
    <t>Guangdong</t>
  </si>
  <si>
    <t>518118</t>
  </si>
  <si>
    <t>+86 (0)755 8420 2222</t>
  </si>
  <si>
    <t>db@byd.com</t>
  </si>
  <si>
    <t>Tesla (NASDAQ: TSLA) is in talks to acquire a 20% stake in the company for $ 36 billion on February 2, 2021. Previously, the company (HKG: 01211) received HKD 29.9 billion of development capital from Hillhouse Capital and other investors on January 22, 2021, through a private placement. The company plans to use the cash to replenish its working capital, repay interest-bearing debt and invest in research and development. Hillhouse Capital invested US$200 million, equivalent to more than HK$1.5 billion in private placement. The company is being actively tracked by PitchBook.</t>
  </si>
  <si>
    <t>AMP Capital Investors, Baillie Gifford, Berkshire Hathaway Energy, Hillhouse Capital Group, Samsung Electronics, SDIC Innovation Investment Management</t>
  </si>
  <si>
    <t>The Capital Group Companies</t>
  </si>
  <si>
    <t>AMP Capital Investors(www.ampcapital.com), Baillie Gifford(www.bailliegifford.com), Berkshire Hathaway Energy(www.berkshirehathawayenergyco.com), Hillhouse Capital Group(www.hillhousecap.com), Samsung Electronics(www.sec.co.kr), SDIC Innovation Investment Management(www.sdicfund.com)</t>
  </si>
  <si>
    <t>The Capital Group Companies(www.capitalgroup.com)</t>
  </si>
  <si>
    <t>China Merchants Securities(Underwriter), Enterprise CPAs(Accounting), Instinctif Partners(Advisor: Communications), Passantino Andersen Communications(Advisor: Communications), Somerley(Advisor: General)</t>
  </si>
  <si>
    <t>BNP Paribas(Underwriter), BOC International(Underwriter), China International Capital Corporation(Advisor: General), Deutsche Bank(Placement Agent), ICEA Capital(Underwriter), Jingtian &amp; Gongcheng(Legal Advisor), PwC(Accounting), Richards Butler(Legal Advisor), The Goldman Sachs Group(Advisor: General), Tian Yuan Law Firm(Legal Advisor), UBS Group(Placement Agent), UBS Group(Advisor: General)</t>
  </si>
  <si>
    <t>Upcoming</t>
  </si>
  <si>
    <t>11839-51</t>
  </si>
  <si>
    <t>Anadarko Petroleum</t>
  </si>
  <si>
    <t>Anadarko</t>
  </si>
  <si>
    <t>Anadarko Petroleum Corp.</t>
  </si>
  <si>
    <t>PetroQuest Energy, Obsidian Energy, Kamchatgazprom, Callon Petroleum Company, Contango Oil &amp; Gas, Arc Resources, Oasis Petroleum, Cairn India, EOG Resources, Laredo Petroleum, Penn Virginia, Comstock Resources, Apache, WPX Energy, Devon Energy, Centennial Resource Development, Diamondback Energy, Gazprom Investproject, Samson Resources II, Abraxas Petroleum, Concho Resources, Grizzly Energy, Energy XXI Gulf Coast, Approach Resources, Rosneft, Murphy Oil, Partex Oil &amp; Gas, Clayton Williams Energy, QEP Resources, Cimarex Energy, Royal Dutch Shell, W&amp;T Offshore, Whiting Petroleum, Noble Energy, Tatneft Group, Ecopetrol, Crescent Point Energy, Suncor Energy, Occidental Petroleum, Total, Lilis Energy, Sinopec, Cabot Oil &amp; Gas, Gazprom, Imperial Oil, PCORE Exploration &amp; Production II, Canadian Natural Resources, Matador Resources, Ikkuma Resources, Pioneer Natural Resources, Spirit Energy, Gazprom Neft, EQT Production Company, Rio Oil and Gas, Jones Energy, SM Energy, Chesapeake Energy, Chevron, Battalion Oil, Sasol, NOVATEK (Natural Gas Producer), Mayan Energy, Eni, Husky Energy, InterOil, Nine Point Energy, LukOil, XTO Energy, ConocoPhillips, Cenovus Energy, Parsley Energy, Syncrude Canada, Equinor, LINN Energy, Gazprom neftekhim Salavat, Ovintiv, Vitruvian Exploration IV, Enerplus, Hess, Gazprom Neft Shelf, Deep Gulf Energy, RussNeft, SandRidge Energy, Fieldpoint Petroleum, HollyFrontier, Denbury Resources, DCP Midstream, Repsol, Esso Thailand</t>
  </si>
  <si>
    <t>Anadarko Petroleum, based in The Woodlands, Texas, is one of the largest independent exploration and production companies in North America. Its asset base includes conventional and unconventional properties in the U.S. and deepwater oil and gas projects in the Gulf of Mexico and Africa. At the end of 2018, proven reserves totaled 1.47 billion boe, with net production of 666 mboe/d.</t>
  </si>
  <si>
    <t>energy oil, fuel, natural gas fuel, oil &amp; gas production, oil producer</t>
  </si>
  <si>
    <t>Debt Financed, M&amp;A, Publicly Listed</t>
  </si>
  <si>
    <t>www.anadarko.com</t>
  </si>
  <si>
    <t>1989: 785, 1990: 880, 1991: 910, 1992: 970, 1993: 1020, 1994: 1085, 1995: 1076, 1996: 1279, 1997: 1386, 1998: 1476, 1999: 1431, 2000: 3500, 2001: 3500, 2002: 3800, 2003: 3500, 2004: 3300, 2005: 3300, 2006: 5200, 2007: 4000, 2008: 4300, 2009: 4300, 2010: 4400, 2011: 4800, 2012: 5200, 2013: 5700, 2014: 6100, 2015: 5800, 2016: 4500, 2017: 4400, 2018: 4700</t>
  </si>
  <si>
    <t>67451-95P</t>
  </si>
  <si>
    <t>Amanda McMillian</t>
  </si>
  <si>
    <t>Executive Vice President &amp; General Counsel</t>
  </si>
  <si>
    <t>amanda.mcmillian@anadarko.com</t>
  </si>
  <si>
    <t>The Woodlands, TX</t>
  </si>
  <si>
    <t>1201 Lake Robbins Drive</t>
  </si>
  <si>
    <t>The Woodlands</t>
  </si>
  <si>
    <t>77380</t>
  </si>
  <si>
    <t>The company was acquired by Occidental Petroleum (NYS: OXY) for $35.7 billion on August 8, 2019. Occidental avoided its own shareholder vote on the deal after it secured a $10 billion financing agreement with Warren Buffett's Berkshire Hathaway that allowed it to increase the cash portion of its offer. Occidental will likely shed the company's non-U.S. properties to focus on shale drilling. Occidental took on roughly $12 billion of Anadarko's debt and issued roughly $22 billion in new debt to finance the transaction. The company is no longer actively tracked by PitchBook.</t>
  </si>
  <si>
    <t>Occidental Petroleum</t>
  </si>
  <si>
    <t>Chevron(www.chevron.com)</t>
  </si>
  <si>
    <t>Carnrite Group(Advisor: General), Grupo Mercados Energéticos Consultores(Consulting), Perella Weinberg Partners(Advisor: General), Rimon Law(Legal Advisor), Ryder Scott Company(Advisor: General), Seaport Global(Advisor: General), Taylor-DeJongh(Advisor: General), The Oil &amp; Gas Advisor(Advisor: General)</t>
  </si>
  <si>
    <t>Cravath, Swaine &amp; Moore(Legal Advisor), Evercore Group(Advisor: General), Fried, Frank, Harris, Shriver &amp; Jacobson(Legal Advisor), J.P. Morgan(Underwriter), Jefferies Financial Group(Advisor: General), Jefferies Group(Advisor: General), KPMG(Accounting), OHA Investment(Debt Financing), The Goldman Sachs Group(Advisor: General), Vinson &amp; Elkins(Legal Advisor), Wachtell, Lipton, Rosen &amp; Katz(Legal Advisor)</t>
  </si>
  <si>
    <t>Loan - $22.00B</t>
  </si>
  <si>
    <t>59179-15</t>
  </si>
  <si>
    <t>Groupe Renault (France) (PAR: RNO)</t>
  </si>
  <si>
    <t>Renault Frères</t>
  </si>
  <si>
    <t>Renault, GR</t>
  </si>
  <si>
    <t>Renault S.A.S.</t>
  </si>
  <si>
    <t>Nissan Motor, Daimler, Toyota Motor, PSA Groupe</t>
  </si>
  <si>
    <t>Renault possesses a global alliance of automotive manufacturing, financing, and sales operations. The company's alliance partners consist of AvtoVAZ (61.09%), Dacia (99.4%), Nissan (43.7%), Renault Samsung Motors (80.0%), Mitsubishi (Nissan owns 34%) and Daimler (1.55% owned by Nissan). Total 2020 Renault-Nissan-Mitsubishi alliance sales volume of 7.8 million vehicles makes the alliance the third largest vehicle group in the world, behind Toyota at 9.5 million and Volkswagen at 9.3 million vehicles sold.</t>
  </si>
  <si>
    <t>Automotive*, Road</t>
  </si>
  <si>
    <t>automobile manufacturer, bus, heavy vehicle, motor vehicle, sports car, vans</t>
  </si>
  <si>
    <t>www.group.renault.com</t>
  </si>
  <si>
    <t>2005: 126584, 2006: 129000, 2007: 130179, 2008: 129068, 2010: 124749, 2012: 127086, 2013: 121807, 2014: 117395, 2015: 120136, 2016: 124849, 2017: 181344, 2018: 183002, 2020: 170158</t>
  </si>
  <si>
    <t>PAR</t>
  </si>
  <si>
    <t>RNO</t>
  </si>
  <si>
    <t>News (New) , News (New) , News (New) , News (New) , News (New) , News (New) , News (New) , News (New) , News (New) , News (New) , News (New) , News (New)</t>
  </si>
  <si>
    <t>66504-97P</t>
  </si>
  <si>
    <t>Jean-Dominique Senard</t>
  </si>
  <si>
    <t>jean-dominique.senard@michelin.com</t>
  </si>
  <si>
    <t>Boulogne-Billancourt, France</t>
  </si>
  <si>
    <t>13-15 quai Le Gallo</t>
  </si>
  <si>
    <t>Boulogne-Billancourt</t>
  </si>
  <si>
    <t>Cedex</t>
  </si>
  <si>
    <t>92100</t>
  </si>
  <si>
    <t>+33 (0)1 76 84 04 04</t>
  </si>
  <si>
    <t>Groupe Renault (PAR: RNO) and Fiat Chrysler Automobiles (MIL:FCA) was in talks to form a new company on May 27, 2019. Subsequently, the deal was cancelled. Previously, the Government of France was in talks to sell a 15% stake in the company to Nissan Motor. Subsequently, the deal was canceled.</t>
  </si>
  <si>
    <t>Government of France, Nissan Motor</t>
  </si>
  <si>
    <t>Stellantis</t>
  </si>
  <si>
    <t>Government of France(www.gouvernement.fr), Nissan Motor(www.nissan-global.com)</t>
  </si>
  <si>
    <t>Stellantis(www.stellantis.com)</t>
  </si>
  <si>
    <t>ACN Corporate Finance(Advisor: General), BM&amp;A Partners(Advisor: General), Morrow Sodali(Consulting), Peterka &amp; Partners(Legal Advisor), S&amp;F Consultants(Consulting), Simon-Kucher &amp; Partners(Consulting), Wingate Corporate Finance(Advisor: General)</t>
  </si>
  <si>
    <t>Davis Polk(Legal Advisor), Deutsche Bank(Lead Manager or Arranger), Gide Loyrette Nouel(Legal Advisor), Merrill Lynch International(Lead Manager or Arranger), The Goldman Sachs Group(Lead Manager or Arranger)</t>
  </si>
  <si>
    <t>14186-62</t>
  </si>
  <si>
    <t>Xilinx (NAS: XLNX)</t>
  </si>
  <si>
    <t>Xilinx, Inc.</t>
  </si>
  <si>
    <t>Lattice Semiconductor, Nvidia, Advanced Micro Devices, Silicon Labs, Monolithic Power Systems, Maxim Integrated Products, Broadcom, Microchip Technology, Texas Instruments, Cypress Semiconductor, Mosys, Arteris IP, MACOM Technology Solutions, Analog Devices, Diodes, Intel, NXP Semiconductors, ARM, Rambus, Ambiq, GlobalFoundries U.S., Renesas Electronics, GSI Technology, Atmel, ams, Power Integrations, Qorvo, QuickLogic, Phison Electronics, Intersil, HiSilicon, Altera, Infineon Technologies, ON Semiconductor, Dialog Semiconductor, Mellanox Technologies, STMicroelectronics, Fairchild Semiconductor International, Samsung Electronics, Vishay Intertechnology</t>
  </si>
  <si>
    <t>Founded in 1984, Xilinx is the leader in FPGAs by market share. Its chips are critical in the performance of various devices in the communications, data processing, industrial, consumer, and automotive markets. Xilinx designs and sells chips, but it outsources manufacturing to third-party chip foundries such as TSMC.</t>
  </si>
  <si>
    <t>Electronic Equipment and Instruments, General Purpose Semiconductors*</t>
  </si>
  <si>
    <t>Manufacturing, Mobility Tech, TMT</t>
  </si>
  <si>
    <t>computational storage, ic chips, mobility tech, programmable computer chip, semiconductor developer, semiconductor development, semiconductors</t>
  </si>
  <si>
    <t>www.xilinx.com</t>
  </si>
  <si>
    <t>1990: 239, 1991: 332, 1992: 482, 1993: 544, 1994: 689, 1995: 868, 1996: 1201, 1997: 1277, 1998: 1391, 1999: 1491, 2000: 1939, 2001: 2678, 2002: 2611, 2003: 2612, 2004: 2770, 2005: 3050, 2006: 3295, 2007: 3353, 2008: 3415, 2009: 3145, 2010: 2948, 2011: 3099, 2012: 3265, 2013: 3329, 2014: 3500, 2015: 3451, 2016: 3458, 2017: 3831, 2018: 4014, 2019: 4433, 2020: 4891, 2021: 4890</t>
  </si>
  <si>
    <t>XLNX</t>
  </si>
  <si>
    <t>People (New) William Madden, Executive Vice President and General Manager, Wired and Wireless Group, News (New) , News (New) , News (New) , News (New) , News (New) , News (New) , News (New) , News (New) , News (New) , News (New)</t>
  </si>
  <si>
    <t>FY 2021</t>
  </si>
  <si>
    <t>67992-22P</t>
  </si>
  <si>
    <t>Victor Peng</t>
  </si>
  <si>
    <t>Chief Executive Officer, President &amp; Board Member</t>
  </si>
  <si>
    <t>victor.peng@xilinx.com</t>
  </si>
  <si>
    <t>+1 (408) 559-7778</t>
  </si>
  <si>
    <t>2100 Logic Drive</t>
  </si>
  <si>
    <t>95124</t>
  </si>
  <si>
    <t>+1 (408) 559-7114</t>
  </si>
  <si>
    <t>The company (NASDAQ: XLNX) reached a definitive agreement to be acquired by Advanced Micro Devices (NAS: AMD) for $35 billion on October 27, 2020. The company is being actively tracked by PitchBook.</t>
  </si>
  <si>
    <t>August Capital, Crosslink Capital, InterWest Partners, Kleiner Perkins, Matrix Partners, OVP Venture Partners, Point Financial, Silver Creek Ventures</t>
  </si>
  <si>
    <t>Advanced Micro Devices</t>
  </si>
  <si>
    <t>August Capital(www.augustcap.com), Crosslink Capital(www.crosslinkcapital.com), InterWest Partners(www.interwest.com), Kleiner Perkins(www.kleinerperkins.com), Matrix Partners(www.matrixpartners.com), OVP Venture Partners(www.ovpevents.com), Point Financial(www.pointfin.com)</t>
  </si>
  <si>
    <t>Advanced Micro Devices(www.amd.com)</t>
  </si>
  <si>
    <t>Clarity Consultants(Consulting), Decision Analytics(Advisor: General), Harvest Management Partners(Advisor: General), Keker, Van Nest &amp; Peters(Legal Advisor), Payne &amp; Fears(Legal Advisor), Rosenblatt Securities(Advisor: General)</t>
  </si>
  <si>
    <t>BofA Securities(Advisor: General), Morgan Stanley(Advisor: General), Skadden, Arps, Slate, Meagher &amp; Flom(Legal Advisor)</t>
  </si>
  <si>
    <t>99609-31</t>
  </si>
  <si>
    <t>Ant Group</t>
  </si>
  <si>
    <t>Zhejiang Ant Small and Micro Financial Services Group, Ant Financial</t>
  </si>
  <si>
    <t>Alipay</t>
  </si>
  <si>
    <t>Ant Group Co., Ltd.</t>
  </si>
  <si>
    <t>Affirm, TPAY Mobile, Zong, Paysafe Group, EBANX, Boku, Wirecard, Fortumo, Dimoco, BillingTree, Bango, First Data, 2Checkout (Acquired), Stripe, Transactis, Pay and Shop, FastSpring, DaoPay, YapStone, Transfast, Adyen, WorldPay (Global Payment Processing), Klarna, ROAM Data, MOL Global, Fidelity Payment Services, Netsize, Kantox, Codapay, Softheon, Paybox, GlobalCollect, Paytm, Payoneer, WePay</t>
  </si>
  <si>
    <t>Ant Group Co Ltd is a provider of digital payment and digital financial technology platforms. The company's platform Alipay has developed from a payment tool to a one-stop digital daily life platform. Alipay has introduced service providers in digital finance, government affairs, local life, and other sectors to provide consumers with one-stop digital daily life services.</t>
  </si>
  <si>
    <t>Brokerage, Consumer Finance, Financial Software*, Other Insurance, Specialized Finance</t>
  </si>
  <si>
    <t>FinTech, InsurTech, SaaS, TMT</t>
  </si>
  <si>
    <t>credit rating, microfinance company, mobile payment platform, payment processing, payment service, peer-to-peer payment platform, utility payment, wealth management</t>
  </si>
  <si>
    <t>Debt Financed, Private Equity, Publicly Listed, Venture Capital</t>
  </si>
  <si>
    <t>www.antgroup.com</t>
  </si>
  <si>
    <t>2016: 2033, 2017: 9273, 2018: 12717, 2019: 15169, 2020: 16660, 2021: 16000</t>
  </si>
  <si>
    <t>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</si>
  <si>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t>
  </si>
  <si>
    <t>224734-60P</t>
  </si>
  <si>
    <t>Yu Shi</t>
  </si>
  <si>
    <t>Technical Partnership Supervisor</t>
  </si>
  <si>
    <t>yu.shi@antgroup.com</t>
  </si>
  <si>
    <t>Hangzhou, China</t>
  </si>
  <si>
    <t>Z Space, Number 556 Xixi Road</t>
  </si>
  <si>
    <t>Hangzhou</t>
  </si>
  <si>
    <t>Zhejiang</t>
  </si>
  <si>
    <t>+86 (0)571 2688 8888</t>
  </si>
  <si>
    <t>+86 (0)571 8643 2811</t>
  </si>
  <si>
    <t>The Company's valuation was written down from approximately $315 billion to $144 billion in February 2021 due to the forced restructuring imposed by the Chinese regulators. Previously, the company filed to go public on the Hong Kong (ticker: 6688) and Shanghai Stock Exchanges (ticker: 688688) on August 25, 2020. The expected offering amount is $34.4 billion. Subsequently, the offering was postponed on November 3, 2020.</t>
  </si>
  <si>
    <t>A.G. Hill Partners, Access Technology Ventures, Alibaba Group, Baillie Gifford, BlackRock, Boyu Capital, Canada Pension Plan Investment Board, CCB Trust, CCBT Private Equity, Charoen Pokphand Group, China Development Bank Capital, China International Television Corporation, China Investment Corporation, China Life Insurance, China Oceanwide Holdings Group, China Pacific Insurance, China People's Insurance Group Company, China Post Group, CICC ALPHA, CK Asset Holdings, CK Hutchison, Coatue Management, Credit Suisse, Discovery Capital Management, Dragoneer Investment Group, Falcon Edge Capital, Fidelity Investments, FJ Labs, General Atlantic, GGV Capital, Giant Network, Golden Partners Capital, Government of Singapore Investment Corporation (GIC), HanFor Holdings, Hedosophia, Janchor Partners, KG Investments, Khazanah Nasional, Mulliez Family, National Social Security Fund, New China Life Insurance, Pagoda Capital, Primavera Capital Group, Regents of the University of California, Sahsen Ventures, Saudi Arabia's Public Investment Fund, Scottish Mortgage Investment Trust, Sequoia Capital China, Silver Lake, Sinovation Ventures, T. Rowe Price, Tebon Securities, Temasek Holdings, The Abu Dhabi Investment Authority, The Carlyle Group, Warburg Pincus, Yin Chung-yao, Yunfeng Capital</t>
  </si>
  <si>
    <t>A.G. Hill Partners(www.galatynprivateequity.com), Access Technology Ventures(www.accesstechnologyventures.com), Alibaba Group(www.alibabagroup.com), Baillie Gifford(www.bailliegifford.com), BlackRock(www.blackrock.com), Boyu Capital(www.boyucapital.com), Canada Pension Plan Investment Board(www.cppinvestments.com), CCB Trust(www.ccbtrust.com.cn), CCBT Private Equity(www.ccbtpe.com), Charoen Pokphand Group(www.cpgroupglobal.com), China Development Bank Capital(www.cdb-capital.com), China International Television Corporation(www.citvc.com), China Investment Corporation(www.china-inv.cn), China Life Insurance(www.chinalife.com.cn), China Oceanwide Holdings Group(www.chinaoceanwide.com), China Pacific Insurance(www.cpic.com.cn), China People's Insurance Group Company(www.picc.com.cn), China Post Group(english.chinapost.com.cn), CICC ALPHA(www.ciccalpha.com), CK Asset Holdings(www.ckah.com), CK Hutchison(www.ckh.com.hk), Coatue Management(www.coatue.com), Credit Suisse(www.credit-suisse.com), Dragoneer Investment Group(www.dragoneer.com), Falcon Edge Capital(www.falconedgecap.com), Fidelity Investments(www.fidelity.com), FJ Labs(www.fjlabs.com), General Atlantic(www.generalatlantic.com), GGV Capital(www.ggvc.com), Giant Network(www.ga-me.com), Golden Partners Capital(www.gpcapital.com.cn), Government of Singapore Investment Corporation (GIC)(www.gic.com.sg), HanFor Holdings(hanfor.cn), Hedosophia(www.hedosophia.com), Janchor Partners(www.janchorpartners.com), KG Investments(www.kginvest.net), Khazanah Nasional(www.khazanah.com.my), National Social Security Fund(www.nssfug.org), New China Life Insurance(www.newchinalife.com), Pagoda Capital(www.pagodacapital.com), Primavera Capital Group(www.primavera-capital.com), Sahsen Ventures(www.sahsen.com), Saudi Arabia's Public Investment Fund(www.pif.gov.sa), Sequoia Capital China(www.sequoiacap.com/china), Silver Lake(www.silverlake.com), Sinovation Ventures(www.sinovationventures.com), T. Rowe Price(www.troweprice.com), Tebon Securities(www.tebon.com.cn), Temasek Holdings(www.temasek.com.sg), The Abu Dhabi Investment Authority(www.adia.ae), The Carlyle Group(www.carlyle.com), Warburg Pincus(www.warburgpincus.com), Yunfeng Capital(www.yfc.cn)</t>
  </si>
  <si>
    <t>CSC Financial Company(Advisor: General), Fish &amp; Richardson(Legal Advisor), King &amp; Wood Mallesons(Legal Advisor), Morrison &amp; Foerster(Legal Advisor), Sidley Austin(Legal Advisor), Wachtell, Lipton, Rosen &amp; Katz(Legal Advisor)</t>
  </si>
  <si>
    <t>China International Capital Corporation(Advisor: General), CITIC Securities Corporate Finance (HK)(Advisor: General), Citigroup(Advisor: General), CSC Financial Company(Advisor: General), Deutsche Bank(Advisor: General), EY(Accounting), FangDa Partners(Legal Advisor), J.P. Morgan(Advisor: General), King &amp; Wood Mallesons(Legal Advisor), Morgan Stanley(Advisor: General), Morrison &amp; Foerster(Legal Advisor), Sidley Austin(Legal Advisor), Simpson Thacher &amp; Bartlett(Legal Advisor), The Goldman Sachs Group(Advisor: General), Wachtell, Lipton, Rosen &amp; Katz(Legal Advisor)</t>
  </si>
  <si>
    <t>Series A</t>
  </si>
  <si>
    <t>Postponed</t>
  </si>
  <si>
    <t>11534-32</t>
  </si>
  <si>
    <t>Medline Industries</t>
  </si>
  <si>
    <t>Medline</t>
  </si>
  <si>
    <t>Medline Industries, Inc.</t>
  </si>
  <si>
    <t>Charm Medical Supply, Medical Specialties Distributors, MIP, Mölnlycke Health Care, Pearson Dental Supplies, Joerns Healthcare, Invacare, TIDI Products, Span-America Medical Systems, Hospira, PSS World Medical, CCS Medical, Aspen Surgical, Seneca Medical, Dale Medical Products, Byram Healthcare Centers, Hollister, KCI Holdings, Grove Medical Inc., Crosstex International, Allegro Medical, Sanara MedTech, Wellspect, 180 Medical, Sage Products, Kimal, BSN medical, OHK Medical Devices</t>
  </si>
  <si>
    <t>Manufacturer and distributor of healthcare supplies partnering with healthcare providers around the world. The company offers medical supplies such as exam gloves, textiles, durable medical equipment, plastic patient utensils and disposable incontinence care, ensuring reduced costs, increase in supply chain efficiency and improvement in the quality of care.</t>
  </si>
  <si>
    <t>Medical Supplies</t>
  </si>
  <si>
    <t>Medical Supplies*, Other Healthcare Services</t>
  </si>
  <si>
    <t>exam gloves, healthcare product, medical supply, plastic patient utensils, surgical gowns, surgical trays</t>
  </si>
  <si>
    <t>www.medline.com</t>
  </si>
  <si>
    <t>2016: 14000, 2017: 16000, 2018: 18000, 2019: 24000, 2020: 27000, 2021: 28000</t>
  </si>
  <si>
    <t>73502-65P</t>
  </si>
  <si>
    <t>Rob Lockwood</t>
  </si>
  <si>
    <t>President, OR Division</t>
  </si>
  <si>
    <t>rlockwood@medline.com</t>
  </si>
  <si>
    <t>+1 (847) 949-5500</t>
  </si>
  <si>
    <t>Northfield, IL</t>
  </si>
  <si>
    <t>Three Lakes Drive</t>
  </si>
  <si>
    <t>Northfield</t>
  </si>
  <si>
    <t>info@medline.com</t>
  </si>
  <si>
    <t>The company entered into a definitive agreement to be acquired by The Blackstone Group, The Carlyle Group, Hellman &amp; Friedman and Government of Singapore Investment Corporation (GIC) through a $34 billion LBO on June 5, 2021. The transaction will receive $4 billion in debt financing in the form of a loan. The funds will be used to expand its product offerings, accelerate international expansion and continue to make new infrastructure investments to strengthen its global supply chain. The company is being actively tracked by PitchBook.</t>
  </si>
  <si>
    <t>The Abu Dhabi Investment Authority</t>
  </si>
  <si>
    <t>Government of Singapore Investment Corporation (GIC), Hellman &amp; Friedman, The Blackstone Group, The Carlyle Group</t>
  </si>
  <si>
    <t>The Abu Dhabi Investment Authority(www.adia.ae)</t>
  </si>
  <si>
    <t>Government of Singapore Investment Corporation (GIC)(www.gic.com.sg), Hellman &amp; Friedman(www.hf.com), The Blackstone Group(www.blackstone.com), The Carlyle Group(www.carlyle.com)</t>
  </si>
  <si>
    <t>Chartwell Partners(Consulting), Miebach Consulting(Consulting)</t>
  </si>
  <si>
    <t>BDT Capital Partners(Advisor: General), The Goldman Sachs Group(Advisor: General), Wachtell, Lipton, Rosen &amp; Katz(Legal Advisor)</t>
  </si>
  <si>
    <t>41182-21</t>
  </si>
  <si>
    <t>Red Hat</t>
  </si>
  <si>
    <t>Red Hat Software</t>
  </si>
  <si>
    <t>Red Hat, Inc.</t>
  </si>
  <si>
    <t>Radware, VMware, NetApp, Hitachi Vantara, Embrane, Arista Networks, D2iQ, Nutanix, Oracle, Sophos, Rackspace Technology, MuleSoft, Green Hills Software, Scribe Software, ContainerX, RightScale, HyTrust, Portworx, Micro Focus International, Big Switch Networks, Liqid, Actian, Capax Global, Talend, BlackBerry QNX, Catapult Systems, MTM Technologies, Dimension Data, NTT Data, SAP, Seaweed File System, Meteor Software, Check Point Software Technologies, Extreme Networks, Nihon Unisys, Astadia, Unisys, BMC Software, Magic Software Enterprises</t>
  </si>
  <si>
    <t>Red Hat provides services for its version of the open-source (free from licensing costs) Linux software operating systems, middleware, storage, virtualization, and management tools. The company reports revenue through two categories: subscriptions, and training and services. The Americas contributed approximately 64% of total revenue in fiscal 2018; Europe, the Middle East, and Africa contributed 23%; and Asia-Pacific contributed 14%.</t>
  </si>
  <si>
    <t>IT Services</t>
  </si>
  <si>
    <t>Systems and Information Management</t>
  </si>
  <si>
    <t>Operating Systems Software, Systems and Information Management*</t>
  </si>
  <si>
    <t>CloudTech &amp; DevOps, SaaS, TMT</t>
  </si>
  <si>
    <t>cloud-based open source, cloudtech and devops, open source software, operating system platform, operating system software provider, platform as a service</t>
  </si>
  <si>
    <t>www.redhat.com</t>
  </si>
  <si>
    <t>1999: 140, 2000: 435, 2001: 735, 2002: 634, 2003: 566, 2004: 681, 2005: 940, 2006: 1100, 2007: 1800, 2008: 2200, 2009: 2800, 2010: 3200, 2011: 3700, 2012: 4500, 2013: 5600, 2014: 6300, 2015: 7300, 2016: 8800, 2017: 10500, 2018: 11870, 2019: 13360, 2020: 15000, 2021: 16500</t>
  </si>
  <si>
    <t>International Business Machines</t>
  </si>
  <si>
    <t>61142-68P</t>
  </si>
  <si>
    <t>Geert Jansen</t>
  </si>
  <si>
    <t>Product Owner, Red Hat CloudForms</t>
  </si>
  <si>
    <t>gjansen@redhat.com</t>
  </si>
  <si>
    <t>+1 (888) 733-4281</t>
  </si>
  <si>
    <t>Raleigh, NC</t>
  </si>
  <si>
    <t>100 East Davie Street</t>
  </si>
  <si>
    <t>Raleigh</t>
  </si>
  <si>
    <t>North Carolina</t>
  </si>
  <si>
    <t>27601</t>
  </si>
  <si>
    <t>+1 (919) 754-3730</t>
  </si>
  <si>
    <t>The company was acquired by International Business Machines (NYS: IBM) for $34 billion on July 9, 2019. The acquisition will enable IBM to get a better position with hybrid cloud computing.</t>
  </si>
  <si>
    <t>Avantce, Benchmark (San Francisco), Dell Ventures, EPIC Ventures, Eric Hahn, Eventide Asset Management, Greylock Partners, Grumman Hill, Intel Capital, Inventures Group, Pelion Venture Partners, Quan Funds, Sands Capital Management, Sapphire Ventures, Wellington Management</t>
  </si>
  <si>
    <t>Avantce(www.avantce.com), Benchmark (San Francisco)(www.benchmark.com), Dell Ventures(www.dellventures.com), EPIC Ventures(www.epicvc.com), Eventide Asset Management(www.eventidefunds.com), Greylock Partners(www.greylock.com), Grumman Hill(www.grummanhill.com), Intel Capital(www.intelcapital.com), Inventures Group(www.ingroup.com), Pelion Venture Partners(www.pelionvp.com), Quan Funds(www.quanfunds.com), Sands Capital Management(www.sandscapital.com), Sapphire Ventures(www.sapphireventures.com), Wellington Management(www.wellington.com)</t>
  </si>
  <si>
    <t>BarkerGilmore(Consulting), Bussmann Advisory(Consulting), martinwolf(Advisor: General), ON Partners(Consulting), PwC(Auditor), WilmerHale(Legal Advisor)</t>
  </si>
  <si>
    <t>E*Offering(Underwriter), Guggenheim Partners(Advisor: General), J.P. Morgan(Underwriter), JPMorgan Chase(Advisor: General), Kahn Swick &amp; Foti(Legal Advisor), Lazard Middle Market(Advisor: General), Levi &amp; Korsinsky(Legal Advisor), Morgan Stanley(Advisor: General), Rigrodsky &amp; Long(Legal Advisor), Skadden, Arps, Slate, Meagher &amp; Flom(Legal Advisor), TD Ameritrade(Underwriter), Tekla Capital Management(Underwriter), The Goldman Sachs Group(Underwriter), Thomas Weisel Partners Group(Underwriter)</t>
  </si>
  <si>
    <t>41114-44</t>
  </si>
  <si>
    <t>Kansas City Southern (NYS: KSU)</t>
  </si>
  <si>
    <t>Kansas City Southern Industries</t>
  </si>
  <si>
    <t>KCS, Kansas City</t>
  </si>
  <si>
    <t>CSX (Freight Transportation), Canadian Pacific Railway</t>
  </si>
  <si>
    <t>Kansas City Southern, the smallest Class I railroad, derives about half of its $2.6 billion revenue on 3,400 miles of track in the Central and Southern United States. Remaining sales are produced by operating concessions on 3,300 miles of rail in Mexico and 47 miles of track adjacent to the Panama Canal. KCS' freight includes industrial and forest products (around 21% of total revenue), chemicals and petroleum (26%), agriculture and minerals (18%), intermodal (13%), energy (9%), and autos (9%); other revenue stems from switching, demurrage, and the like.</t>
  </si>
  <si>
    <t>Holding Companies, Rail*</t>
  </si>
  <si>
    <t>Industrials, Oil &amp; Gas</t>
  </si>
  <si>
    <t>carloads, freight rail, intermodal, railroad, transloading, transportation</t>
  </si>
  <si>
    <t>www.kcsouthern.com</t>
  </si>
  <si>
    <t>1989: 7000, 1990: 7030, 1991: 7020, 1992: 6870, 1993: 7470, 1994: 8217, 1995: 9600, 1996: 9800, 1997: 4080, 1998: 4535, 1999: 5731, 2000: 2862, 2001: 2695, 2002: 2707, 2003: 2670, 2004: 2680, 2005: 2680, 2006: 6470, 2007: 6485, 2008: 6400, 2009: 6100, 2010: 6100, 2011: 6140, 2012: 6110, 2013: 6260, 2014: 6490, 2015: 6670, 2016: 6820, 2017: 7130, 2019: 7040, 2020: 6522</t>
  </si>
  <si>
    <t>KSU</t>
  </si>
  <si>
    <t>News (New) , News (New) , News (New) , News (New) , News (New) , News (New) , News (New) , News (New) , News (New) , News (New) , News (New) , News (New) , News (New) , News (New) , News (New) , News (New) , News (New)</t>
  </si>
  <si>
    <t>179810-83P</t>
  </si>
  <si>
    <t>Brian Hancock</t>
  </si>
  <si>
    <t>Executive Vice President &amp; Executive</t>
  </si>
  <si>
    <t>bhancock@kcsouthern.com</t>
  </si>
  <si>
    <t>+1 (800) 468-6527</t>
  </si>
  <si>
    <t>Kansas City, MO</t>
  </si>
  <si>
    <t>427 West 12th Street</t>
  </si>
  <si>
    <t>Kansas City</t>
  </si>
  <si>
    <t>64105</t>
  </si>
  <si>
    <t>The company reached a definitive agreement to be acquired by Canadian National Railway (TSE: CNR) for $33.6 billion on May 21, 2021. The company will receive a contingent payout of $1 billion if the U.S. Surface Transportation Board (STB) rejects a voting trust structure it has put forward to complete the deal. The acquisition will create a North American railway spanning the United States, Mexico and Canada. The company is being actively tracked by PitchBook.</t>
  </si>
  <si>
    <t>Canadian National Railway, Global Infrastructure Partners, The Blackstone Group</t>
  </si>
  <si>
    <t>Canadian National Railway(www.cn.ca), Global Infrastructure Partners(www.global-infra.com), The Blackstone Group(www.blackstone.com)</t>
  </si>
  <si>
    <t>Kepper, Tupper and Company(Advisor: General), Martínez, Algaba, de Haro y Curiel(Legal Advisor), Morrow Sodali(Consulting), Pegasus Intellectual Capital Solutions(Advisor: General)</t>
  </si>
  <si>
    <t>BofA Securities(Advisor: General), Davies Ward Phillips &amp; Vineberg(Legal Advisor), Morgan Stanley(Advisor: General), O'Keeffe &amp; O'Malley(Advisor: General), Wachtell, Lipton, Rosen &amp; Katz(Legal Advisor), White &amp; Case(Legal Advisor), WilmerHale(Legal Advisor)</t>
  </si>
  <si>
    <t>10173-07</t>
  </si>
  <si>
    <t>SunTrust Bank</t>
  </si>
  <si>
    <t>SunTrust Banks</t>
  </si>
  <si>
    <t>SunTrust</t>
  </si>
  <si>
    <t>SunTrust Banks, Inc.</t>
  </si>
  <si>
    <t>Truist, MUFG Union Bank, Central Bank of India, Capital One Financial, Synovus Bank, TCF Financial Corporation, First National Bank, Fifth Third Bank, ABN AMRO Bank, Commerzbank (Schweiz), First Nationwide Bank, East West Banking, Investec, Northern Trust, Baytree National Bank and Trust, KeyBank, (CenterState Bank) Downtown Fort Pierce Branch, Regions Financial, PNC, Credit Agricole, HSBC Holdings, Seacoast Bank, Wells Fargo, First Busey, DNB Financial, Sunshine Bank, BBVA USA Bancshares, Southern States Bank, Bank of Ireland, OCBC Bank, Huntington National Bank, Stonegate Bank, Bank of America, Bank OZK, U.S. Bancorp, Capital Bank Financial</t>
  </si>
  <si>
    <t>SunTrust Banks, headquartered in Atlanta, comprises commercial, corporate, and retail banking operations. SunTrust's corporate and investment banking arm is under the SunTrust Robinson Humphrey brand. The vast majority of SunTrust's deposits are in seven Southeastern U.S. states and the District of Columbia.</t>
  </si>
  <si>
    <t>banking services, credit card, personal banking, wealth management</t>
  </si>
  <si>
    <t>www.suntrust.com</t>
  </si>
  <si>
    <t>1989: 20000, 1990: 20000, 1991: 19103, 1992: 19103, 1993: 19532, 1994: 19408, 1995: 19415, 1996: 20863, 1997: 19415, 1998: 30452, 1999: 30222, 2000: 28268, 2001: 29000, 2002: 27622, 2003: 27578, 2004: 33156, 2005: 33406, 2006: 33599, 2007: 32323, 2008: 29333, 2009: 28001, 2010: 29056, 2011: 29182, 2012: 26778, 2013: 26281, 2014: 24638, 2015: 24043, 2016: 24375, 2017: 23785, 2018: 22899</t>
  </si>
  <si>
    <t>Truist</t>
  </si>
  <si>
    <t>TTM 3Q2019</t>
  </si>
  <si>
    <t>13102-66P</t>
  </si>
  <si>
    <t>Ravi Ugale</t>
  </si>
  <si>
    <t>Managing Director, Private Equity &amp; Credit Strategies and Senior Vice President</t>
  </si>
  <si>
    <t>ravi.ugale@suntrust.com</t>
  </si>
  <si>
    <t>303 Peachtree Street Northeast</t>
  </si>
  <si>
    <t>30308-3201</t>
  </si>
  <si>
    <t>The company was acquired by Branch Banking and Trust (NYS: BBT) for $33.55 billion on December 6, 2019. The combined company will operate under a new name, Truist, and have around $442 billion in assets, $301 billion in loans and $324 billion in deposits. The combined entity will be valued at $66 billion. BB&amp;T shareholders will own 57% of the company and SunTrust will own the rest.</t>
  </si>
  <si>
    <t>AIS Media(Consulting), Carillon Capital(Advisor: General), Cerulli Associates(Advisor: General), Davidson Capital Group(Advisor: General), Greenwich Associates(Consulting), HCP Associates(Consulting), Hill Ward Henderson(Legal Advisor), King &amp; Spalding(Legal Advisor), Leading Path Consulting(Consulting), Loop Capital Markets(Underwriter), Mann, Armistead &amp; Epperson(Advisor: General), Miles &amp; Stockbridge(Legal Advisor), Sandler O'Neill + Partners(Lead Manager or Arranger), South Milhausen(Legal Advisor), SRS Acquiom(Advisor: General), Stone Mantel(Consulting), Sullivan &amp; Cromwell(Legal Advisor)</t>
  </si>
  <si>
    <t>Kahn Swick &amp; Foti(Legal Advisor), King &amp; Spalding(Legal Advisor), Rigrodsky &amp; Long(Legal Advisor), Sullivan &amp; Cromwell(Legal Advisor), SunTrust Robinson Humphrey(Advisor: General), The Goldman Sachs Group(Advisor: General)</t>
  </si>
  <si>
    <t>10493-83</t>
  </si>
  <si>
    <t>Raytheon</t>
  </si>
  <si>
    <t>American Appliance Company</t>
  </si>
  <si>
    <t>Raytheon Co.</t>
  </si>
  <si>
    <t>BAE Systems, Dassault Aviation, Northrop Grumman, Lockheed Martin, Thales Group, GE Aviation, United Aircraft Corporation, Korea Aerospace Industries, Embraer, Airbus Group, General Dynamics, Airbus, General Dynamics Ordnance and Tactical Systems, Boeing, Rocket Lab</t>
  </si>
  <si>
    <t>Raytheon is a U.S. defense contractor that posted just over $27 billion in sales during 2018. It operates through five segments: integrated defense systems, intelligence and information, missile systems, space and airborne systems, and a cybersecurity business branded Forcepoint. Sales to the U.S. government account for about 70% of consolidated revenue. Based in Waltham, Massachusetts, Raytheon employs more than 60,000 people.</t>
  </si>
  <si>
    <t>Aerospace and Defense*</t>
  </si>
  <si>
    <t>Industrials, Space Technology, TMT</t>
  </si>
  <si>
    <t>cyber defense, defense contracting, defense systems, integrated defense, professional services</t>
  </si>
  <si>
    <t>www.raytheon.com</t>
  </si>
  <si>
    <t>1997: 119150, 1998: 108200, 1999: 105300, 2000: 93700, 2001: 87200, 2002: 76400, 2003: 78000, 2004: 79000, 2005: 80000, 2006: 80000, 2007: 72100, 2008: 73000, 2009: 75000, 2010: 72000, 2011: 71000, 2012: 67800, 2013: 63000, 2014: 61000, 2015: 61000, 2016: 63000, 2017: 64000, 2018: 67000, 2019: 70000, 2020: 70000</t>
  </si>
  <si>
    <t>News (New) , News (New) , News (New) , News (New) , News (New) , News (New) , News (New) , News (New) , News (New) , News (New)</t>
  </si>
  <si>
    <t>90120-79P</t>
  </si>
  <si>
    <t>Anthony O'Brien</t>
  </si>
  <si>
    <t>anthony@raytheon.com</t>
  </si>
  <si>
    <t>The company was acquired by United Technologies (NYS: RTX) for $33.16 Billion on April 3, 2020. Post the transaction, the combined entity changed their name to Raytheon Technologies (NYS: RTX), which is valued at about $120 billion. The acquisition will enable United Technologies to offer expanded technology and R&amp;D capabilities to deliver innovative and cost-effective solutions aligned with customer priorities and the national defense strategies of the U.S. and its allies and friends. As a result of the merger, United Technologies shareholders will own approximately 57% and Raytheon shareholders will own approximately 43% percent of the combined company on a fully diluted basis. The company is no longer actively tracked by PitchBook.</t>
  </si>
  <si>
    <t>Raytheon Technologies</t>
  </si>
  <si>
    <t>Berenson &amp; Company(Advisor: General), Birchtree Global(Consulting), Chase Bank(Legal Advisor), Clareo Partners(Consulting), Clarity Consultants(Consulting), Cleary Gottlieb(Legal Advisor), Covington &amp; Burling(Legal Advisor), Kahn Swick &amp; Foti(Legal Advisor), Landmark Ventures(Advisor: General), Paragon Advisory Services(Valuation/Appraiser), PwC(Auditor), SGC Partners(Consulting), Simpson Thacher &amp; Bartlett(Legal Advisor), Sullivan &amp; Cromwell(Legal Advisor), Taylor-DeJongh(Advisor: General), Tenzing Consulting(Consulting), The Peakstone Group(Advisor: General), White &amp; Case(Legal Advisor), Widebridge Group(Consulting)</t>
  </si>
  <si>
    <t>Citigroup Global Markets(Advisor: General), RBC Capital Markets(Advisor: General), Shearman &amp; Sterling(Legal Advisor)</t>
  </si>
  <si>
    <t>63353-53</t>
  </si>
  <si>
    <t>Baxalta</t>
  </si>
  <si>
    <t>Baxalta, Inc.</t>
  </si>
  <si>
    <t>Velico Medical, Bioverativ Therapeutics, Altor BioScience, MannKind Corporation, Taiwan Liposome, Tocagen, EGL Genetic Diagnostics, Genentech, Flex Pharma, Sermonix Pharmaceuticals, OncoMed Pharmaceuticals, Amgen, Mallinckrodt, Fresenius Kabi, Baxter International</t>
  </si>
  <si>
    <t>Developer of bio-pharmaceuticals products. The Company offers bio-pharmaceuticals for the treatment of hemophilia, bleeding disorders, immune deficiencies, alpha-1 antitrypsin deficiency, and other chronic. Its therapies are available in more than 100 countries and it has biological manufacturing operations across 12 facilities, including recombinant production and plasma fractionation.</t>
  </si>
  <si>
    <t>Biotechnology*, Other Pharmaceuticals and Biotechnology</t>
  </si>
  <si>
    <t>medicine developer, patient-care</t>
  </si>
  <si>
    <t>www.baxalta.com</t>
  </si>
  <si>
    <t>2015: 17000, 2016: 17000</t>
  </si>
  <si>
    <t>144791-74P</t>
  </si>
  <si>
    <t>John Glasspool</t>
  </si>
  <si>
    <t>Executive Vice President, Head of Corporate Strategy and Customer Operations</t>
  </si>
  <si>
    <t>jglasspool@agentcapital.com</t>
  </si>
  <si>
    <t>+1 (617) 340-2538</t>
  </si>
  <si>
    <t>Bannockburn, IL</t>
  </si>
  <si>
    <t>1200 Lakeside Drive</t>
  </si>
  <si>
    <t>Bannockburn</t>
  </si>
  <si>
    <t>60015</t>
  </si>
  <si>
    <t>+1 (224) 948-2000</t>
  </si>
  <si>
    <t>info.de@baxalta.com</t>
  </si>
  <si>
    <t>The company (NYSE: BXLT) was acquired by Shire (LON: SHP) for $32 billion on June 3, 2016. The acquisition consideration was financing through a credit financing. The company is no longer actively tracked by PitchBook.</t>
  </si>
  <si>
    <t>Baxter International, BlackRock</t>
  </si>
  <si>
    <t>Baxter International(www.baxter.com), BlackRock(www.blackrock.com)</t>
  </si>
  <si>
    <t>Barkawi Management Consultants(Consulting)</t>
  </si>
  <si>
    <t>Baker &amp; Daniels(Legal Advisor), Citigroup(Advisor: General), Innisfree M&amp;A(Legal Advisor), Jones Day(Legal Advisor), Kekst CNC(Advisor: Communications), Kirkland &amp; Ellis(Legal Advisor), Mayer Brown(Legal Advisor), Skadden, Arps, Slate, Meagher &amp; Flom(Legal Advisor), The Goldman Sachs Group(Advisor: General)</t>
  </si>
  <si>
    <t>125686-00</t>
  </si>
  <si>
    <t>General Electric (commercial lending and leasing business loans)</t>
  </si>
  <si>
    <t>Loan portfolio of General Electric. The portfolio is a specialty finance portfolio with vendor financing, commercial distribution finance and direct lending assets worth $30 billion.</t>
  </si>
  <si>
    <t>Other Financial Services, Specialized Finance*</t>
  </si>
  <si>
    <t>directing lending, finance provider, lender</t>
  </si>
  <si>
    <t>2016: 3000</t>
  </si>
  <si>
    <t>CT</t>
  </si>
  <si>
    <t>General Electric (NYSE: GE) sold its North American commercial lending and leasing businesses to Wells Fargo &amp; Company (NYSE: WFC) for $32 billion on March 01, 2016. The businesses are no longer actively tracked by PitchBook.</t>
  </si>
  <si>
    <t>Wells Fargo</t>
  </si>
  <si>
    <t>General Electric</t>
  </si>
  <si>
    <t>General Electric(www.ge.com)</t>
  </si>
  <si>
    <t>60384-25</t>
  </si>
  <si>
    <t>Associates First Capital</t>
  </si>
  <si>
    <t>The Associates</t>
  </si>
  <si>
    <t>Associates First Capital Corp.</t>
  </si>
  <si>
    <t>Associates First Capital Corp A operates in the financial services industry. The organization, provides finance, leasing, insurance, and related services to individual consumers and businesses.</t>
  </si>
  <si>
    <t>Consumer Finance</t>
  </si>
  <si>
    <t>Consumer Finance*</t>
  </si>
  <si>
    <t>consumer finance, consumer finance loans, consumer finance product, consumer finance service, consumer financial product</t>
  </si>
  <si>
    <t>www.theassociates.com</t>
  </si>
  <si>
    <t>1995: 16600, 1996: 18980, 1997: 22600, 1998: 22600, 1999: 32486</t>
  </si>
  <si>
    <t>TTM 3Q2000</t>
  </si>
  <si>
    <t>Irving, TX</t>
  </si>
  <si>
    <t>250 East Carpenter Freeway</t>
  </si>
  <si>
    <t>Irving</t>
  </si>
  <si>
    <t>75062</t>
  </si>
  <si>
    <t>The company was acquired by Citigroup (NYS: C) for $31.1 billion on November 30, 2000. The acquisition gives Citigroup a significant position in consumer lending in Japan and a few other countries and also improves Citigroup's standing in the credit card and commercial leasing businesses. The company is no longer actively tracked by PitchBook.</t>
  </si>
  <si>
    <t>Citigroup, Ford</t>
  </si>
  <si>
    <t>The Goldman Sachs Group(Advisor: General)</t>
  </si>
  <si>
    <t>98273-26</t>
  </si>
  <si>
    <t>GE Capital Aviation Services</t>
  </si>
  <si>
    <t>Gecas</t>
  </si>
  <si>
    <t>GE Capital Aviation Services, LLC</t>
  </si>
  <si>
    <t>AerCap Holdings</t>
  </si>
  <si>
    <t>Provider of commercial aircraft financing and leasing services intended to serve the global commercial aviation market. The company's aircraft leasing services are offered through its fleet of aircraft, enabling the aviation industry to modernize and expand their cargo fleet.</t>
  </si>
  <si>
    <t>Air</t>
  </si>
  <si>
    <t>Air*, Other Commercial Services, Specialized Finance</t>
  </si>
  <si>
    <t>aircraft finance, aircraft financing, aircraft financing services, aircraft leasing, aircraft leasing service</t>
  </si>
  <si>
    <t>M&amp;A, Private Equity</t>
  </si>
  <si>
    <t>www.gecas.aero</t>
  </si>
  <si>
    <t>2014: 252, 2015: 274, 2021: 473</t>
  </si>
  <si>
    <t>174236-05P</t>
  </si>
  <si>
    <t>Diarmuid Hogan</t>
  </si>
  <si>
    <t>diarmuid.hogan@gecas.com</t>
  </si>
  <si>
    <t>+353 (0)61 706 500</t>
  </si>
  <si>
    <t>Shannon, Ireland</t>
  </si>
  <si>
    <t>Aviation House</t>
  </si>
  <si>
    <t>Co. Clare</t>
  </si>
  <si>
    <t>Shannon</t>
  </si>
  <si>
    <t>V14 AN29</t>
  </si>
  <si>
    <t>The company, a subsidiary of General Electric (NYS: GE), reached a definitive agreement to be acquired by AerCap Holdings (NYS: AER) for approximately $30 billion on March 10, 2021. The total consideration consists of 111.5 million newly issued AerCap shares, $24 billion of cash and $1 billion of AerCap notes and/or cash. The acquisition will create a leading aircraft leasing platform with expanded customer breadth and reach, given AerCap and company's complementary customer bases with limited overlap. The company is being actively tracked by PitchBook.</t>
  </si>
  <si>
    <t>AerCap Holdings(aercap.com)</t>
  </si>
  <si>
    <t>Morgan Stanley(Advisor: General), Thornton Grout Finnigan(Legal Advisor)</t>
  </si>
  <si>
    <t>Simpson Thacher &amp; Bartlett(Advisor: General)</t>
  </si>
  <si>
    <t>40782-34</t>
  </si>
  <si>
    <t>GlobalFoundries U.S.</t>
  </si>
  <si>
    <t>GF</t>
  </si>
  <si>
    <t>GlobalFoundries U.S. Inc.</t>
  </si>
  <si>
    <t>Broadcom, Diodes, Lattice Semiconductor, Altera, Cypress Semiconductor, Cavium, MagnaChip Semiconductor, MACOM Technology Solutions, Ambiq, Linear Technology, Rambus, ASE Group (Taiwan), STATS ChipPAC, KLA, Monolithic Power Systems, Power Integrations, Mobiveil, X-FAB Semiconductor Foundries, Analog Devices, Intersil, Texas Instruments, Maxim Integrated Products, Microsemi, Xilinx, Fairchild Semiconductor International, Vishay Intertechnology, STMicroelectronics, NXP Semiconductors, Renesas Electronics, Siliconware Precision Industries Company, Kulicke &amp; Soffa Industries, Intel, Micron Technology Italia, Imagination Technologies, Nordic Semiconductor, HiSilicon, Taiwan Semiconductor Manufacturing Company</t>
  </si>
  <si>
    <t>Provider of semiconductor foundry services for the mobility, automotive and consumer IoT markets. The company offers full-service semiconductor design, development, fabrication and innovation services with 300mm fabs and 200mm fabs, providing a range of process technologies, thereby enabling clients to develop innovative products for high-growth market segments.</t>
  </si>
  <si>
    <t>Production (Semiconductors)</t>
  </si>
  <si>
    <t>General Purpose Semiconductors, Production (Semiconductors)*</t>
  </si>
  <si>
    <t>semiconductor design, semiconductor design technology, semiconductor foundry, semiconductor foundry services, semiconductor services</t>
  </si>
  <si>
    <t>Debt Financed, M&amp;A, Private Equity</t>
  </si>
  <si>
    <t>www.gf.com</t>
  </si>
  <si>
    <t>2016: 18000, 2020: 16000, 2021: 15000</t>
  </si>
  <si>
    <t>Departure (New) Susan Bombardier, Vice President &amp; Chief of Staff to the CEO,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</si>
  <si>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60486-04P</t>
  </si>
  <si>
    <t>David Reeder</t>
  </si>
  <si>
    <t>dreeder@thig.com</t>
  </si>
  <si>
    <t>+1 (408) 462-3900</t>
  </si>
  <si>
    <t>Santa Clara, CA</t>
  </si>
  <si>
    <t>Santa Clara Gateway</t>
  </si>
  <si>
    <t>2600 Great America Way</t>
  </si>
  <si>
    <t>Santa Clara</t>
  </si>
  <si>
    <t>95054</t>
  </si>
  <si>
    <t>The company is rumored to be in talks with Intel (NASDAQ: INTC) regarding a potential acquisition for $30 billion on July 16, 2021. Previously, yhe company received $125 million of debt financing in the form of loan from Morgan Stanley Senior Funding on August 27, 2018. Previously, the company received EUR 50 million of debt financing in the form of a loan from IKB Deutsche Industriebank in June 2018. The company is being actively tracked by PitchBook.</t>
  </si>
  <si>
    <t>Mubadala Technology</t>
  </si>
  <si>
    <t>Mubadala Technology(www.atic.ae)</t>
  </si>
  <si>
    <t>Bank of America Merrill Lynch(Advisor: General), IKB Deutsche Industriebank(Debt Financing), Morgan Stanley Senior Funding(Debt Financing), Shearman &amp; Sterling(Legal Advisor)</t>
  </si>
  <si>
    <t>Rumor/Speculation</t>
  </si>
  <si>
    <t>186839-56</t>
  </si>
  <si>
    <t>StatoilHydro</t>
  </si>
  <si>
    <t>Hydro</t>
  </si>
  <si>
    <t>Statoilhydro ASA</t>
  </si>
  <si>
    <t>Provider of oil and gas exploration services. The company's activities include processing, exploring and developing variety of oil and gas products such as natural gas, petroleum lubricants, oil additives, diesel and related products, enabling clients to avail quality oil and gas products.</t>
  </si>
  <si>
    <t>Energy Exploration*, Energy Production, Energy Refining</t>
  </si>
  <si>
    <t>gas exploration, natural gas, oil exploration, oil explorer, petroleum</t>
  </si>
  <si>
    <t>Norway</t>
  </si>
  <si>
    <t>Northern Europe</t>
  </si>
  <si>
    <t>The company, a subsidiary of Norsk Hydro, was acquired by Statoil (OSL: STL) for $30 billion in October 2007. The company is no longer actively tracked by PitchBook.</t>
  </si>
  <si>
    <t>Equinor</t>
  </si>
  <si>
    <t>Norsk Hydro</t>
  </si>
  <si>
    <t>Norsk Hydro(www.hydro.com)</t>
  </si>
  <si>
    <t>227643-13</t>
  </si>
  <si>
    <t>Sual Group</t>
  </si>
  <si>
    <t>OAO Sual Group</t>
  </si>
  <si>
    <t>Manufacturer of aluminum and alumina. The company's aluminum and related mineral products include primary aluminum and aluminum alloys enabling customer to receive sustainable and high grade aluminium products.</t>
  </si>
  <si>
    <t>Aluminum Mining*, Industrial Supplies and Parts</t>
  </si>
  <si>
    <t>alumina, alumina refining, aluminium, aluminium alloy, aluminium producer, bauxite extraction</t>
  </si>
  <si>
    <t>www.sual.com</t>
  </si>
  <si>
    <t>2003: 62000</t>
  </si>
  <si>
    <t>FY 2005</t>
  </si>
  <si>
    <t>58489-03P</t>
  </si>
  <si>
    <t>Iosif Bakaleynik</t>
  </si>
  <si>
    <t>+33 (0)1 87 86 40 01</t>
  </si>
  <si>
    <t>40, Malaya Ordynka</t>
  </si>
  <si>
    <t>The company was acquired by Rusal (HKG: 00486) for $30 billion on March 27, 2007. The deal will create the world's largest aluminium and alumina producing entity. The company is no longer actively tracked by PitchBook.</t>
  </si>
  <si>
    <t>Rusal</t>
  </si>
  <si>
    <t>11642-95</t>
  </si>
  <si>
    <t>Willis Towers Watson (NAS: WLTW)</t>
  </si>
  <si>
    <t>Willis Group Holdings</t>
  </si>
  <si>
    <t>Willis Towers Watson PLC</t>
  </si>
  <si>
    <t>Aon, Keenan &amp; Associates, Deloitte, Sumitomo Life Insurance Agency America, SilverStone Group, Control Risks Group, AlixPartners, Navigant Consulting, Barney &amp; Barney, Beecher Carlson, Xafinity Punter Southall, FTI Consulting, Huron Consulting Group, Omdia, Jardine Lloyd Thompson Group</t>
  </si>
  <si>
    <t>In January 2016, Towers Watson and Willis Group merged to form Willis Towers Watson, a global advisory, insurance brokerage, and solutions company. The company operates in four business segments: corporate risk and brokerage; benefits delivery and administration; human capital and benefits; and investment, risk, and reinsurance. The firm operates under the Willis brand for risk and insurance solutions, while it markets under the Towers Watson brand for consulting services in the areas of employee benefits, exchange solutions, and benefit outsourcing.</t>
  </si>
  <si>
    <t>Brokerage, Consulting Services (B2B)*, Other Capital Markets/Institutions</t>
  </si>
  <si>
    <t>FinTech, Industrials, TMT</t>
  </si>
  <si>
    <t>financial analysis, financial consulting, financial risk advisory, financial risk analysis, financial risk manager</t>
  </si>
  <si>
    <t>www.willistowerswatson.com</t>
  </si>
  <si>
    <t>2000: 10470, 2001: 11300, 2002: 10450, 2003: 11000, 2004: 12400, 2005: 12600, 2006: 13000, 2007: 13000, 2008: 17000, 2009: 17000, 2010: 20000, 2011: 17000, 2012: 21000, 2013: 21700, 2014: 18400, 2015: 39000, 2016: 41000, 2017: 43400, 2018: 43300, 2019: 46600, 2020: 46100, 2021: 46000</t>
  </si>
  <si>
    <t>WLTW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</si>
  <si>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</si>
  <si>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</si>
  <si>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173227-96P</t>
  </si>
  <si>
    <t>Spencer Bowen</t>
  </si>
  <si>
    <t>Senior Investments Consultant</t>
  </si>
  <si>
    <t>+1 (703) 258-8000</t>
  </si>
  <si>
    <t>Arlington, VA</t>
  </si>
  <si>
    <t>800 North Glebe Road</t>
  </si>
  <si>
    <t>Floor 10</t>
  </si>
  <si>
    <t>Arlington</t>
  </si>
  <si>
    <t>Virginia</t>
  </si>
  <si>
    <t>22203</t>
  </si>
  <si>
    <t>+1 (703) 258-8585</t>
  </si>
  <si>
    <t>The company reached a definitive agreement to be acquired by Aon (NYS: AON) for $30 billion on March 9, 2020. This acquisition will create a more innovative platform capable of delivering better outcomes for all stakeholders, including clients, colleagues, partners and investors. Previously, existing shareholders, Kohlberg Kravis Roberts and Fisher Capital sold 6.1 million shares of common shares of the company's (NASDAQ:WLTW) common stock on November 8, 2005. The company is actively being tracked by PitchBook.</t>
  </si>
  <si>
    <t>Hartford Financial Services Group (Mutual Fund Business)</t>
  </si>
  <si>
    <t>Chubb Group of Insurance Companies (Acquired 2016), Fisher Capital Partners, Guardian Royal Exchange, Kohlberg Kravis Roberts, Royal &amp; SunAlliance USA, Travelers Property Casualty</t>
  </si>
  <si>
    <t>Aon</t>
  </si>
  <si>
    <t>Fisher Capital Partners(www.fisher-capital.com), Kohlberg Kravis Roberts(www.kkr.com), Royal &amp; SunAlliance USA(www.royalsunalliance-usa.com)</t>
  </si>
  <si>
    <t>Aon(www.aon.com)</t>
  </si>
  <si>
    <t>Bank of America Merrill Lynch(Underwriter), Chase Bank(Debt Financing), Citigroup(Underwriter), Credit Suisse(Underwriter), Deutsche Bank(Advisor: General), EY(Auditor), Fried, Frank, Harris, Shriver &amp; Jacobson(Legal Advisor), J.P. Morgan(Underwriter), Kahn Swick &amp; Foti(Legal Advisor), Linklaters(Legal Advisor), Matheson(Legal Advisor), Morgan Stanley(Underwriter), Morgan Stanley Wealth Management(Underwriter), Posse Herrera &amp; Ruiz(Legal Advisor), Rigrodsky &amp; Long(Legal Advisor), Skadden, Arps, Slate, Meagher &amp; Flom(Legal Advisor), The Goldman Sachs Group(Advisor: General), UBS Group(Underwriter), Weil, Gotshal &amp; Manges(Legal Advisor)</t>
  </si>
  <si>
    <t>10227-70</t>
  </si>
  <si>
    <t>Altadis</t>
  </si>
  <si>
    <t>Altadis S.A.</t>
  </si>
  <si>
    <t>Manufacturer and distributor of tobacco products. The company manufactures cigars, cigarettes, smoking pipes and other tobacco products.</t>
  </si>
  <si>
    <t>Other Consumer Non-Durables</t>
  </si>
  <si>
    <t>Other Consumer Non-Durables*</t>
  </si>
  <si>
    <t>cigars and cigarettes, tobacco product</t>
  </si>
  <si>
    <t>www.altadis.com</t>
  </si>
  <si>
    <t>2014: 409, 2016: 652</t>
  </si>
  <si>
    <t>FY 2016</t>
  </si>
  <si>
    <t>73094-23P</t>
  </si>
  <si>
    <t>Juan Arrizabalaga</t>
  </si>
  <si>
    <t>+34 91 360 9000</t>
  </si>
  <si>
    <t>Madrid, Spain</t>
  </si>
  <si>
    <t>Centro empresarial Cristalia, Vía de los Poblados, 3</t>
  </si>
  <si>
    <t>Edificios 7-8, Plantas 3 y 4</t>
  </si>
  <si>
    <t>Madrid</t>
  </si>
  <si>
    <t>28033</t>
  </si>
  <si>
    <t>Spain</t>
  </si>
  <si>
    <t>+34 91 360 9100</t>
  </si>
  <si>
    <t>The company was acquired by Imperial Tobacco Group for GBP 15.2 billion on January 25, 2008.</t>
  </si>
  <si>
    <t>Imperial Brands</t>
  </si>
  <si>
    <t>Cinven, CVC Capital Partners, PAI Partners, Permira</t>
  </si>
  <si>
    <t>Cinven(www.cinven.com), CVC Capital Partners(www.cvc.com), PAI Partners(www.paipartners.com), Permira(www.permira.com)</t>
  </si>
  <si>
    <t>Alexander Partners(Advisor: General), Grupo MBD(Advisor: General), PwC(Auditor)</t>
  </si>
  <si>
    <t>52845-94</t>
  </si>
  <si>
    <t>Actelion Pharmaceuticals</t>
  </si>
  <si>
    <t>Actelion</t>
  </si>
  <si>
    <t>Actelion Pharmaceuticals Ltd</t>
  </si>
  <si>
    <t>Regeneron Pharmaceuticals, Vifor Uriach España, Idorsia Pharmaceuticals, Theravance Biopharma, Aptalis Pharma, Sagent Pharmaceuticals, Catalent, ACADIA Pharmaceuticals, AB Science, Boehringer Ingelheim, United Therapeutics, Roche Holding, Incyte, Icagen, AstraZeneca, Moderna Therapeutics, Mylan, Cipla, GlaxoSmithKline, Innate Pharma, Revance Therapeutics, Emergent Biosolutions, Seagen, Allergan, Tioga Pharmaceuticals, Gilead Sciences, Alexion, Celgene, Galapagos (Belgium), SAGE Therapeutics, Sandoz, MedDay Pharmaceuticals</t>
  </si>
  <si>
    <t>Actelion is a Swiss biopharmaceutical firm with several products on the market, largely focused on pulmonary arterial hypertension: Tracleer, Opsumit, Uptravi, Ventavis, and Veletri treat various stages of the disease via different methods of administration. Zavesca is a second-line option for Gaucher disease, and Valchlor treats a rare form of blood cancer. Actelion has created a global commercial infrastructure for its approved orphan drugs and has supplemented its internal pipeline through in-licensing and acquisitions.</t>
  </si>
  <si>
    <t>Drug Delivery, Pharmaceuticals*</t>
  </si>
  <si>
    <t>low molecular weight drugs, unmet medical</t>
  </si>
  <si>
    <t>www1.actelion.com</t>
  </si>
  <si>
    <t>2008: 1900, 2009: 2260, 2011: 2570, 2012: 2433, 2013: 2396, 2014: 2470, 2015: 2547, 2016: 2624, 2017: 2500</t>
  </si>
  <si>
    <t>Johnson &amp; Johnson</t>
  </si>
  <si>
    <t>TTM 1Q2017</t>
  </si>
  <si>
    <t>53157-97P</t>
  </si>
  <si>
    <t>André Muller</t>
  </si>
  <si>
    <t>Member of the Executive Committee, Chief Financial Officer and Executive Vice President</t>
  </si>
  <si>
    <t>andre.muller@idorsia.com</t>
  </si>
  <si>
    <t>+41 (0)58 844 0000</t>
  </si>
  <si>
    <t>Allschwil, Switzerland</t>
  </si>
  <si>
    <t>Gewerbestrasse 16</t>
  </si>
  <si>
    <t>Allschwil</t>
  </si>
  <si>
    <t>4123</t>
  </si>
  <si>
    <t>+41 (0)61 565 6565</t>
  </si>
  <si>
    <t>+41 (0)61 565 6500</t>
  </si>
  <si>
    <t>The company (SWX: ATLN) was acquired by Johnson &amp; Johnson (NYSE: JNJ) for $29.6 billion on June 16, 2017. The acquisition gives J&amp;J access to the Swiss group's line-up of high-price, high-margin medicines for rare diseases, helping it diversify its drug portfolio as its biggest product, Remicade for arthritis, faces cheaper competition. The company's Shares will be delisted from SIX Swiss Exchange on November 7, 2017.</t>
  </si>
  <si>
    <t>3i Group, Atlas Venture, BB Biotech, CITA Investissement, Endeavour Vision, HealthCap, Merifin Capital, NeoMed Management, Reference Capital (Switzerland), Sofinnova Investments, Sofinnova Partners, TVM Capital, Vivo Capital, Wellington Partners</t>
  </si>
  <si>
    <t>3i Group(www.3i.com), Atlas Venture(www.atlasventure.com), BB Biotech(www.bbbiotech.ch), CITA Investissement(www.cita-invest.com), Endeavour Vision(www.endeavourvision.com), HealthCap(www.healthcap.eu), Merifin Capital(www.merifin.com), NeoMed Management(www.neomed.net), Reference Capital (Switzerland)(referencecap.com), Sofinnova Investments(www.sofinnova.com), Sofinnova Partners(www.sofinnovapartners.com), Vivo Capital(www.vivocapital.com), Wellington Partners(www.wellington-partners.com)</t>
  </si>
  <si>
    <t>Cello Health BioConsulting(Consulting), Faber Daeufer &amp; Itrato(Legal Advisor), RoseRyan(Consulting)</t>
  </si>
  <si>
    <t>Alantra Partners(Advisor: General), Bank of America Merrill Lynch(Advisor: General), Credit Suisse(Lead Manager or Arranger), Niederer Kraft Frey(Legal Advisor), Slaughter and May(Legal Advisor), Wachtell, Lipton, Rosen &amp; Katz(Legal Advisor)</t>
  </si>
  <si>
    <t>10709-74</t>
  </si>
  <si>
    <t>Chubb Group of Insurance Companies (Acquired 2016)</t>
  </si>
  <si>
    <t>Chubb</t>
  </si>
  <si>
    <t>The Chubb Corp.</t>
  </si>
  <si>
    <t>Travelers Companies, GEICO, Allstate, American International Group, Fireman's Fund Insurance Company</t>
  </si>
  <si>
    <t>Provider of property and casualty insurance. The company provides commercial and personal property and casualty insurance, personal accident and supplemental health insurance, reinsurance and life insurance to a diverse group of clients. The insurance companies of Chubb serve multinational corporations, mid-size and small businesses with property and casualty insurance and services; affluent and high net worth individuals with substantial assets to protect; individuals purchasing life, personal accident, supplemental health, homeowners, automobile and other specialty insurance coverage; companies and affinity groups providing or offering accident and health insurance programs and life insurance to their employees or members; and insurers managing exposures with reinsurance coverage.</t>
  </si>
  <si>
    <t>Insurance</t>
  </si>
  <si>
    <t>Property and Casualty Insurance</t>
  </si>
  <si>
    <t>Insurance Brokers, Property and Casualty Insurance*</t>
  </si>
  <si>
    <t>casualty insurance service, personal coverage, umbrella liability</t>
  </si>
  <si>
    <t>1989: 10100, 1990: 10000, 1991: 10100, 1992: 10000, 1993: 10000, 1994: 10000, 1995: 10000, 1996: 11600, 1997: 9700, 1998: 10700, 1999: 11900, 2000: 12400, 2001: 12400, 2002: 12400, 2003: 12400, 2004: 12400, 2005: 10800, 2006: 10800, 2007: 10600, 2008: 10400, 2009: 10200, 2010: 10100, 2011: 10100, 2012: 10200, 2013: 10200, 2014: 10200, 2016: 31000, 2021: 30000</t>
  </si>
  <si>
    <t>35900-02P</t>
  </si>
  <si>
    <t>John Finnegan</t>
  </si>
  <si>
    <t>+1 (908) 903-2000</t>
  </si>
  <si>
    <t>Warren, NJ</t>
  </si>
  <si>
    <t>15 Mountain View Road</t>
  </si>
  <si>
    <t>Warren</t>
  </si>
  <si>
    <t>07059</t>
  </si>
  <si>
    <t>+1 (908) 903-2027</t>
  </si>
  <si>
    <t>info@chubb.com</t>
  </si>
  <si>
    <t>The company (NYSE: CB) was acquired by ACE (NYSE: ACE) for $29.5 billion on January 14, 2016. The total consideration comprises of $14.3 billion in cash and $15.2 billion in newly-issued stock.</t>
  </si>
  <si>
    <t>Allianz Group, AXA, Berkshire Hathaway, Travelers Companies</t>
  </si>
  <si>
    <t>Allianz Group(www.allianz.com), AXA(www.axa.com), Berkshire Hathaway(www.berkshirehathaway.com), Travelers Companies(www.travelers.com)</t>
  </si>
  <si>
    <t>Bär &amp; Karrer(Legal Advisor), Citigroup(Lead Manager or Arranger), Davis Polk(Legal Advisor), Gibson, Dunn &amp; Crutcher(Legal Advisor), Guggenheim Partners(Advisor: General), J.P. Morgan(Lead Manager or Arranger), Joele Frank(Advisor: Communications), Morgan Stanley(Advisor: General), Nilan Johnson Lewis(Legal Advisor), REL Consultancy(Consulting), Sard Verbinnen(Advisor: Communications), Sidley Austin(Legal Advisor), SSA &amp; Company(Consulting), Stikeman Elliott(Legal Advisor), Sullivan &amp; Cromwell(Legal Advisor), Wachtell, Lipton, Rosen &amp; Katz(Legal Advisor)</t>
  </si>
  <si>
    <t>Guggenheim Partners(Advisor: General), Sard Verbinnen(Advisor: Communications), Wachtell, Lipton, Rosen &amp; Katz(Legal Advisor)</t>
  </si>
  <si>
    <t>42942-34</t>
  </si>
  <si>
    <t>Xstrata</t>
  </si>
  <si>
    <t>Suedelektra Holding</t>
  </si>
  <si>
    <t>Xstrata PLC</t>
  </si>
  <si>
    <t>Operator of a minerals exploration and production company. The company owns and operates businesses, focused primarily in coal and zinc mining and the production of ferroalloys, including thermal coal, ferrochrome, nickel, vanadium and zinc metals. It is also engaged in the exploration of platinum group metals comprising platinum, palladium, rhodium, gold, cobalt, iron, lead and silver deposits.</t>
  </si>
  <si>
    <t>Multi-line Mining</t>
  </si>
  <si>
    <t>Multi-line Mining*, Other Metals, Minerals and Mining, Precious Metals and Minerals Mining</t>
  </si>
  <si>
    <t>copper and coal, material and mining</t>
  </si>
  <si>
    <t>2012: 38000, 2013: 38000</t>
  </si>
  <si>
    <t>181739-08P</t>
  </si>
  <si>
    <t>Santiago Zaldumbide</t>
  </si>
  <si>
    <t>Bahnhofstrasse 2</t>
  </si>
  <si>
    <t>The company (LSE: XTA) was acquired by Glencore (LSE: GLEN) for $29.5 billion on May 2, 2013. The company is no longer actively tracked by PitchBook.</t>
  </si>
  <si>
    <t>Glencore</t>
  </si>
  <si>
    <t>Qatar Holding, Schroders, SL Capital Partners, The Blackstone Group</t>
  </si>
  <si>
    <t>Qatar Holding(www.qh.com.qa), Schroders(www.schroders.com), SL Capital Partners(slcapital.com), The Blackstone Group(www.blackstone.com)</t>
  </si>
  <si>
    <t>BTD Consulting(Consulting), Cresco Project Finance(Advisor: General), Freshfields Bruckhaus Deringer(Legal Advisor)</t>
  </si>
  <si>
    <t>Bär &amp; Karrer(Legal Advisor), Cazenove(Underwriter), Conyers Dill &amp; Pearman(Legal Advisor), Davies Ward Phillips &amp; Vineberg(Legal Advisor), Deutsche Bank(Underwriter), EY(Advisor: General), Freshfields Bruckhaus Deringer(Legal Advisor), J.P. Morgan(Underwriter), King &amp; Wood Mallesons(Legal Advisor), M. Klein &amp; Company(Advisor: General), Nomura Private Equity Capital(Advisor: General), The Goldman Sachs Group(Advisor: General)</t>
  </si>
  <si>
    <t>10557-37</t>
  </si>
  <si>
    <t>Medco Health Solutions</t>
  </si>
  <si>
    <t>National Pharmacies</t>
  </si>
  <si>
    <t>Medco</t>
  </si>
  <si>
    <t>Medco Health Solutions, Inc</t>
  </si>
  <si>
    <t>Provides clinically-driven pharmacy services. The company offers health care services to private and public employers, health plans, labor unions and government agencies. It also provides consultancy services, model clinical and financial outcomes for clients based on plan design.</t>
  </si>
  <si>
    <t>Other Healthcare Services*</t>
  </si>
  <si>
    <t>health care management, medical pharmacy, pharmacy services</t>
  </si>
  <si>
    <t>2002: 13775, 2003: 13650, 2004: 13500, 2005: 15300, 2006: 15700, 2007: 20800, 2008: 21800, 2009: 22850, 2010: 24625, 2011: 23200</t>
  </si>
  <si>
    <t>Franklin Lakes, NJ</t>
  </si>
  <si>
    <t>100 Parsons Pond Drive</t>
  </si>
  <si>
    <t>Franklin Lakes</t>
  </si>
  <si>
    <t>07417</t>
  </si>
  <si>
    <t>The company was acquired by Express Scripts, a subsidiary of Cigna (NYS: CI), for $29.1 billion on April 2, 2012. The company is no longer actively tracked by PitchBook.</t>
  </si>
  <si>
    <t>Merck &amp; Co.(www.merck.com)</t>
  </si>
  <si>
    <t>Eureka Capital Partners(Advisor: General)</t>
  </si>
  <si>
    <t>Citigroup(Advisor: General), Dechert(Legal Advisor), Foros (Financing Advisory)(Advisor: General), JPMorgan Chase(Advisor: General), Lazard Middle Market(Advisor: General), Sullivan &amp; Cromwell(Legal Advisor)</t>
  </si>
  <si>
    <t>41762-62</t>
  </si>
  <si>
    <t>Spectra Energy</t>
  </si>
  <si>
    <t>Spectra Energy Corp.</t>
  </si>
  <si>
    <t>Magellan Midstream Partners, Kinder Morgan, Keyera, Energy Transfer, Williams Partners, TC Energy, Pembina Pipeline, ONEOK, Targa Resources, Enterprise Products Partners, BlueRacer Midstream, Plains All American Pipeline, Canadian Natural Resources, Blue Roads Solutions, ConocoPhillips, Dakota Plains Holdings, Husky Energy, EnLink Midstream, Spectra Energy Partners, Gazprom gazoraspredelenie Lipetsk, Noble Energy</t>
  </si>
  <si>
    <t>Operator of a pipeline and midstream company with infrastructure across North America. The company's operations in the United States and Canada include approximately 21,000 miles of natural gas and crude oil pipelines; approximately 300 billion cubic feet of natural gas storage; 4.8 million barrels of crude oil storage; as well as natural gas gathering, processing and local distribution operations.</t>
  </si>
  <si>
    <t>Energy Infrastructure, Energy Marketing*, Energy Storage</t>
  </si>
  <si>
    <t>pipeline midstream, pipeline system, platte pipeline</t>
  </si>
  <si>
    <t>www.spectraenergy.com</t>
  </si>
  <si>
    <t>2006: 4950, 2007: 5100, 2008: 5200, 2009: 5400, 2010: 5500, 2011: 5700, 2012: 5600, 2013: 5800, 2014: 9400, 2015: 6000, 2016: 6000</t>
  </si>
  <si>
    <t>92848-96P</t>
  </si>
  <si>
    <t>Anders Torning</t>
  </si>
  <si>
    <t>Associate General Counsel, Mergers &amp; Acquisitions &amp; Contracts</t>
  </si>
  <si>
    <t>5400 Westheimer Court</t>
  </si>
  <si>
    <t>77056</t>
  </si>
  <si>
    <t>The company was acquired by Enbridge (NYSE: ENB) for CAD 37.5 billion on February 27, 2017. The acquisition will reinforce Enbridge's leadership in global energy infrastructure. The company is no longer actively tracked by PitchBook.</t>
  </si>
  <si>
    <t>Enbridge</t>
  </si>
  <si>
    <t>Duke Energy</t>
  </si>
  <si>
    <t>Duke Energy(www.duke-energy.com)</t>
  </si>
  <si>
    <t>Quinn Emanuel Urquhart &amp; Sullivan(Legal Advisor), The Belanger Valuation Group(Valuation/Appraiser)</t>
  </si>
  <si>
    <t>BMO Capital Markets(Advisor: General), Citicorp North America(Advisor: General), Goodmans(Legal Advisor), Jefferies Financial Group(Advisor: General), Locke Lord(Legal Advisor), Skadden, Arps, Slate, Meagher &amp; Flom(Legal Advisor), Tenzing Consulting(Consulting), Wachtell, Lipton, Rosen &amp; Katz(Legal Advisor)</t>
  </si>
  <si>
    <t>13419-55</t>
  </si>
  <si>
    <t>Tyco International</t>
  </si>
  <si>
    <t>Tyco Laboratories</t>
  </si>
  <si>
    <t>Tyco</t>
  </si>
  <si>
    <t>Tyco International Ltd.</t>
  </si>
  <si>
    <t>Protection 1, Arecont Vision</t>
  </si>
  <si>
    <t>Provider of fire and security products and services for commercial and enterprise customers. The company offers door readers, skin temperature cameras, access control, intrusion detection, video surveillance and cloud solutions.</t>
  </si>
  <si>
    <t>Other Commercial Products</t>
  </si>
  <si>
    <t>Other Commercial Products*, Other Commercial Services</t>
  </si>
  <si>
    <t>access control, anti-theft device, fire and security services, fire protection, video surveillance</t>
  </si>
  <si>
    <t>www.tyco.com</t>
  </si>
  <si>
    <t>1990: 14000, 1991: 24700, 1992: 23000, 1993: 23000, 1994: 24000, 1995: 34000, 1996: 34000, 1997: 75400, 1998: 87000, 1999: 182000, 2000: 202000, 2001: 242500, 2002: 267500, 2003: 258600, 2004: 258400, 2005: 247900, 2006: 238200, 2007: 118000, 2009: 106000, 2010: 108000, 2011: 102000, 2012: 70000, 2013: 70000, 2014: 57000, 2015: 57000, 2016: 57000</t>
  </si>
  <si>
    <t>Princeton, NJ</t>
  </si>
  <si>
    <t>9 Roszel Road</t>
  </si>
  <si>
    <t>Princeton</t>
  </si>
  <si>
    <t>08540</t>
  </si>
  <si>
    <t>The company (NYSE: TYC) was acquired by Johnson Controls (NYSE: JCI) for $26.94 billion on September 2, 2016. Johnson Controls shareholders would own around 56% of the combined company and receive $3.9 billion in cash. The company is no longer actively tracked by PitchBook.</t>
  </si>
  <si>
    <t>Johnson Controls International</t>
  </si>
  <si>
    <t>Adams &amp; Royer(Advisor: General), Bartlit Beck(Legal Advisor), Blaige &amp; Company(Advisor: General), Bushkin Associates(Advisor: General), Clarity Corporate Growth(Advisor: General), CMA Enterprise Incorporated(Consulting), Global Productivity Solutions(Consulting), K&amp;L Gates(Legal Advisor), Matter Communications(Advisor: General), New York Bay Capital(Advisor: General), Onyx Asset Advisors(Advisor: General), REL Consultancy(Consulting), REMAGINE Partners(Consulting), Seale &amp; Associates(Advisor: General), SSA &amp; Company(Consulting), TCF Law Group(Legal Advisor), Thinking Dimensions Global(Consulting), Venetia Partners(Consulting)</t>
  </si>
  <si>
    <t>Arthur Cox(Legal Advisor), Citigroup(Advisor: General), Deloitte(Accounting), Lazard Middle Market(Advisor: General), McDermott Will &amp; Emery(Legal Advisor), Simpson Thacher &amp; Bartlett(Legal Advisor), The Goldman Sachs Group(Advisor: General)</t>
  </si>
  <si>
    <t>Loan - $4.00B (Senior)</t>
  </si>
  <si>
    <t>41031-37</t>
  </si>
  <si>
    <t>Forest Laboratories</t>
  </si>
  <si>
    <t>Forest</t>
  </si>
  <si>
    <t>Forest Laboratories, Inc.</t>
  </si>
  <si>
    <t>Manufacturer of drugs and medicinal products. The Company provides drugs and medicinal products for patients suffering from diseases principally in five therapeutic areas: central nervous system, cardiovascular, gastrointestinal, respiratory, and anti-infective.</t>
  </si>
  <si>
    <t>medicinal product</t>
  </si>
  <si>
    <t>1990: 709, 1991: 709, 1992: 1005, 1993: 1000, 1994: 1000, 1995: 1319, 1996: 1612, 1997: 1663, 1998: 1854, 1999: 1945, 2000: 2474, 2001: 2826, 2002: 3731, 2003: 4240, 2004: 4967, 2005: 5136, 2006: 5050, 2007: 5126, 2008: 5211, 2009: 5225, 2010: 5200, 2011: 5600, 2012: 5700, 2013: 5800, 2014: 6200</t>
  </si>
  <si>
    <t>135196-30P</t>
  </si>
  <si>
    <t>Mary Prehn</t>
  </si>
  <si>
    <t>Vice President of Corporate Development and Licensing</t>
  </si>
  <si>
    <t>+1 (212) 421-7850</t>
  </si>
  <si>
    <t>909 Third Avenue</t>
  </si>
  <si>
    <t>10022</t>
  </si>
  <si>
    <t>The company was acquired by Actavis (NYSE: ACT) for $28billion on July 01, 2014. The company is no longer actively tracked by PitchBook.</t>
  </si>
  <si>
    <t>AstraZeneca(www.astrazeneca.com)</t>
  </si>
  <si>
    <t>ClearBridge Compensation Group(Consulting), Reasonable Discovery(Consulting), Rigrodsky &amp; Long(Legal Advisor)</t>
  </si>
  <si>
    <t>Bank of America Merrill Lynch(Debt Financing), J.P. Morgan(Advisor: General), Mizuho Bank(Debt Financing), Morgan Stanley(Advisor: General), The Goldman Sachs Group(Advisor: General), Wachtell, Lipton, Rosen &amp; Katz(Legal Advisor), Weil, Gotshal &amp; Manges(Legal Advisor), William Fry(Legal Advisor)</t>
  </si>
  <si>
    <t>Bridge - $7.00B</t>
  </si>
  <si>
    <t>51777-73</t>
  </si>
  <si>
    <t>Slack</t>
  </si>
  <si>
    <t>Tiny Speck</t>
  </si>
  <si>
    <t>Slack Technologies, Inc.</t>
  </si>
  <si>
    <t>Zoom Video Communications, Moxtra, Podio, Bluescape, Fuze, Premiere Global Services, Arkadin Cloud Communications, Smooch, Surfly, Jive Software, Symphony Communication Services, Beezy, Mattermost, ProofHub, Citrix (GoTo Platform), RingCentral, Threema, Teamwork.com, Samepage, Freedcamp, RedBooth, Conceptboard, StudyStream, SAP, Vidyo, Zinc, Clarizen, Microsoft, Allo., Stormboard, Silent Circle, SocialText, Wyzetalk, Sitrion, KaKao, Airtable, Jive Communications, Wrike, TwentyThree, Chatimity, Producteev, Asana, Allthings, Parsable, Manifold, Amazon Web Services, Witkit, Zoho Corporation, Trello, Basecamp (Business/Productivity Software), Getro (Human Capital Services)</t>
  </si>
  <si>
    <t>Slack Technologies operates Slack, a software-as-a-service platform that brings together people, applications, and data. The platform is appropriate for all business types, from small and medium-size businesses to enterprise customers. The company was founded in 2009 as a game developer but later changed its focus and released its internally developed toolset, Slack, in 2013. It is headquartered in San Francisco.</t>
  </si>
  <si>
    <t>Communication Software</t>
  </si>
  <si>
    <t>Business/Productivity Software, Communication Software*</t>
  </si>
  <si>
    <t>business communication platform, business communication software, cloudtech and devops, collaboration platform, enterprise communication, messaging platform, messaging software</t>
  </si>
  <si>
    <t>www.slack.com</t>
  </si>
  <si>
    <t>2011: 22, 2014: 54, 2015: 125, 2016: 600, 2017: 650, 2018: 1000, 2019: 1982, 2020: 2510, 2021: 2597</t>
  </si>
  <si>
    <t>Salesforce.com</t>
  </si>
  <si>
    <t>Deal (Update) Merger/Acquisition, 2021|Completed|ACQ|ANNO, Promotion (New) Cal Henderson, Chief Technology Officer &amp; Co-Founder, Ownership Status (Update) Acquired/Merged (Operating Subsidiary),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</si>
  <si>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TTM 1Q2022</t>
  </si>
  <si>
    <t>36939-34P</t>
  </si>
  <si>
    <t>Stewart Butterfield</t>
  </si>
  <si>
    <t>Co-Founder, Chief Executive Officer &amp; Board Member</t>
  </si>
  <si>
    <t>stewart.butterfield@slack.com</t>
  </si>
  <si>
    <t>500 Howard Street</t>
  </si>
  <si>
    <t>94105</t>
  </si>
  <si>
    <t>info@slack.com</t>
  </si>
  <si>
    <t>The company was acquired by Salesforce.com (NYS: CRM) for $27.7 billion on July 21, 2021. Under the terms of the agreement, the company's shareholders will receive $26.79 in cash and 0.0776 shares of Salesforce common stock for each of the company's shares. The acquisition will help Salesforce.com create a modern workspace that enables collaboration, communities, communications, CRM functionality, customer experience and AI in an ecosystem that will welcome other integrations to extend enterprise functionality.</t>
  </si>
  <si>
    <t>Accel, ACME Capital, ADS Ventures, AME Cloud Ventures, Andreessen Horowitz, Anthony Caselena, Atlassian, Baillie Gifford, Ben Jen Holdings, Biz Stone, Bloomberg Beta, Chopra Ventures, Comcast Ventures, David Morin, David Sacks, Dragoneer Investment Group, DST Global, Endowment Wealth Management, FundersClub, General Atlantic, GGV Capital, Global Founders Capital, Glynn Capital, GP Bullhound, Greg Brockman, Groupe Arnault, GV, Horizons Ventures, Index Ventures, Inside Capital, IVP, Jeffrey Weiner, Jeremy Stoppelman, Kevin Colleran, Kleiner Perkins, Lee Linden, Lowercase Capital, M13, Marc Andreessen, Michael Cheung, Microsoft, MicroVentures, Moonshots Capital, Next Play Ventures, Plus Capital, Proioxis Ventures, PV Seed Fund, Race Capital, Riverside Ventures, Sands Capital, Sax Capital, Scale-Up Venture Capital, Shervin Pishevar, Slow Ventures, Social Capital, SoftBank Investment Advisers, Soma Ventures, Soul Ventures, Spark Capital, SV Angel, T. Rowe Price, Team in Residence, Thrive Capital, Tower Equity, Toy Ventures, Troy Carter, TrueBridge Capital Partners, Valor Equity Partners, Virgin (London), Wellington Management</t>
  </si>
  <si>
    <t>Accel(www.accel.com), ACME Capital(www.acme.vc), ADS Ventures(www.ads-ventures.com), AME Cloud Ventures(www.amecloudventures.com), Andreessen Horowitz(www.a16z.com), Atlassian(www.atlassian.com), Baillie Gifford(www.bailliegifford.com), Ben Jen Holdings(www.benjenholdings.com), Bloomberg Beta(www.bloombergbeta.com), Chopra Ventures(www.chopraventures.com), Comcast Ventures(www.comcastventures.com), David Morin(www.davemorin.com), Dragoneer Investment Group(www.dragoneer.com), DST Global(www.dst-global.com), Endowment Wealth Management(www.endowmentwm.com), FundersClub(www.fundersclub.com), General Atlantic(www.generalatlantic.com), GGV Capital(www.ggvc.com), Global Founders Capital(www.globalfounderscapital.com), Glynn Capital(www.glynncapital.com), GP Bullhound(www.gpbullhound.com), Greg Brockman(www.gregbrockman.com), GV(www.gv.com), Horizons Ventures(www.horizonsventures.com), Index Ventures(www.indexventures.com), Inside Capital(www.inside.capital), IVP(www.ivp.com), Kleiner Perkins(www.kleinerperkins.com), Lowercase Capital(www.lowercasecapital.com), M13(www.m13.co), Microsoft(www.microsoft.com), MicroVentures(www.microventures.com), Moonshots Capital(www.moonshotscapital.com), Next Play Ventures(www.nextplayventures.com), Plus Capital(www.pluscapital.com), Proioxis Ventures(www.proioxisventures.com), PV Seed Fund(www.pv.vc), Race Capital(www.race.capital), Riverside Ventures(www.riversideventures.com), Sands Capital(www.sandscapitalventures.com), Sax Capital(saxcapital.co), Scale-Up Venture Capital(www.scale-up.vc), Shervin Pishevar(www.pishevar.com), Slow Ventures(slow-prod.herokuapp.com), Social Capital(www.socialcapital.com), SoftBank Investment Advisers(www.visionfund.com), Soma Ventures(www.soma.ventures), Soul Ventures(www.soulvc.com), Spark Capital(www.sparkcapital.com), SV Angel(www.svangel.com), T. Rowe Price(www.troweprice.com), Team in Residence(www.teaminresidence.com), Thrive Capital(www.thrivecap.com), Tower Equity(www.towerequity.com), Toy Ventures(www.toyventures.co), TrueBridge Capital Partners(www.truebridgecapital.com), Valor Equity Partners(www.valorep.com), Virgin (London)(www.virgin.com), Wellington Management(www.wellington.com)</t>
  </si>
  <si>
    <t>DeWinter Group(Consulting), DLA Piper(Legal Advisor), FutureEngine(Consulting), Goodwin(Legal Advisor)</t>
  </si>
  <si>
    <t>Allen &amp; Company(Advisor: General), Barclays Investment Bank(Advisor: General), Canaccord Genuity(Advisor: General), Citigroup Global Markets(Advisor: General), Credit Suisse Securities (USA)(Advisor: General), DLA Piper(Legal Advisor), Global Bondholder Services(Advisor: General), Goodwin(Legal Advisor), KeyBanc Capital Markets(Advisor: General), KPMG(Accounting), Latham &amp; Watkins(Legal Advisor), Morgan Stanley(Advisor: General), Qatalyst Partners(Advisor: General), RBC Capital Markets(Advisor: General), Sard Verbinnen(Advisor: General), Sullivan &amp; Cromwell(Legal Advisor), The Goldman Sachs Group(Advisor: General), William Blair &amp; Company(Advisor: General)</t>
  </si>
  <si>
    <t>64740-07</t>
  </si>
  <si>
    <t>LNG Canada Development</t>
  </si>
  <si>
    <t>LNG Canada</t>
  </si>
  <si>
    <t>LNG Canada Development, Inc.</t>
  </si>
  <si>
    <t>Supplier of liquefied natural gas (LNG). The company's services include operating retail filling and service stations and supplying gas to households, enabling domestic, agricultural and commercial customers in Kitimat, British Columbia to buy liquefied natural gas at competitive prices.</t>
  </si>
  <si>
    <t>Energy Infrastructure*</t>
  </si>
  <si>
    <t>gas liquefaction plant, gas terminal, lng project, lng terminal, storage and export</t>
  </si>
  <si>
    <t>www.lngcanada.ca</t>
  </si>
  <si>
    <t>Kitimat, Canada</t>
  </si>
  <si>
    <t>176 Ocelot Road</t>
  </si>
  <si>
    <t>Kitimat</t>
  </si>
  <si>
    <t>British Columbia</t>
  </si>
  <si>
    <t>+1 (250) 639-3229</t>
  </si>
  <si>
    <t>info@lngcanada.ca</t>
  </si>
  <si>
    <t>Petronas (KLS: 6033) acquired a 25% stake in the company for MYR 111.5 billion on July 24, 2018.</t>
  </si>
  <si>
    <t>Mitsubishi, PetroChina Company, PETRONAS, Shell Canada</t>
  </si>
  <si>
    <t>Korea Gas</t>
  </si>
  <si>
    <t>Mitsubishi(www.mitsubishicorp.com), PetroChina Company(www.petrochina.com.cn), PETRONAS(www.petronas.com), Shell Canada(www.shell.ca)</t>
  </si>
  <si>
    <t>Korea Gas(www.kogas.or.kr)</t>
  </si>
  <si>
    <t>11917-09</t>
  </si>
  <si>
    <t>Valero Energy (NYS: VLO)</t>
  </si>
  <si>
    <t>Valero</t>
  </si>
  <si>
    <t>Valero Energy Corporation</t>
  </si>
  <si>
    <t>HollyFrontier, Marathon Petroleum, Phillips 66, Marathon Oil, Royal Dutch Shell, Eni, Total, Parsley Energy, CVR Refining, Suncor Energy, Chevron</t>
  </si>
  <si>
    <t>Valero Energy is one of the largest independent refiners in the United States. It operates 14 refineries with a total throughput capacity of 3.2 million barrels a day in the United States, Canada, and the United Kingdom. Valero also owns 14 ethanol plants with capacity of 1.7 billion gallons of ethanol a year and holds a 50% stake in Diamond Green Diesel, which has capacity to produce 275 million gallons per year of renewable diesel.</t>
  </si>
  <si>
    <t>Energy Refining</t>
  </si>
  <si>
    <t>Energy Refining*</t>
  </si>
  <si>
    <t>gasoline refinery, jet fuel, petrochemical lubricants</t>
  </si>
  <si>
    <t>www.valero.com</t>
  </si>
  <si>
    <t>1989: 1840, 1990: 1820, 1991: 1890, 1992: 1890, 1993: 1740, 1994: 1658, 1995: 1658, 1996: 1678, 1997: 1855, 1998: 2500, 1999: 2518, 2000: 3180, 2001: 22452, 2002: 19947, 2003: 19621, 2004: 19797, 2005: 22068, 2006: 21836, 2007: 21651, 2008: 21765, 2009: 20920, 2010: 20313, 2011: 21942, 2012: 21671, 2013: 10007, 2014: 10065, 2015: 10103, 2016: 9996, 2017: 10015, 2018: 10261, 2019: 10222, 2020: 9964</t>
  </si>
  <si>
    <t>VLO</t>
  </si>
  <si>
    <t>132312-25P</t>
  </si>
  <si>
    <t>Gary Arthur</t>
  </si>
  <si>
    <t>Corporate Senior Vice President of Wholesale Marketing</t>
  </si>
  <si>
    <t>ga@valero.com</t>
  </si>
  <si>
    <t>+1 (210) 345-2000</t>
  </si>
  <si>
    <t>San Antonio, TX</t>
  </si>
  <si>
    <t>One Valero Way</t>
  </si>
  <si>
    <t>San Antonio</t>
  </si>
  <si>
    <t>78249</t>
  </si>
  <si>
    <t>info@valero.com</t>
  </si>
  <si>
    <t>The company (NYSE: VLO) was in talks to be acquired by Reliance Industries (BOM: 500325) for $27.5 billion on October 30, 2011. Subsequently the deal was cancelled.</t>
  </si>
  <si>
    <t>Reliance Industries</t>
  </si>
  <si>
    <t>Falcon Financial Advisors(Advisor: General), Kean Miller(Legal Advisor), Performance Capital Partners(Consulting), Sanli Pastore &amp; Hill(Valuation/Appraiser), The Belanger Valuation Group(Valuation/Appraiser)</t>
  </si>
  <si>
    <t>42106-60</t>
  </si>
  <si>
    <t>Lorillard</t>
  </si>
  <si>
    <t>Lorillard, Inc.</t>
  </si>
  <si>
    <t>Altria Group, Japan Tobacco International</t>
  </si>
  <si>
    <t>Lorillard was an American tobacco company. It marketed cigarettes under the brand names Newport, Maverick, Old Gold, Kent, True, Satin and Max. On June 12, 2015 the firm was acquired by Reynolds American.</t>
  </si>
  <si>
    <t>cigarettes, cigarettes company, cigarettes distributor, cigarettes manufacturer</t>
  </si>
  <si>
    <t>www.lorillard.com</t>
  </si>
  <si>
    <t>2007: 2800, 2008: 2880, 2009: 2700, 2010: 2700, 2011: 2800, 2012: 2900, 2013: 2900, 2014: 2900, 2015: 2900</t>
  </si>
  <si>
    <t>Reynolds American</t>
  </si>
  <si>
    <t>Norwood, GA</t>
  </si>
  <si>
    <t>Greensboro</t>
  </si>
  <si>
    <t>Norwood</t>
  </si>
  <si>
    <t>30821</t>
  </si>
  <si>
    <t>The company (NYSE: LO) was acquired by Reynolds American (NYSE: RAI) for $27.4 billion on June 12, 2015. The company is no longer actively tracked by PitchBook.</t>
  </si>
  <si>
    <t>British American Tobacco</t>
  </si>
  <si>
    <t>British American Tobacco(www.bat.com)</t>
  </si>
  <si>
    <t>Dickinson Wright(Legal Advisor), FBN Securities(Advisor: General)</t>
  </si>
  <si>
    <t>Barclays(Advisor: General), Centerview Partners(Advisor: General), Simpson Thacher &amp; Bartlett(Legal Advisor)</t>
  </si>
  <si>
    <t>Loan - $3.50B (Senior)</t>
  </si>
  <si>
    <t>13329-01</t>
  </si>
  <si>
    <t>LinkedIn</t>
  </si>
  <si>
    <t>LinkedIn Corporation</t>
  </si>
  <si>
    <t>Alignable, Vettd, Jobcase, New Work, Pinterest, Twitter, BranchOut, Branded.me, Intellipaat, Viadeo, Instagram, CareerBuilder, Meed (Human Capital Services), Handshake, Facebook, Glassdoor</t>
  </si>
  <si>
    <t>LinkedIn is an operator of a professional networking website created to build professional relationships. The company's website and mobile application allow both workers and employers to create profiles and grab an economic opportunity in the global workforce, thereby enabling its users to connect to each other and become more productive and successful.</t>
  </si>
  <si>
    <t>Social Content, Social/Platform Software*</t>
  </si>
  <si>
    <t>jobs networking, online professional network, professional identity, professional networking app, professional networking site</t>
  </si>
  <si>
    <t>www.linkedin.com</t>
  </si>
  <si>
    <t>2008: 338, 2010: 990, 2011: 2116, 2012: 3458, 2013: 5045, 2014: 6897, 2015: 9372, 2016: 11000, 2018: 11800, 2019: 15000, 2020: 16000, 2021: 16000</t>
  </si>
  <si>
    <t>Microsoft</t>
  </si>
  <si>
    <t>35797-51P</t>
  </si>
  <si>
    <t>Steve Sordello</t>
  </si>
  <si>
    <t>Chief Financial Officer and Senior Vice President</t>
  </si>
  <si>
    <t>ssordello@linkedin.com</t>
  </si>
  <si>
    <t>Sunnyvale, CA</t>
  </si>
  <si>
    <t>1000 West Maude Avenue</t>
  </si>
  <si>
    <t>Sunnyvale</t>
  </si>
  <si>
    <t>94085</t>
  </si>
  <si>
    <t>The company (NYSE: LNKD) was acquired by Microsoft (NAS: MSFT) for $27 billion on December 8, 2016. Microsoft is backed by Caledonia Investments. The transaction will be financed through issuance of new debt by Microsoft. Post transaction, Jeff Weiner will remain Chief Executive Officer of the company.</t>
  </si>
  <si>
    <t>2020 Ventures, Andrew Anker, Bain Capital Ventures, Bessemer Venture Partners, European Founders Fund, Firsthand Capital Management, Founders Fund, Gil Penchina, Global Founders Capital, Glynn Capital, Greylock Partners, Joshua Kopelman, Juvo Capital, Keith Rabois, KG Investments, Lance White, Late Stage Management, Michael Tanne, Moonshots Capital, Nautilus Ventures, Open Field Capital, Princeton Equity Group, Reid Hoffman, S&amp;P Global, Sapphire Ventures, Sarah Imbach, Sequoia Capital, SharesPost, Spring Ventures (London), TCV, The Goldman Sachs Group, Tiger Global Management, Transmedia Capital</t>
  </si>
  <si>
    <t>2020 Ventures(knick.io), Bain Capital Ventures(www.baincapitalventures.com), Bessemer Venture Partners(www.bvp.com), European Founders Fund(www.europeanfounders.com), Firsthand Capital Management(www.firsthandcapital.com), Founders Fund(www.foundersfund.com), Global Founders Capital(www.globalfounderscapital.com), Glynn Capital(www.glynncapital.com), Greylock Partners(www.greylock.com), Juvo Capital(www.juvocapital.com), KG Investments(www.kginvest.net), Late Stage Management(www.latestagemanagement.com), Moonshots Capital(www.moonshotscapital.com), Nautilus Ventures(www.nautilusventures.com), Open Field Capital(www.ofcap.com), Princeton Equity Group(www.princetonequity.com), Reid Hoffman(www.reidhoffman.org), S&amp;P Global(www.spglobal.com), Sapphire Ventures(www.sapphireventures.com), Sequoia Capital(www.sequoiacap.com), SharesPost(www.sharespost.com), Spring Ventures (London)(www.springventures.co.uk), TCV(www.tcv.com), The Goldman Sachs Group(www.goldmansachs.com), Tiger Global Management(www.tigerglobal.com), Transmedia Capital(www.transmediacapital.com)</t>
  </si>
  <si>
    <t>Cains(Legal Advisor), Clarity Consultants(Consulting), CLP Strategies(Advisor: Communications), Deloitte(Accounting), FBN Securities(Advisor: General), GQR Global Markets(Consulting), Hayden Bergman, Professional Corporation(Legal Advisor), Integrated-DM(Advisor: General), Keker, Van Nest &amp; Peters(Legal Advisor), Nectar Communications(Advisor: Communications), O'Melveny &amp; Myers(Legal Advisor), Project Management Advisors(Consulting), Shearman &amp; Sterling(Legal Advisor), T3 Advisors(Advisor: General), TransAsia Lawyers(Legal Advisor), Tribridge(Consulting)</t>
  </si>
  <si>
    <t>Allen &amp; Company(Underwriter), Bank of America Merrill Lynch(Underwriter), Charles River Associates(Advisor: General), Deloitte(Accounting), Gibson, Dunn &amp; Crutcher(Legal Advisor), J.P. Morgan(Underwriter), Jones Day(Legal Advisor), Morgan Stanley(Underwriter), Qatalyst Partners(Advisor: General), UBS Group(Underwriter), Weil, Gotshal &amp; Manges(Legal Advisor), Wilson Sonsini Goodrich &amp; Rosati(Legal Advisor)</t>
  </si>
  <si>
    <t>41311-72</t>
  </si>
  <si>
    <t>Guidant (Acquired 2006)</t>
  </si>
  <si>
    <t>Guidant Corporation</t>
  </si>
  <si>
    <t>Designer and manufacturer of products for use in cardiac-rhythm management and coronary artery disease intervention. The company produces implantable pacemaker systems to treat irregular heartbeats, as well as stents, catheters, and heart-failure therapy devices.</t>
  </si>
  <si>
    <t>Other Devices and Supplies</t>
  </si>
  <si>
    <t>Other Devices and Supplies*, Therapeutic Devices</t>
  </si>
  <si>
    <t>cardiac rhythm management, therapy device</t>
  </si>
  <si>
    <t>1994: 4507, 1995: 4980, 1996: 4449, 1997: 5100, 1998: 7507, 1999: 8360, 2000: 10452, 2001: 12076, 2002: 12540, 2003: 12000, 2004: 12000, 2005: 13000, 2009: 854, 2010: 788, 2011: 691, 2012: 610, 2013: 562, 2014: 518</t>
  </si>
  <si>
    <t>93611-80P</t>
  </si>
  <si>
    <t>Mark Bartell</t>
  </si>
  <si>
    <t>President, Sales</t>
  </si>
  <si>
    <t>+1 (317) 971-2000</t>
  </si>
  <si>
    <t>Indianapolis, IN</t>
  </si>
  <si>
    <t>111 Monument Circle</t>
  </si>
  <si>
    <t>29th Floor</t>
  </si>
  <si>
    <t>Indianapolis</t>
  </si>
  <si>
    <t>Indiana</t>
  </si>
  <si>
    <t>46204-5129</t>
  </si>
  <si>
    <t>+1 (317) 971-2040</t>
  </si>
  <si>
    <t>The company was acquired by Boston Scientific (NYSE: BSX) for $27 billion on April 21, 2006. The company is no longer actively tracked by PitchBook.</t>
  </si>
  <si>
    <t>Boston Scientific</t>
  </si>
  <si>
    <t>Eli Lilly</t>
  </si>
  <si>
    <t>Eli Lilly(lilly.com)</t>
  </si>
  <si>
    <t>Johnson &amp; Johnson(www.jnj.com)</t>
  </si>
  <si>
    <t>J.P. Morgan Chase (Global Special Opportunities Group's Loan Portfolio)(Advisor: General), Mackenzie Partners(Advisor: General), Morgan Stanley(Advisor: General), Skadden, Arps, Slate, Meagher &amp; Flom(Legal Advisor)</t>
  </si>
  <si>
    <t>119032-21</t>
  </si>
  <si>
    <t>BMO Retirement Services</t>
  </si>
  <si>
    <t>BMO Retirement Services, Inc.</t>
  </si>
  <si>
    <t>Provider of retirement services. The company's services include investment selection, income-distribution planning, paying for healthcare and asset protection.</t>
  </si>
  <si>
    <t>Asset Management</t>
  </si>
  <si>
    <t>Asset Management*, Other Financial Services</t>
  </si>
  <si>
    <t>income distribution planning, retirement service</t>
  </si>
  <si>
    <t>2015: 340</t>
  </si>
  <si>
    <t>Milwaukee, WI</t>
  </si>
  <si>
    <t>Milwaukee</t>
  </si>
  <si>
    <t>Wisconsin</t>
  </si>
  <si>
    <t>The company was acquired by OneAmerica Financial Partners for $26 billion on September 30, 2015. The company is no longer actively tracked by PitchBook.</t>
  </si>
  <si>
    <t>OneAmerica Financial Partners</t>
  </si>
  <si>
    <t>BMO Financial Group</t>
  </si>
  <si>
    <t>Berkshire Global Advisors(Advisor: General)</t>
  </si>
  <si>
    <t>41321-80</t>
  </si>
  <si>
    <t>Caremark</t>
  </si>
  <si>
    <t>Caremark Rx, Medpartners</t>
  </si>
  <si>
    <t>Caremark LLC</t>
  </si>
  <si>
    <t>Capital Rx, MedImpact HealthCare Systems, Citizens Rx, National Pharmaceutical Services, Medisafe, AxisPoint Health, PerformRx, Prime Therapeutics, Optum, ValueOptions, ProCare Pharmacy Benefit Manager, CareZone, Express Scripts, Medical Information Technology, Lumeris, Blue Shield of California, nirvanaHealth, Bioplus, PharMerica, Health Net, TNH Advanced Specialty Pharmacy, Surescripts, DocASAP</t>
  </si>
  <si>
    <t>Provider of prescription benefit management services for helping patients get the prescriptions they need when they need them. The company's benefit management programs with prescription benefits, time and money saving options and expert medical advice enables its patients better manage their health.</t>
  </si>
  <si>
    <t>Other Healthcare Services*, Other Healthcare Technology Systems</t>
  </si>
  <si>
    <t>Life Sciences, TMT</t>
  </si>
  <si>
    <t>healthcare services, medical benefit management, prescription benefit management</t>
  </si>
  <si>
    <t>www.caremark.com</t>
  </si>
  <si>
    <t>1994: 1175, 1995: 1175, 1996: 20400, 1997: 29256, 1998: 19636, 1999: 4373, 2000: 3474, 2001: 4037, 2002: 4723, 2003: 4870, 2004: 11133, 2005: 13628, 2006: 13360</t>
  </si>
  <si>
    <t>FY 2006</t>
  </si>
  <si>
    <t>Lee's Summit, MO</t>
  </si>
  <si>
    <t>Post Office Box 6590</t>
  </si>
  <si>
    <t>Lee's Summit</t>
  </si>
  <si>
    <t>64064</t>
  </si>
  <si>
    <t>+1 (800) 552-8159</t>
  </si>
  <si>
    <t>The company (NYSE:CMX) was acquired by CVS Corporation (NYSE:CVS) on March 20, 2007 for an undisclosed sum.</t>
  </si>
  <si>
    <t>Crimson Ventures, Encompass Health, Frontenac Company, Venrock</t>
  </si>
  <si>
    <t>Crimson Ventures(www.crimsonventuresllc.com), Encompass Health(www.encompasshealth.com), Frontenac Company(www.frontenac.com), Venrock(www.venrock.com)</t>
  </si>
  <si>
    <t>InterOcean Advisors(Advisor: General)</t>
  </si>
  <si>
    <t>J.P. Morgan(Advisor: General)</t>
  </si>
  <si>
    <t>10857-61</t>
  </si>
  <si>
    <t>Golden West Financial</t>
  </si>
  <si>
    <t>Golden West Financial Corp.</t>
  </si>
  <si>
    <t>Operator of a holding company for World Savings Bank, FSB, which offers retail banking services in the United States. The company engages in generating deposits and originating loans. The company's deposit activities include passbook, checking, and money market deposits. It offers real estate, mortgage, and consumer loans, as well as home loans over the telephone and through the Internet.</t>
  </si>
  <si>
    <t>Consumer Finance, National Banks*</t>
  </si>
  <si>
    <t>retail bank, retail bank service, retail banking, retail banking service</t>
  </si>
  <si>
    <t>www.goldenwestworld.com</t>
  </si>
  <si>
    <t>1989: 2454, 1990: 2454, 1991: 2454, 1992: 4019, 1993: 4376, 1994: 3877, 1995: 3877, 1996: 3790, 1997: 4031, 1998: 4379, 1999: 5650, 2000: 6103, 2001: 7138, 2002: 7841, 2003: 9440, 2004: 10400, 2005: 11604</t>
  </si>
  <si>
    <t>Wachovia Bank</t>
  </si>
  <si>
    <t>TTM 2Q2006</t>
  </si>
  <si>
    <t>Oakland, CA</t>
  </si>
  <si>
    <t>1901 Harrison Street</t>
  </si>
  <si>
    <t>Oakland</t>
  </si>
  <si>
    <t>94612</t>
  </si>
  <si>
    <t>+1 (510) 446-3402</t>
  </si>
  <si>
    <t>The company was acquired by Wachovia Bank for $26 billion on October 2, 2006. As a result of the transaction, the company went public to private.</t>
  </si>
  <si>
    <t>Bank of America Merrill Lynch(Advisor: General), Deloitte(Auditor), Lehman Brothers(Advisor: General), Paul Hastings(Legal Advisor), Shearman &amp; Sterling(Legal Advisor), Wachtell, Lipton, Rosen &amp; Katz(Legal Advisor), Wells Fargo Advisors(Advisor: General)</t>
  </si>
  <si>
    <t>10406-08</t>
  </si>
  <si>
    <t>Phelps Dodge</t>
  </si>
  <si>
    <t>Phelps Dodge Corp.</t>
  </si>
  <si>
    <t>Producer of copper. The company is involved in the production of copper, molybdenum, molybdenum-based chemicals and continuous-cast copper rod worldwide. It operates in two divisions, Phelps Dodge Mining Company (PDMC) and Phelps Dodge Industries (PDI).</t>
  </si>
  <si>
    <t>Other Metals, Minerals and Mining</t>
  </si>
  <si>
    <t>Other Chemicals and Gases, Other Metals, Minerals and Mining*</t>
  </si>
  <si>
    <t>continuous-cast copper, copper mining, molybdenum-based chemicals</t>
  </si>
  <si>
    <t>1989: 13500, 1990: 14066, 1991: 14066, 1992: 13931, 1993: 14799, 1994: 15498, 1995: 15343, 1996: 15300, 1997: 15300, 1998: 13924, 1999: 16400, 2000: 15500, 2001: 15500, 2002: 15500, 2003: 15500, 2004: 14000, 2005: 15000, 2006: 15600, 2007: 11</t>
  </si>
  <si>
    <t>15927-31P</t>
  </si>
  <si>
    <t>Timothy Snider</t>
  </si>
  <si>
    <t>President &amp; Chief Operating Officer</t>
  </si>
  <si>
    <t>tsnider@cupriccanyon.com</t>
  </si>
  <si>
    <t>+1 (480) 607-6771</t>
  </si>
  <si>
    <t>Phoenix, AZ</t>
  </si>
  <si>
    <t>One North Central Avenue</t>
  </si>
  <si>
    <t>Phoenix</t>
  </si>
  <si>
    <t>Arizona</t>
  </si>
  <si>
    <t>85004</t>
  </si>
  <si>
    <t>The company was acquired by Freeport-McMoRan (NYS: FCX) for $25.805 billion on March 19, 2007. The acquisition would help to deliver significant copper volumes to an attractive market place, providing substantial cash flows that will enable Freeport-McMoRan to invest in growth projects and reduce debt rapidly. The company is no longer actively tracked by PitchBook.</t>
  </si>
  <si>
    <t>Freeport-McMoRan</t>
  </si>
  <si>
    <t>ATI Capital Partners(Advisor: General), Synergetics(Consulting)</t>
  </si>
  <si>
    <t>Debevoise &amp; Plimpton(Legal Advisor)</t>
  </si>
  <si>
    <t>126509-59</t>
  </si>
  <si>
    <t>Best Foods</t>
  </si>
  <si>
    <t>The Best Foods, CPC International, Corn Products Company, Corn Products Refining</t>
  </si>
  <si>
    <t>BestFoods</t>
  </si>
  <si>
    <t>Best Foods, Inc.</t>
  </si>
  <si>
    <t>Producer and distributor of mayonnaise. The company is engaged in producing and distributing mayonnaise such as real mayonnaise, light mayonnaise, mayonnaise dressing, cholesterol free mayonnaise, sandwich spread, tartar sauce and other related food products in the United States.</t>
  </si>
  <si>
    <t>Food Products*</t>
  </si>
  <si>
    <t>consumer food, light mayonnaise, mayonnaise and sauces, tartar sauces</t>
  </si>
  <si>
    <t>www.bestfoods.com</t>
  </si>
  <si>
    <t>1989: 32000, 1990: 35000, 1991: 35000, 1992: 38000, 1993: 38000, 1994: 38000, 1995: 52500, 1996: 55300, 1997: 44200, 1998: 42000, 1999: 44000</t>
  </si>
  <si>
    <t>Unilever</t>
  </si>
  <si>
    <t>TTM 2Q2000</t>
  </si>
  <si>
    <t>Englewood Cliffs, NJ</t>
  </si>
  <si>
    <t>700 Sylvan Avenue</t>
  </si>
  <si>
    <t>International Plaza</t>
  </si>
  <si>
    <t>Englewood Cliffs</t>
  </si>
  <si>
    <t>07632</t>
  </si>
  <si>
    <t>The company was acquired by Unilever (LON: ULVR) for $25 billion on October 3, 2000. The transaction creates the preeminent global food and consumer goods company.</t>
  </si>
  <si>
    <t>Unilever(www.unilever.co.uk)</t>
  </si>
  <si>
    <t>Fried, Frank, Harris, Shriver &amp; Jacobson(Legal Advisor), General Counsel(Legal Advisor)</t>
  </si>
  <si>
    <t>12814-12</t>
  </si>
  <si>
    <t>Compaq Computer</t>
  </si>
  <si>
    <t>Compaq</t>
  </si>
  <si>
    <t>Compaq Computer Corp.</t>
  </si>
  <si>
    <t>Hewlett-Packard, Lenovo, Dell Technologies</t>
  </si>
  <si>
    <t>Developer and manufacturer of personal computers, PC systems and related products for sale primarily to business, home, government and education customers. The Company offers a wide range of personal computing products, including desktop personal computers, battery-powered notebook computers, AC-powered portable computers and tower PC systems that store and manage data in network environments.</t>
  </si>
  <si>
    <t>Computers, Parts and Peripherals*, Electronic Components</t>
  </si>
  <si>
    <t>personal computer, portable computer</t>
  </si>
  <si>
    <t>www.compaq.com</t>
  </si>
  <si>
    <t>1989: 10000, 1990: 11600, 1991: 10000, 1992: 9500, 1993: 10500, 1994: 14372, 1995: 17055, 1996: 18863, 1997: 32565, 1998: 71000, 1999: 85100, 2000: 94600, 2001: 78200</t>
  </si>
  <si>
    <t>TTM 1Q2002</t>
  </si>
  <si>
    <t>20555 State Highway 249</t>
  </si>
  <si>
    <t>77070</t>
  </si>
  <si>
    <t>The company was acquired by Hewlett-Packard Company (NYSE: HWP) for $25 billion on May 3, 2002. The company is no longer actively tracked by PitchBook.</t>
  </si>
  <si>
    <t>Hewlett-Packard</t>
  </si>
  <si>
    <t>August Capital, Crown Advisors International, Kappa IT Ventures Consulting, Kleiner Perkins, Mayfield (Private Equity), Oak Investment Partners, Rho Ventures, Sevin Rosen Funds, Shea Ventures</t>
  </si>
  <si>
    <t>August Capital(www.augustcap.com), Crown Advisors International(www.crownadvisors.com), Kappa IT Ventures Consulting(www.kappa-it.com), Kleiner Perkins(www.kleinerperkins.com), Mayfield (Private Equity)(www.mayfield.com), Oak Investment Partners(www.oakinv.com), Rho Ventures(www.rhoventures.com), Sevin Rosen Funds(www.srfundstest.com)</t>
  </si>
  <si>
    <t>41 North(Advisor: General), Aprea &amp; Micheli(Consulting), Jáuregui y Del Valle(Legal Advisor), Pallas Capital Advisory(Advisor: General), Tonex(Consulting)</t>
  </si>
  <si>
    <t>Mackenzie Partners(Advisor: General), Momentum Cyber(Advisor: General)</t>
  </si>
  <si>
    <t>42739-93</t>
  </si>
  <si>
    <t>Westfield</t>
  </si>
  <si>
    <t>Westfield Group, Westfield Development</t>
  </si>
  <si>
    <t>Westfield Corp.</t>
  </si>
  <si>
    <t>Operator of a portfolio of shopping centers in Australia, New Zealand, United States and United Kingdom. The company's strategy is to develop and own superior retail destinations in major cities by integrating food, fashion, leisure and entertainment and by using technology to better connect retailers with consumers, which enables its centers to be highly productive, with strong franchise value and to have the ability to attract the world's leading retail brands. It continually improves its portfolio by developing existing centers, acquiring new centers and exploring opportunities in new markets.</t>
  </si>
  <si>
    <t>Asset Management*, Holding Companies, Real Estate Services (B2C)</t>
  </si>
  <si>
    <t>property management, real estate leasing, retail center ownership, shopping center, shopping center construction, shopping center development, shopping center management</t>
  </si>
  <si>
    <t>Debt Financed, M&amp;A, Private Equity, Publicly Listed</t>
  </si>
  <si>
    <t>www.westfieldcorp.com</t>
  </si>
  <si>
    <t>2016: 1700, 2018: 2000</t>
  </si>
  <si>
    <t>238564-27P</t>
  </si>
  <si>
    <t>Jennifer Palmieri</t>
  </si>
  <si>
    <t>Chief People Officer</t>
  </si>
  <si>
    <t>Sydney, Australia</t>
  </si>
  <si>
    <t>Level 29</t>
  </si>
  <si>
    <t>85 Castlereagh Street</t>
  </si>
  <si>
    <t>Sydney</t>
  </si>
  <si>
    <t>New South Wales</t>
  </si>
  <si>
    <t>2000</t>
  </si>
  <si>
    <t>Australia</t>
  </si>
  <si>
    <t>Oceania</t>
  </si>
  <si>
    <t>The company (ASX: WFD) was acquired by Unibail-Rodamco (PAR: UL) for $24.7 billion on June 7, 2018. This acquisition is a natural extension of the acquirer's strategy of concentration, differentiation and innovation. Previously, the company (ASX: WFD) received an undisclosed amount of development capital from AMP Capital Investors, B11R, BlackRock Fund Advisors, LaSalle Investment Management, The Vanguard Group and Vanguard Investments Australia through a private placement. The company is no longer actively tracked by PitchBook.</t>
  </si>
  <si>
    <t>Unibail-Rodamco-Westfield</t>
  </si>
  <si>
    <t>AMP Capital Investors, Helmsman Collective, LaSalle Investment Management, The Vanguard Group, Vanguard Investments Australia</t>
  </si>
  <si>
    <t>BlackRock Fund Advisors</t>
  </si>
  <si>
    <t>AMP Capital Investors(www.ampcapital.com), Helmsman Collective(www.helmsmancollective.com), LaSalle Investment Management(www.lasalle.com), The Vanguard Group(www.vanguard.com), Vanguard Investments Australia(www.vanguardinvestments.com.au)</t>
  </si>
  <si>
    <t>Hulce Associates(Consulting), Propel London(Consulting)</t>
  </si>
  <si>
    <t>Debevoise &amp; Plimpton(Legal Advisor), Grant Samuel Group(Advisor: General), Jefferies International(Advisor: General), King &amp; Wood Mallesons(Legal Advisor), Rothschild Advisors(Advisor: General), Skadden, Arps, Slate, Meagher &amp; Flom(Legal Advisor), UBS Group(Advisor: General)</t>
  </si>
  <si>
    <t>115600-87</t>
  </si>
  <si>
    <t>Tractebel Engineering</t>
  </si>
  <si>
    <t>Tractebel</t>
  </si>
  <si>
    <t>Tractebel Engineering S.P.A</t>
  </si>
  <si>
    <t>SNC-Lavalin Group, Technip, Chicago Bridge &amp; Iron Company, Amec Foster Wheeler, Hertel, Mortenson, Feedback Infrastructure Services, Bechtel, KBR, Stork, Hatch (Canada), CDM Smith, HDR, Sweco Nederland, F4PE, Arcadis, E2 ManageTech, Michael Baker International</t>
  </si>
  <si>
    <t>Provider of professional geotechnical engineering, hydrogeologic and environmental consulting services. The company's services include project planning, design and construction, enabling the energy exploration industry to access proper infrastructure for their operation.</t>
  </si>
  <si>
    <t>Other Commercial Services</t>
  </si>
  <si>
    <t>Energy Infrastructure, Other Commercial Services*</t>
  </si>
  <si>
    <t>environmental consulting, hydrogeologic service, professional geotechnical engineering, professional geotechnical engineering service, professional geotechnical engineering services</t>
  </si>
  <si>
    <t>www.tractebel-engie.com</t>
  </si>
  <si>
    <t>2006: 1, 2007: 1, 2008: 1, 2009: 906, 2010: 882, 2011: 852, 2018: 4500, 2020: 5000</t>
  </si>
  <si>
    <t>Engie Electrabel</t>
  </si>
  <si>
    <t>59765-41P</t>
  </si>
  <si>
    <t>Christian Malisart</t>
  </si>
  <si>
    <t>Chief Financial Officer &amp; General Supervisor Spend</t>
  </si>
  <si>
    <t>cmalisart@tractebel-engie.com</t>
  </si>
  <si>
    <t>+32 (0)2 773 99 11</t>
  </si>
  <si>
    <t>Brussels, Belgium</t>
  </si>
  <si>
    <t>Boulevard Simon</t>
  </si>
  <si>
    <t>Bolivar 34-36</t>
  </si>
  <si>
    <t>Brussels</t>
  </si>
  <si>
    <t>1000</t>
  </si>
  <si>
    <t>Belgium</t>
  </si>
  <si>
    <t>The company was acquired by Electrabel for EUR 18.2 billion on July 20, 2007. The acquisition will enable Electrabel to improve its organization of gas and electricity operations and boost liquidity.</t>
  </si>
  <si>
    <t>Deloitte(Auditor)</t>
  </si>
  <si>
    <t>11742-76</t>
  </si>
  <si>
    <t>Baker Hughes (NYS: BKR)</t>
  </si>
  <si>
    <t>BHGE</t>
  </si>
  <si>
    <t>Baker Hughes, Inc.</t>
  </si>
  <si>
    <t>Halliburton, Schlumberger</t>
  </si>
  <si>
    <t>Baker Hughes in its current form originated in 2017 from the merger of Baker Hughes with GE Oil &amp; Gas. Baker Hughes' history of oilfield innovation stretches back over a century, and with the combination with GE, the company now can offer the full spectrum of services to oil and gas companies, from upstream to downstream.</t>
  </si>
  <si>
    <t>Energy Equipment</t>
  </si>
  <si>
    <t>Oil and Gas Equipment</t>
  </si>
  <si>
    <t>Business/Productivity Software, Energy Infrastructure, Oil and Gas Equipment*, Other Energy Services</t>
  </si>
  <si>
    <t>downstream product, drilling equipment, midstream product, oil and gas equipment, oil and gas product, oil and gas technology</t>
  </si>
  <si>
    <t>www.bakerhughes.com</t>
  </si>
  <si>
    <t>2014: 22000, 2016: 43000, 2017: 65000, 2018: 66000, 2019: 68000, 2020: 67000, 2021: 54000</t>
  </si>
  <si>
    <t>BKR</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</si>
  <si>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</si>
  <si>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54096-04P</t>
  </si>
  <si>
    <t>Lorenzo Simonelli</t>
  </si>
  <si>
    <t>lorenzo.simonelli@bhge.com</t>
  </si>
  <si>
    <t>+1 (713) 439-8600</t>
  </si>
  <si>
    <t>17021 Aldine Westfield Road</t>
  </si>
  <si>
    <t>77073</t>
  </si>
  <si>
    <t>info@bakerhughes.com</t>
  </si>
  <si>
    <t>The company (NYSE: BHI) was acquired by General Electric (NYSE: GE) for $24.798 billion on July 3, 2017. GE offered $24.99 billion in shares and $17.5 in cash dividend per Baker common share. In the transaction, GE will contribute its oil-and-gas business and $7.4 billion through a cash dividend of $17.50 to each Baker Hughes share.</t>
  </si>
  <si>
    <t>Halliburton</t>
  </si>
  <si>
    <t>Citibank(Debt Financing), Citigroup Global Markets(Debt Financing), Clareo Partners(Consulting), Clareo Partners(Advisor: General), Clarity Corporate Growth(Advisor: General), DNB Bank(Debt Financing), Exit Partners(Advisor: General), HSBC Holdings(Debt Financing), JPMorgan Chase(Debt Financing), KPMG(Auditor), MUFG Bank(Debt Financing), Pareto Securities(Advisor: General), Ryder Scott Company(Advisor: General), Seaport Global(Advisor: General), Snow &amp; Green(Legal Advisor), The Goldman Sachs Group(Debt Financing), Wells Fargo(Debt Financing)</t>
  </si>
  <si>
    <t>Akin Gump Strauss Hauer &amp; Feld(Legal Advisor), Credit Suisse(Advisor: General), Davis Polk(Legal Advisor), Morris, Nichols, Arsht &amp; Tunnell(Legal Advisor), Paul, Weiss, Rifkind, Wharton &amp; Garrison(Legal Advisor), The Abernathy MacGregor Group(Advisor: Communications), The Goldman Sachs Group(Advisor: General), Willkie Farr &amp; Gallagher(Legal Advisor), WilmerHale(Legal Advisor)</t>
  </si>
  <si>
    <t>10418-95</t>
  </si>
  <si>
    <t>XTO Energy</t>
  </si>
  <si>
    <t>Cross Timbers Oil Company</t>
  </si>
  <si>
    <t>XTO Energy Inc.</t>
  </si>
  <si>
    <t>Matador Resources, Grizzly Energy, Talon Oil &amp; Gas, Ember Resources, PCORE Exploration &amp; Production II, Carrizo Oil and Gas, Callon Petroleum Company, EXCO Resources, Arc Resources, Oasis Petroleum, Mid-Con Energy Partners, EQT Production Company, Chevron, Kosmos Energy, Tullow Oil, Arrow Energy, Kamchatgazprom, SM Energy, PHX Minerals, LukOil, Lundin Energy, Anadarko Petroleum, Obsidian Energy, Gazprom Investproject, Penn Virginia, Imperial Oil, Enerplus, Newfield Exploration, Africa Fortesa, Jones Energy, Suncor Energy, Abraxas Petroleum, Samson Resources II, Spirit Energy, Gazprom Neft, Gazprom, TransAtlantic Petroleum, Murphy Oil, Antero Resources, Hess, QEP Resources, Denbury Resources, LINN Energy, Cenovus Energy, G3 Exploration, Mayan Energy, Equinor, Tammany Oil &amp; Gas, Clayton Williams Energy, EOG Resources, Nine Point Energy, Southwestern Energy, Gazprom Neft Shelf, Gazprom Armenia, Concho Resources, Total, Noble Energy, Apache, Canadian Natural Resources, Tengasco, Devon Energy, Gazprom neftekhim Salavat</t>
  </si>
  <si>
    <t>Provider of oil and gas exploration services providing safe and reliable natural gas across the country. The company is engaged in the acquisition, development, exploitation and exploration of oil and gas properties with a positive impact on the communities, enabling the domestic natural gas industry to meet its growing challenges and requirements.</t>
  </si>
  <si>
    <t>gas development, gas drilling, mineral exploration, oil drilling, resources discovery</t>
  </si>
  <si>
    <t>www.xtoenergy.com</t>
  </si>
  <si>
    <t>1992: 174, 1993: 174, 1994: 225, 1995: 270, 1996: 306, 1997: 349, 1998: 521, 1999: 600, 2000: 651, 2001: 742, 2002: 867, 2003: 1007, 2004: 1356, 2005: 1680, 2006: 1939, 2007: 2361, 2008: 3129, 2009: 3335</t>
  </si>
  <si>
    <t>ExxonMobil</t>
  </si>
  <si>
    <t>119671-21P</t>
  </si>
  <si>
    <t>Tyler Durden</t>
  </si>
  <si>
    <t>+1 (817) 870-2800</t>
  </si>
  <si>
    <t>Spring, TX</t>
  </si>
  <si>
    <t>22777 Springwoods Village Parkway</t>
  </si>
  <si>
    <t>Spring</t>
  </si>
  <si>
    <t>77389</t>
  </si>
  <si>
    <t>The company was acquired by ExxonMobil (NYS: XOM) for $24.659 billion on June 25, 2010.</t>
  </si>
  <si>
    <t>Entoro Capital(Advisor: General), OHA Investment(Debt Financing), Raymond James Financial(Advisor: General), Richards Layton &amp; Finger(Legal Advisor)</t>
  </si>
  <si>
    <t>Barclays Investment Bank(Advisor: General), KPMG(Advisor: General), Latham &amp; Watkins(Legal Advisor)</t>
  </si>
  <si>
    <t>128096-11</t>
  </si>
  <si>
    <t>American General</t>
  </si>
  <si>
    <t>American General Insurance Company</t>
  </si>
  <si>
    <t>American General Financial Group</t>
  </si>
  <si>
    <t>American General Corporation</t>
  </si>
  <si>
    <t>Provider of financial products and services. The company's services include retirement plans, consumer loans, life insurance and other related services.</t>
  </si>
  <si>
    <t>Life and Health Insurance, Other Financial Services*</t>
  </si>
  <si>
    <t>consumer loans, life insurance, retirement services</t>
  </si>
  <si>
    <t>www.americangeneral.com</t>
  </si>
  <si>
    <t>1989: 12100, 1990: 12100, 1991: 13240, 1992: 11000, 1993: 11600, 1994: 14200, 1995: 14200, 1996: 15300, 1997: 16200, 1998: 16100, 1999: 15800, 2000: 15900, 2008: 7900</t>
  </si>
  <si>
    <t>189042-85P</t>
  </si>
  <si>
    <t>Robert Devlin</t>
  </si>
  <si>
    <t>2929 Allen Parkway</t>
  </si>
  <si>
    <t>77019</t>
  </si>
  <si>
    <t>The company was acquired by American International Group (NYS: AIG) for $24.6 billion on August 29, 2001. The company is no longer actively tracked by PitchBook.</t>
  </si>
  <si>
    <t>American International Group</t>
  </si>
  <si>
    <t>Prudential UK</t>
  </si>
  <si>
    <t>Prudential UK(www.prudentialplc.com)</t>
  </si>
  <si>
    <t>52931-08</t>
  </si>
  <si>
    <t>Total System Services</t>
  </si>
  <si>
    <t>TSYS</t>
  </si>
  <si>
    <t>Total System Services, Inc.</t>
  </si>
  <si>
    <t>Net 1 UEPS Technologies, Evertec, Payscape, Bluefin Payment Systems, Wibmo, WorldPay US, Flashbanc, Bell Identification, ACI Worldwide, PayU, SIX Payment Services, PayU Payments, Paymentwall, Iyzico, CyberSource, Recurly, Shift4 Payments, SafetyPay, First Data, Wirecard, VFinance (Financial Software), Serrala, Nuvei, WePay, AnchorOps, Intellect Design Arena, Paysafe Group, Euronet Worldwide, ROAM Data, Moneygram, Monitise, Digital Insight, Fiserv, Payline Data, Ingenico Group, Financial Software &amp; Systems, CurrencyCloud, Heartland Payment Systems, BlueSnap, BillingTree, Pay and Shop, Digital River, Net1 Universal Technologies (Austria), Sterling Payment Technologies, TransFirst, Worldline, eWAY (Other Financial Services), Payoneer, Square, Worldpay, Billtrust, Sentenial, Northern Leasing Systems, Elavon, Payvision</t>
  </si>
  <si>
    <t>Total System Services Inc based in Columbus, Georgia, provides payment-processing services in the U.S. and abroad. In 2013 TSYS provided processing services for 28% of domestic consumer credit card accounts and 59% of domestic commercial credit card accounts. The company has operating segments in North America Services, International Services, and Merchant Services, plus the newer NetSpend segment, which deals in prepaid debit and payroll cards and arrived via a 2013 acquisition.</t>
  </si>
  <si>
    <t>Financial Software*</t>
  </si>
  <si>
    <t>payment solutions, payment solutions platform, payment solutions provider, payment solutions services</t>
  </si>
  <si>
    <t>www.tsys.com</t>
  </si>
  <si>
    <t>1989: 692, 1990: 1200, 1991: 1200, 1992: 1226, 1993: 1649, 1994: 1649, 1995: 2269, 1996: 2664, 1997: 3158, 1998: 3935, 1999: 4163, 2000: 4542, 2001: 4711, 2002: 5121, 2003: 5185, 2004: 5622, 2005: 6603, 2006: 6644, 2007: 6921, 2008: 8110, 2009: 8001, 2010: 7788, 2011: 8200, 2012: 8600, 2013: 9600, 2014: 9900, 2015: 10500, 2016: 11500, 2017: 11000, 2018: 12820</t>
  </si>
  <si>
    <t>84897-19P</t>
  </si>
  <si>
    <t>James Yancey</t>
  </si>
  <si>
    <t>Board Member</t>
  </si>
  <si>
    <t>Columbus, GA</t>
  </si>
  <si>
    <t>One TSYS Way</t>
  </si>
  <si>
    <t>Columbus</t>
  </si>
  <si>
    <t>31901</t>
  </si>
  <si>
    <t>The company was acquired by Global Payments (NYS: GPN) for $24.5 billion on September 18, 2019. The acquisition will substantially expand Global Payments' e-commerce and omnichannel solutions present in the United States and provide further opportunities for meaningful multinational omnichannel market share gains. The company is no longer actively tracked by PitchBook.</t>
  </si>
  <si>
    <t>Global Payments</t>
  </si>
  <si>
    <t>GCA Corporation(Advisor: General)</t>
  </si>
  <si>
    <t>Davies Ward Phillips &amp; Vineberg(Legal Advisor), Kahn Swick &amp; Foti(Legal Advisor), King &amp; Spalding(Legal Advisor), The Goldman Sachs Group(Advisor: General)</t>
  </si>
  <si>
    <t>12618-46</t>
  </si>
  <si>
    <t>C. R. Bard</t>
  </si>
  <si>
    <t>Bard</t>
  </si>
  <si>
    <t>C. R. Bard, Inc.</t>
  </si>
  <si>
    <t>Kimal, Laborie Medical Technologies, Microlife, Thorasys, Curative Medical, Covidien, Abbott (Healthcare), Angiodynamics, Meril Life Sciences, Hologic, Biotronik, Q-linea, Mölnlycke Health Care, Bellco, EPD Solutions, Vyaire Medical, EndoChoice, Edwards Lifesciences, Intersurgical, Boston Scientific, Option Care Health, Medisoft, Abbott</t>
  </si>
  <si>
    <t>Developer of medical devices intended to solve the challenges of healthcare professionals and patients in wellness and prevention, early diagnosis, treatment, and post-care management. The company's specialized products and services are designed for the treatment of peripheral vascular disease (PVD), end-stage renal disease, heart arrhythmias, urology disease, various cancers, and soft tissue repairs, enabling clients with vascular, urology, oncology, and surgical specialty products.</t>
  </si>
  <si>
    <t>Diagnostic Equipment</t>
  </si>
  <si>
    <t>Diagnostic Equipment*, Distributors (Healthcare), Monitoring Equipment</t>
  </si>
  <si>
    <t>diagnostic device, health care product, medical devices, medical marketer, surgical diagnostic, vascular</t>
  </si>
  <si>
    <t>www.crbard.com</t>
  </si>
  <si>
    <t>1989: 8300, 1990: 8750, 1991: 9100, 1992: 8850, 1993: 8450, 1994: 8650, 1995: 9400, 1996: 9800, 1997: 9550, 1998: 7700, 1999: 7700, 2000: 8100, 2001: 7700, 2002: 7700, 2003: 8300, 2004: 8600, 2005: 8900, 2006: 9400, 2007: 10200, 2008: 11000, 2009: 11000, 2010: 11700, 2011: 12100, 2012: 12200, 2013: 13000, 2014: 13900, 2015: 14900, 2016: 16300</t>
  </si>
  <si>
    <t>TTM 3Q2017</t>
  </si>
  <si>
    <t>1 Becton Drive</t>
  </si>
  <si>
    <t>The company was acquired by Becton, Dickinson and Company (NYS: BDX) for $24 billion on December 29, 2017. The company is no longer actively tracked by PitchBook.</t>
  </si>
  <si>
    <t>Becton, Dickinson and Company</t>
  </si>
  <si>
    <t>BlackRock, State Street Global Advisors, T. Rowe Price, The Vanguard Group</t>
  </si>
  <si>
    <t>BlackRock(www.blackrock.com), State Street Global Advisors(www.ssga.com), T. Rowe Price(www.troweprice.com), The Vanguard Group(www.vanguard.com)</t>
  </si>
  <si>
    <t>Tyco International(www.tyco.com)</t>
  </si>
  <si>
    <t>AlphaVate(Consulting), Cicero Group(Advisor: General), Kirkland &amp; Ellis(Legal Advisor), Leadership Strategies(Advisor: General), Morrison Cohen(Legal Advisor), Park Avenue Group(Advisor: General), Thinking Dimensions Global(Consulting)</t>
  </si>
  <si>
    <t>Andersen Global(Auditor), Simpson Thacher &amp; Bartlett(Legal Advisor), The Goldman Sachs Group(Advisor: General), UBS Group(Advisor: General), Wachtell, Lipton, Rosen &amp; Katz(Legal Advisor)</t>
  </si>
  <si>
    <t>167281-93</t>
  </si>
  <si>
    <t>Dell-VMWare Tracking</t>
  </si>
  <si>
    <t>Veritas Technologies, NetApp, NTT Data, Nec Display Solutions Europe, Hitachi Vantara, Seaweed File System, Dimension Data, Oracle</t>
  </si>
  <si>
    <t>Operator of a holding company with a focus in information technology sector. The company specializes in offering essential infrastructure for organizations to build their digital future, transform information technology and protect their important asset and information.</t>
  </si>
  <si>
    <t>Holding Companies*, Systems and Information Management</t>
  </si>
  <si>
    <t>Big Data, TMT</t>
  </si>
  <si>
    <t>big data analysis, holding company operator, hybrid cloud, security transformation, tracking stock</t>
  </si>
  <si>
    <t>2016: 101800, 2017: 20000, 2018: 22000</t>
  </si>
  <si>
    <t>35267-59P</t>
  </si>
  <si>
    <t>Michael Dell</t>
  </si>
  <si>
    <t>Founder, Chairman &amp; Chief Executive Officer</t>
  </si>
  <si>
    <t>michael@msdf.org</t>
  </si>
  <si>
    <t>+1 (866) 438-3622</t>
  </si>
  <si>
    <t>Round Rock, TX</t>
  </si>
  <si>
    <t>One Dell Way</t>
  </si>
  <si>
    <t>Round Rock</t>
  </si>
  <si>
    <t>78682</t>
  </si>
  <si>
    <t>The company (NYSE: DVMT) was acquired for $24 billion by Dell Technologies through a reverse merger, resulting in the combined entity trading on the New York Stock Exchange under the ticker symbol DELL on December 28, 2018. Dell Technologies paid $14 billion in cash and issued 149,387,617 million shares of its Class C common stock. Each outstanding share of the company's Class V common stock has converted into the holder's right to receive either $120.00 in cash, without interest, subject to a cap of $14 billion on the aggregate cash consideration, or 1.8066 shares of Class C common stock. Following the completion of the transaction, Dell Technologies has approximately 171,909,324 outstanding shares of Class C common stock and approximately 718,434,605 shares of common stock in total. The company is no longer actively tracked by PitchBook.</t>
  </si>
  <si>
    <t>Dell Technologies</t>
  </si>
  <si>
    <t>Bryant Stibel</t>
  </si>
  <si>
    <t>Bryant Stibel(www.bryantstibel.com)</t>
  </si>
  <si>
    <t>Moelis &amp; Company(Advisor: General)</t>
  </si>
  <si>
    <t>Barclays Bank UK(Advisor: General), Gibson, Dunn &amp; Crutcher(Legal Advisor), J.P. Morgan(Advisor: General), Lazard Middle Market(Advisor: General), Morrison &amp; Foerster(Legal Advisor), Perella Weinberg Partners(Advisor: General), Simpson Thacher &amp; Bartlett(Legal Advisor)</t>
  </si>
  <si>
    <t>11989-90</t>
  </si>
  <si>
    <t>Rite Aid (NYS: RAD)</t>
  </si>
  <si>
    <t>Thrift D Discount Center</t>
  </si>
  <si>
    <t>Rite Aid Corp.</t>
  </si>
  <si>
    <t>Big Lots, 99 Cents Only Stores, Family Dollar Stores, CVS Pharmacy, Fred's</t>
  </si>
  <si>
    <t>Rite Aid Corp is a large retail drugstore chain in the United States. The company reports via two segments: retail pharmacy and pharmacy services. The retail pharmacy segment generates revenue primarily through the sale of prescription drugs, along with an assortment of merchandise that includes over-the-counter medications, health and beauty aids, personal care items, cosmetics, household items, food and beverages, greeting cards, seasonal merchandise, and numerous other everyday consumables. The pharmacy-services segment relates to EnvisionRx, a fully owned subsidiary that operates as a pharmacy benefit management provider offering a broad range of pharmaceutical services.</t>
  </si>
  <si>
    <t>Retail</t>
  </si>
  <si>
    <t>General Merchandise Stores</t>
  </si>
  <si>
    <t>General Merchandise Stores*, Other Pharmaceuticals and Biotechnology</t>
  </si>
  <si>
    <t>grocery drugs, pharmacy cosmetic, prescription, retail drugstore</t>
  </si>
  <si>
    <t>1990: 29934, 1991: 29934, 1992: 30490, 1993: 31128, 1994: 28550, 1995: 36700, 1996: 35700, 1997: 73000, 1998: 83000, 1999: 89900, 2000: 77258, 2001: 75500, 2002: 75000, 2003: 75000, 2004: 72500, 2005: 71200, 2006: 70200, 2007: 69700, 2008: 112800, 2009: 103000, 2010: 97500, 2011: 91800, 2012: 90000, 2013: 89000, 2014: 89000, 2015: 89000, 2016: 88000, 2017: 87000, 2018: 60800, 2021: 50000</t>
  </si>
  <si>
    <t>RAD</t>
  </si>
  <si>
    <t>92762-74P</t>
  </si>
  <si>
    <t>Matthew Schroeder</t>
  </si>
  <si>
    <t>Chief Financial Officer, Finance &amp; Executive Vice President</t>
  </si>
  <si>
    <t>mschroeder@riteaid.com</t>
  </si>
  <si>
    <t>+1 (800) 748-3243</t>
  </si>
  <si>
    <t>Camp Hill, PA</t>
  </si>
  <si>
    <t>30 Hunter Lane</t>
  </si>
  <si>
    <t>Camp Hill</t>
  </si>
  <si>
    <t>Pennsylvania</t>
  </si>
  <si>
    <t>17011</t>
  </si>
  <si>
    <t>info@riteaid.com</t>
  </si>
  <si>
    <t>The company (NYSE: RAD) completed an undisclosed amount of senior secured credit refinancing round led by Wells Fargo Capital Finance, Citicorp North America, Merrill Lynch, Pierce, Fenner &amp; Smith, GE Capital Markets, Goldman Sachs, Credit Suisse Securities and MUFG Union Bank on January 13, 2015. The company (NYSE: RAD) used borrowings under the amended and extended senior secured credit facility to repay and retire all of it debt.</t>
  </si>
  <si>
    <t>Leonard Green &amp; Partners, Sovereign Investment</t>
  </si>
  <si>
    <t>Albertsons, Cerberus Capital Management, GAMCO Investors, Lubert-Adler, Omnicare, Walgreens Boots Alliance</t>
  </si>
  <si>
    <t>Leonard Green &amp; Partners(www.leonardgreen.com), Sovereign Investment(www.sovereigninvestment.com)</t>
  </si>
  <si>
    <t>Albertsons(www.albertsons.com), Cerberus Capital Management(www.cerberus.com), GAMCO Investors(www.gabelli.com), Lubert-Adler(www.lubertadler.com), Omnicare(www.omnicare.com), Walgreens Boots Alliance(www.walgreensbootsalliance.com)</t>
  </si>
  <si>
    <t>Deloitte(Auditor), Hill Ward Henderson(Legal Advisor), Klehr Harrison Harvey Branzburg(Legal Advisor), Liquid Asset Partners(Valuation/Appraiser)</t>
  </si>
  <si>
    <t>Bank of America Merrill Lynch(Debt Financing), Bank of America Merrill Lynch(Advisor: General), BBVA USA Bancshares(Debt Financing), BMO Harris Bank(Debt Financing), Capital One Business Credit Corp.(Debt Financing), CIT Group(Debt Financing), Citibank(Advisor: General), Citicorp North America(Debt Financing), Citigroup Global Markets(Underwriter), Citizens Bank(Debt Financing), City National Bank(Debt Financing), Credit Suisse(Debt Financing), Credit Suisse Securities (USA)(Debt Financing), Deloitte(Auditor), Fifth Third Bank(Debt Financing), GE Capital(Debt Financing), General Capital Markets(Debt Financing), HSBC Holdings(Debt Financing), Huntington National Bank(Debt Financing), ING Capital(Debt Financing), J.P. Morgan(Lead Manager or Arranger), J.P. Morgan Securities(Debt Financing), Jones Day(Legal Advisor), Lloyds Securities(Debt Financing), Mizuho Bank(Debt Financing), Morrow Sodali(Advisor: Communications), MUFG Bank(Debt Financing), MUFG Union Bank(Debt Financing), New York Commercial Bank(Debt Financing), Paragon Ventures(Advisor: General), PNC(Debt Financing), RB International Finance(Debt Financing), Regions Financial(Debt Financing), Rigrodsky &amp; Long(Legal Advisor), Siemens Bank(Debt Financing), Skadden, Arps, Slate, Meagher &amp; Flom(Legal Advisor), SunTrust Bank(Debt Financing), TD Bank(Debt Financing), The Goldman Sachs Group(Debt Financing), The Goldman Sachs Group(Advisor: General), U.S. Bancorp(Debt Financing), UBS Group(Debt Financing), Ukrsotsbank(Debt Financing), Wells Fargo Capital Finance(Debt Financing)</t>
  </si>
  <si>
    <t>280686-16</t>
  </si>
  <si>
    <t>The Coastal Corporation</t>
  </si>
  <si>
    <t>Operator of oil and gas exploration and production business based in Houston, Texas. The company offers petroleum refining, marketing and distribution; chemicals; power production.</t>
  </si>
  <si>
    <t>energy entity, energy exploitation, energy exploration site, energy explorer, energy services</t>
  </si>
  <si>
    <t>www.coastalcorp.com</t>
  </si>
  <si>
    <t>189660-16P</t>
  </si>
  <si>
    <t>David Arledge</t>
  </si>
  <si>
    <t>Chief Executive Officer &amp; President &amp; Chairman</t>
  </si>
  <si>
    <t>The company was acquired by El Paso for $24 billion on January 29, 2001.The company is no longer actively tracked by PitchBook.</t>
  </si>
  <si>
    <t>El Paso</t>
  </si>
  <si>
    <t>Fried, Frank, Harris, Shriver &amp; Jacobson(Legal Advisor)</t>
  </si>
  <si>
    <t>41326-03</t>
  </si>
  <si>
    <t>St. Jude Medical</t>
  </si>
  <si>
    <t>St. Jude Medical, Inc.</t>
  </si>
  <si>
    <t>St. Jude Medical was a manufacturer of medical devices. The company manufactured devices in clinical areas of cardiac rhythm management, atrial fibrillation, cardiovascular and neuromodulation which includes devices like implantable cardioverter defibrillators (ICDs), cardiac resynchronization therapy (CRT) devices, pacemakers, remote monitoring systems, cardiac mapping and visualization systems, catheter-based ablation devices, vascular closure devices, structural heart products, spinal cord stimulation, peripheral nerve stimulation and deep brain stimulation devices. It was acquired by Abbott Laboratories on January 4, 2017.</t>
  </si>
  <si>
    <t>Therapeutic Devices</t>
  </si>
  <si>
    <t>Surgical Devices, Therapeutic Devices*</t>
  </si>
  <si>
    <t>brain stimulation, cardiac stimulation, cardiovascular device, neuromodulation, spinal cord stimulation</t>
  </si>
  <si>
    <t>www.sjmglobal.com</t>
  </si>
  <si>
    <t>1989: 445, 1990: 544, 1991: 599, 1992: 684, 1993: 722, 1994: 2248, 1995: 2315, 1996: 3620, 1997: 3772, 1998: 3984, 1999: 4379, 2000: 4951, 2001: 5568, 2002: 6042, 2003: 7391, 2004: 7900, 2005: 10000, 2006: 11000, 2007: 12000, 2008: 14000, 2010: 14000, 2011: 16000, 2012: 15000, 2013: 16000, 2015: 16000, 2016: 18000, 2017: 18000</t>
  </si>
  <si>
    <t>Saint Paul, MN</t>
  </si>
  <si>
    <t>One Saint Jude Medical Drive</t>
  </si>
  <si>
    <t>Saint Paul</t>
  </si>
  <si>
    <t>Minnesota</t>
  </si>
  <si>
    <t>55117</t>
  </si>
  <si>
    <t>The company (NYSE: STJ) was acquired by Abbott Laboratories (NYS: ABT) for $23.6 billion on January 4, 2017. The acquirer also assumed liabilities of about $5.7 billion. The company is no longer actively tracked by PitchBook.</t>
  </si>
  <si>
    <t>Cooper Hill Partners, Marshall Wace, Norwest Venture Partners, Prettybrook Partners</t>
  </si>
  <si>
    <t>Marshall Wace(www.mwam.com), Norwest Venture Partners(www.nvp.com), Prettybrook Partners(www.prettybrookpartners.com)</t>
  </si>
  <si>
    <t>2e Creative(Advisor: Communications), Joele Frank(Advisor: Communications), Nilan Johnson Lewis(Legal Advisor), Recruitment Management Group(Consulting), The McLean Group(Advisor: General), Tonex(Consulting)</t>
  </si>
  <si>
    <t>Bank of America Merrill Lynch(Advisor: General), DLA Piper(Legal Advisor), Dorsey &amp; Whitney(Legal Advisor), EY(Accounting), Gibson, Dunn &amp; Crutcher(Legal Advisor), Guggenheim Partners(Advisor: General)</t>
  </si>
  <si>
    <t>41215-60</t>
  </si>
  <si>
    <t>State Auto Financial (NAS: STFC)</t>
  </si>
  <si>
    <t>State Auto, State Auto Insurance Companies, STFC</t>
  </si>
  <si>
    <t>State Auto Financial Corporation</t>
  </si>
  <si>
    <t>Heritage Property &amp; Casualty Insurance Company, RenaissanceRe Holdings, Cincinnati Financial, Esurance Insurance Services, Travelers Companies, Progressive Casualty Insurance Company, AIG Korea, UPC Insurance, Pekin Life Insurance Company, EMC Insurance Group, Plymouth Rock Assurance Preferred Corporation, Acuity Insurance, Auto-Owners Insurance Company, Allstate, MAPFRE U.S.A., GEICO, AIG Sigorta Financial Services, The Hartford Financial Services Group, The Hanover Insurance Group, CNA Financial, Chubb, 21st Century Insurance Group, W.R. Berkley, Nationwide Insurance Company of America, Safeco, New York Central Mutl Fire Insur, Markel (Insurance Services), Prepared Insurance Company, American Financial Group, Infinity Property &amp; Casualty, Liberty Mutual Insurance Company, Erie Insurance, American International Group, The Co-operators</t>
  </si>
  <si>
    <t>State Auto Financial Corp is a property and casualty insurance holding company. The company is engaged in writing personal, business and specialty insurance. It markets its insurance products through the United States. Personal Insurance Segment and its products include personal auto, homeowners. Commercial Insurance Segment products include commercial auto, small commercial package, middle-market commercial, workers' compensation, farm and ranch, and other commercials.</t>
  </si>
  <si>
    <t>Multi-line Insurance</t>
  </si>
  <si>
    <t>Automotive Insurance, Multi-line Insurance*, Property and Casualty Insurance</t>
  </si>
  <si>
    <t>auto insurance policy, farming insurance, liability insurance, property insurance agent, renters insurance</t>
  </si>
  <si>
    <t>www.stateauto.com</t>
  </si>
  <si>
    <t>1991: 1200, 1992: 1200, 1993: 1340, 1994: 1325, 1995: 1311, 1996: 1339, 1997: 1345, 1998: 1230, 1999: 1350, 2000: 1375, 2001: 2042, 2002: 2097, 2003: 2060, 2004: 2029, 2005: 2087, 2006: 2060, 2007: 2185, 2008: 2185, 2009: 2226, 2010: 2483, 2011: 2451, 2012: 2423, 2013: 2384, 2014: 2274, 2015: 2065, 2016: 2020, 2017: 1962, 2018: 1854, 2019: 1978, 2020: 2025, 2021: 2000</t>
  </si>
  <si>
    <t>STFC</t>
  </si>
  <si>
    <t>218071-90P</t>
  </si>
  <si>
    <t>Elise Spriggs</t>
  </si>
  <si>
    <t>Senior Vice President, Associate and External Relations</t>
  </si>
  <si>
    <t>elise.spriggs@stateauto.com</t>
  </si>
  <si>
    <t>+1 (833) 724-3577</t>
  </si>
  <si>
    <t>Columbus, OH</t>
  </si>
  <si>
    <t>518 East Broad Street</t>
  </si>
  <si>
    <t>43215-3976</t>
  </si>
  <si>
    <t>The company reached a definitive agreement to be acquired by Liberty Mutual Insurance Company for $2.36 billion on July 12, 2021. The acquisition will significantly expand Liberty Mutual's position as an industry leader for personal lines and small commercial insurance. The company is being actively tracked by PitchBook.</t>
  </si>
  <si>
    <t>Liberty Mutual Insurance Company</t>
  </si>
  <si>
    <t>Liberty Mutual Insurance Company(www.libertymutual.com)</t>
  </si>
  <si>
    <t>Bell, Orr, Ayers &amp; Moore(Legal Advisor), PhiloSmith &amp; Company(Advisor: General), Sandler O'Neill + Partners(Lead Manager or Arranger)</t>
  </si>
  <si>
    <t>BofA Securities(Advisor: General), Houlihan Lokey(Advisor: General), Keefe, Bruyette &amp; Woods(Advisor: General), Kirkland &amp; Ellis(Legal Advisor), Squire Patton Boggs(Legal Advisor)</t>
  </si>
  <si>
    <t>10262-62</t>
  </si>
  <si>
    <t>Collins Aerospace</t>
  </si>
  <si>
    <t>Collins Radio, Rockwell Collins</t>
  </si>
  <si>
    <t>Rockwell Collins Inc.</t>
  </si>
  <si>
    <t>Universal Avionics Systems, Rolls-Royce, Gulfstream Aerospace, General Dynamics, MD Helicopters, Airbus, Rheinmetall, Embraer, Boeing, Northrop Grumman, ETA Global, Insis, FreeFlight Systems, Triumph Group, Cobham, Astronautics Corporation of America, Esterline Technologies, Thales Group, Orbital ATK, MDA, Rockwell Automation</t>
  </si>
  <si>
    <t>Producer of communications &amp; aviation systems for the global aerospace and defense industry. The company's portfolio of products and services include flight deck avionics, cabin electronics, cabin interiors, information management, mission communications, and simulation and training for commercial and military use, providing pilots with a single resource for best-in-class flight planning, trip support and flight operations management.</t>
  </si>
  <si>
    <t>Aerospace and Defense*, Air, Industrial Supplies and Parts</t>
  </si>
  <si>
    <t>avionics, avionics systems, avionics technology, cabins electronics, integrated systems</t>
  </si>
  <si>
    <t>www.collinsaerospace.com</t>
  </si>
  <si>
    <t>2001: 17500, 2002: 14500, 2003: 14300, 2004: 15800, 2005: 17100, 2006: 18600, 2007: 19500, 2008: 20300, 2009: 19300, 2010: 20000, 2011: 20500, 2012: 19000, 2013: 18300, 2014: 20000, 2015: 19500, 2016: 19000, 2017: 29000, 2018: 30617, 2019: 73300, 2020: 76000, 2021: 200000</t>
  </si>
  <si>
    <t>108741-61P</t>
  </si>
  <si>
    <t>Tatum Buse</t>
  </si>
  <si>
    <t>tbuse@collinsaerospace.com</t>
  </si>
  <si>
    <t>+1 (704) 423-7000</t>
  </si>
  <si>
    <t>Charlotte, NC</t>
  </si>
  <si>
    <t>Four Coliseum Centre</t>
  </si>
  <si>
    <t>2730 West Tyvola Road</t>
  </si>
  <si>
    <t>Charlotte</t>
  </si>
  <si>
    <t>28217</t>
  </si>
  <si>
    <t>+1 (704) 423-7002</t>
  </si>
  <si>
    <t>The company (NYSE: COL) was acquired by United Technologies (NYSE: UTX) for $23.49 billion on November 26, 2018. This acquisition adds tremendous capabilities to United Technologie's aerospace businesses and strengthens their complementary offerings of technologically advanced aerospace systems. Under the terms of the agreement, each shareowner will receive $93.33 per share in cash and $46.67 in shares of UTC common stock, subject to a 7.5 percent collar centered on UTC's August 22, 2017 closing share price of $115.69. UTC plans to fund the acquisition of COL's equity, valued at nearly $23 billion, through the issuance of approximately $14 billion of new debt, $1 billion of cash repatriated from overseas, and $7 billion-$8 billion of UTC shares, subject to adjustments. The company was delisted after this transaction.</t>
  </si>
  <si>
    <t>Rockwell Automation</t>
  </si>
  <si>
    <t>Rockwell Automation(www.rockwellautomation.com)</t>
  </si>
  <si>
    <t>Ekito(Consulting), Wharton MidMarket Advisors(Advisor: General)</t>
  </si>
  <si>
    <t>Citigroup(Advisor: General), Harris, Wiltshire &amp; Grannis(Legal Advisor), J.P. Morgan(Advisor: General), McCarthy Tétrault(Legal Advisor), Rigrodsky &amp; Long(Legal Advisor), Skadden, Arps, Slate, Meagher &amp; Flom(Legal Advisor)</t>
  </si>
  <si>
    <t>40714-84</t>
  </si>
  <si>
    <t>Andeavor</t>
  </si>
  <si>
    <t>Tesoro</t>
  </si>
  <si>
    <t>Gulf Oil, Petron, Esso Thailand, Delek US Holdings, Citgo Petroleum, CVR Refining, Phoenix LPG Philippines, Gazprom neftekhim Salavat, Sunoco, Sasol, LukOil, NGL Energy Partners, Phillips 66 Power Operations</t>
  </si>
  <si>
    <t>Andeavor was a retailer and refiner of petroleum products. The company used to offer transportation fuels and convenience products to consumers through the wholesale, commercial and retail sales outlets.</t>
  </si>
  <si>
    <t>Energy Marketing, Energy Refining*</t>
  </si>
  <si>
    <t>fuel transportation, petrol dealer, petroleum product seller, petroleum refining, refined petroleum product</t>
  </si>
  <si>
    <t>www.andeavor.com</t>
  </si>
  <si>
    <t>1989: 1800, 1990: 1800, 1991: 1800, 1992: 900, 1993: 900, 1994: 870, 1995: 840, 1996: 1000, 1997: 1100, 1998: 2140, 1999: 2020, 2000: 2100, 2001: 3290, 2002: 3940, 2003: 3570, 2004: 3640, 2005: 3928, 2006: 3950, 2007: 5500, 2008: 5620, 2009: 5500, 2010: 5300, 2011: 5400, 2012: 5700, 2013: 7000, 2014: 5600, 2015: 6000, 2016: 6300, 2017: 14300, 2018: 13000</t>
  </si>
  <si>
    <t>Marathon Petroleum</t>
  </si>
  <si>
    <t>19100 Ridgewood Parkway</t>
  </si>
  <si>
    <t>78259</t>
  </si>
  <si>
    <t>The company (NYSE: ANDV) was acquired by Marathon Petroleum (NYSE: MPC) for $23.46 billion on October 1, 2018. Andeavor shareholders will have the option to receive in exchange for each share of Andeavor common stock they hold 1.87 shares of MPC stock, $152.27 in cash, or a combination of both, subject to a proration mechanism that will result in 15% of the shares of Andeavor common stock being exchanged for cash and the remaining shares being exchanged for MPC stock. The strategic combination, creates a large-scale, geographically-diversified and highly-integrated refining, marketing and midstream company.</t>
  </si>
  <si>
    <t>Eureka Capital Partners(Advisor: General), JPMorgan Chase(Debt Financing), Rimon Law(Legal Advisor), The Belanger Valuation Group(Valuation/Appraiser)</t>
  </si>
  <si>
    <t>Bush Kornfeld(Legal Advisor), Kahn Swick &amp; Foti(Legal Advisor), Morgan Lewis(Legal Advisor), Rigrodsky &amp; Long(Legal Advisor), Sullivan &amp; Cromwell(Legal Advisor), The Goldman Sachs Group(Advisor: General)</t>
  </si>
  <si>
    <t>40692-61</t>
  </si>
  <si>
    <t>SoftBank Group (TKS: 9984)</t>
  </si>
  <si>
    <t>SoftBank, SBG</t>
  </si>
  <si>
    <t>SoftBank Group Corp.</t>
  </si>
  <si>
    <t>SoftBank Telecom, Nippon Telegraph &amp; Telephone, NTT DoCoMo</t>
  </si>
  <si>
    <t>SoftBank is a Japan-based telecom and e-commerce conglomerate that has expanded mainly through acquisitions, and its key assets include a 28% stake in Chinese e-commerce giant Alibaba and a 40% owned mobile and fixed broadband telecom operator business in Japan. It also owns 75% of semiconductor chip designer ARM Holdings although has agreed to sell this and is waiting on regulatory approvals, and has a vast portfolio of mainly Internet- and e-commerce-focused early stage investments. It is also general partner of the $100 billion SoftBank Vision Fund 1 and sole investor in Softbank Vision Fund 2, both of which primarily invest in pre-IPO Internet companies.</t>
  </si>
  <si>
    <t>Fiberoptic Equipment, Internet Service Providers, Telecommunications Service Providers*</t>
  </si>
  <si>
    <t>E-Commerce, TMT</t>
  </si>
  <si>
    <t>ecommerce business, fiber optic, internet advertising, telecommunication, telecommunication service, telecommunication service company, telecommunication services</t>
  </si>
  <si>
    <t>www.softbank.jp</t>
  </si>
  <si>
    <t>2006: 14182, 2007: 17804, 2008: 20493, 2009: 21963, 2010: 22217, 2011: 21799, 2012: 22710, 2013: 24598, 2014: 77966, 2015: 72978, 2016: 63591, 2017: 68402, 2018: 88298, 2019: 92069, 2020: 98001, 2021: 78825</t>
  </si>
  <si>
    <t>TKS</t>
  </si>
  <si>
    <t>9984</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</si>
  <si>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</si>
  <si>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44182-45P</t>
  </si>
  <si>
    <t>Masayoshi Son</t>
  </si>
  <si>
    <t>Founder &amp; Board Member</t>
  </si>
  <si>
    <t>masayoshi.son@visionfund.com</t>
  </si>
  <si>
    <t>+44 (0)20 7629 0431</t>
  </si>
  <si>
    <t>1-7-1, Kaigan</t>
  </si>
  <si>
    <t>Minato-ku</t>
  </si>
  <si>
    <t>105-7537</t>
  </si>
  <si>
    <t>+81 (0)36 889 2000</t>
  </si>
  <si>
    <t>The company reached a definitive agreement to repurchase shares for JPY 2.5 trillion on March 13, 2020. The transaction will allow SoftBank to strengthen its balance sheet while significantly reducing debt. The company has repurchased 260,199,100 shared worth JPY 1.5 trillion between March 16 and December 11, 2020. Previously, the company repurchased 112 million shares for JPY 600 billion on February 6, 2019. The company is being actively tracked by PitchBook.</t>
  </si>
  <si>
    <t>Igah Ventures, The Capital Group Companies, Tiger Global Management</t>
  </si>
  <si>
    <t>Igah Ventures(igahventures.com), The Capital Group Companies(www.capitalgroup.com), Tiger Global Management(www.tigerglobal.com)</t>
  </si>
  <si>
    <t>Adept Resources Group(Consulting), Aztec Group(Fund Administrator), Carey Olsen(Legal Advisor), Centricus(Placement Agent), Deloitte(Auditor), Deutsche Bank(Advisor: General), Grove Capital Partners(Advisor: General), J.P. Morgan(Advisor: General), Jersey Financial Services Commission(Advisor: General), Kirkland &amp; Ellis(Legal Advisor), KPMG(Auditor), Linklaters(Legal Advisor), M&amp;A Media Group(Advisor: General), Morrison &amp; Foerster(Legal Advisor), Sard Verbinnen(Advisor: Communications), Simpson Thacher &amp; Bartlett(Legal Advisor), Weil, Gotshal &amp; Manges(Legal Advisor)</t>
  </si>
  <si>
    <t>10441-63</t>
  </si>
  <si>
    <t>EQ Office</t>
  </si>
  <si>
    <t>Equity Office</t>
  </si>
  <si>
    <t>EQ</t>
  </si>
  <si>
    <t>Equity Office Management, LLC</t>
  </si>
  <si>
    <t>Owner and operator of office buildings in the United States. The company operates a portfolio of over 40 million square feet of Class A office space throughout 80 locations across the United States.</t>
  </si>
  <si>
    <t>Buildings and Property, Other Commercial Services*</t>
  </si>
  <si>
    <t>office portfolio, office portfolio operator, office property operator, real estate operator, real estate owner</t>
  </si>
  <si>
    <t>www.eqoffice.com</t>
  </si>
  <si>
    <t>1997: 1456, 1998: 1680, 1999: 1733, 2000: 2061, 2001: 2700, 2002: 2500, 2003: 2400, 2004: 2300, 2005: 2300, 2007: 2700, 2019: 200</t>
  </si>
  <si>
    <t>47951-92P</t>
  </si>
  <si>
    <t>Mark Smith</t>
  </si>
  <si>
    <t>Managing Director, East</t>
  </si>
  <si>
    <t>mark_smith@equityoffice.com</t>
  </si>
  <si>
    <t>+1 (312) 466-3300</t>
  </si>
  <si>
    <t>222 South Wacker Drive</t>
  </si>
  <si>
    <t>Suite 4700</t>
  </si>
  <si>
    <t>60606</t>
  </si>
  <si>
    <t>chi@eqoffice.com</t>
  </si>
  <si>
    <t>The company was acquired by The Blackstone Group through a public to private $23 billion LBO on February 9, 2007. Bank of America, Bear Stearns, Citigroup Global Markets, Column Financial, German American Capital, Morgan Stanley and The Goldman Sachs Group provided loan financing to support the transaction. The Blackstone Group also assumed $16 billion liabilities of the company through this transaction.</t>
  </si>
  <si>
    <t>The Blackstone Group</t>
  </si>
  <si>
    <t>Equity Group Investments</t>
  </si>
  <si>
    <t>The Blackstone Group(www.blackstone.com)</t>
  </si>
  <si>
    <t>Equity Group Investments(www.egizell.com)</t>
  </si>
  <si>
    <t>Fishman Haygood(Legal Advisor)</t>
  </si>
  <si>
    <t>Bank of America(Debt Financing), Bank of America Merrill Lynch(Advisor: General), Bear Stearns(Debt Financing), Citigroup Global Markets(Debt Financing), Column Financial(Debt Financing), EY(Auditor), German American Capital(Debt Financing), Morgan Stanley(Debt Financing), S&amp;D Law(Legal Advisor), Sidley Austin(Legal Advisor), The CenterCap Group(Advisor: General), The Goldman Sachs Group(Debt Financing), Venable(Legal Advisor), Wachovia Bank(Debt Financing)</t>
  </si>
  <si>
    <t>111605-95</t>
  </si>
  <si>
    <t>GE Capital Real Estate (Portfolio of Commercial Loans and Property Assets)</t>
  </si>
  <si>
    <t>A portfolio of commercial real estate loans and property assets. The portfolio consists of first-mortgage commercial real estate loans in the United States, United Kingdom and Canada, office-property assets in Southern California, Seattle and Chicago, office, logistics and retail assets in the United Kingdom, France and Spain, first mortgage loans in Mexico and Australia as well as a collection of first-mortgage loans in the United States.</t>
  </si>
  <si>
    <t>Other Business Products and Services</t>
  </si>
  <si>
    <t>Buildings and Property</t>
  </si>
  <si>
    <t>Buildings and Property*</t>
  </si>
  <si>
    <t>building real estate asset, commercial property asset, first-mortgage loans, mortgage loan asset, real estate loans</t>
  </si>
  <si>
    <t>PO Box 4586</t>
  </si>
  <si>
    <t>10163</t>
  </si>
  <si>
    <t>The assets were acquired by The Blackstone Group, Blackstone Mortgage Trust and Wells Fargo Capital Finance through a $23 billion LBO on June 17, 2015. The transaction consists of Wells Fargo purchasing performing first mortgage commercial real estate loans valued at $9.0 billion in the United States, UK and Canada, Blackstone's latest flagship global real estate fund, BREP VIII purchased the US equity assets for $3.3 billion these assets are primarily office properties in Southern California, Seattle and Chicago, Blackstone's European real estate fund, BREP Europe IV, has purchased the European equity real estate assets, for €1.9 billion. These consist of office, logistics and retail assets, largely in the UK, France and Spain. The logistics assets will be integrated into Blackstone's European logistics platform, Logicor, and the retail assets into its European retail platform, Multi, BREDS, Blackstone's real estate debt fund, has purchased performing first mortgage loans in Mexico and Australia for $4.2 billion, BXMT, Blackstone's publicly traded commercial mortgage REIT, has purchased a $4.6 billion portfolio of first mortgage loans primarily in the US with Wells Fargo providing the financing.</t>
  </si>
  <si>
    <t>The Blackstone Group, Wells Fargo Capital Finance</t>
  </si>
  <si>
    <t>GE Capital Real Estate</t>
  </si>
  <si>
    <t>The Blackstone Group(www.blackstone.com), Wells Fargo Capital Finance(wellsfargocapitalfinance.com)</t>
  </si>
  <si>
    <t>GE Capital Real Estate(www.gecapitalrealestate.com)</t>
  </si>
  <si>
    <t>Bank of America Merrill Lynch(Advisor: General), Centerview Partners(Advisor: General), Hogan Lovells(Legal Advisor), JPMorgan Chase(Advisor: General), Kimberlite(Advisor: General), Sullivan &amp; Cromwell(Legal Advisor), Weil, Gotshal &amp; Manges(Legal Advisor), Wells Fargo Capital Finance(Debt Financing)</t>
  </si>
  <si>
    <t>12053-08</t>
  </si>
  <si>
    <t>El Paso Natural Gas</t>
  </si>
  <si>
    <t>El Paso Corporation</t>
  </si>
  <si>
    <t>Provider of natural gas and energy related products. The company also offers natural gas transmission services to a range of customers, including natural gas producers, marketers and end-users, as well as other natural gas transmission, distribution and electric generation companies through its interests in approximately 43,100 miles of interstate pipeline system. It focuses on the exploration, acquisition, development and production of natural gas, oil and natural gas liquids in the United States, Brazil and Egypt.</t>
  </si>
  <si>
    <t>gas exploration, gas pipeline, gas transmission, natural gas, oil exploration, oil transmission</t>
  </si>
  <si>
    <t>1991: 2560, 1992: 2499, 1993: 2460, 1994: 2403, 1995: 2393, 1996: 4300, 1997: 3500, 1998: 3600, 1999: 4700, 2000: 15000, 2001: 14180, 2002: 11855, 2003: 7574, 2004: 6400, 2005: 5700, 2006: 5050, 2007: 4992, 2008: 5344, 2009: 4991, 2010: 4937, 2011: 4858</t>
  </si>
  <si>
    <t>TTM 1Q2012</t>
  </si>
  <si>
    <t>11544-49P</t>
  </si>
  <si>
    <t>Douglas Foshee</t>
  </si>
  <si>
    <t>Chairman, President &amp; Chief Executive Officer</t>
  </si>
  <si>
    <t>dlf@sallyport.net</t>
  </si>
  <si>
    <t>+1 (281) 423-0260</t>
  </si>
  <si>
    <t>El Paso Building</t>
  </si>
  <si>
    <t>The company (NYSE:EP) was acquired by Kinder Morgan (NYSE:KMI) through a $22.92 billion cash and stock acquisition, putting the company's valuation at $37.8 billion. The company is no longer actively tracked by PitchBook.</t>
  </si>
  <si>
    <t>Clarity Consultants(Consulting), Downstream Energy Partners(Advisor: General), Entoro Capital(Advisor: General), Mackenzie Partners(Advisor: General), Potter Anderson &amp; Corroon(Legal Advisor), UPD Consulting(Consulting)</t>
  </si>
  <si>
    <t>Morgan Stanley(Advisor: General), The Goldman Sachs Group(Advisor: General), Tudor, Pickering, Holt &amp; Company(Advisor: General), Wachtell, Lipton, Rosen &amp; Katz(Legal Advisor)</t>
  </si>
  <si>
    <t>Loan - $11.50B</t>
  </si>
  <si>
    <t>231105-25</t>
  </si>
  <si>
    <t>SCISYS Deutschland</t>
  </si>
  <si>
    <t>VCS Aktiengesellschaft</t>
  </si>
  <si>
    <t>SCISYS Deutschland GmbH</t>
  </si>
  <si>
    <t>Developer of software designed for video transmission. The company's software is developed to facilitate computer systems and telecommunications systems for broadcasting.</t>
  </si>
  <si>
    <t>Specialty Retail</t>
  </si>
  <si>
    <t>Other Commercial Services, Other Software, Specialty Retail*</t>
  </si>
  <si>
    <t>data transmission system, digital communications company, digital transmission company, digital transmission service, satellite broadcasting company</t>
  </si>
  <si>
    <t>www.vcs.de</t>
  </si>
  <si>
    <t>190100-80P</t>
  </si>
  <si>
    <t>Klaus-G Meng</t>
  </si>
  <si>
    <t>Founder</t>
  </si>
  <si>
    <t>+44 (0)12 4946 6466</t>
  </si>
  <si>
    <t>Bochum, Germany</t>
  </si>
  <si>
    <t>Borgmannstraße 2</t>
  </si>
  <si>
    <t>Bochum</t>
  </si>
  <si>
    <t>44894</t>
  </si>
  <si>
    <t>The company was acquired by SCISYS (LSE: SSY) for EUR 16.7 billion in 2007. The company is no longer actively tracked by PitchBook.</t>
  </si>
  <si>
    <t>SCISYS</t>
  </si>
  <si>
    <t>Bosch Security Systems</t>
  </si>
  <si>
    <t>Bosch Security Systems(www.boschsecurity.com)</t>
  </si>
  <si>
    <t>14198-32</t>
  </si>
  <si>
    <t>Dr Pepper Snapple Group</t>
  </si>
  <si>
    <t>DPS</t>
  </si>
  <si>
    <t>Dr Pepper Snapple Group, Inc.</t>
  </si>
  <si>
    <t>Royal Crown Cola, Living Essentials, Beam Suntory, Bacardi-Martini, Ghirardelli Chocolate, Oshee Polska, Patron Spirits, Red Bull, Chobani, Treehouse Foods</t>
  </si>
  <si>
    <t>Manufacturer of flavored beverages. The company's flavored beverages are synonymous with refreshment, fun and flavor for every generations, enabling the customers to savour tasty drinks at affordable price ranges.</t>
  </si>
  <si>
    <t>Beverages*</t>
  </si>
  <si>
    <t>beverages, carbonate drinks, carbonated soft drinks manufacturer, flavored drinks, soft drinks manufacturer</t>
  </si>
  <si>
    <t>www.drpeppersnapplegroup.com</t>
  </si>
  <si>
    <t>Plano, TX</t>
  </si>
  <si>
    <t>5301 Legacy Drive</t>
  </si>
  <si>
    <t>Plano</t>
  </si>
  <si>
    <t>75024</t>
  </si>
  <si>
    <t>+1 (972) 673-7000</t>
  </si>
  <si>
    <t>The company was acquired by Keurig Green Mountain, via its financial sponsors BDT Capital Partners, FFP Group and JAB Holding Company through a $22.48 billion LBO on July 9, 2018. Mondelez International also participated in the transaction. As a part of the transation the company went private. The company is no longer actively tracked by PitchBook.</t>
  </si>
  <si>
    <t>Keurig Dr Pepper</t>
  </si>
  <si>
    <t>Cadbury, Lindsell Train Investment</t>
  </si>
  <si>
    <t>BDT Capital Partners, JAB Holding Company, Mondelez International, Peugeot Invest</t>
  </si>
  <si>
    <t>Cadbury(cadbury.co.uk), Lindsell Train Investment(lindselltrain.com)</t>
  </si>
  <si>
    <t>JAB Holding Company(www.jabholco.com), Mondelez International(www.mondelezinternational.com), Peugeot Invest(peugeot-invest.com)</t>
  </si>
  <si>
    <t>BB&amp;T Capital Markets(Advisor: General), Kahn Swick &amp; Foti(Legal Advisor), The Audible Group(Consulting)</t>
  </si>
  <si>
    <t>Credit Suisse(Advisor: General), Davies Ward Phillips &amp; Vineberg(Legal Advisor), Duff &amp; Phelps, A Kroll Business(Advisor: General), Kahn Swick &amp; Foti(Legal Advisor), Morgan Lewis(Legal Advisor)</t>
  </si>
  <si>
    <t>225218-53</t>
  </si>
  <si>
    <t>UPC Czech</t>
  </si>
  <si>
    <t>Cable Plus</t>
  </si>
  <si>
    <t>UPC Romania</t>
  </si>
  <si>
    <t>UPC Ceská republika, s.r.o.</t>
  </si>
  <si>
    <t>U mobile, Altice Portugal, PlusNet, Virgin Media, Telecom Liechtenstein, Digiweb, Proximus (Telecommunications Service Providers), Cable &amp; Wireless Communications, Atlant Telecom, Companhia de Telecomunicacoes de Macau, Koninklijke KPN, EE, Kazakhtelecom, TPG Telecom, TalkTalk Telecom Group, BT Communications (Ireland), OneCom (United Kingdom), FASTWEB, Telstra, ISP Fuel Broadband, Deutsche Telekom, Telecom Italia, Telecom Argentina, Reliance Communications, Truphone, Singtel, Telecom Cook Islands</t>
  </si>
  <si>
    <t>Provider of telecommunication services. The company provides television services like digital, satellite and analog, broadband internet and fixed telephony through with the CONNECT BOX modem and entertainment with the HORIZON video platform.</t>
  </si>
  <si>
    <t>Cable Service Providers</t>
  </si>
  <si>
    <t>Cable Service Providers*, Telecommunications Service Providers</t>
  </si>
  <si>
    <t>broadband internet, cable operator, fixed line telephony, telephony</t>
  </si>
  <si>
    <t>www.upc.cz</t>
  </si>
  <si>
    <t>182740-33P</t>
  </si>
  <si>
    <t>Severina Pascu</t>
  </si>
  <si>
    <t>Prague, Czech Republic</t>
  </si>
  <si>
    <t>P.O.Box 53</t>
  </si>
  <si>
    <t>Prague</t>
  </si>
  <si>
    <t>130 11</t>
  </si>
  <si>
    <t>Czech Republic</t>
  </si>
  <si>
    <t>+420 241 005 105</t>
  </si>
  <si>
    <t>The company, a subsidiary of Liberty Global (NAS: LBTYA) was acquired by Vodafone Group (LON: VOD) for EUR 18.4 billion on May 9, 2018.</t>
  </si>
  <si>
    <t>Liberty Global (UK)</t>
  </si>
  <si>
    <t>Liberty Global (UK)(www.libertyglobal.com)</t>
  </si>
  <si>
    <t>42490-90</t>
  </si>
  <si>
    <t>Grupo NotreDame Intermédica (BVMF: GNDI3)</t>
  </si>
  <si>
    <t>GNDI</t>
  </si>
  <si>
    <t>Notre Dame Intermédica Participações SA</t>
  </si>
  <si>
    <t>Notre Dame Intermedica Participacoes SA operates health plans, dental plans and occupational health. Its service structure includes hospitals, Clinical Centers, Preventive Medicine Units and emergency room units, all of which are located in the states of Sao Paulo and Rio de Janeiro, as well as a large accredited network and dental clinics with more of 14 thousand accredited dentists.</t>
  </si>
  <si>
    <t>Clinics/Outpatient Services</t>
  </si>
  <si>
    <t>Clinics/Outpatient Services*, Hospitals/Inpatient Services, Life and Health Insurance</t>
  </si>
  <si>
    <t>clinical center, healthcare insurance, healthcare service, maternity hospital, preventive medicine</t>
  </si>
  <si>
    <t>www.gndi.com.br</t>
  </si>
  <si>
    <t>2017: 11032</t>
  </si>
  <si>
    <t>BVMF</t>
  </si>
  <si>
    <t>GNDI3</t>
  </si>
  <si>
    <t>161867-26P</t>
  </si>
  <si>
    <t>Irlau Filho</t>
  </si>
  <si>
    <t>irlau.filho@intermedica.com.br</t>
  </si>
  <si>
    <t>+55 11 3155 2300</t>
  </si>
  <si>
    <t>Sao Paulo, Brazil</t>
  </si>
  <si>
    <t>Avenida Paulista, 867- 9º andar - Bela Vista</t>
  </si>
  <si>
    <t>Sao Paulo</t>
  </si>
  <si>
    <t>01311-100</t>
  </si>
  <si>
    <t>Brazil</t>
  </si>
  <si>
    <t>info@gndi.com.br</t>
  </si>
  <si>
    <t>South America</t>
  </si>
  <si>
    <t>The company reached a definitive agreement to be acquired by Hapvida Participacoes (BSP: HAPV3) for BRL 120 billion on March 3, 2021. Previously, Bain Capital sold stake in the company (BSP:GNDI3) for BRL 3.75 billion on December 14, 2020. A total of 54,000,000 shares were sold at a price of BRL 69.5 per share. The company will not receive any proceeds from the offering. The company is being actively tracked by PitchBook.</t>
  </si>
  <si>
    <t>Bain Capital, Cinven</t>
  </si>
  <si>
    <t>Hapvida Participacoes</t>
  </si>
  <si>
    <t>Bain Capital(www.baincapital.com), Cinven(www.cinven.com)</t>
  </si>
  <si>
    <t>Becker, Burke Associates(Advisor: General)</t>
  </si>
  <si>
    <t>Banco Santander Brasil(Underwriter), Bank Bradesco(Underwriter), BTG Pactual(Advisor: General), Citigroup(Underwriter), Credit Suisse(Underwriter), Itaú BBA(Advisor: General), Itaú Unibanco Holding(Underwriter), J.P. Morgan(Advisor: General), JPMorgan Chase(Underwriter), Lefosse Advogados(Legal Advisor), Madrona Advogados(Legal Advisor), Mattos Filho, Veiga Filho, Marrey Jr. e Quiroga Advogados(Legal Advisor), Morgan Stanley(Underwriter), Pinheiro Neto Advogados(Legal Advisor), Souza, Mello e Torres(Legal Advisor), UBS Group(Underwriter), White &amp; Case(Legal Advisor), XP Investimentos(Underwriter)</t>
  </si>
  <si>
    <t>231308-56</t>
  </si>
  <si>
    <t>Liberty Global (European Operation)</t>
  </si>
  <si>
    <t>Provider of network services. The company's sevices are offered for cable networking and connectivity.</t>
  </si>
  <si>
    <t>Other Commercial Services*</t>
  </si>
  <si>
    <t>cable network company, cable service, network company, network firm, network services</t>
  </si>
  <si>
    <t>The European Operations of Liberty Global (NASDAQ: LBTYA) was acquired by Vodafone Group (LON: VOD) for $22 billion on July 31, 2019. The acquisition is a standout move by Vodafone to become a provider of superfast broadband and pay-TV, rather than just a pure mobile provider. The company is no longer actively tracked by PitchBook.</t>
  </si>
  <si>
    <t>LionTree Advisors(Advisor: General), The Goldman Sachs Group(Advisor: General)</t>
  </si>
  <si>
    <t>164196-19</t>
  </si>
  <si>
    <t>Atomic Sangyo Company</t>
  </si>
  <si>
    <t>Atomic Sangyo Co. Ltd.</t>
  </si>
  <si>
    <t>Manufactures of recording paper. The company is engaged in distribution of recording papers for medical electronic devices and real estate leasing business.</t>
  </si>
  <si>
    <t>Forestry</t>
  </si>
  <si>
    <t>Paper/Soft Products</t>
  </si>
  <si>
    <t>Paper/Soft Products*</t>
  </si>
  <si>
    <t>medical electronic device, real estate leasing, recording paper</t>
  </si>
  <si>
    <t>2015: 18</t>
  </si>
  <si>
    <t>143176-78P</t>
  </si>
  <si>
    <t>Toshikazu Yoshida</t>
  </si>
  <si>
    <t>13-6, Hongo 3-chome</t>
  </si>
  <si>
    <t>Bunkyō</t>
  </si>
  <si>
    <t>113-0033</t>
  </si>
  <si>
    <t>The company was acquired by Fukuda Denshi (TKS: 6960) for JPY 21.9 billion on October 1, 2015. The company is no longer actively tracked by PitchBook.</t>
  </si>
  <si>
    <t>Fukuda Denshi Company</t>
  </si>
  <si>
    <t>13483-45</t>
  </si>
  <si>
    <t>Vijaya Bank</t>
  </si>
  <si>
    <t>Indian Bank, Allahabad Bank, Andhra Bank, Canara Bank, Dena Bank, Indian Overseas Bank, Federal Bank, Lakshmi Vilas Bank, IDFC First Bank, Punjab National Bank, Dhanlaxmi Bank, State Bank of India, DBS Bank, YES Bank, UCO Bank, Syndicate Bank, Bank of Baroda, Utkarsh Coreinvest, RBL Bank, Kotak Mahindra Bank</t>
  </si>
  <si>
    <t>Vijaya Bank is a commercial banking solutions provider based in India. It provides various financial products and services through its three fundamental divisions, namely treasury, corporate banking and retail banking. The treasury division deals with investment portfolio, profit or loss on sale of investments, profit or loss on foreign exchange transactions, equities, income from derivatives and money market operations. The corporate banking segment handles lending and deposits from corporate customers and accounts for the major share of revenues. The retail banking provides loans and advances, card services, remittances and collection, and non-resident Indian services to individual customers.</t>
  </si>
  <si>
    <t>commercial banking service, mobile banking service, phone banking service, remittance services, savings account deposits</t>
  </si>
  <si>
    <t>www.vijayabank.com</t>
  </si>
  <si>
    <t>2011: 11415, 2013: 12601, 2014: 12822, 2015: 12822, 2016: 14544, 2017: 13617, 2018: 16079</t>
  </si>
  <si>
    <t>Bangalore, India</t>
  </si>
  <si>
    <t>41/2, Trinity Circle</t>
  </si>
  <si>
    <t>M.G.Road</t>
  </si>
  <si>
    <t>Bangalore</t>
  </si>
  <si>
    <t>560001</t>
  </si>
  <si>
    <t>India</t>
  </si>
  <si>
    <t>South Asia</t>
  </si>
  <si>
    <t>The company was acquired by Bank of Baroda (BOM: 532134) for an undisclosed amount on April 1, 2019. This acquisition has made Bank of Baroda as the country's second largest public sector bank in terms of network and customer base. The company is no longer actively tracked by PitchBook.</t>
  </si>
  <si>
    <t>Bank of Baroda</t>
  </si>
  <si>
    <t>Jagannathan &amp; Sarabeswaran(Auditor), JM Financial(Advisor: General), O P Bagla &amp; Co.(Auditor), PKF Sridhar &amp; Santhanam(Auditor), Price Patt &amp; Co.(Auditor), Shiv Jindal &amp; Co.(Auditor)</t>
  </si>
  <si>
    <t>Bank of America Merrill Lynch(Underwriter), Kotak Mahindra Capital(Underwriter), Morgan Stanley(Underwriter), RBSA Advisors(Advisor: General), SBI Capital Markets(Underwriter)</t>
  </si>
  <si>
    <t>66081-61</t>
  </si>
  <si>
    <t>Vitro (Food &amp; Beverages Packaging Division)</t>
  </si>
  <si>
    <t>Provider of glass packaging services. The business unit provides food and beverages packaging services.</t>
  </si>
  <si>
    <t>Containers and Packaging</t>
  </si>
  <si>
    <t>Other Containers and Packaging</t>
  </si>
  <si>
    <t>Other Containers and Packaging*</t>
  </si>
  <si>
    <t>packaging services</t>
  </si>
  <si>
    <t>Monterrey, Mexico</t>
  </si>
  <si>
    <t>Monterrey</t>
  </si>
  <si>
    <t>Mexico</t>
  </si>
  <si>
    <t>The Food and Beverages Packaging Division of Vitro (MSE: VITROA) was acquired by Owens-Illinois for $21500 million on August 15, 2014. The company is no longer actively tracked by PitchBook.</t>
  </si>
  <si>
    <t>Owens-Illinois</t>
  </si>
  <si>
    <t>Vitro Group</t>
  </si>
  <si>
    <t>Vitro Group(www.vitro.com)</t>
  </si>
  <si>
    <t>51709-87</t>
  </si>
  <si>
    <t>Bayer Schering Pharma</t>
  </si>
  <si>
    <t>Schering</t>
  </si>
  <si>
    <t>Bayer Schering Pharma AG</t>
  </si>
  <si>
    <t>Manufacturer of pharmaceutical products. The company is engaged in the production of diagnostic devices, oncology devices and operates production facilities for agrichemicals, fine chemicals, electroplating, industrial chemicals and ethical drugs.</t>
  </si>
  <si>
    <t>Diagnostic Equipment*, Pharmaceuticals, Therapeutic Devices</t>
  </si>
  <si>
    <t>diagnostic device, medical drugs, pharmaceutical product manufacturer</t>
  </si>
  <si>
    <t>www.schering.de</t>
  </si>
  <si>
    <t>2006: 15700</t>
  </si>
  <si>
    <t>Berlin, Germany</t>
  </si>
  <si>
    <t>Berlin</t>
  </si>
  <si>
    <t>13342</t>
  </si>
  <si>
    <t>The company was acquired by Bayer (ETR: BAYN) for $21.4 billion in December 2006.</t>
  </si>
  <si>
    <t>Bayer Crop Science U.S.</t>
  </si>
  <si>
    <t>Merck</t>
  </si>
  <si>
    <t>Bausch Health Companies</t>
  </si>
  <si>
    <t>Merck(www.merckgroup.com)</t>
  </si>
  <si>
    <t>Bausch Health Companies(www.bauschhealth.com)</t>
  </si>
  <si>
    <t>DelMorgan &amp; Co.(Advisor: General)</t>
  </si>
  <si>
    <t>Citigroup(Advisor: General), Credit Suisse(Advisor: General), DelMorgan &amp; Co.(Advisor: General), Deutsche Bank(Advisor: General), Dewey Ballantine Bushby Palmer &amp; Wood(Legal Advisor), Dresdner Kleinwort Wasserstein(Advisor: General), Hengeler Mueller(Legal Advisor), Linklaters(Legal Advisor), Morgan Stanley(Advisor: General), Young &amp; Partners(Advisor: General)</t>
  </si>
  <si>
    <t>42199-93</t>
  </si>
  <si>
    <t>Deutsche Wohnen (ETR: DWNI)</t>
  </si>
  <si>
    <t>Kera Beteiligungs</t>
  </si>
  <si>
    <t>Deuwo</t>
  </si>
  <si>
    <t>Deutsche Wohnen SE</t>
  </si>
  <si>
    <t>Vonovia</t>
  </si>
  <si>
    <t>Deutsche Wohnen SE is a general real estate company. The company's investment focus is on residential properties in German metropolitan areas. Deutsche gears itself toward markets that are characterized by high residential density. The vast majority of Deutsche's holdings are managed by its wholly-owned subsidiaries. The company operates in four segments: Residential property management, Disposals, Nursing operations, and Nursing Assets. The company's asset management segment is responsible for its portfolio strategy. The company considers merger and acquisition investment as a potential component of its operational growth strategy.</t>
  </si>
  <si>
    <t>Real Estate Services (B2C)*</t>
  </si>
  <si>
    <t>building property platform, property maintenance, property marketing, rental property, residential property</t>
  </si>
  <si>
    <t>www.deutsche-wohnen.com</t>
  </si>
  <si>
    <t>2005: 279, 2008: 55, 2009: 1288, 2010: 1238, 2012: 1417, 2013: 2422, 2014: 2339, 2015: 763, 2016: 943, 2017: 1111, 2018: 1280, 2019: 3549, 2020: 3984</t>
  </si>
  <si>
    <t>ETR</t>
  </si>
  <si>
    <t>DWNI</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</si>
  <si>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</si>
  <si>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142482-70P</t>
  </si>
  <si>
    <t>Philip Grosse</t>
  </si>
  <si>
    <t>Chief Financial Officer &amp; Member of Management Board</t>
  </si>
  <si>
    <t>pgrosse@deutsche-wohnen.de</t>
  </si>
  <si>
    <t>+49 (0)30 8978 60</t>
  </si>
  <si>
    <t>Mecklenburgische Straße 57</t>
  </si>
  <si>
    <t>14197</t>
  </si>
  <si>
    <t>+49 (0)30 8978 6100 0</t>
  </si>
  <si>
    <t>info@deutsche-wohnen.com</t>
  </si>
  <si>
    <t>The company (ETR: DWNI) was in talks to be acquired by Vonovia (FRA: VNA) for approximately EUR 18 billion on May 24, 2021. Subsequently, the deal was canceled on July 26, 2021. Previously, the company (ETR: DWN) was in talks to be acquired by Vonovia (FRA: VNA) for EUR 14 billion on October 1, 2015. Subsequently the deal was cancelled on February 10, 2016.</t>
  </si>
  <si>
    <t>Oaktree Capital Management</t>
  </si>
  <si>
    <t>Oaktree Capital Management(www.oaktreecapital.com)</t>
  </si>
  <si>
    <t>Vonovia(www.vonovia.de)</t>
  </si>
  <si>
    <t>Berenberg Bank(Advisor: General), Citigroup(Advisor: General), Deutsche Bank Securities(Advisor: General), Glass Lewis(Advisor: General), Hengeler Mueller(Legal Advisor), J.P. Morgan(Advisor: General), Kempen &amp; Co(Lead Manager or Arranger), Perella Weinberg Partners(Advisor: General), Sal. Oppenheim jr. &amp; Cie.(Advisor: General), SJ Berwin(Legal Advisor), Sullivan &amp; Cromwell(Legal Advisor), The Goldman Sachs Group(Advisor: General), UBS Group(Advisor: General)</t>
  </si>
  <si>
    <t>12173-68</t>
  </si>
  <si>
    <t>Energy Transfer (Acquired in 2017)</t>
  </si>
  <si>
    <t>Energy Transfer L.P., La Grange Energy, Energy Transfer Partners, Sunoco Logistics Partners L.P.</t>
  </si>
  <si>
    <t>ETE</t>
  </si>
  <si>
    <t>Provider of natural gas midstream, transportation, storage and retail of propane in the United States. The company's natural gas midstream, transportation, and storage business includes the operation of approximately 6,260 miles of natural gas gathering and transportation pipelines, three natural gas processing plants, five natural gas treating facilities, and ten natural gas conditioning facilities.</t>
  </si>
  <si>
    <t>Energy Storage</t>
  </si>
  <si>
    <t>Energy Refining, Energy Storage*, Energy Transportation</t>
  </si>
  <si>
    <t>gas midstream, natural gas, natural gas gathering, propane tank, transportation pipeline</t>
  </si>
  <si>
    <t>2010: 1400, 2011: 1500, 2012: 1700, 2013: 2000, 2014: 2250, 2015: 2500, 2016: 2575</t>
  </si>
  <si>
    <t>Energy Transfer</t>
  </si>
  <si>
    <t>Dallas, TX</t>
  </si>
  <si>
    <t>8111 Westchester Drive</t>
  </si>
  <si>
    <t>Dallas</t>
  </si>
  <si>
    <t>75225</t>
  </si>
  <si>
    <t>The company was acquired by Sunoco Logistics Partners (NYSE: SXL) for $21.32 billion on April 28, 2017. At the effective time of the merger, each ETP common unit converted into the right to receive 1.5 SXL common units. Based on the ETP units outstanding, SXL issued approximately 845 million SXL common units to ETP unit holders. The outstanding ETP Class E units, Class G units, Class I units and Class K units at the effective time of the merger were converted into an equal number of newly created classes of SXL units, with the same rights, preferences, privileges, duties and obligations as such classes of ETP units had immediately prior to the closing of the merger. Additionally, the outstanding SXL common units and SXL Class B units owned by ETP at the effective time of the merger were cancelled. As part of the completion of the merger, Sunoco Logistics Partners changed its name to Energy Transfer Partners and its common units are expected to begin trading on the New York Stock Exchange under the ETP ticker symbol on Monday, May 1, 2017. The ETP ceased to be a publicly traded partnership and its common units discontinued trading on the NYSE. The company is no longer actively tracked by PitchBook.</t>
  </si>
  <si>
    <t>Denham Capital Management, Enterprise GP Holdings, GCP Capital Partners, Kayne Anderson Capital Advisors, NGP, The Stephens Group</t>
  </si>
  <si>
    <t>Denham Capital Management(www.denhamcapital.com), GCP Capital Partners(www.gcpcapital.com), Kayne Anderson Capital Advisors(www.kaynecapital.com), NGP(www.ngpenergycapital.com), The Stephens Group(www.stephensgroup.com)</t>
  </si>
  <si>
    <t>Brunswick Group(Advisor: General), Cypress Associates(Advisor: General), Simmons Energy(Advisor: General), U.S. Capital Advisors(Advisor: General)</t>
  </si>
  <si>
    <t>American Capital (ACAS)(Debt Financing), Andrews Kurth Kenyon(Legal Advisor), Bank of America(Debt Financing), Barclays(Debt Financing), BBVA Securities(Debt Financing), BBVA USA Bancshares(Debt Financing), BNP Paribas(Debt Financing), BNP Paribas Securities Services(Debt Financing), Canadian Imperial Bank of Commerce(Debt Financing), Citigroup(Debt Financing), Credit Agricole(Debt Financing), Credit Suisse(Debt Financing), Crédit Agricole Corporate &amp; Investment Bank(Debt Financing), Deutsche Bank Securities(Debt Financing), DNB Markets(Debt Financing), Egan-Jones(Advisor: General), Faruqi &amp; Faruqi(Legal Advisor), Fifth Third Bank(Debt Financing), Glass Lewis(Advisor: General), Grant Thornton(Accounting), HSBC Holdings(Debt Financing), J.P. Morgan(Underwriter), MCG Capital(Debt Financing), Mizuho Bank(Debt Financing), Morgan Stanley(Debt Financing), MUFG Bank(Debt Financing), Natixis(Debt Financing), Oppenheimer &amp; Company(Underwriter), PNC(Debt Financing), Raymond James Financial(Underwriter), RBC Capital Markets(Debt Financing), Scotiabank(Debt Financing), SMBC Nikko Securities America(Underwriter), Stephens(Underwriter), Sumitomo Mitsui Banking(Debt Financing), SunTrust Robinson Humphrey(Debt Financing), TD Securities(Debt Financing), The Goldman Sachs Group(Debt Financing), UBS Group(Debt Financing), Vinson &amp; Elkins(Legal Advisor), Wachovia Bank(Underwriter), Wells Fargo(Debt Financing), Wells Fargo Advisors(Underwriter)</t>
  </si>
  <si>
    <t>43307-83</t>
  </si>
  <si>
    <t>Abertis</t>
  </si>
  <si>
    <t>Acesa Infraestructuras, Aurea</t>
  </si>
  <si>
    <t>Abertis Group</t>
  </si>
  <si>
    <t>Abertis Infraestructuras, S.A.</t>
  </si>
  <si>
    <t>Deutsche Telekom, TransCore, Atos Convergence Creators, AudioCodes, Cintra Infraestructuras</t>
  </si>
  <si>
    <t>Abertis Infraestructuras SA is one of the world's leading groups in toll road management. It is the national toll road operator in Spain and Chile. In addition, it invests in companies involved in terrestrial and satellite telecommunications infrastructures. The company operates into business divisions: toll roads and other services. Innovations and technology are implemented to make tolls easier to use and bring more connectivity to the company's network. Abertis has invested in operators of infrastructures for mobile phones and audiovisual broadcasting. The majority of total sales derive from Europe, but the company does have a presence in the Americas.</t>
  </si>
  <si>
    <t>Other Commercial Services*, Telecommunications Service Providers</t>
  </si>
  <si>
    <t>Industrials, Infrastructure</t>
  </si>
  <si>
    <t>satellite telecommunication, telecommunication infrastructure, toll road, toll road infrastructure, toll road management</t>
  </si>
  <si>
    <t>www.abertis.com</t>
  </si>
  <si>
    <t>2005: 7831, 2008: 11894, 2009: 12484, 2010: 12401, 2011: 11556, 2012: 11331, 2013: 17123, 2014: 16896, 2015: 15302, 2016: 15122, 2017: 15046, 2018: 13880</t>
  </si>
  <si>
    <t>Hochtief</t>
  </si>
  <si>
    <t>94892-86P</t>
  </si>
  <si>
    <t>José Navarro</t>
  </si>
  <si>
    <t>Chief Financial, Chief Executive Officer and Corporate Development Officer</t>
  </si>
  <si>
    <t>jose.aljaro@abertis.com</t>
  </si>
  <si>
    <t>+34 91 595 1000</t>
  </si>
  <si>
    <t>Paseo de la Castellana, 39</t>
  </si>
  <si>
    <t>28046</t>
  </si>
  <si>
    <t>The company (MCE: ABE) was acquired by Hochtief (ETR: HOT), a subsidiary of Actividades de Construcción y Servicios (MCE: ACS), and Atlantia (MIL: ATL) for EUR 18.2 billion on July 27, 2018. The company operates as a subsidiary of Hochtief.</t>
  </si>
  <si>
    <t>Atlantia</t>
  </si>
  <si>
    <t>AlpInvest Partners, Auburn Hill Capital, CaixaBank, Criteria Caixa, CVC Capital Partners, HarbourVest Partners, Inmobiliaria Espacio, OHL Emisiones</t>
  </si>
  <si>
    <t>Actividades de Construccion &amp; Servicios</t>
  </si>
  <si>
    <t>Atlantia(www.atlantia.it)</t>
  </si>
  <si>
    <t>AlpInvest Partners(www.alpinvest.com), Auburn Hill Capital(auburnhillcapitals.com), CaixaBank(www.caixabank.com), Criteria Caixa(www.criteria.com), CVC Capital Partners(www.cvc.com), HarbourVest Partners(www.harbourvest.com)</t>
  </si>
  <si>
    <t>AZ Capital(Advisor: General), Compass Lexecon(Consulting), In Movement(Consulting)</t>
  </si>
  <si>
    <t>AZ Capital(Advisor: General), Banco Santander(Debt Financing), BNP Paribas(Debt Financing), Caixa Capital Risc(Debt Financing), Calyon Financial(Debt Financing), Citigroup(Debt Financing), Gianni &amp; Origoni(Legal Advisor), ING Bank(Debt Financing), Intesa Sanpaolo(Debt Financing), Lazard Middle Market(Advisor: General), Legance - Avvocati Associati(Legal Advisor), Linklaters(Legal Advisor), Mediobanca(Debt Financing), Société Générale Bank &amp; Trust(Advisor: General), Sullivan &amp; Cromwell(Legal Advisor), The Goldman Sachs Group(Advisor: General), UBS Group(Advisor: General), UniCredit(Debt Financing), Uría Menéndez(Legal Advisor)</t>
  </si>
  <si>
    <t>61278-67</t>
  </si>
  <si>
    <t>Societe francaise de radiotelephone</t>
  </si>
  <si>
    <t>SFR</t>
  </si>
  <si>
    <t>SFR - Coditel S.àr.L</t>
  </si>
  <si>
    <t>Bouygues Telecom</t>
  </si>
  <si>
    <t>Societe francaise de radiotelephone is a provider of mobile and fixed telecommunication services. The company offers Internet and television services. Its clients include general public, businesses, professionals, local authorities and operators. The company continues to grow by making periodic small acquisitions.</t>
  </si>
  <si>
    <t>Internet Service Providers</t>
  </si>
  <si>
    <t>Internet Service Providers*, Telecommunications Service Providers</t>
  </si>
  <si>
    <t>internet accessory, mobile internet, telecommunication provider</t>
  </si>
  <si>
    <t>Private Equity, Venture Capital</t>
  </si>
  <si>
    <t>2011: 7506, 2012: 7533, 2013: 7394, 2014: 9000, 2015: 6799</t>
  </si>
  <si>
    <t>150566-41P</t>
  </si>
  <si>
    <t>François Vauthier</t>
  </si>
  <si>
    <t>fvauthier@sfr.fr</t>
  </si>
  <si>
    <t>Paris, France</t>
  </si>
  <si>
    <t>1 place Carpeaux, Tour Séquoia</t>
  </si>
  <si>
    <t>La Défense</t>
  </si>
  <si>
    <t>Paris</t>
  </si>
  <si>
    <t>92915</t>
  </si>
  <si>
    <t>The company was acquired by Numericable (EN Paris: MUN) for EUR 17 billion on November 27, 2014. The company is no longer actively tracked by PitchBook.</t>
  </si>
  <si>
    <t>Altice France</t>
  </si>
  <si>
    <t>Iris Capital, Vodafone Group</t>
  </si>
  <si>
    <t>Bouygues Telecom Initiatives, HOT Telecommunication Systems, Iliad, JCDecaux</t>
  </si>
  <si>
    <t>Vivendi(www.vivendi.com)</t>
  </si>
  <si>
    <t>Iris Capital(www.iriscapital.com), Vodafone Group(www.vodafone.com)</t>
  </si>
  <si>
    <t>Bouygues Telecom Initiatives(www.btinitiatives.fr), HOT Telecommunication Systems(www.hot.net.il), Iliad(www.iliad.fr), JCDecaux(www.jcdecaux.com)</t>
  </si>
  <si>
    <t>Cabinet Bompoint(Legal Advisor), Caravela Consulting(Consulting), Franklin Société d'avocats(Legal Advisor), Lazard Middle Market(Advisor: General), Mediobanca(Underwriter), Perella Weinberg Partners(Advisor: General)</t>
  </si>
  <si>
    <t>Bank of America Merrill Lynch(Debt Financing), Barclays(Debt Financing), BNP Paribas(Debt Financing), Credit Agricole(Debt Financing), Credit Suisse(Debt Financing), Deutsche Bank(Debt Financing), HSBC Holdings(Debt Financing), ING Bank(Debt Financing), Morgan Stanley(Debt Financing), The Goldman Sachs Group(Debt Financing)</t>
  </si>
  <si>
    <t>Loan - $16.91B; Loan - $13.17B</t>
  </si>
  <si>
    <t>41049-10</t>
  </si>
  <si>
    <t>Georgia-Pacific</t>
  </si>
  <si>
    <t>Georgia Hardwood Lumber</t>
  </si>
  <si>
    <t>GP</t>
  </si>
  <si>
    <t>Georgia-Pacific, LLC</t>
  </si>
  <si>
    <t>UPM-Kymmene, Hardwoods Distribution, Glatfelter, Resolute Forest Products, Tembec, Louisiana-Pacific, Segezha Group, Domtar, Caraustar Industries, Neenah, Veritiv, Sappi, Ahlstrom</t>
  </si>
  <si>
    <t>Manufacturer of a variety of paper products, wood, and chemicals based in Atlanta, Georgia. The company's products include hygienic dispensing systems, towels, tissues, soaps, plywood and lumber, printing paper, cellulose for diapers, consumer sanitary products, disposable cups, plates, and cutlery, as well as a variety of adhesives, enabling customers access to a diverse range of home, commercial, and industrial needs.</t>
  </si>
  <si>
    <t>Forestry Processing</t>
  </si>
  <si>
    <t>Forestry Processing*, Paper/Soft Products, Wood/Hard Products</t>
  </si>
  <si>
    <t>building materials, containerboard, lumber product, paper product, pulp</t>
  </si>
  <si>
    <t>www.gp.com</t>
  </si>
  <si>
    <t>1989: 44000, 1990: 63000, 1991: 57000, 1992: 52000, 1993: 52000, 1994: 52000, 1995: 47500, 1996: 47500, 1997: 46500, 1998: 44500, 1999: 59800, 2000: 59800, 2001: 75000, 2002: 61000, 2003: 61000, 2005: 55000, 2016: 2700, 2017: 35000, 2018: 35000, 2019: 30000, 2020: 35000, 2021: 30000</t>
  </si>
  <si>
    <t>Koch Industries</t>
  </si>
  <si>
    <t>TTM 3Q2005</t>
  </si>
  <si>
    <t>35264-98P</t>
  </si>
  <si>
    <t>Tyler Woolson</t>
  </si>
  <si>
    <t>+1 (404) 652-4000</t>
  </si>
  <si>
    <t>P.O. Box 105605</t>
  </si>
  <si>
    <t>30348</t>
  </si>
  <si>
    <t>+1 (404) 230-7052</t>
  </si>
  <si>
    <t>info@gapac.com</t>
  </si>
  <si>
    <t>The company was acquired by Koch Industries for $21 billion on December 23, 2005.</t>
  </si>
  <si>
    <t>AlphaVate(Consulting), Appraisal Economics(Advisor: General), Bank of America(Lead Manager or Arranger), Barnes &amp; Thornburg(Legal Advisor), Bartlit Beck(Legal Advisor), Bridgepoint Investment Banking(Underwriter), Bushkin Associates(Advisor: General), Crowell &amp; Moring(Legal Advisor), Forrer &amp; Associates(Consulting), Gunster(Legal Advisor), Husch Blackwell(Legal Advisor), J.P. Morgan(Lead Manager or Arranger), KeyBanc Capital Markets(Lead Manager or Arranger), King &amp; Spalding(Legal Advisor), Liquid Asset Partners(Valuation/Appraiser), MCG Capital(Debt Financing), O'Melveny &amp; Myers(Legal Advisor), Proudfoot(Consulting), REL Consultancy(Consulting), SaxonCantrell(Consulting), SMBC Nikko Securities(Lead Manager or Arranger), The Goldman Sachs Group(Lead Manager or Arranger), The JIAN Group(Advisor: General), U.S. Bancorp(Lead Manager or Arranger)</t>
  </si>
  <si>
    <t>10293-22</t>
  </si>
  <si>
    <t>LaSalle Bank</t>
  </si>
  <si>
    <t>National Builders Bank of Chicago, Standard Federal Bank</t>
  </si>
  <si>
    <t>LaSalle Business Credit</t>
  </si>
  <si>
    <t>LaSalle Bank Corp.</t>
  </si>
  <si>
    <t>Provider of banking and financial services. The company provides retail banking services to individuals, institutions and businesses. It provides traditional deposit products as well as trust, asset management, brokerage and insurance services.</t>
  </si>
  <si>
    <t>Regional Banks</t>
  </si>
  <si>
    <t>Regional Banks*</t>
  </si>
  <si>
    <t>banking and finance, banking facility, retail banking</t>
  </si>
  <si>
    <t>www.lasallebank.com</t>
  </si>
  <si>
    <t>2007: 1047</t>
  </si>
  <si>
    <t>135 South La Salle Street</t>
  </si>
  <si>
    <t>Suite 1825</t>
  </si>
  <si>
    <t>60603</t>
  </si>
  <si>
    <t>The company was acquired by Bank of America (NYSE: BAC) for $21 billion on October 1, 2007. The acquirer is backed by private equity investors. The company is no longer actively tracked by PitchBook.</t>
  </si>
  <si>
    <t>ABN AMRO Bank</t>
  </si>
  <si>
    <t>ABN AMRO Bank(www.abnamro.com)</t>
  </si>
  <si>
    <t>Kepper, Tupper and Company(Advisor: General)</t>
  </si>
  <si>
    <t>104175-73</t>
  </si>
  <si>
    <t>Speedway</t>
  </si>
  <si>
    <t>Speedway SuperAmerica</t>
  </si>
  <si>
    <t>Speedway LLC</t>
  </si>
  <si>
    <t>Wawa</t>
  </si>
  <si>
    <t>Operator of gas and convenience-store chain based in Springfield, Ohio. The company provides food, hot and cold beverages as well as services such as car wash and fuel safety.</t>
  </si>
  <si>
    <t>Energy Marketing, General Merchandise Stores*</t>
  </si>
  <si>
    <t>cold beverages, fuel safety services, fuel service, gas station, gas station network</t>
  </si>
  <si>
    <t>www.speedway.com</t>
  </si>
  <si>
    <t>2018: 40000, 2020: 40000, 2021: 40000</t>
  </si>
  <si>
    <t>7-Eleven</t>
  </si>
  <si>
    <t>59942-53P</t>
  </si>
  <si>
    <t>Timothy Griffith</t>
  </si>
  <si>
    <t>tgriffith@speedway.com</t>
  </si>
  <si>
    <t>+1 (210) 626-6000</t>
  </si>
  <si>
    <t>Springfield, OH</t>
  </si>
  <si>
    <t>Post Office Box 1500</t>
  </si>
  <si>
    <t>Springfield</t>
  </si>
  <si>
    <t>45501</t>
  </si>
  <si>
    <t>+1 (937) 863-6242</t>
  </si>
  <si>
    <t>The company, a subsidiary of Marathon Petroleum (NYSE: MPC), was acquired by 7-Eleven, a subsidiary of Seven &amp; I (TKS: 3382), for $21 billion on May 14, 2021. This acquisition accelerates 7-Eleven's growth trajectory while also strengthening the company's financial profile.</t>
  </si>
  <si>
    <t>Seven &amp; I</t>
  </si>
  <si>
    <t>Marathon Petroleum(www.marathonpetroleum.com)</t>
  </si>
  <si>
    <t>Seven &amp; I(www.itoyokado.co.jp)</t>
  </si>
  <si>
    <t>10557-19</t>
  </si>
  <si>
    <t>Maxim Integrated Products (NAS: MXIM)</t>
  </si>
  <si>
    <t>Maxim</t>
  </si>
  <si>
    <t>Maxim Integrated Products, Inc.</t>
  </si>
  <si>
    <t>Monolithic Power Systems, Analog Devices, Texas Instruments, ON Semiconductor, Power Integrations, NXP Semiconductors, Lattice Semiconductor, Diodes, MACOM Technology Solutions, Xilinx, Cypress Semiconductor, Linear Technology, ams, Intersil, Pericom Semiconductor, Broadcom, Advanced Micro Devices, QuickLogic, Nvidia, Renesas Electronics, Atmel, Microsemi, Integrated Device Technology, Silego Technology, Infineon Technologies, Vishay Intertechnology, STMicroelectronics</t>
  </si>
  <si>
    <t>Maxim Integrated makes high-performance analog and mixed-signal integrated circuits. The company offers a wide range of products serving a host of analog-intensive applications, including power management, audio conversion, and sensors. Maxim supplies its diverse product portfolio to a broad base of customers in the communications, computing, industrial, automotive, and consumer-related end markets.</t>
  </si>
  <si>
    <t>Computers, Parts and Peripherals, Electronic Equipment and Instruments, General Purpose Semiconductors*</t>
  </si>
  <si>
    <t>analogue semiconductor, integrated circuit, mixed signal semiconductor, semiconductor chips, semiconductor product, tinyml</t>
  </si>
  <si>
    <t>1990: 428, 1991: 505, 1992: 554, 1993: 638, 1994: 1016, 1995: 1552, 1996: 1987, 1997: 2400, 1998: 3066, 1999: 3045, 2000: 4181, 2001: 6317, 2002: 6067, 2003: 6202, 2004: 7599, 2005: 7980, 2006: 9096, 2007: 10136, 2008: 9810, 2009: 8765, 2010: 9200, 2011: 9370, 2012: 9065, 2013: 9019, 2014: 8812, 2015: 8250, 2016: 7213, 2017: 7040, 2018: 7149, 2019: 7131, 2020: 7115</t>
  </si>
  <si>
    <t>MXIM</t>
  </si>
  <si>
    <t>TTM 3Q2021</t>
  </si>
  <si>
    <t>212223-52P</t>
  </si>
  <si>
    <t>Brian White</t>
  </si>
  <si>
    <t>Chief Financial Officer, Finance &amp; Chief Accounting Officer, Accounting</t>
  </si>
  <si>
    <t>brian.white@maximintegrated.com</t>
  </si>
  <si>
    <t>+1 (408) 601-1000</t>
  </si>
  <si>
    <t>160 Rio Robles</t>
  </si>
  <si>
    <t>95134</t>
  </si>
  <si>
    <t>info@maximintegrated.com</t>
  </si>
  <si>
    <t>The company reached a definitive agreement to be acquired by Analog Devices (NAS: ADI) for $20.91 billion on July 13, 2020. The acquisition is expected to strengthen Analog Devices' analog semiconductor leadership position. The company is being actively tracked by PitchBook.</t>
  </si>
  <si>
    <t>Bessemer Venture Partners, VentureTech Alliance</t>
  </si>
  <si>
    <t>Analog Devices, Renesas Electronics</t>
  </si>
  <si>
    <t>Bessemer Venture Partners(www.bvp.com), VentureTech Alliance(www.vtalliance.com)</t>
  </si>
  <si>
    <t>Analog Devices(www.analog.com), Renesas Electronics(www.renesas.com)</t>
  </si>
  <si>
    <t>BofA Securities(Advisor: General)</t>
  </si>
  <si>
    <t>J.P. Morgan(Advisor: General), Kahn Swick &amp; Foti(Legal Advisor), Latham &amp; Watkins(Legal Advisor), Weil, Gotshal &amp; Manges(Legal Advisor)</t>
  </si>
  <si>
    <t>89945-83</t>
  </si>
  <si>
    <t>Gloucester Coal</t>
  </si>
  <si>
    <t>GCL</t>
  </si>
  <si>
    <t>Gloucester Coal Ltd.</t>
  </si>
  <si>
    <t>Provider of coal mining services intended to offer coking and thermal coals. The company's coal mining services is engaged in Australia-based coal production, exploration and mining operations in the Gloucester Basin and Hunter Valley in New South Wales and in the Bowen Basin, Queensland enabling customers avail a range of coal products.</t>
  </si>
  <si>
    <t>Coal Mining</t>
  </si>
  <si>
    <t>Coal Mining*</t>
  </si>
  <si>
    <t>coal, coal exploration, coal mining, coal mining service, coal mining services, coal production services, mining facility</t>
  </si>
  <si>
    <t>www.gloucestercoal.com.au</t>
  </si>
  <si>
    <t>1990: 1, 1991: 2, 1992: 2, 1993: 2, 1994: 2, 1995: 2, 1996: 2, 1997: 2, 1998: 162, 2002: 8, 2003: 11, 2004: 31, 2016: 501</t>
  </si>
  <si>
    <t>157373-02P</t>
  </si>
  <si>
    <t>Gavin May</t>
  </si>
  <si>
    <t>Chief Executive Officer and Marketing Director</t>
  </si>
  <si>
    <t>Chatswood, Australia</t>
  </si>
  <si>
    <t>PO Box 137</t>
  </si>
  <si>
    <t>Chatswood</t>
  </si>
  <si>
    <t>2057</t>
  </si>
  <si>
    <t>The company was acquired by Yancoal (ASX: YAL), a subsidiary of Yanzhou Coal Mining for AUD 2.1 billion on June 27, 2012. The purpose of the acquisition is to expand presence in Australia. The company is no longer actively tracked by PitchBook.</t>
  </si>
  <si>
    <t>Yancoal Australia</t>
  </si>
  <si>
    <t>Noble Group</t>
  </si>
  <si>
    <t>Noble Group(www.thisisnoble.com)</t>
  </si>
  <si>
    <t>10989-82</t>
  </si>
  <si>
    <t>Holcim</t>
  </si>
  <si>
    <t>Holderbank Financière Glaris</t>
  </si>
  <si>
    <t>Nichiha, Quikrete Holdings, Cementir Italia, ACC, UltraTech Cement, Cementir Holding, BUA Cement, Stark Group, Hanson, Ambuja Cements, Holcim (LafargeHolcim), Cement Company of Northern Nigeria</t>
  </si>
  <si>
    <t>Manufacturer and distributor of cement. The Company is involved in the manufacture and distribution of cement and aggregates. The company's Cement segment offers portland cement, white cement, oilwell cement, cementitious materials, and clinker. Its product line includes cement, aggregates and construction material and services. The Cement comprises of clinker, cement and other cementitious materials. Aggregates include crushed stone, gravel and sand. Aggregates are mainly used in the manufacturing of ready-mix concrete, concrete products and asphalt as well as for road building and railway track beds. The construction material and services comprises of ready-mix concrete, concrete products, asphalt, construction and paving, trading and other products and services. The company serves companies in the Asia Pacific, Latin America, Europe, North America, Africa, and the Middle East.</t>
  </si>
  <si>
    <t>Building Products*, Other Commercial Products</t>
  </si>
  <si>
    <t>building material, cementitious material</t>
  </si>
  <si>
    <t>www.holcim.com</t>
  </si>
  <si>
    <t>2018: 1200</t>
  </si>
  <si>
    <t>Zurich, Switzerland</t>
  </si>
  <si>
    <t>Hagenholzstrasse 85</t>
  </si>
  <si>
    <t>Zurich</t>
  </si>
  <si>
    <t>8050</t>
  </si>
  <si>
    <t>The company was merged with Lafarge to form LafargeHolcim (VTX: LHN) for CHF 19.48 billion on July 14, 2015. The company is no longer actively tracked by PitchBook.</t>
  </si>
  <si>
    <t>Holcim (LafargeHolcim)</t>
  </si>
  <si>
    <t>Akerton Partners(Advisor: General), Alexander Partners(Advisor: General), Finanzas &amp; Gestión(Advisor: General), IFBC(Advisor: General), Integration Consulting(Consulting), Origin Capital Group(Advisor: General), Valmeon Corporate Finance(Advisor: General)</t>
  </si>
  <si>
    <t>Darrois Villey Maillot Brochier(Legal Advisor), Homburger(Legal Advisor), HSBC Holdings(Advisor: General), Lenz &amp; Staehelin(Legal Advisor), Linklaters(Legal Advisor), Perella Weinberg Partners(Advisor: General), Simpson Thacher &amp; Bartlett(Legal Advisor), Société Générale(Advisor: General), The Goldman Sachs Group(Advisor: General), UBS Group(Advisor: General)</t>
  </si>
  <si>
    <t>Merger of Equals</t>
  </si>
  <si>
    <t>40757-41</t>
  </si>
  <si>
    <t>Lafarge</t>
  </si>
  <si>
    <t>Lafarge SA</t>
  </si>
  <si>
    <t>Monarch Cement, Heidelberg Cement Georgia, India Cements, Ambuja Cements, Continental Cement, Double Bull Cement, Wonder Cement, Dangote Cement</t>
  </si>
  <si>
    <t>Lafarge SA is a French limited liability company governed by French law and was founded in France in 1833 and was incorporated in 1884 under the name "J. et A. Pavin de Lafarge". The Company provides building materials. It is engaged in producing &amp; selling cement, aggregates and ready-mix concrete, mostly under the "Lafarge" brand name. Its building products and solutions are used to construct and renovate homes, buildings and infrastructures. At year-end 2013, Company cement production operated, in 56 countries, 113 cement plants and 42 grinding plants, with an annual production capacity of 221 million tons. It also manages cement trading activities. The Company aggregates and concrete are used as raw materials for concrete, masonry, asphalt, and other industrial processes, and as base materials for roads, landﬁlls, and building. As of December 31, 2013, Company had approximately 437 production facilities for aggregates in 23 countries. The Company's Ready-mix concrete had 1,026 concrete plants in 33 countries as of December 31, 2014. The Company also produces asphalt in North America and the United Kingdom, and sells either as a stand-alone product, or in conjunction with contracted paving. The Company operates in Western Europe, North America, Central &amp; Eastern Europe, Middle East &amp; Africa, and Asia.</t>
  </si>
  <si>
    <t>Construction (Non-Wood)</t>
  </si>
  <si>
    <t>Raw Materials (Non-Wood)</t>
  </si>
  <si>
    <t>National Banks, Raw Materials (Non-Wood)*</t>
  </si>
  <si>
    <t>building material, cement, gypsum product</t>
  </si>
  <si>
    <t>www.lafarge.com</t>
  </si>
  <si>
    <t>2002: 77000, 2003: 75338, 2004: 77075, 2005: 80146, 2006: 82734, 2008: 83438, 2009: 68765, 2010: 76000, 2011: 60925, 2012: 64337, 2013: 63687, 2014: 63038, 2015: 486</t>
  </si>
  <si>
    <t>TTM 2Q2015</t>
  </si>
  <si>
    <t>61 rue des Belles Feuilles</t>
  </si>
  <si>
    <t>75116</t>
  </si>
  <si>
    <t>The company was merged with Holcim to form LafargeHolcim (VTX: LHN) for CHF 19.48 billion on July 14, 2015. The company is no longer actively tracked by PitchBook.</t>
  </si>
  <si>
    <t>Braas Monier Building Group, Holcim (LafargeHolcim)</t>
  </si>
  <si>
    <t>Compagnie Nationale à Portefeuille, Mittal Investments, Tarmac Holdings</t>
  </si>
  <si>
    <t>Compagnie Nationale à Portefeuille(www.cnp.be), Mittal Investments(mittalinvestments.in), Tarmac Holdings(www.tarmac.com)</t>
  </si>
  <si>
    <t>Alexander Partners(Advisor: General), Integration Consulting(Consulting), Navigator Capital Group(Advisor: General), P3Point(Consulting), Performance Capital Partners(Consulting), Tecnova(Consulting), The Greystone Group(Advisor: General)</t>
  </si>
  <si>
    <t>Accuracy(Advisor: General), BNP Paribas(Advisor: General), Bär &amp; Karrer(Legal Advisor), Citigroup(Advisor: General), Cleary Gottlieb(Legal Advisor), Kirkland &amp; Ellis(Legal Advisor), Morgan Stanley(Advisor: General), Natixis(Advisor: General), Rothschild &amp; Co(Advisor: General), Zaoui &amp; Co.(Advisor: General)</t>
  </si>
  <si>
    <t>41046-76</t>
  </si>
  <si>
    <t>Pharmacyclics</t>
  </si>
  <si>
    <t>Pharmacyclics LLC</t>
  </si>
  <si>
    <t>Advanced Proteome Therapeutics, Immatics, Madrigal Pharmaceuticals, Seragon Pharmaceuticals, Incyte, Medivation, Regulus Therapeutics, Oncorus, Intercept(Biotechnology), Aridis Pharmaceuticals, Seagen, Regeneron Pharmaceuticals, Sucampo Pharmaceuticals, Adenium Biotech, Forge Therapeutics, Synergy Pharmaceuticals, NexImmune, CytImmune Sciences, Evoke Pharma, Chemocentryx, Achaogen, Aileron Therapeutics, Bicycle Therapeutics, Ariad Pharmaceuticals, OrphoMed, BioNTech, Array BioPharma, Agios, Sevion Therapeutics, Aptalis Pharma, Moderna Therapeutics, Gilead Sciences, Ironwood Pharmaceuticals, Boehringer Ingelheim, Actelion Pharmaceuticals, Apellis</t>
  </si>
  <si>
    <t>Developer of small-molecule drugs. The company develops small-molecule drug candidates that are small-molecule enzyme inhibitors designed to target biochemical pathways involved in human diseases like cancer and immune mediated diseases.</t>
  </si>
  <si>
    <t>Drug Discovery, Pharmaceuticals*</t>
  </si>
  <si>
    <t>biopharmaceutical, drugs, immune mediated, pharmaceuticals</t>
  </si>
  <si>
    <t>www.pharmacyclics.com</t>
  </si>
  <si>
    <t>1995: 39, 1996: 44, 1997: 46, 1998: 61, 1999: 99, 2000: 146, 2001: 176, 2002: 133, 2003: 112, 2004: 117, 2005: 128, 2006: 114, 2007: 88, 2008: 47, 2009: 46, 2010: 58, 2011: 77, 2012: 224, 2013: 484, 2014: 607, 2015: 1022</t>
  </si>
  <si>
    <t>47195-92P</t>
  </si>
  <si>
    <t>Maky Zanganeh</t>
  </si>
  <si>
    <t>Chief Operating Officer</t>
  </si>
  <si>
    <t>maky@mzanganeh.com</t>
  </si>
  <si>
    <t>995 East Arques Avenue</t>
  </si>
  <si>
    <t>+1 (408) 774-0330</t>
  </si>
  <si>
    <t>+1 (408) 774-0340</t>
  </si>
  <si>
    <t>info@pcyc.com</t>
  </si>
  <si>
    <t>The company (NASDAQ: PCYC) was acquired by AbbVie (NYSE: ABBV) for $20.8 billion on May 26, 2015.</t>
  </si>
  <si>
    <t>Adams Street Partners, Alloy Ventures, Asset Management Ventures, BB Biotech, Blackstone Life Sciences, Comdisco Ventures, Integral Capital Partners, Kleiner Perkins, ProQuest Investments, Venrock</t>
  </si>
  <si>
    <t>Adams Street Partners(www.adamsstreetpartners.com), Alloy Ventures(www.alloyventures.com), Asset Management Ventures(www.assetman.com), BB Biotech(www.bbbiotech.ch), Blackstone Life Sciences(www.clarusfunds.com), Comdisco Ventures(www.comdisco.com), Integral Capital Partners(www.icp.com), Kleiner Perkins(www.kleinerperkins.com), ProQuest Investments(www.proquestvc.com), Venrock(www.venrock.com)</t>
  </si>
  <si>
    <t>Olshan Frome Wolosky(Legal Advisor), Seed Intellectual Property Law Group(Legal Advisor), Trout Capital(Advisor: General), ZS Associates(Consulting)</t>
  </si>
  <si>
    <t>Centerview Partners(Advisor: General), J.P. Morgan(Advisor: General), Reedland Capital Partners(Placement Agent), Wilson Sonsini Goodrich &amp; Rosati(Legal Advisor)</t>
  </si>
  <si>
    <t>265648-42</t>
  </si>
  <si>
    <t>Cytiva</t>
  </si>
  <si>
    <t>GE Healthcare Life Sciences</t>
  </si>
  <si>
    <t>Global Life Sciences Solutions USA LLC</t>
  </si>
  <si>
    <t>Provider of biopharmaceutical instruments, consumables and software. The company offers process chromatography hardware and consumables, cell culture media, single-use technologies, development instrumentation and consumables that support the research, discovery, process development and manufacturing workflows of biopharmaceutical drugs.</t>
  </si>
  <si>
    <t>Discovery Tools (Healthcare), Other Devices and Supplies*</t>
  </si>
  <si>
    <t>biopharma company, biopharma instruments, biopharma services, consumables drugs, development instrumentation</t>
  </si>
  <si>
    <t>www.cytivalifesciences.com</t>
  </si>
  <si>
    <t>2020: 7000, 2021: 7000</t>
  </si>
  <si>
    <t>Danaher</t>
  </si>
  <si>
    <t>155160-91P</t>
  </si>
  <si>
    <t>Emmanuel Ligner</t>
  </si>
  <si>
    <t>eligner@cytivalifesciences.com</t>
  </si>
  <si>
    <t>+1 (800) 526-3593</t>
  </si>
  <si>
    <t>Marlboroug, MA</t>
  </si>
  <si>
    <t>100 Results Way</t>
  </si>
  <si>
    <t>Marlboroug</t>
  </si>
  <si>
    <t>01752</t>
  </si>
  <si>
    <t>The BioPharma business of GE Healthcare was acquired by Danaher (NYS: DHR) for approximately $20.7 billion on March 31, 2020. The acquisition will enable GE to reduce leverage and strengthen its balance sheet. Subsequently, the business was renamed as Cytiva.</t>
  </si>
  <si>
    <t>GE Healthcare</t>
  </si>
  <si>
    <t>GE Healthcare(www.gehealthcare.com)</t>
  </si>
  <si>
    <t>Instinctif Partners(Advisor: Communications), Lee &amp; Ko(Legal Advisor)</t>
  </si>
  <si>
    <t>41323-78</t>
  </si>
  <si>
    <t>Immunomedics</t>
  </si>
  <si>
    <t>Immunomedics Inc.</t>
  </si>
  <si>
    <t>Apexigen, Jounce Therapeutics, Coherus Biosciences, GenScript, DalCor Pharmaceuticals, NexImmune, BioAtla, Sangamo Therapeutics, Atreca, Creative Diagnostics, IO Biotech, Checkmate Pharmaceuticals, Aduro Biotech, Inovio Pharmaceuticals, Immune Design, Dynavax Technologies, Vertex Pharmaceuticals, Bristol-Myers Squibb, Calico Biolabs, Merrimack Pharmaceuticals, Celgene, BioNTech, Celyad Oncology, Renova Therapeutics, Perthera, Genocea Biosciences, Vical, Vitae Pharmaceuticals, Rigontec, Corvidia Therapeutics, Boehringer Ingelheim, Affimed Therapeutics, SAGE Therapeutics, MediGene, Actuate Therapeutics, Spark Therapeutics, VBI Vaccines(Rehovot), Promethera Biosciences, Merck &amp; Co., Gilead Sciences, Immunogen, NantKwest, Bluebird Bio, OncBioMune, Zynerba Pharmaceuticals, ViroPharma, AVEO Oncology, Agenus, Immunocore, Genentech, InVivo Biotech Services, Ember Therapeutics, PaxVax, Kite Pharma</t>
  </si>
  <si>
    <t>Immunomedics was an operator of a fully integrated global commercial biopharmaceutical company intended to deliver new, life-changing treatments to people living with cancer around the world. The company's model exudes the benefits of nimble and flexible biotech that are focused on creating breakthrough science and therapies while leveraging their connected infrastructure and global partner ecosystem to drive scale and operational excellence across the business, enabling patients to receive breakthrough therapies.</t>
  </si>
  <si>
    <t>Drug Discovery</t>
  </si>
  <si>
    <t>Biotechnology, Drug Discovery*</t>
  </si>
  <si>
    <t>biopharmaceutical, biopharmaceutical firm, cancer therapy, monoclonal antibody, therapeutic product</t>
  </si>
  <si>
    <t>www.immunomedics.com</t>
  </si>
  <si>
    <t>1990: 47, 1991: 47, 1992: 75, 1993: 75, 1994: 75, 1995: 85, 1996: 92, 1997: 91, 1998: 115, 1999: 80, 2000: 65, 2001: 85, 2002: 94, 2003: 108, 2004: 119, 2005: 118, 2006: 106, 2007: 108, 2008: 117, 2009: 120, 2010: 122, 2011: 121, 2012: 124, 2013: 119, 2014: 120, 2015: 123, 2016: 131, 2017: 138, 2018: 346, 2019: 366, 2020: 450</t>
  </si>
  <si>
    <t>Gilead Sciences</t>
  </si>
  <si>
    <t>TTM 2Q2020</t>
  </si>
  <si>
    <t>300 The American Road</t>
  </si>
  <si>
    <t>The company was acquired by Gilead Sciences (NAS: GILD) for $20.597 billion on October 23, 2020. The company is no longer tracked by PitchBook.</t>
  </si>
  <si>
    <t>Foresite Capital Management</t>
  </si>
  <si>
    <t>Foresite Capital Management(www.foresitecapital.com)</t>
  </si>
  <si>
    <t>Centerview Partners(Advisor: General), Kahn Swick &amp; Foti(Legal Advisor), Lazard(Advisor: General), Morgan Stanley(Advisor: General), Oppenheimer &amp; Company(Advisor: General), The Financial Executives Consulting Group(Consulting)</t>
  </si>
  <si>
    <t>Bank of America Merrill Lynch(Underwriter), Centerview Partners(Advisor: General), Cowen &amp; Company(Underwriter), Cowen Europe(Advisor: General), DLA Piper(Legal Advisor), Jefferies Group(Underwriter), KPMG(Accounting), Piper Sandler(Underwriter), Wachtell, Lipton, Rosen &amp; Katz(Legal Advisor), Wells Fargo(Underwriter)</t>
  </si>
  <si>
    <t>11953-63</t>
  </si>
  <si>
    <t>Shaw Communications (TSE: SJR.B)</t>
  </si>
  <si>
    <t>Capital Cable Television Co. Ltd.</t>
  </si>
  <si>
    <t>Shaw</t>
  </si>
  <si>
    <t>Shaw Communications, Inc.</t>
  </si>
  <si>
    <t>Shaw Communications is a Canadian cable company that is one of the biggest providers of Internet, television, and landline telephone services in British Columbia, Alberta, Saskatchewan, Manitoba, and northern Ontario. In fiscal 2020, more than 75% of Shaw's total revenue resulted from this wireline business. Shaw is also now a national wireless service provider after acquiring Wind Mobile in 2016. Shaw has upgraded its wireless network, undertaken an aggressive pricing strategy, and significantly enhanced its spectrum holdings. As a smaller carrier, Shaw has favored bidding status in spectrum auctions, giving it a further boost in enhancing its wireless network. At the 2019 auction, Shaw added significant amounts of 600 MHz spectrum to the 700 MHz spectrum it is currently deploying.</t>
  </si>
  <si>
    <t>Media and Information Services (B2B), Publishing, Telecommunications Service Providers*</t>
  </si>
  <si>
    <t>media content distributor, media platform, media publisher, television network</t>
  </si>
  <si>
    <t>www.shaw.ca</t>
  </si>
  <si>
    <t>1997: 2127, 1998: 2127, 1999: 2400, 2000: 2400, 2001: 2400, 2002: 5600, 2003: 5600, 2004: 6500, 2005: 7400, 2006: 8200, 2007: 9000, 2009: 10000, 2010: 13000, 2011: 12500, 2012: 14000, 2013: 14500, 2014: 14000, 2015: 14000, 2016: 14000, 2017: 14000, 2020: 9500</t>
  </si>
  <si>
    <t>TSE</t>
  </si>
  <si>
    <t>SJR.B</t>
  </si>
  <si>
    <t>Corus Entertainment</t>
  </si>
  <si>
    <t>63010-90P</t>
  </si>
  <si>
    <t>Bradley Shaw</t>
  </si>
  <si>
    <t>shaw@shaw.ca</t>
  </si>
  <si>
    <t>+1 (403) 750-4500</t>
  </si>
  <si>
    <t>Calgary, Canada</t>
  </si>
  <si>
    <t>630 - 3rd Avenue South West</t>
  </si>
  <si>
    <t>Suite 900</t>
  </si>
  <si>
    <t>Calgary</t>
  </si>
  <si>
    <t>Alberta</t>
  </si>
  <si>
    <t>T2P 4L4</t>
  </si>
  <si>
    <t>+1 (403) 750-7469</t>
  </si>
  <si>
    <t>The company (TSE: SJR.B), a subsidiary of Corus Entertainment (TSX: CJR.B), reached a definitive agreement to be acquired by Rogers Communications (TSE: RCI.B) for approximately CAD 26 billion on March 15, 2021. The combination will accelerate the delivery of critical 5G service across Western Canada, from rural areas to dense cities, more quickly than either company could achieve on its own. Previously, the company was acquired by Corus Entertainment (TSX: CJR.B) for CAD 2.65 billion on April 1, 2016. The consideration is comprised of $1.3 billion in cash and approximately 71 million Class B Non Voting shares of Corus Entertainment. The company is being actively tracked by PitchBook.</t>
  </si>
  <si>
    <t>Catalyst Capital Group, Fairfax Financial Holdings, Shaw Communications</t>
  </si>
  <si>
    <t>Rogers Communications</t>
  </si>
  <si>
    <t>Corus Entertainment(www.corusent.com)</t>
  </si>
  <si>
    <t>Catalyst Capital Group(www.catcapital.com), Fairfax Financial Holdings(www.fairfax.ca), Shaw Communications(www.shaw.ca)</t>
  </si>
  <si>
    <t>Rogers Communications(www.rogers.com)</t>
  </si>
  <si>
    <t>ATB Capital Markets(Underwriter), Canadian Imperial Bank of Commerce(Debt Financing), Latham &amp; Watkins(Legal Advisor), McCarthy Tétrault(Legal Advisor), MUFG Bank(Debt Financing), Relevant C Business Group(Advisor: General), Royal Bank of Canada(Debt Financing), Scotiabank(Debt Financing), TD Bank(Debt Financing), TD Securities(Debt Financing)</t>
  </si>
  <si>
    <t>Burnet, Duckworth &amp; Palmer(Legal Advisor), CIBC Capital Markets(Advisor: General), Davies Ward Phillips &amp; Vineberg(Legal Advisor), Dentons(Legal Advisor), Dentons Canada(Legal Advisor), Moelis &amp; Company(Advisor: General), TD Securities(Advisor: General), Wachtell, Lipton, Rosen &amp; Katz(Legal Advisor)</t>
  </si>
  <si>
    <t>25274-35</t>
  </si>
  <si>
    <t>Sanofi Genzyme</t>
  </si>
  <si>
    <t>Genzyme Corporation</t>
  </si>
  <si>
    <t>Biogen</t>
  </si>
  <si>
    <t>Manufacturer of human health-care products. The company focuses on rare genetic disease disorders, renal diseases, orthopedics, cancers, transplant and immune diseases, and diagnostic and predictive testing areas. It operates as a biotechnology company worldwide.</t>
  </si>
  <si>
    <t>Biotechnology*</t>
  </si>
  <si>
    <t>biotechnology, cancer treatment, chronic disease, genetic disease, genetic disorder, lysosomal storage disorder, oncology, renal disease</t>
  </si>
  <si>
    <t>www.sanofigenzyme.com</t>
  </si>
  <si>
    <t>1981: 21, 1983: 158, 1987: 209, 1989: 490, 1990: 755, 1991: 800, 1992: 900, 1993: 1486, 1994: 2021, 1995: 2286, 1996: 3516, 1997: 3500, 1998: 3500, 1999: 3800, 2000: 4400, 2001: 5200, 2002: 5600, 2003: 5625, 2004: 7100, 2005: 8200, 2006: 9000, 2007: 10000, 2008: 11000, 2009: 12000, 2010: 10100, 2018: 5000, 2020: 5500, 2021: 10000</t>
  </si>
  <si>
    <t>Sanofi</t>
  </si>
  <si>
    <t>FY 2010</t>
  </si>
  <si>
    <t>122921-56P</t>
  </si>
  <si>
    <t>Philippe Sauvage</t>
  </si>
  <si>
    <t>Head of Global Operations and Access</t>
  </si>
  <si>
    <t>philippe.sauvage@genzyme.com</t>
  </si>
  <si>
    <t>+1 (617) 252-7500</t>
  </si>
  <si>
    <t>Cambridge, MA</t>
  </si>
  <si>
    <t>50 Binney Street</t>
  </si>
  <si>
    <t>Cambridge</t>
  </si>
  <si>
    <t>02142</t>
  </si>
  <si>
    <t>+1 (617) 252-7600</t>
  </si>
  <si>
    <t>The company was acquired by Sanofi (NYSE: SNY) for $20.4 billion on April 8, 2011. The company is no longer tracked by PitchBook.</t>
  </si>
  <si>
    <t>Kleiner Perkins, Oak Investment Partners</t>
  </si>
  <si>
    <t>Perseus (Bethesda)</t>
  </si>
  <si>
    <t>Kleiner Perkins(www.kleinerperkins.com), Oak Investment Partners(www.oakinv.com)</t>
  </si>
  <si>
    <t>Perseus (Bethesda)(www.perseusllc.com)</t>
  </si>
  <si>
    <t>Barkawi Management Consultants(Consulting), Cicero Group(Advisor: General), Fish &amp; Richardson(Legal Advisor), Foley &amp; Lardner(Legal Advisor), Inverness Advisors(Advisor: General), Liberty Tree Advisors(Advisor: General), MacDougall Biomedical Communications(Consulting), Strawn Arnold &amp; Associates(Consulting), TBM Consulting Group(Consulting), TouchStone Executive Consultants(Consulting)</t>
  </si>
  <si>
    <t>Cowen &amp; Company(Underwriter), Credit Suisse(Advisor: General), Kekst CNC(Advisor: Communications), Kidder, Peabody &amp; Company(Underwriter), Ropes &amp; Gray(Legal Advisor), The Goldman Sachs Group(Advisor: General), Wachtell, Lipton, Rosen &amp; Katz(Legal Advisor)</t>
  </si>
  <si>
    <t>54452-80</t>
  </si>
  <si>
    <t>DePuy Synthes</t>
  </si>
  <si>
    <t>Synthes-Stratec</t>
  </si>
  <si>
    <t>DePuy Manufacturing, DePuy Orthopaedics, DePuy Synthes Companies, DePuy Trauma, Synthes</t>
  </si>
  <si>
    <t>Biomet, Misonix, LDR Holding, ArthroCare, NuVasive, Hollister, Asensus Surgical, Ethicon, Implant Direct Sybron International, ConforMIS, Globus Medical, Acumed, TISSIUM, Orthofix International, Brasseler USA, Stryker, SeaSpine Holdings, Mountainside Medical Colorado, CryoLife, K2M, Lumicell, Spine Wave, Cardiovascular Systems, Aesculap USA, Applied Medical Resources, Metric (Therapeutic Devices), DJO Global, Ceterix Orthopaedics, Aspen Medical Products, SpineFrontier, Zyga Technology, Corin Group, Cook Medical, AccuVein, Atec Spine, Shoulder Innovations, OsteoMed, Symmetry Surgical, Richard Wolf Industrial, HistoSonics, OrthAlign, Arthrex, BSN medical, KCI Holdings, Synaptive, EndoGastric Solutions, Wright Medical Group, Zimmer Biomet, MicroPort Scientific, Penumbra</t>
  </si>
  <si>
    <t>Developer and manufacturer of implants and bio materials for surgical fixation. The company is a medical-device maker and makes surgical devices used to treat fractures and traumatic injuries.</t>
  </si>
  <si>
    <t>Surgical Devices*</t>
  </si>
  <si>
    <t>medical implants, surgical device, surgical tools</t>
  </si>
  <si>
    <t>www.synthes.com</t>
  </si>
  <si>
    <t>2006: 8451, 2009: 10705, 2010: 11426, 2011: 12005, 2019: 20000</t>
  </si>
  <si>
    <t>Warsaw, IN</t>
  </si>
  <si>
    <t>700 Orthopaedic Drive</t>
  </si>
  <si>
    <t>P.O. Box 988</t>
  </si>
  <si>
    <t>Warsaw</t>
  </si>
  <si>
    <t>46581</t>
  </si>
  <si>
    <t>The company was acquired by Johnson &amp; Johnson (NYSE: JNJ) for $20.2 billion on June 14, 2012. The company was formed in 2012 when Johnson &amp; Johnson merged DePuy, which it acquired in 1998, with Synthes, which it acquired on June 14, 2012. The company is no longer actively tracked by PitchBook.</t>
  </si>
  <si>
    <t>AIT Business Solutions(Advisor: General), Musculoskeletal Clinical Regulatory Advisers(Consulting), Sales Talent Agency(Consulting)</t>
  </si>
  <si>
    <t>Credit Suisse(Advisor: General), Freshfields Bruckhaus Deringer(Legal Advisor), Homburger(Legal Advisor), Jahani and Associates(Advisor: General), Reed Smith(Legal Advisor)</t>
  </si>
  <si>
    <t>123949-00</t>
  </si>
  <si>
    <t>Northern Rock (Loan Portfolio)</t>
  </si>
  <si>
    <t>Granite</t>
  </si>
  <si>
    <t>Loan Portfolio. The portfolio provides securitised loan and mortgages in the United Kingdom.</t>
  </si>
  <si>
    <t>Buildings and Property*, Other Financial Services</t>
  </si>
  <si>
    <t>mortgage service</t>
  </si>
  <si>
    <t>Gosforth, United Kingdom</t>
  </si>
  <si>
    <t>Northern Rock House</t>
  </si>
  <si>
    <t>Newcastle upon Tyne</t>
  </si>
  <si>
    <t>Gosforth</t>
  </si>
  <si>
    <t>NE3 4PL</t>
  </si>
  <si>
    <t>The Loan Portfolio of Northern Rock was acquired by Sabadell (BME: SAB) for GBP 13 billion on September 14, 2015. The portfolio is no longer actively tracked by PitchBook.</t>
  </si>
  <si>
    <t>Banco de Sabadell</t>
  </si>
  <si>
    <t>Norther Rock Plc</t>
  </si>
  <si>
    <t>Norther Rock Plc(www.northernrock.co.uk)</t>
  </si>
  <si>
    <t>59374-00</t>
  </si>
  <si>
    <t>Grupo Modelo (XMAD: XGMD)</t>
  </si>
  <si>
    <t>Grupo Modelo Mexico</t>
  </si>
  <si>
    <t>Grupo Modelo SAB de CV</t>
  </si>
  <si>
    <t>Heineken</t>
  </si>
  <si>
    <t>Grupo Modelo SAB de CV is engaged in production, distribution, and marketing of beer. The company brews and distributes brands, including Corona Extra, Modelo Especial, Victoria, Pacífico and Negra Modelo. It exports eight brands and has a presence in more than 180 countries. The global portfolio includes Budweiser, Bud Light, Bud Light Platinum, Bud Light Ritas, Stella Artois, Michelob Ultra and O'Doul's non-alcoholic beer, produced by Anheuser-Busch InBev. Through a strategic alliance with Nestlé Waters, it distributes the brands of bottled water Sta. María and Nestlé Pureza Vital in Mexico.</t>
  </si>
  <si>
    <t>Distributors/Wholesale</t>
  </si>
  <si>
    <t>Beverages, Distributors/Wholesale*</t>
  </si>
  <si>
    <t>beer, brewing plant</t>
  </si>
  <si>
    <t>www.gmodelo.mx</t>
  </si>
  <si>
    <t>2008: 37598, 2009: 36707, 2010: 36566, 2012: 37568, 2013: 38285, 2014: 31637, 2015: 30322</t>
  </si>
  <si>
    <t>XMAD</t>
  </si>
  <si>
    <t>XGMD</t>
  </si>
  <si>
    <t>Anheuser-Busch InBev</t>
  </si>
  <si>
    <t>Mexico City, Mexico</t>
  </si>
  <si>
    <t>Javier Barros Sierra 555</t>
  </si>
  <si>
    <t>Col. Zedec Santa Fe</t>
  </si>
  <si>
    <t>Mexico City</t>
  </si>
  <si>
    <t>01210</t>
  </si>
  <si>
    <t>+52 (01)55 2266 0000</t>
  </si>
  <si>
    <t>The company received $20.1 billion of financing from AnheuserBusch InBev (XBRU: ABI) on June 4, 2013. The company is no longer actively tracked by PitchBook.</t>
  </si>
  <si>
    <t>Alfaro, Dávila y Scherer(Advisor: General), Bennett Jones(Legal Advisor), Cravath, Swaine &amp; Moore(Legal Advisor), Creel, García-Cuéllar, Aiza y Enríquez(Legal Advisor), Morgan Stanley(Advisor: General), Ritch, Mueller, Heather y Nicolau(Legal Advisor), Sayenko Kharenko(Legal Advisor), Slaughter and May(Legal Advisor)</t>
  </si>
  <si>
    <t>12812-77</t>
  </si>
  <si>
    <t>Ascend Communications</t>
  </si>
  <si>
    <t>Aria Communications</t>
  </si>
  <si>
    <t>Ascend Communications, Inc.</t>
  </si>
  <si>
    <t>Provider of data communication products. The company designs and manufactures various types of equipment for high density dialup installations including modems and concentrators.</t>
  </si>
  <si>
    <t>Connectivity Products</t>
  </si>
  <si>
    <t>Connectivity Products*, Other Communications and Networking, Wireless Communications Equipment</t>
  </si>
  <si>
    <t>data communication, modem, wide area networking</t>
  </si>
  <si>
    <t>www.ascend.com</t>
  </si>
  <si>
    <t>1993: 87, 1994: 115, 1995: 304, 1996: 721, 1997: 1644, 1998: 3060</t>
  </si>
  <si>
    <t>TTM 1Q1999</t>
  </si>
  <si>
    <t>Alameda, CA</t>
  </si>
  <si>
    <t>One Ascend Plaza</t>
  </si>
  <si>
    <t>1701 Harbor Bay Parkway</t>
  </si>
  <si>
    <t>Alameda</t>
  </si>
  <si>
    <t>94502</t>
  </si>
  <si>
    <t>+1 (510) 769-6001</t>
  </si>
  <si>
    <t>+1 (510) 747-2300</t>
  </si>
  <si>
    <t>The company was acquired by Lucent Technologies for $20 billion on June 24, 1999.</t>
  </si>
  <si>
    <t>Lucent Technologies</t>
  </si>
  <si>
    <t>Costella Kirsch, Greylock Partners, Menlo Ventures, New Enterprise Associates, Partech, SOSV</t>
  </si>
  <si>
    <t>Costella Kirsch(www.costellakirsch.com), Greylock Partners(www.greylock.com), Menlo Ventures(www.menlovc.com), New Enterprise Associates(www.nea.com), Partech(www.partechpartners.com), SOSV(www.sosv.com)</t>
  </si>
  <si>
    <t>53904-79</t>
  </si>
  <si>
    <t>Datadog (NAS: DDOG)</t>
  </si>
  <si>
    <t>Datadog, Inc.</t>
  </si>
  <si>
    <t>New Relic, Sumo Logic, Instana, Sitecore, Pure360, Zenoss, Qlik Technologies, Domo, Zyme, Sisense, Datameer, CloudCheckr, Hive Intelligence, Adestra, Maropost, Constant Contact, DataStax, AgilOne, Integrate (Business/Productivity Software), Wavefront, Selligent Marketing Cloud, Act-On Software, Bronto Software, Replicated, Listrak, Stackdriver, Informatica, Marketo, Catchpoint, LogicMonitor, Prophix Software, XLerant, CA Technologies, Micro Focus International, Librato, Blue Medora, Feedburner, Vena Solutions, SevOne, Scalr, BMC Software, Exoprise, Embotics, Aprimo, Circonus, Adaptive Insights, Salesforce.com, Nagios, TrueSight Pulse, LeanIX, MuleSoft, Anaplan, Dynatrace, Splunk, Google Cloud Platform, Sysdig, Centerity Systems, Spot (Systems and Information Management), Graylog, FireScope, TIBCO Software, Progress Software, VMware, Citrix Systems, ActOnMagic, SolarWinds, CopperEgg, Fastly, Rubrik, Databricks, Talligent, Nutanix, Zabbix, CrowdStrike, Anturis, Paessler, CloudHealth Technologies, NortonLifeLock, mGage, SL (Middleware Monitoring), Viptela, SparkCognition, Aerohive Networks, AppDynamics, OpsClarity, Unigma, FittedCloud, Scalyr</t>
  </si>
  <si>
    <t>Datadog Inc is a monitoring and analytics platform for developers, IT operations teams and business users. Its platform integrates and automates infrastructure monitoring, application performance monitoring and log management. The solutions offered by the company include Financial Services, Manufacturing &amp; Logistics, Media &amp; Entertainment and Gaming among others.</t>
  </si>
  <si>
    <t>Business/Productivity Software</t>
  </si>
  <si>
    <t>Business/Productivity Software*, Media and Information Services (B2B)</t>
  </si>
  <si>
    <t>Artificial Intelligence &amp; Machine Learning, Big Data, CloudTech &amp; DevOps, SaaS</t>
  </si>
  <si>
    <t>aiops, cloud native, cloud platform, cloudtech and devops, data software, dynamic infrastructure, monitoring service platform, monitoring services</t>
  </si>
  <si>
    <t>www.datadoghq.com</t>
  </si>
  <si>
    <t>2015: 180, 2016: 180, 2018: 800, 2019: 1403, 2020: 1085</t>
  </si>
  <si>
    <t>DDOG</t>
  </si>
  <si>
    <t>44362-81P</t>
  </si>
  <si>
    <t>Olivier Pomel</t>
  </si>
  <si>
    <t>olivier@datadoghq.com</t>
  </si>
  <si>
    <t>+1 (866) 329-4466</t>
  </si>
  <si>
    <t>620 8th Avenue</t>
  </si>
  <si>
    <t>45th Floor</t>
  </si>
  <si>
    <t>10018</t>
  </si>
  <si>
    <t>info@datadoghq.com</t>
  </si>
  <si>
    <t>The company was in talks to be acquired by Salesforce.com (NYS: CRM) for $20 billion on August 13, 2020. Subsequently, the deal was cancelled. The company received an undisclosed amount of development capital from CRV in 2020 through a private placement.</t>
  </si>
  <si>
    <t>ICONIQ Capital, Index Ventures</t>
  </si>
  <si>
    <t>Amplify Partners, Battery Ventures, Bob Pasker, Comcast Ventures, Contour Venture Partners, CRV, Genacast Ventures, IA Ventures, IVP, Jerry Neumann, Mastry, Meritech Capital Partners, Neu Venture Capital, NYC Seed, NYC SeedStart, OpenView Venture Partners, Polaris Partners, Raju Rishi, RRE Ventures, RTP Global, RTP Ventures, Vulcan Capital</t>
  </si>
  <si>
    <t>ICONIQ Capital(www.iconiqcapital.com), Index Ventures(www.indexventures.com)</t>
  </si>
  <si>
    <t>Amplify Partners(www.amplifypartners.com), Battery Ventures(www.battery.com), Bob Pasker(blog.pasker.net), Comcast Ventures(www.comcastventures.com), Contour Venture Partners(www.contourventures.com), CRV(www.crv.com), Genacast Ventures(www.genacast.com), IA Ventures(www.iaventures.com), IVP(www.ivp.com), Mastry(www.mastryinc.com), Meritech Capital Partners(www.meritechcapital.com), Neu Venture Capital(www.neuvc.com), NYC Seed(www.nycseed.com), NYC SeedStart(www.nycseedstart.com), OpenView Venture Partners(www.openviewpartners.com), Polaris Partners(www.polarispartners.com), RRE Ventures(www.rre.com), RTP Global(rtp-global.com), RTP Ventures(www.rtp.vc), Vulcan Capital(capital.vulcan.com)</t>
  </si>
  <si>
    <t>Daversa Partners(Consulting), True(Advisor: General)</t>
  </si>
  <si>
    <t>Barclays Investment Bank(Underwriter), Cooley(Legal Advisor), Credit Suisse Securities (USA)(Underwriter), Deloitte(Accounting), Foley Hoag(Legal Advisor), J.P. Morgan(Underwriter), Jefferies Financial Group(Underwriter), JMP Securities(Underwriter), Morgan Stanley(Underwriter), Needham &amp; Company(Underwriter), Raymond James Financial(Underwriter), RBC Capital Markets(Underwriter), Stifel Financial(Underwriter), The Goldman Sachs Group(Underwriter), William Blair &amp; Company(Underwriter)</t>
  </si>
  <si>
    <t>Accelerator/Incubator</t>
  </si>
  <si>
    <t>10425-16</t>
  </si>
  <si>
    <t>Huntsman (NYS: HUN)</t>
  </si>
  <si>
    <t>Huntsman Container</t>
  </si>
  <si>
    <t>Huntsman International LLC</t>
  </si>
  <si>
    <t>Celanese, Trinseo, W. R. Grace &amp; Company, Avient, PPG Industries, OMNOVA Solutions, INVISTA, Tosoh, Croda International, Wacker Chemie, Mapei, Wanhua Chemical Group Company, Allnex Holding, Sadara Chemical Company, Covestro, Bolger &amp; O'hearn, Atul, Stepan, Tronox, Addivant, Sika Group, Evonik Jayhawk Fine Chemicals Corporation, Hexion (Columbus), Polinox, EcoSynthetix, EMS-Chemie Holding, LANXESS Deutschland, Valspar, Solvay, Archroma, Olin, Ascend Performance Materials, Evonik Industries, BioAmber, Oxea, Brenntag, Synthomer, LyondellBasell Industries Holdings, Clariant International, Momentive Performance Materials, Arkema, Quality Thermoplastic Resin, RPM International, Braskem, Ashland Global Holdings, SABIC, H.B. Fuller, Johnson Matthey</t>
  </si>
  <si>
    <t>Huntsman Corp is a US-based manufacturer of differentiated organic chemical products. Its product portfolio comprises methyl diphenyl diisocyanate (MDI), amines, surfactants, maleic anhydride, epoxy-based polymer formulations, textile chemicals, dyes, and others. The company's products are used in adhesives, aerospace, automotive, construction products, among others. Its operating segments are Polyurethanes, Performance Products, Advanced Materials, and Textile Effects. It derives most of its revenue from the Polyurethanes segment, which includes MDI, polyols, TPU(thermoplastic polyurethane), and other polyurethane-related products. Its geographical segments are the United States &amp; Canada, Europe, Asia- Pacific, and the Rest of the world.</t>
  </si>
  <si>
    <t>Specialty Chemicals</t>
  </si>
  <si>
    <t>Specialty Chemicals*</t>
  </si>
  <si>
    <t>chemicals, pigments, polyurethane, specialty chemical distributor, specialty chemical manufacturer, specialty chemical producer</t>
  </si>
  <si>
    <t>www.huntsman.com</t>
  </si>
  <si>
    <t>2004: 11300, 2005: 10800, 2006: 15000, 2007: 12900, 2008: 12600, 2009: 11000, 2010: 12000, 2011: 12000, 2012: 12000, 2013: 12000, 2014: 16000, 2015: 15000, 2016: 15000, 2017: 10000, 2018: 10000, 2019: 10000, 2020: 9000</t>
  </si>
  <si>
    <t>HUN</t>
  </si>
  <si>
    <t>11817-91P</t>
  </si>
  <si>
    <t>Peter Huntsman</t>
  </si>
  <si>
    <t>peter_huntsman@huntsman.com</t>
  </si>
  <si>
    <t>+1 (281) 719-6000</t>
  </si>
  <si>
    <t>10003 Woodloch Forest Drive</t>
  </si>
  <si>
    <t>+1 (281) 719-4045</t>
  </si>
  <si>
    <t>info@huntsman.com</t>
  </si>
  <si>
    <t>The company (NYSE: HUN) was in talks to be acquired by Clariant (SWX: CLN) for $20 billion on May 22, 2017. Subsequently, the deal was canceled on October 27, 2017. Previously, existing shareholders sold stake in the company (NYS: HUN) for an undisclosed amount on December 31, 2009.</t>
  </si>
  <si>
    <t>Citadel (Hedge Fund), Hirzel Capital Management, MatlinPatterson Global Advisers, MidOcean Partners, The Blackstone Group</t>
  </si>
  <si>
    <t>Access Industries, Advent International, Apollo Global Management, Bain Capital, Basell, Clariant International, Hexion (Columbus), Kohlberg Kravis Roberts, Warburg Pincus</t>
  </si>
  <si>
    <t>Citadel (Hedge Fund)(www.citadel.com), Hirzel Capital Management(www.hirzelcapital.com), MatlinPatterson Global Advisers(www.matlinpatterson.com), MidOcean Partners(www.midoceanpartners.com), The Blackstone Group(www.blackstone.com)</t>
  </si>
  <si>
    <t>Access Industries(www.accessindustries.com), Advent International(www.adventinternational.com), Apollo Global Management(www.apollo.com), Bain Capital(www.baincapital.com), Basell(www.basell.com), Clariant International(www.clariant.com), Hexion (Columbus)(www.hexion.com), Kohlberg Kravis Roberts(www.kkr.com), Warburg Pincus(www.warburgpincus.com)</t>
  </si>
  <si>
    <t>Bank of America(Advisor: General), Bond Dickinson(Legal Advisor), Goldin Associates(Advisor: General), Leyton(Consulting), Miller Buckfire &amp; Co.(Advisor: General), Principia Consulting(Consulting), REL Consultancy(Consulting), Taylor-DeJongh(Advisor: General)</t>
  </si>
  <si>
    <t>Bank of America Merrill Lynch(Advisor: General), Blaylock Van(Underwriter), Bär &amp; Karrer(Legal Advisor), Charles River Associates(Advisor: General), CIBC Capital Markets(Underwriter), Citigroup(Advisor: General), CMG Institutional Trading(Underwriter), Cowen &amp; Company(Advisor: General), Credit Suisse(Advisor: General), Deloitte(Accounting), Deutsche Bank(Advisor: General), J.P. Morgan(Underwriter), Jefferies Financial Group(Underwriter), Kirkland &amp; Ellis(Legal Advisor), Lehman Brothers(Underwriter), Lorelli &amp; Company(Advisor: General), Muriel Siebert &amp; Co.(Underwriter), Natixis Securities Americas(Underwriter), Samuel A. Ramirez &amp; Company(Underwriter), Scotiabank Global Banking and Markets(Underwriter), Shearman &amp; Sterling(Legal Advisor), Skadden, Arps, Slate, Meagher &amp; Flom(Legal Advisor), Stoel Rives(Legal Advisor), The Williams Capital Group(Underwriter), UBS Group(Advisor: General), Vinson &amp; Elkins(Legal Advisor), WR Hambrecht + Co.(Underwriter)</t>
  </si>
  <si>
    <t>Acquisition Financing</t>
  </si>
  <si>
    <t>56822-77</t>
  </si>
  <si>
    <t>Starwood Waypoint Homes</t>
  </si>
  <si>
    <t>Colony American Homes, Colony Starwood Homes</t>
  </si>
  <si>
    <t>Colony American Homes, Inc.</t>
  </si>
  <si>
    <t>Invitation Homes, Terreno Realty</t>
  </si>
  <si>
    <t>Provider of single family residences. The company operates as a market leader in the acquisition, ownership, renovation, leasing and management of single-family properties in the United States and is committed in providing consistent, high-quality, single-family rental residences that fit each family's individual needs.</t>
  </si>
  <si>
    <t>home rent, property management, real estate services, single family residence</t>
  </si>
  <si>
    <t>2015: 212</t>
  </si>
  <si>
    <t>Invitation Homes</t>
  </si>
  <si>
    <t>15564-16P</t>
  </si>
  <si>
    <t>Justin Chang</t>
  </si>
  <si>
    <t>Chief Executive Officer, President &amp; Director</t>
  </si>
  <si>
    <t>justin.chang@digitalcolony.com</t>
  </si>
  <si>
    <t>+1 (561) 544-7475</t>
  </si>
  <si>
    <t>Scottsdale, AZ</t>
  </si>
  <si>
    <t>9305 East Via de Ventura</t>
  </si>
  <si>
    <t>Suite 201</t>
  </si>
  <si>
    <t>Scottsdale</t>
  </si>
  <si>
    <t>85258</t>
  </si>
  <si>
    <t>+1 (855) 224-5484</t>
  </si>
  <si>
    <t>info@colonyamerican.com</t>
  </si>
  <si>
    <t>The company (NYSE: SFR) was acquired by Invitation Homes (NYSE: INVH) for $20 billion on November 16, 2017. The merger will allow to deliver enhanced customer service and expanded housing choices to families looking to rent high-quality homes in its local communities.</t>
  </si>
  <si>
    <t>Colony Capital (Acquired), Starwood Waypoint Residential Trust</t>
  </si>
  <si>
    <t>Colony Capital (Acquired)(www.colonyinc.com), Starwood Waypoint Residential Trust(www.starwoodwaypoint.com)</t>
  </si>
  <si>
    <t>Bank of America Merrill Lynch(Underwriter), Clifford Chance(Legal Advisor), Credit Suisse(Underwriter), Evercore Group(Advisor: General), FBR &amp; Company(Underwriter), Freeman &amp; Co.(Advisor: General), J.P. Morgan(Debt Financing), Morgan Stanley(Underwriter), Rigrodsky &amp; Long(Legal Advisor), Sidley Austin(Legal Advisor), Skadden, Arps, Slate, Meagher &amp; Flom(Legal Advisor), Zelman &amp; Associates(Underwriter)</t>
  </si>
  <si>
    <t>182634-49</t>
  </si>
  <si>
    <t>TK Elevator</t>
  </si>
  <si>
    <t>ThyssenKrupp Elevator</t>
  </si>
  <si>
    <t>TKE</t>
  </si>
  <si>
    <t>TK Elevator GmbH</t>
  </si>
  <si>
    <t>Kleemann Hellas</t>
  </si>
  <si>
    <t>Designer and manufacturer of elevators and related machinery intended to find new ways to travel longer distances for increasingly complex infrastructures. The company primarily offers elevators, escalators, multi's, stairlifts and provides maintenance services for those machinery for residential and commercial buildings, skyscrapers and airports.</t>
  </si>
  <si>
    <t>Machinery (B2B)</t>
  </si>
  <si>
    <t>Machinery (B2B)*</t>
  </si>
  <si>
    <t>elevators firm, elevators product, escalators product, lift manufacturer, lift manufacturing</t>
  </si>
  <si>
    <t>www.tkelevator.com</t>
  </si>
  <si>
    <t>2018: 50000, 2019: 53000, 2020: 50000, 2021: 50000</t>
  </si>
  <si>
    <t>137224-72P</t>
  </si>
  <si>
    <t>Peter Walker</t>
  </si>
  <si>
    <t>peter.walker@tkelevator.com</t>
  </si>
  <si>
    <t>+1 (852) 3511 0688</t>
  </si>
  <si>
    <t>Essen, Germany</t>
  </si>
  <si>
    <t>Thyssenkrupp Allee 1</t>
  </si>
  <si>
    <t>Essen</t>
  </si>
  <si>
    <t>45143</t>
  </si>
  <si>
    <t>+49 (0)20 1844 0</t>
  </si>
  <si>
    <t>info@tkelevator.com</t>
  </si>
  <si>
    <t>The company was acquired by RAG-Stiftung, ThyssenKrupp, Advent International, Cinven, NH Investment &amp; Securities, Government of Singapore Investment Corporation (GIC) and The Abu Dhabi Investment Authority through a EUR 17.2 billion LBO on July 31, 2020. As part of the transaction, Thyssenkrupp AG reinvested EUR 1.25 billion in the company and will acquire a substantial minority stake. Barings and other undisclosed lenders provided EUR 4.7 billion debt financing in the form of unsecured loan, senior debt, first lien loan to support this transaction.</t>
  </si>
  <si>
    <t>Advent International, Cinven, Government of Singapore Investment Corporation (GIC), NH Investment &amp; Securities, RAG-Stiftung, The Abu Dhabi Investment Authority, ThyssenKrupp</t>
  </si>
  <si>
    <t>Brookfield Asset Management, Brookfield Property Partners, Canada Pension Plan Investment Board, Clayton, Dubilier &amp; Rice, CVC Capital Partners, Hillhouse Capital Group, Hitachi, Kohlberg Kravis Roberts, Kone, Temasek Holdings, The Blackstone Group, The Carlyle Group</t>
  </si>
  <si>
    <t>Advent International(www.adventinternational.com), Cinven(www.cinven.com), Government of Singapore Investment Corporation (GIC)(www.gic.com.sg), NH Investment &amp; Securities(www.nhqv.com), RAG-Stiftung(www.rag-stiftung.de), The Abu Dhabi Investment Authority(www.adia.ae), ThyssenKrupp(www.thyssenkrupp.com)</t>
  </si>
  <si>
    <t>Brookfield Asset Management(www.brookfield.com), Brookfield Property Partners(www.bpy.brookfield.com), Canada Pension Plan Investment Board(www.cppinvestments.com), Clayton, Dubilier &amp; Rice(www.cdr-inc.com), CVC Capital Partners(www.cvc.com), Hillhouse Capital Group(www.hillhousecap.com), Hitachi(www.hitachi.com), Kohlberg Kravis Roberts(www.kkr.com), Kone(www.kone.com), Temasek Holdings(www.temasek.com.sg), The Blackstone Group(www.blackstone.com), The Carlyle Group(www.carlyle.com)</t>
  </si>
  <si>
    <t>Bank of America(Advisor: General), Barclays(Debt Financing), Barclays(Advisor: General), Barings(Debt Financing), Credit Suisse(Debt Financing), Credit Suisse(Underwriter), Credit Suisse Securities (USA)(Debt Financing), Deutsche Bank(Debt Financing), Deutsche Bank(Underwriter), goetzpartners(Advisor: General), Kirkland &amp; Ellis(Legal Advisor), Lazard(Advisor: General), RBC Capital Markets(Debt Financing), Royal Bank of Canada(Debt Financing), Royal Bank of Canada(Underwriter), The Goldman Sachs Group(Debt Financing), The Goldman Sachs Group(Underwriter), UBS Group(Underwriter), UBS Group(Debt Financing)</t>
  </si>
  <si>
    <t>Loan - $624.88M (Senior); Loan - $57.22M (Senior); Loan - $743.91M (Senior); Loan - $417.73M (Senior); Loan - $1.22B (Senior); Loan - $915.58M (Senior); Loan - $1.46B (Senior); Loan (First Lien); Loan - $3.49B; Loan - $1.83B (Senior); Loan - $1.95B (Unsecured)</t>
  </si>
  <si>
    <t>54263-53</t>
  </si>
  <si>
    <t>Petro-Canada</t>
  </si>
  <si>
    <t>Crown</t>
  </si>
  <si>
    <t>Petro-Canada, Inc.</t>
  </si>
  <si>
    <t>Gazprom Neft, Nuvista Energy, Pengrowth Energy, Arc Resources, Imperial Oil, Repsol Oil &amp; Gas Canada, Total, Canadian Natural Resources, Canadian Oil Sands, Syncrude Canada, ConocoPhillips, Versalis (Italy)</t>
  </si>
  <si>
    <t>Producer of base oils in Canada intended to offer refined lubricants, specialty fluids and greases. The company's base oils are produced in a quantity of 15,600 barrels per day enabling customers to avail a broad spectrum of specialty lubricants and white oils.</t>
  </si>
  <si>
    <t>Energy Exploration*, Energy Production, Specialty Chemicals</t>
  </si>
  <si>
    <t>base oil, gas explorer, grease, lubricants, lubricants producer, oil drill</t>
  </si>
  <si>
    <t>www.petro-canada.ca</t>
  </si>
  <si>
    <t>1995: 5646, 1996: 5650, 1997: 5650, 1998: 4620, 1999: 4417, 2000: 102788, 2001: 4178, 2002: 4470, 2003: 4514, 2004: 4514, 2005: 4816, 2006: 102788, 2007: 5603, 2008: 6088</t>
  </si>
  <si>
    <t>Suncor Energy</t>
  </si>
  <si>
    <t>155950-39P</t>
  </si>
  <si>
    <t>Pierre Trudeau</t>
  </si>
  <si>
    <t>ptrudea@petro-canada.ca</t>
  </si>
  <si>
    <t>+1 (800) 668-0220</t>
  </si>
  <si>
    <t>42148 Highway 1</t>
  </si>
  <si>
    <t>T3Z 2P2</t>
  </si>
  <si>
    <t>+1 (403) 296-3030</t>
  </si>
  <si>
    <t>The company was acquired by Suncor Energy (TSX: SU) for CAD 21.8 billion on August 1, 2009.</t>
  </si>
  <si>
    <t>FSG(Consulting), PLS Energy Advisors(Advisor: General)</t>
  </si>
  <si>
    <t>Charles River Associates(Advisor: General), Valitas Capital Partners(Advisor: General)</t>
  </si>
  <si>
    <t>12772-63</t>
  </si>
  <si>
    <t>Level 3 Communications</t>
  </si>
  <si>
    <t>Kiewit Diversified Group</t>
  </si>
  <si>
    <t>Level 3</t>
  </si>
  <si>
    <t>Level 3 Communications, LLC</t>
  </si>
  <si>
    <t>Alpheus Communications, Consolidated Communications, Orange Business Services, Syringa Networks, FiberLight, Broadview Networks, XO Holdings, Summit Broadband, Cbeyond, GlobeNet Cabos Submarinos, Hawaiian Telcom Holdco, NTT Communications, Interoute Communications, C Spire Wireless, Windstream Enterprise, Hurricane Electric, Crown Castle UK, Ooma, Alaska Communications Systems, Unite Private Networks, Akamai Technologies, Segra (Charlotte), Mitel Networks, Cricket Wireless, RCN Telecom Services, Lightower Fiber Networks, Mediacom, EarthLink, Lumen Technologies, Cincinnati Bell, EnTouch Systems, T-Mobile Netherlands, Oracle, OPTK Networks, Electric Lightwave (acquired), Seaweed File System, Intrado Corp, Axiom Fiber Networks, Samsung SDS Company, FreedomPop, Ntt Australia Pty Ltd, T-Mobile Czech Republic, Zayo Group, Magenta (Electronic Marketplace), Cohere Cyber Secure, Openreach, Cogent Communications, AT&amp;T</t>
  </si>
  <si>
    <t>Provider of integrated communications services intended to provide end-to-end security and connectivity. The company offers data center connectivity, cloud computing, contact centers, data networks, content and video delivery, managed services, unified communications and collaboration, and security solutions for the financial, government, healthcare, entertainment, and educational industries.</t>
  </si>
  <si>
    <t>Systems and Information Management*, Telecommunications Service Providers</t>
  </si>
  <si>
    <t>cores network services, integrated communications, networking, telecommunication server, transoceanic services</t>
  </si>
  <si>
    <t>www.level3.com</t>
  </si>
  <si>
    <t>1998: 1225, 1999: 3856, 2000: 6211, 2001: 4527, 2002: 6275, 2003: 4650, 2004: 4500, 2005: 6000, 2006: 7400, 2007: 6680, 2008: 5300, 2009: 5200, 2010: 5500, 2011: 10900, 2012: 10800, 2013: 10000, 2014: 13500, 2015: 12500, 2016: 12600, 2017: 12300, 2018: 11500, 2019: 11300, 2020: 11900</t>
  </si>
  <si>
    <t>Lumen Technologies</t>
  </si>
  <si>
    <t>50036-14P</t>
  </si>
  <si>
    <t>Jeffrey Storey</t>
  </si>
  <si>
    <t>President, Chief Executive Officer &amp; Board Member</t>
  </si>
  <si>
    <t>jeff.storey@centurylink.com</t>
  </si>
  <si>
    <t>+1 (800) 871-9244</t>
  </si>
  <si>
    <t>Broomfield, CO</t>
  </si>
  <si>
    <t>1025 Eldorado Boulevard</t>
  </si>
  <si>
    <t>Broomfield</t>
  </si>
  <si>
    <t>80021</t>
  </si>
  <si>
    <t>+1 (720) 888-1000</t>
  </si>
  <si>
    <t>The company (NYSE: LVLT) was acquired by CenturyLink (NYSE: CTL) for $19.61 billion on November 1, 2017. This transaction increases CenturyLink's network by 200,000 route miles of fiber, which includes 64,000 route miles in 350 metropolitan areas and 33,000 subsea route miles connecting multiple continents. The transaction also enhances network capabilities and broadband infrastructure. Holders of Level 3 common stock as of immediately prior to closing are entitled to receive $26.50 per share in cash (without interest) and 1.4286 shares of CenturyLink stock for each Level 3 share they owned. CenturyLink shareholders now own approximately 51 percent and former Level 3 stockholders now own approximately 49 percent of the combined company.</t>
  </si>
  <si>
    <t>Grumman Hill</t>
  </si>
  <si>
    <t>ST Telemedia</t>
  </si>
  <si>
    <t>Grumman Hill(www.grummanhill.com)</t>
  </si>
  <si>
    <t>ST Telemedia(www.sttelemedia.com)</t>
  </si>
  <si>
    <t>CMG Consulting(Consulting), FTI Consulting(Advisor: General), Hill Ward Henderson(Legal Advisor), Johnson &amp; Urban(Consulting), Leadership Group Executive Search(Consulting), Sullivan(Legal Advisor), The Belanger Valuation Group(Valuation/Appraiser), The Issuer Network(Advisor: General), Vaco(Consulting)</t>
  </si>
  <si>
    <t>American Capital (ACAS)(Debt Financing), Barclays Investment Bank(Debt Financing), Citigroup(Advisor: General), Cleary Gottlieb(Legal Advisor), Daroth Capital Advisors(Advisor: General), Harris, Wiltshire &amp; Grannis(Legal Advisor), Jones Day(Legal Advisor), Latham &amp; Watkins(Legal Advisor), Lazard Middle Market(Advisor: General), Miller Buckfire &amp; Co.(Advisor: General), Morgan Lewis(Legal Advisor), Morris, Nichols, Arsht &amp; Tunnell(Legal Advisor), Shearman &amp; Sterling(Legal Advisor), Sullivan(Legal Advisor), Willkie Farr &amp; Gallagher(Legal Advisor)</t>
  </si>
  <si>
    <t>45011-62</t>
  </si>
  <si>
    <t>Vale Inco</t>
  </si>
  <si>
    <t>CVRD Inco</t>
  </si>
  <si>
    <t>Vale Inco Ltd.</t>
  </si>
  <si>
    <t>Provider of nickel and copper exploration services. The company's nickel and copper exploration services include acquisition, development and mining of nickel, cobalt and copper minerals, enabling clients to avail quality minerals.</t>
  </si>
  <si>
    <t>Other Metals, Minerals and Mining*</t>
  </si>
  <si>
    <t>cobalt mining, copper exploration, copper exploration service, nickel exploration, nickel mining</t>
  </si>
  <si>
    <t>1989: 19337, 1990: 19387, 1991: 18369, 1992: 17724, 1993: 17724, 1994: 15709, 1995: 15746, 1996: 16308, 1997: 14278, 1998: 11007, 1999: 10198, 2000: 10143, 2001: 10258, 2002: 10534, 2003: 10478, 2004: 10478, 2005: 11707</t>
  </si>
  <si>
    <t>173271-43P</t>
  </si>
  <si>
    <t>Scott Hand</t>
  </si>
  <si>
    <t>Toronto, Canada</t>
  </si>
  <si>
    <t>145 King Street West</t>
  </si>
  <si>
    <t>Suite 1500</t>
  </si>
  <si>
    <t>Toronto</t>
  </si>
  <si>
    <t>Ontario</t>
  </si>
  <si>
    <t>M5H 4B7</t>
  </si>
  <si>
    <t>The company was acquired by Vale (Metals and Mining) (BSP: VALE3) for $19.4 billion on October 6, 2006. The company is no longer actively tracked by PitchBook.</t>
  </si>
  <si>
    <t>Vale</t>
  </si>
  <si>
    <t>40740-04</t>
  </si>
  <si>
    <t>Cadbury</t>
  </si>
  <si>
    <t>Cadbury Schweppes</t>
  </si>
  <si>
    <t>Cadbury Group</t>
  </si>
  <si>
    <t>Ferrara Candy Company, WM Wrigley Jr, Grupo Turin, Venchi, See's Candies, Haribo, Pierre Marcolini Group, BiscoMisr, Brach's Confections, New England Confectionery Company, Russell Stover Candies, Mass Food Company, Tootsie Roll Industries, Barry Callebaut Sweden, Blommer Chocolate Company, Ghirardelli Chocolate, Hospitality Mints, Mondelēz International, Sugarfina, Pete &amp; Johnny, Kellogg's, Fannie May, Natra, Vosges Haut-Chocolat, Barry Callebaut, General Mills, The Belgian Chocolate Group, Fauji Foods, Barilla Group, R.M. Palmer, KIND Snacks</t>
  </si>
  <si>
    <t>Manufacturer of chocolate, gum, and candy products worldwide.</t>
  </si>
  <si>
    <t>candy, chocolate, confectionery, food, gum</t>
  </si>
  <si>
    <t>cadbury.co.uk</t>
  </si>
  <si>
    <t>1991: 35372, 1992: 36579, 1993: 39066, 1994: 39066, 1995: 41789, 1996: 42911, 1997: 41320, 1998: 38656, 1999: 37425, 2000: 36000, 2001: 38489, 2002: 42848, 2003: 55799, 2004: 58442, 2005: 58581, 2006: 67011, 2007: 71657, 2008: 45000, 2009: 499, 2010: 437, 2011: 288, 2012: 261, 2013: 53, 2014: 57</t>
  </si>
  <si>
    <t>FY 2009</t>
  </si>
  <si>
    <t>Uxbridge, United Kingdom</t>
  </si>
  <si>
    <t>Cadbury House</t>
  </si>
  <si>
    <t>Sanderson Road</t>
  </si>
  <si>
    <t>Uxbridge</t>
  </si>
  <si>
    <t>UB8 1DH</t>
  </si>
  <si>
    <t>+44 (0)18 9561 5000</t>
  </si>
  <si>
    <t>+44 (0)18 9561 5001</t>
  </si>
  <si>
    <t>The company (LSE: CBRY) was acquired for GBP 11.9 billion by Kraft Foods on April 19, 2010. The company is not actively tracked by PitchBook.</t>
  </si>
  <si>
    <t>Hershey, Kohlberg Kravis Roberts, Mondelez International, The Blackstone Group</t>
  </si>
  <si>
    <t>Hershey(www.thehersheycompany.com), Kohlberg Kravis Roberts(www.kkr.com), Mondelez International(www.mondelezinternational.com), The Blackstone Group(www.blackstone.com)</t>
  </si>
  <si>
    <t>BDA Partners(Advisor: General), Brock Capital Group(Advisor: General), Intercontinental Beverage Capital(Advisor: General), PwC(Auditor), Tecnova(Consulting), ÜNLÜ &amp; Co.(Advisor: General)</t>
  </si>
  <si>
    <t>Banco Bilbao Vizcaya Argentaria(Debt Financing), Barclays Investment Bank(Debt Financing), BNP Paribas(Debt Financing), Citigroup(Advisor: General), Credit Suisse(Advisor: General), Deutsche Bank(Advisor: General), HSBC Holdings(Debt Financing), Morgan Stanley(Advisor: General), NatWest Group(Debt Financing), Shearman &amp; Sterling(Legal Advisor), Slaughter and May(Legal Advisor), Societe Generale Corporate &amp; Investment Banking(Debt Financing), The Goldman Sachs Group(Advisor: General), UBS Group(Advisor: General)</t>
  </si>
  <si>
    <t>163821-07</t>
  </si>
  <si>
    <t>GS Global (KRX: 001250)</t>
  </si>
  <si>
    <t>Kumsung Industry Corporation</t>
  </si>
  <si>
    <t>Ssangyong Corporation</t>
  </si>
  <si>
    <t>GS Global Corp.</t>
  </si>
  <si>
    <t>GS Global Corp is engaged in the import, export, and triangular trade of various products in South Korea. The company mainly trades in steel, chemicals, coal, cement, and machinery.</t>
  </si>
  <si>
    <t>Distributors/Wholesale (B2C)</t>
  </si>
  <si>
    <t>Distributors/Wholesale (B2C)*, Industrial Supplies and Parts</t>
  </si>
  <si>
    <t>commodities segment, export services, trade activities, trading company operator</t>
  </si>
  <si>
    <t>www.gsgcorp.com</t>
  </si>
  <si>
    <t>2003: 226, 2007: 178, 2008: 158, 2009: 150, 2010: 187, 2011: 221, 2012: 240, 2013: 245, 2014: 230, 2015: 240, 2016: 243, 2017: 240, 2018: 241, 2019: 242, 2020: 248</t>
  </si>
  <si>
    <t>KRX</t>
  </si>
  <si>
    <t>001250</t>
  </si>
  <si>
    <t>182034-37P</t>
  </si>
  <si>
    <t>Chung Taek-geun</t>
  </si>
  <si>
    <t>chung.taek-geun@gsgcorp.com</t>
  </si>
  <si>
    <t>+82 (0)22 005 5300</t>
  </si>
  <si>
    <t>Seoul, South Korea</t>
  </si>
  <si>
    <t>GS Tower, 508</t>
  </si>
  <si>
    <t>Nonhyeon-ro</t>
  </si>
  <si>
    <t>Seoul</t>
  </si>
  <si>
    <t>Gangnam-gu</t>
  </si>
  <si>
    <t>06141</t>
  </si>
  <si>
    <t>South Korea</t>
  </si>
  <si>
    <t>+82 (0)22 005 5301</t>
  </si>
  <si>
    <t>The company was acquired by GS Holdings (KRX: 078930) for CNY 130 billion on July 5, 2009.</t>
  </si>
  <si>
    <t>GS Holdings</t>
  </si>
  <si>
    <t>Morgan Stanley Private Equity Asia</t>
  </si>
  <si>
    <t>83792-98</t>
  </si>
  <si>
    <t>Disney/ABC Television Group</t>
  </si>
  <si>
    <t>Capital Cities/ABC, Capital Cities Communications</t>
  </si>
  <si>
    <t>ABC</t>
  </si>
  <si>
    <t>ABC, Inc.</t>
  </si>
  <si>
    <t>Fox Entertainment Group, DirecTV, Fox Family Worldwide, A&amp;E Television Networks, Channel Four Television, ITV, Cable News Network, 21st Century Fox, Showtime Networks, ESPN, Audacy (Digital Audio), Cox Communications, Nexstar Media Group, Turner Broadcasting System, Zodiak Media, Discovery, Viacom, In Demand, Starz Entertainment, Fremantle, BBC Worldwide, Channel 5 Broadcasting, AMC Networks, Dish Network, ViacomCBS, Meredith, Cox Media Group, Endemol, MSNBC Cable, Entertainment One, Sinclair Broadcast Group, Tribune Media</t>
  </si>
  <si>
    <t>Operator of a television broadcasting network. The company's operations include global entertainment and news properties, owned television stations group, and a radio business, providing consumers with entertainment, news, and kids programming to viewers all across the United States.</t>
  </si>
  <si>
    <t>Broadcasting, Radio and Television*</t>
  </si>
  <si>
    <t>commercial television network, television broadcasting network, television series</t>
  </si>
  <si>
    <t>www.disneyabcpress.com</t>
  </si>
  <si>
    <t>2017: 9000, 2018: 7000</t>
  </si>
  <si>
    <t>Disney Media Networks</t>
  </si>
  <si>
    <t>FY 1994</t>
  </si>
  <si>
    <t>116791-30P</t>
  </si>
  <si>
    <t>Ross Ellis</t>
  </si>
  <si>
    <t>Co-Founder &amp; Chief Executive Officer</t>
  </si>
  <si>
    <t>ross.ellis@thewaltdisneycompany.com</t>
  </si>
  <si>
    <t>Burbank, CA</t>
  </si>
  <si>
    <t>500 South Buena Vista Street</t>
  </si>
  <si>
    <t>Burbank</t>
  </si>
  <si>
    <t>91521</t>
  </si>
  <si>
    <t>The company was acquired by Disney Media Networks, a subsidiary of The Walt Disney Company (NYSE: DIS), for $19 billion in 1996.</t>
  </si>
  <si>
    <t>Stone Mantel(Consulting)</t>
  </si>
  <si>
    <t>11723-41</t>
  </si>
  <si>
    <t>CA Technologies</t>
  </si>
  <si>
    <t>Computer Associates, Computer Associates International, Inc., Computer Associates International</t>
  </si>
  <si>
    <t>CA</t>
  </si>
  <si>
    <t>CA, Inc.</t>
  </si>
  <si>
    <t>Modus Group, CLEO Communications, Sumo Logic, Knoa, Salsify, Zenoss, Information Builders, Kaseya, Birst, LATUS Solutions, CloudSense, Tresata, Cherwell Software, Deltek, Plutora, Collibra, PeopleFluent, Axios Systems, Signiant, Instana, Pulseway, NetScout Systems, BMC Software, Correlata Solutions, SnapLogic, Datadog, DataStax, Samanage, Matrix42, Wolken Software, Getronics, ScienceLogic, ExtraHop, Redwood Software, Perfion, SailPoint Technologies, Dyntek, Chef Software, ServiceNow, Salesfusion, Freshworks, Splashtop, SAP, Pluralsight, Veeam, Niksun, Catchpoint, Agiloft, Micro Focus International, CloudPassage, SevOne, FireEye, Informatica, FireScope, Turnberry Solutions, Ivanti Software, Dynatrace, Trustwave, Pertino, Onspring, Clarizen, Kony, Zabbix, Zephyr (Software), Sensedia, Nagios, Palo Alto Networks, Electric Cloud, SysAid Technologies, Boomi, Cyberbit, Delphix, Librato, StorageCraft Technology, SugarCRM, ITRS Group, LoginRadius, Reltio, Lantronix, SAS Institute, Jamcracker, TIBCO Software, TOPdesk, Epicor Software, InfoVista, Extreme Networks, Hornbill, Salesforce.com, RedBooth, Benefitfocus, ASG Technologies, Anaplan, Illumio, Oracle NetSuite, New Relic, TEOCO, Microsoft Visio</t>
  </si>
  <si>
    <t>Provider of software development services intended to help companies compete and succeed. The company develops enterprise information technology software as well as for agile planning, application security testing, network monitoring and mainframe security management, thereby eliminating the barriers between ideas and business outcomes</t>
  </si>
  <si>
    <t>Business/Productivity Software, Other Commercial Services*</t>
  </si>
  <si>
    <t>cloudtech and devops, commercial services, enterprise solutions, information technology service, it software service</t>
  </si>
  <si>
    <t>www.ca.com</t>
  </si>
  <si>
    <t>1990: 6900, 1991: 6700, 1992: 7400, 1993: 7200, 1994: 6900, 1995: 6900, 1996: 8800, 1997: 9850, 1998: 11400, 1999: 14650, 2000: 21000, 2001: 18200, 2002: 16600, 2003: 16000, 2004: 15300, 2005: 15300, 2006: 16000, 2007: 14500, 2008: 13700, 2009: 13200, 2010: 13800, 2014: 20000, 2018: 11000, 2019: 31000</t>
  </si>
  <si>
    <t>520 Madison Avenue</t>
  </si>
  <si>
    <t>22nd Floor</t>
  </si>
  <si>
    <t>The company (NASDAQ: CA) was acquired by Broadcom (NASDAQ: AVGO) for approximately $18.84 billion on November 5, 2018. The acquisition will allow Broadcom to enhance its infrastructure software capabilities to include mission-critical mainframe and enterprise software solutions. The company is no longer actively tracked by PitchBook.</t>
  </si>
  <si>
    <t>Bain Capital, BMC Software, Elliott Management, Golden Gate Capital, Government of Singapore Investment Corporation (GIC), Insight Partners</t>
  </si>
  <si>
    <t>Bain Capital(www.baincapital.com), BMC Software(www.bmc.com), Elliott Management(www.elliottmgmt.com), Golden Gate Capital(www.goldengatecap.com), Government of Singapore Investment Corporation (GIC)(www.gic.com.sg), Insight Partners(www.insightpartners.com)</t>
  </si>
  <si>
    <t>Advantary(Consulting), Alliant Partners(Advisor: General), Blue Dots Partners(Advisor: General), Crenshaw Associates(Consulting), Drake Star Partners(Advisor: General), Edelman(Advisor: Communications), FSG(Consulting), Gregory FCA Communications(Advisor: Communications), Homburger(Legal Advisor), KPMG(Auditor), Landmark Ventures(Advisor: General), Morrow Sodali(Consulting), ON Partners(Consulting), Pagemill Partners(Advisor: General), SOMAmetrics(Consulting), SSA &amp; Company(Consulting), True(Advisor: General), Versailles Group(Advisor: General), WeissLaw(Legal Advisor)</t>
  </si>
  <si>
    <t>Kahn Swick &amp; Foti(Legal Advisor), Qatalyst Partners(Advisor: General), Wilson Sonsini Goodrich &amp; Rosati(Legal Advisor)</t>
  </si>
  <si>
    <t>61519-06</t>
  </si>
  <si>
    <t>IndCor Properties</t>
  </si>
  <si>
    <t>IndCor</t>
  </si>
  <si>
    <t>IndCor Properties Inc.</t>
  </si>
  <si>
    <t>Operator of real estate property. The company manages premier industrial properties in key logistics markets to provide the best in class warehouse or distribution space and customer service for our customers.</t>
  </si>
  <si>
    <t>Logistics</t>
  </si>
  <si>
    <t>Logistics*</t>
  </si>
  <si>
    <t>industrial property leasing, property development, property management, real estate management, real estate services</t>
  </si>
  <si>
    <t>www.indcor.com</t>
  </si>
  <si>
    <t>2014: 71</t>
  </si>
  <si>
    <t>2 North Riverside Plaza</t>
  </si>
  <si>
    <t>Suite 2350</t>
  </si>
  <si>
    <t>The company was acquired by The Blackstone Group and Blackstone Real Estate Income Trust through a $18.7 billion LBO on June 2, 2019.</t>
  </si>
  <si>
    <t>Blackstone Real Estate Income Trust, The Blackstone Group</t>
  </si>
  <si>
    <t>GLP, Government of Singapore Investment Corporation (GIC)</t>
  </si>
  <si>
    <t>Blackstone Real Estate Income Trust(www.breit.com), The Blackstone Group(www.blackstone.com)</t>
  </si>
  <si>
    <t>GLP(www.glp.com), Government of Singapore Investment Corporation (GIC)(www.gic.com.sg)</t>
  </si>
  <si>
    <t>Kidder Mathews(Advisor: General), Stream Realty Partners(Consulting)</t>
  </si>
  <si>
    <t>84544-57</t>
  </si>
  <si>
    <t>British Airport Authority</t>
  </si>
  <si>
    <t>BAA</t>
  </si>
  <si>
    <t>British Airport Authority Limited</t>
  </si>
  <si>
    <t>Owner and operator of airport located in United Kingdom. The company operates airports located in Heathrow, London Gatwick, London Stansted, Glasgow, Edinburgh,
Aberdeen and Southampton.</t>
  </si>
  <si>
    <t>airport operator, airport owner, airport service</t>
  </si>
  <si>
    <t>188056-54P</t>
  </si>
  <si>
    <t>Tony Douglas</t>
  </si>
  <si>
    <t>Heathrow</t>
  </si>
  <si>
    <t>The company was acquired by Ferrovial for GBP 10 billion on June 27, 2006. The company is no longer actively tracked by PitchBook.</t>
  </si>
  <si>
    <t>Ferrovial</t>
  </si>
  <si>
    <t>64458-01</t>
  </si>
  <si>
    <t>Groupe La Poste</t>
  </si>
  <si>
    <t>La Poste</t>
  </si>
  <si>
    <t>La Poste S.A.</t>
  </si>
  <si>
    <t>bpost, Secured Mail, Whistl, CitySprint, UK Mail Group, United States Postal Service</t>
  </si>
  <si>
    <t>Operator of a postal service company in Paris, France. The company offers supplies and services such as printing stamps, parcel delivery and other related services, enabling customers to send letters and track their parcels online.</t>
  </si>
  <si>
    <t>Other Services (B2C Non-Financial)</t>
  </si>
  <si>
    <t>Other Commercial Services, Other Services (B2C Non-Financial)*</t>
  </si>
  <si>
    <t>courier, mailing services, postal service, stamping</t>
  </si>
  <si>
    <t>www.laposte.fr</t>
  </si>
  <si>
    <t>2020: 250000, 2021: 250000</t>
  </si>
  <si>
    <t>Caisse des Dépôts Group</t>
  </si>
  <si>
    <t>131451-58P</t>
  </si>
  <si>
    <t>Yves Brassart</t>
  </si>
  <si>
    <t>Executive Vice President, Finance and Development</t>
  </si>
  <si>
    <t>yves.brassart@laposte.fr</t>
  </si>
  <si>
    <t>+33 (0)1 55 44 00 00</t>
  </si>
  <si>
    <t>9 Rue du Colonel Pierre Avia</t>
  </si>
  <si>
    <t>75015</t>
  </si>
  <si>
    <t>+33 (0)1 55 44 33 00</t>
  </si>
  <si>
    <t>The company was acquired by Caisse des Dépôts Group through a EUR 16.9 billion LBO on March 4, 2020.</t>
  </si>
  <si>
    <t>Caisse des Dépôts Group(www.caissedesdepots.fr)</t>
  </si>
  <si>
    <t>Drake Star Partners(Advisor: General), EY Ricol-Lasteyrie(Advisor: General), Lenz &amp; Staehelin(Legal Advisor), THEOREME Ingénierie(Advisor: General)</t>
  </si>
  <si>
    <t>11555-74</t>
  </si>
  <si>
    <t>Progress Energy</t>
  </si>
  <si>
    <t>Duke Energy Progress</t>
  </si>
  <si>
    <t>Progress Energy, Inc.</t>
  </si>
  <si>
    <t>Operator of electric utility companies serving the states of North and South Carolina. The company is primarily engaged in the generation, transmission, distribution and sale of electricity. Its service area covers approximately 32,000 square miles and supplies electric service to approximately 1.5 million residential, commercial and industrial customers.</t>
  </si>
  <si>
    <t>Utilities</t>
  </si>
  <si>
    <t>Electric Utilities</t>
  </si>
  <si>
    <t>Electric Utilities*</t>
  </si>
  <si>
    <t>electric service, power plant, smart grid</t>
  </si>
  <si>
    <t>1989: 8100, 1990: 8113, 1991: 8168, 1992: 8168, 1993: 8101, 1994: 8101, 1995: 7203, 1996: 6701, 1997: 6900, 1998: 7200, 1999: 7752, 2000: 16000, 2001: 16200, 2002: 15300, 2003: 15300, 2004: 15700, 2005: 11600, 2006: 11000, 2007: 11000, 2008: 11000, 2009: 11000, 2010: 11000, 2011: 11000, 2017: 29060</t>
  </si>
  <si>
    <t>143902-00P</t>
  </si>
  <si>
    <t>Joel Kamya</t>
  </si>
  <si>
    <t>Vice President</t>
  </si>
  <si>
    <t>+1 (704) 382-3853</t>
  </si>
  <si>
    <t>Post Office Box 1771</t>
  </si>
  <si>
    <t>27602</t>
  </si>
  <si>
    <t>The company was acquired by Duke Energy (NYSE: DUK) for $18 billion on July 2, 2012.</t>
  </si>
  <si>
    <t>Carolina Power and Light</t>
  </si>
  <si>
    <t>BNY Mellon Capital Markets(Advisor: General), Davis Capital Corporation(Advisor: General), KeyBanc Capital Markets(Advisor: General), Morgan Stanley MUFG Securities(Advisor: General), Santander Corporate &amp; Investment Banking(Advisor: General), Wells Fargo Securities(Advisor: General)</t>
  </si>
  <si>
    <t>Bank of America Merrill Lynch(Advisor: General), Barclays Investment Bank(Advisor: General), Citigroup Global Markets(Underwriter), Dewey &amp; LeBoeuf(Legal Advisor), Hunton &amp; Williams(Legal Advisor), J.P. Morgan Securities(Underwriter), Latham &amp; Watkins(Legal Advisor), Lazard Capital Markets(Underwriter), Morgan Stanley(Underwriter), Robert W. Baird &amp; Co(Underwriter), UBS Securities (China)(Underwriter)</t>
  </si>
  <si>
    <t>54649-99</t>
  </si>
  <si>
    <t>EE</t>
  </si>
  <si>
    <t>Everything Everywhere</t>
  </si>
  <si>
    <t>EE Limited</t>
  </si>
  <si>
    <t>ANPI, Tele2 Belgium, Liquid Intelligent Technologies, Telstra, Altice Portugal, Safaricom, Telecom Liechtenstein, Versatel Belgium, O-Tel Telecoms, Telefónica UK, Telefónica El Salvador, Telemach, Sierra Wireless, Tele2 Netherlands, Atlant Telecom, Broadview Networks, Tele2 Kazakhstan, 8X8, Tele2 Telecommunication, Kazakhtelecom, Ericsson, 1NCE, Koninklijke KPN, ISP Fuel Broadband, Cell C, Gigaclear, AccessKenya Group, MariTEL, Seacom, Tesco Mobile, Zuku, Unify India, Giffgaff, Telecom Argentina, BRCK, Deutsche Glasfaser, Teraco Data Environments, Nokia Networks, Vasona Networks, Deutsche Telekom, Wyless Europe, Telkom, Digium, Mitel Networks, Telefónica Holding de Argentina, Nokia, Shoretel, Internet Solutions, Cellwize, E-Plus Service, Skype, Unified Office, Arkessa, Telefónica del Perú, Telecom Italia, Jive Communications</t>
  </si>
  <si>
    <t>Provider of digital communication services. The company offers 4G mobile and fiber broadband services.</t>
  </si>
  <si>
    <t>Other Communications and Networking*, Telecommunications Service Providers, Wireless Communications Equipment, Wireless Service Providers</t>
  </si>
  <si>
    <t>broadband communication, messaging service, wireless service, wireless telecommunication</t>
  </si>
  <si>
    <t>www.ee.co.uk</t>
  </si>
  <si>
    <t>2014: 10001, 2017: 12461</t>
  </si>
  <si>
    <t>BT Group (UK)</t>
  </si>
  <si>
    <t>82154-44P</t>
  </si>
  <si>
    <t>Stephen Harris</t>
  </si>
  <si>
    <t>stephen.harris@ee.co.uk</t>
  </si>
  <si>
    <t>Bristol, United Kingdom</t>
  </si>
  <si>
    <t>2620 The Quadrant</t>
  </si>
  <si>
    <t>Aztec West</t>
  </si>
  <si>
    <t>Bristol</t>
  </si>
  <si>
    <t>BS32 4AQ</t>
  </si>
  <si>
    <t>The company was acquired by BT Group (LON: BT.A) for GBP 12.5 billion on January 29, 2016.</t>
  </si>
  <si>
    <t>Deutsche Telekom, Orange</t>
  </si>
  <si>
    <t>Apax Partners, CVC Capital Partners, Kohlberg Kravis Roberts, Providence Equity Partners, The Blackstone Group, Woodford Investment Management</t>
  </si>
  <si>
    <t>Deutsche Telekom(telekom.com), Orange(www.orange.com)</t>
  </si>
  <si>
    <t>Apax Partners(www.apax.com), CVC Capital Partners(www.cvc.com), Kohlberg Kravis Roberts(www.kkr.com), Providence Equity Partners(www.provequity.com), The Blackstone Group(www.blackstone.com)</t>
  </si>
  <si>
    <t>PwC(Auditor), TLT(Legal Advisor)</t>
  </si>
  <si>
    <t>144841-51</t>
  </si>
  <si>
    <t>Access Homehealth</t>
  </si>
  <si>
    <t>Access Homehealth Limited</t>
  </si>
  <si>
    <t>Access Homehealth Ltd.</t>
  </si>
  <si>
    <t>Provider of respite care, personal care, home healthcare, and rehabilitation services. The company operates within the industries of managed care, other healthcare services, and elder and disabled care.</t>
  </si>
  <si>
    <t>Elder and Disabled Care, Managed Care*, Other Healthcare Services</t>
  </si>
  <si>
    <t>home healthcare, personal care, rehabilitation services, respite care</t>
  </si>
  <si>
    <t>access.org.nz</t>
  </si>
  <si>
    <t>2014: 4000</t>
  </si>
  <si>
    <t>Green Cross Health</t>
  </si>
  <si>
    <t>202446-91P</t>
  </si>
  <si>
    <t>Graeme Titcombe</t>
  </si>
  <si>
    <t>graeme_titcombe@access.org.nz</t>
  </si>
  <si>
    <t>Lower Hutt, New Zealand</t>
  </si>
  <si>
    <t>P.O. Box 38139</t>
  </si>
  <si>
    <t>Wellington Mail Centre</t>
  </si>
  <si>
    <t>Lower Hutt</t>
  </si>
  <si>
    <t>5045</t>
  </si>
  <si>
    <t>New Zealand</t>
  </si>
  <si>
    <t>The company was acquired by Green Cross Health (NZE: GXH) from Rural Women New Zealand for $18 billion on December 1, 2014. The acquisition continues the growth strategy previously outlined by Green Cross Health to become a leading provider of primary healthcare services in New Zealand.</t>
  </si>
  <si>
    <t>Rural Women New Zealand</t>
  </si>
  <si>
    <t>Rural Women New Zealand(ruralwomen.org.nz)</t>
  </si>
  <si>
    <t>41088-52</t>
  </si>
  <si>
    <t>Globalsantafe</t>
  </si>
  <si>
    <t>Santa Fe International</t>
  </si>
  <si>
    <t>GlobalSantaFe Corp.</t>
  </si>
  <si>
    <t>Provider of exploration services. The company provides offshore oil and natural gas drilling and exploration services in USA.</t>
  </si>
  <si>
    <t>Energy Exploration*</t>
  </si>
  <si>
    <t>exploration service provider, natural gas drilling, oil explore</t>
  </si>
  <si>
    <t>1997: 5500, 1998: 5800, 1999: 4800, 2000: 5500, 2001: 8700, 2002: 8800, 2003: 7100, 2004: 5325, 2005: 5700, 2006: 5962, 2007: 5962</t>
  </si>
  <si>
    <t>15375 Memorial Drive</t>
  </si>
  <si>
    <t>77079</t>
  </si>
  <si>
    <t>The company was acquired by Transocean (NYS: RIG), a subsidiary of Borr Drilling (OSL: BORR), for $18 billion on November 23, 2007.</t>
  </si>
  <si>
    <t>Transocean</t>
  </si>
  <si>
    <t>Lehman Brothers(Advisor: General), PwC(Advisor: General)</t>
  </si>
  <si>
    <t>10192-06</t>
  </si>
  <si>
    <t>Regency Energy Partners</t>
  </si>
  <si>
    <t>Regency Gas Services</t>
  </si>
  <si>
    <t>Regency Energy Partners LP</t>
  </si>
  <si>
    <t>Third Coast Midstream, EnLink Midstream, Azure Midstream, EagleClaw Midstream Ventures, BlueRacer Midstream, Southcross Energy Partners, Antero Midstream Partners, NG Advantage, Markwest Energy Partners, EnLink Midstream Partners, Blue Roads Solutions, CNX Midstream Partners, Mid-Con Energy Partners, Excelerate Energy, Approach Resources, Kinder Morgan, Prometheus Energy, TransAtlantic Petroleum</t>
  </si>
  <si>
    <t>Operator of a growth-oriented, independent midstream energy partnership company. The company is engaged in the gathering, processing, marketing and transportation of natural gas and natural gas liquids. It provides these services through systems located in Louisiana, Texas, Arkansas and the mid-continent region of the United States, which includes Kansas and Oklahoma.</t>
  </si>
  <si>
    <t>Energy Production*, Energy Traders and Brokers, Energy Transportation</t>
  </si>
  <si>
    <t>gas gathering, gas transportation, midstream natural gas</t>
  </si>
  <si>
    <t>2004: 153, 2005: 153, 2006: 284, 2007: 609, 2008: 784, 2009: 761, 2010: 793, 2011: 729, 2012: 781, 2013: 1187, 2014: 1879, 2015: 239</t>
  </si>
  <si>
    <t>2001 Bryan Street</t>
  </si>
  <si>
    <t>Suite 3700</t>
  </si>
  <si>
    <t>75201</t>
  </si>
  <si>
    <t>The company was acquired by Energy Transfer (NYSE: ETP) for $18 billion on April 30, 2015. The company is no longer actively tracked by PitchBook.</t>
  </si>
  <si>
    <t>Carson Private Capital, Charlesbank Capital Partners, CorEnergy Infrastructure Trust, Fiduciary Asset Management, GE Energy Financial Services, GPS Partners, Harvest Partners, HM Capital Partners, Kayne Anderson Capital Advisors, Lehman Brothers, MTP Energy Management, RR Advisors, Stockwell Capital, Tailwater Capital, Triangle Peak Partners</t>
  </si>
  <si>
    <t>Carson Private Capital(www.carsoncapital.com), Charlesbank Capital Partners(www.charlesbank.com), CorEnergy Infrastructure Trust(www.corenergy.reit), Fiduciary Asset Management(www.famco.com), GE Energy Financial Services(www.geenergyfinancialservices.com), GPS Partners(www.gpscapitalpartners.com), Harvest Partners(www.harvestpartners.com), HM Capital Partners(www.hmcapital.com), Kayne Anderson Capital Advisors(www.kaynecapital.com), Lehman Brothers(www.lehman.com), RR Advisors(www.rchenergy.com), Stockwell Capital(www.stockwellcapital.com), Tailwater Capital(www.tailwatercapital.com), Triangle Peak Partners(www.trianglepeakpartners.com)</t>
  </si>
  <si>
    <t>Oppenheimer &amp; Company(Advisor: General), Site Selection Group(Consulting)</t>
  </si>
  <si>
    <t>ABN AMRO Bank(Debt Financing), Akin Gump Strauss Hauer &amp; Feld(Legal Advisor), Amegy Bank of Texas(Advisor: General), Baker Botts(Legal Advisor), Bank of America Merrill Lynch(Debt Financing), Barclays Investment Bank(Debt Financing), Barrington Associates(Debt Financing), BBVA Securities(Debt Financing), BBVA USA Bancshares(Debt Financing), BNP Paribas Securities Services(Debt Financing), Cahill(Legal Advisor), Capital One Financial(Debt Financing), Citigroup(Underwriter), Citigroup Global Markets(Debt Financing), Comerica Bank(Debt Financing), Credit Suisse(Advisor: General), Deloitte(Accounting), Deutsche Bank(Debt Financing), Fifth Third Bank(Debt Financing), Gladstone Capital(Debt Financing), Global Hunter Securities(Underwriter), J.P. Morgan(Debt Financing), J.P. Morgan Securities(Advisor: General), KeyBank(Underwriter), Lehman Brothers(Advisor: General), Mackenzie Partners(Advisor: General), Mayer Brown(Legal Advisor), Mitsubishi UFJ Financial Group(Debt Financing), Morgan Stanley(Debt Financing), Morris, Nichols, Arsht &amp; Tunnell(Legal Advisor), Natixis(Debt Financing), NatWest Group(Debt Financing), Oppenheimer &amp; Company(Advisor: General), PNC(Debt Financing), Raymond James Financial(Debt Financing), RBC Capital Markets(Debt Financing), Scotia Howard Weil(Advisor: General), SunTrust Robinson Humphrey(Debt Financing), The Goldman Sachs Group(Advisor: General), Tudor, Pickering, Holt &amp; Company(Advisor: General), UBS Group(Advisor: General), Vinson &amp; Elkins(Legal Advisor), Wachovia Bank(Debt Financing), Wells Fargo Advisors(Underwriter)</t>
  </si>
  <si>
    <t>42947-74</t>
  </si>
  <si>
    <t>Agricultural Bank of China (SHG: 601288)</t>
  </si>
  <si>
    <t>Agricultural Cooperative Bank</t>
  </si>
  <si>
    <t>Agricultural Bank of China Limited</t>
  </si>
  <si>
    <t>Bank of China, China Merchants Bank, JiangXi Bank, Axis Bank, IDFC First Bank, HSBC Holdings, Capital One Financial, China Everbright Bank, Canara Bank, Standard Chartered Bank Kenya, The Royal Bank of Scotland (Malaysia), NatWest Group, Dubai Islamic Bank, YES Bank, ICICI Bank, ABN AMRO Bank, Commercial International Bank, IDBI Bank</t>
  </si>
  <si>
    <t>Headquartered in Beijing, ABC evolved from a state-owned specialized bank to a state-controlled commercial bank. It listed on the Hong Kong and Shanghai Stock Exchanges in 2010. ABC operates more than 20,000-branch network in China, providing corporate and retail banking products and services, and carries out treasury operations for its own accounts or for its customers. Shareholders Central Huijin, China's state-owned investment company, and the Ministry of Finance own 40% and 35%, respectively. Corporate banking, retail banking, and wholesale banking accounted for 42%, 39%, and 12% of profit before tax, in 2020, respectively. Rural banking and urban banking contributed to nearly 40% of total profit before tax in 2020.</t>
  </si>
  <si>
    <t>credit facility, fixed assets loans, foreign exchange trading, investment banking, time deposits</t>
  </si>
  <si>
    <t>www.abchina.com</t>
  </si>
  <si>
    <t>2007: 447519, 2008: 441883, 2009: 441144, 2010: 444447, 2011: 447401, 2012: 461100, 2013: 478980, 2014: 517671, 2015: 503082, 2016: 499059, 2017: 489455, 2018: 477040, 2019: 464454, 2020: 459000</t>
  </si>
  <si>
    <t>SHG</t>
  </si>
  <si>
    <t>601288</t>
  </si>
  <si>
    <t>197210-17P</t>
  </si>
  <si>
    <t>Zhou Wanfu</t>
  </si>
  <si>
    <t>Board Secretary and Company Secretary</t>
  </si>
  <si>
    <t>zhouwanfu@abchina.com</t>
  </si>
  <si>
    <t>+86 (0)10 8510 9619</t>
  </si>
  <si>
    <t>Beijing, China</t>
  </si>
  <si>
    <t>Number 69, Jianguomen Nei Avenue</t>
  </si>
  <si>
    <t>Beijing</t>
  </si>
  <si>
    <t>Dongcheng</t>
  </si>
  <si>
    <t>100005</t>
  </si>
  <si>
    <t>95599@abchina.com</t>
  </si>
  <si>
    <t>The company (SHG: 601288) receive RMB 120 billion of development capital from Central Huijin Investment, Ministry of Finance People's Republic Of China, China National Tobacco, Shanghai Haiyan Investment Management Company, Zhongwei Capital, China National Tobacco Corporation Hubei Province Company and Xinhua Life Insurance Company on July 24, 2018 through a private placement.</t>
  </si>
  <si>
    <t>Central Huijin Investment, China National Tobacco, China National Tobacco Corporation Hubei Province Company, Ministry of Finance People's Republic Of China, New China Life Insurance, Shanghai Haiyan Investment Management Company, ZWC Ventures</t>
  </si>
  <si>
    <t>Central Huijin Investment(www.huijin-inv.cn), China National Tobacco(www.tobacco.gov.cn), New China Life Insurance(www.newchinalife.com), ZWC Ventures(www.zwcpartners.com)</t>
  </si>
  <si>
    <t>Gide Loyrette Nouel(Legal Advisor), PwC(Auditor)</t>
  </si>
  <si>
    <t>Zhong Lun Law Firm(Legal Advisor)</t>
  </si>
  <si>
    <t>438970-33</t>
  </si>
  <si>
    <t>Lattice Group (London)</t>
  </si>
  <si>
    <t>Lattice Group Plc</t>
  </si>
  <si>
    <t>Operator of gas transportation network in London, England. The company offers liquified natural gas storage facilities, fiber optic, mobile telecommunications and gas industry related services.</t>
  </si>
  <si>
    <t>communications, energy, fibre, natural gas, transport</t>
  </si>
  <si>
    <t>www.lattice-group.com</t>
  </si>
  <si>
    <t>130 Jermyn Street</t>
  </si>
  <si>
    <t>SW1Y 4UR</t>
  </si>
  <si>
    <t>The company was acquired by National Grid (LON: NG.) for GBP 12.5 Billion on April 22, 2002. The company is no longer actively tracked by PitchBook.</t>
  </si>
  <si>
    <t>National Grid</t>
  </si>
  <si>
    <t>41675-59</t>
  </si>
  <si>
    <t>Mead Johnson Nutrition</t>
  </si>
  <si>
    <t>Mead Johnson</t>
  </si>
  <si>
    <t>Mead Johnson &amp; Company, LLC</t>
  </si>
  <si>
    <t>Danone Nutricia India</t>
  </si>
  <si>
    <t>Provider of child nutrition products intended for the health and development of infants. The company offers baby feeding products, focused primarily on infant and child nutrition, enabling its customers to take care of the high nutritional needs of infants and children.</t>
  </si>
  <si>
    <t>Food Products*, Other Pharmaceuticals and Biotechnology</t>
  </si>
  <si>
    <t>baby food, baby food maker, infant care, infant food, nutrients food</t>
  </si>
  <si>
    <t>www.meadjohnson.com</t>
  </si>
  <si>
    <t>2007: 5000, 2008: 5300, 2009: 5600, 2010: 6500, 2011: 6600, 2012: 6800, 2013: 7200, 2014: 7700, 2015: 7660, 2016: 7600, 2018: 7700</t>
  </si>
  <si>
    <t>Reckitt Benckiser Group</t>
  </si>
  <si>
    <t>65403-19P</t>
  </si>
  <si>
    <t>Chuck Davin</t>
  </si>
  <si>
    <t>General Manager Saudi Arabia, Mead Johnson</t>
  </si>
  <si>
    <t>+1 (312) 466-5800</t>
  </si>
  <si>
    <t>225 North Canal Street</t>
  </si>
  <si>
    <t>25th Floor</t>
  </si>
  <si>
    <t>businessinquiries@mjn.com</t>
  </si>
  <si>
    <t>The company (NYSE: MJN) was acquired by Reckitt Benckiser Group (LON: RB) for $17.9 billion on June 15, 2017. Reckitt Benckiser Group will also pay additional $1.2 billion in assumed liabilities. The acquisition consideration was financed by raising an undisclosed amount of debt. The acquisition considerably strengthens Reckitt Benckiser's presence in developing markets, particularly China.</t>
  </si>
  <si>
    <t>Bristol-Myers Squibb, Oost NL</t>
  </si>
  <si>
    <t>Bristol-Myers Squibb(www.bms.com), Oost NL(www.oostnl.com)</t>
  </si>
  <si>
    <t>Sprim(Consulting), ZS Associates(Consulting)</t>
  </si>
  <si>
    <t>Bank of America Merrill Lynch(Debt Financing), Blaylock Van(Underwriter), Citigroup Global Markets(Underwriter), Credit Suisse(Underwriter), Deloitte(Accounting), J.P. Morgan(Underwriter), Kirkland &amp; Ellis(Legal Advisor), Lazard Capital Markets(Underwriter), Mayer Brown(Legal Advisor), Melvin &amp; Company(Underwriter), Morgan Stanley(Underwriter), Muriel Siebert &amp; Co.(Underwriter), RBC Capital Markets(Underwriter), Samuel A. Ramirez &amp; Company(Underwriter), SL Hare Capital(Underwriter), The Goldman Sachs Group(Advisor: General), UBS Securities (China)(Underwriter)</t>
  </si>
  <si>
    <t>41270-14</t>
  </si>
  <si>
    <t>Nexen Energy</t>
  </si>
  <si>
    <t>Canadian Occidental Petroleum</t>
  </si>
  <si>
    <t>Nexen</t>
  </si>
  <si>
    <t>Nexen, Inc</t>
  </si>
  <si>
    <t>Discoverer and developer of energy resources. The company offers upstream oil and gas exploration services by using hydraulic fracturing technology to unlock an unconventional gas asset, implementing gasification technology in oil sands operations or drilling wells.</t>
  </si>
  <si>
    <t>hydraulic fracturing technology, upstream oil, wells drilled</t>
  </si>
  <si>
    <t>1990: 1090, 1991: 1216, 1992: 1315, 1993: 1474, 1994: 1149, 1995: 1275, 1996: 1300, 1997: 1975, 1998: 1691, 1999: 1620, 2000: 1797, 2001: 1947, 2002: 2767, 2003: 2875, 2004: 105192, 2005: 3282, 2006: 3687, 2007: 4058, 2008: 4254, 2009: 4594, 2010: 3925, 2011: 3067, 2012: 3228</t>
  </si>
  <si>
    <t>801 - 7th Avenue S.W.</t>
  </si>
  <si>
    <t>T2P 3P7</t>
  </si>
  <si>
    <t>+1 (403) 699-4434</t>
  </si>
  <si>
    <t>+1 (403) 716-0612</t>
  </si>
  <si>
    <t>The company (NYSE: NXY) was acquired by CNOOC (NYSE: CEO) for $17.9 billion on February 26, 2013. The shareholders of the company would receive $27.50 in cash for each share. CNOOC (NYSE: CEO) is PE backed by Actis Capital. The company is no longer actively tracked by PitchBook.</t>
  </si>
  <si>
    <t>China National Offshore Oil</t>
  </si>
  <si>
    <t>Occidental Petroleum, Ontario Teachers' Pension Plan</t>
  </si>
  <si>
    <t>Ontario Teachers' Pension Plan(www.otpp.com)</t>
  </si>
  <si>
    <t>Galway Group(Advisor: General), Gilmore &amp; Associates(Advisor: General), Jents International(Consulting), Osler, Hoskin &amp; Harcourt(Legal Advisor), Polymer Transaction Advisors(Advisor: General)</t>
  </si>
  <si>
    <t>Blake, Cassels &amp; Graydon(Legal Advisor), Burnet, Duckworth &amp; Palmer(Legal Advisor), Paul, Weiss, Rifkind, Wharton &amp; Garrison(Legal Advisor)</t>
  </si>
  <si>
    <t>124675-57</t>
  </si>
  <si>
    <t>Banca Lombarda e Piemontese</t>
  </si>
  <si>
    <t>Banca Lombarda</t>
  </si>
  <si>
    <t>Banca Lombarda e Piemontese SpA</t>
  </si>
  <si>
    <t>Provider of banking services. The company provides international banking services in Italy and other European countries.</t>
  </si>
  <si>
    <t>International Banks</t>
  </si>
  <si>
    <t>International Banks*, Other Commercial Banks</t>
  </si>
  <si>
    <t>commercial loans, international banking</t>
  </si>
  <si>
    <t>2007: 5001</t>
  </si>
  <si>
    <t>Brescia, Italy</t>
  </si>
  <si>
    <t>Via Cefalonia 62</t>
  </si>
  <si>
    <t>Brescia</t>
  </si>
  <si>
    <t>25175</t>
  </si>
  <si>
    <t>The company (MIL: BL) was acquired by UBI Banca (MIL: UBI) for EUR 13.5 billion on April 1, 2007. The company is no longer actively tracked by PitchBook.</t>
  </si>
  <si>
    <t>Unione di Banche Italiane</t>
  </si>
  <si>
    <t>Mediobanca(Advisor: General), Pavesi Gitti Verzoni(Legal Advisor), Rothschild &amp; Co(Advisor: General)</t>
  </si>
  <si>
    <t>231069-25</t>
  </si>
  <si>
    <t>Cablevision</t>
  </si>
  <si>
    <t>Cablevision Systems Corp.</t>
  </si>
  <si>
    <t>Grande Communications Networks, Mediacom, EnTouch Systems, RCN Telecom Services, Vyve Broadband, ComSouth Telecommunications, Atlantic Broadband Group, Hawaiian Telcom Holdco, Mid-Hudson Cablevision, ALLO Communications, Suddenlink Communications, Wave, Broadview Networks, Sparklight, TelAlaska, Google Fiber, WideOpenWest, T-Mobile Netherlands, Rise Broadband, Zayo Group, Sprint, Margaretville Telephone Company, Alaska Communications Systems, Frontier Communications, Summit Broadband, NewWave Communications, Consolidated Communications, Millicom International Cellular, Electric Lightwave, TIM Celular, GCI Communication, Segra (Charlotte), Magenta (Electronic Marketplace), AT&amp;T, Cricket Wireless, Inmarsat, Towerstream, Lumen Technologies, Windstream, Altice USA, Cincinnati Bell, EarthLink, T-Mobile Czech Republic, OPTK Networks, Oi Telecommunications, Unite Private Networks, GTT Communications, EchoStar, Verizon Fios, Layer3 TV, Charter Communications, T-Mobile (US), Verizon Wireless, FPL FiberNet, Hibernia Networks</t>
  </si>
  <si>
    <t>Provider of telecommunications and media services in New York City, the US. The company offers television, internet, and voice over internet protocol (VOIP) services for the residential and commercial markets increasing customers savings.</t>
  </si>
  <si>
    <t>Cable Service Providers, Internet Service Providers, Telecommunications Service Providers*, Wireless Service Providers</t>
  </si>
  <si>
    <t>cable service provider, digital cable tv service, home phone service, telecommunication carrier, voip provider</t>
  </si>
  <si>
    <t>www.cablevision.com</t>
  </si>
  <si>
    <t>1989: 4500, 1990: 3360, 1991: 3014, 1992: 2587, 1993: 3197, 1994: 4096, 1995: 4934, 1996: 5928, 1997: 6120, 1998: 12140, 1999: 17703, 2000: 18108, 2001: 19904, 2002: 21075, 2003: 14803, 2004: 12270, 2005: 15466, 2006: 16218, 2007: 22935, 2008: 20105, 2009: 27940, 2010: 19065, 2011: 17815, 2012: 18003, 2013: 15369, 2014: 14968, 2015: 14177</t>
  </si>
  <si>
    <t>195628-33P</t>
  </si>
  <si>
    <t>Charles Dolan</t>
  </si>
  <si>
    <t>Founder &amp; Chairman</t>
  </si>
  <si>
    <t>charles.dolan@amcnetworks.com</t>
  </si>
  <si>
    <t>+1 (212) 324-8500</t>
  </si>
  <si>
    <t>Bethpage, NY</t>
  </si>
  <si>
    <t>1111 Stewart Avenue</t>
  </si>
  <si>
    <t>Bethpage</t>
  </si>
  <si>
    <t>11714</t>
  </si>
  <si>
    <t>The company was acquired by Altice (AMS: ATC) for $17.7 billion on June 21, 2016. The company is no longer actively tracked by PitchBook.</t>
  </si>
  <si>
    <t>Altice</t>
  </si>
  <si>
    <t>Landmark Ventures(Advisor: General), Primeiro Partners(Advisor: General), Traxi(Advisor: General)</t>
  </si>
  <si>
    <t>PJT Partners(Advisor: General)</t>
  </si>
  <si>
    <t>179222-86</t>
  </si>
  <si>
    <t>ConocoPhillips (FCCL Partnership)</t>
  </si>
  <si>
    <t>A portfolio of oil sand assets. The portfolio consists of various oil and sand assets, mainly steam-assisted gravity drainage projects namely Foster Creek, Christina Lake and Narrows Lake located in the Athabasca. region of Canada with a capacity of 70,000 barrels of oil per day.</t>
  </si>
  <si>
    <t>Buildings and Property, Energy Exploration, Other Energy*</t>
  </si>
  <si>
    <t>oil drilling, oil exploration, oil production, oil project, sand assets</t>
  </si>
  <si>
    <t>Athabasca, Canada</t>
  </si>
  <si>
    <t>Athabasca</t>
  </si>
  <si>
    <t>The Foster Creek Christina Lake oil sands partnership of ConocoPhillips (NYS: COP) was acquired by Cenovus Energy (TSE: CVE) for $17.7 billion on May 17, 2017. The cash component is fully financed with a portion of cash on hand, existing credit facility capacity and committed bridge loans. The assets are no longer actively tracked by PitchBook.</t>
  </si>
  <si>
    <t>Cenovus Energy</t>
  </si>
  <si>
    <t>ConocoPhillips</t>
  </si>
  <si>
    <t>ConocoPhillips(www.conocophillips.com)</t>
  </si>
  <si>
    <t>40443-94</t>
  </si>
  <si>
    <t>Ipc Holdings</t>
  </si>
  <si>
    <t>Ipc Holdings, Ltd.</t>
  </si>
  <si>
    <t>Provider of property catastrophe reinsurance. The company provides property catastrophe reinsurance, property-per-risk excess, aviation and other short-tail reinsurance on a worldwide basis.</t>
  </si>
  <si>
    <t>Life and Health Insurance</t>
  </si>
  <si>
    <t>Life and Health Insurance*, Multi-line Insurance</t>
  </si>
  <si>
    <t>catastrophe reinsurance, property insurance, short-tail reinsurance</t>
  </si>
  <si>
    <t>1996: 15, 1997: 16, 1998: 16, 1999: 18, 2000: 13, 2001: 15, 2002: 15, 2003: 15, 2004: 16, 2005: 15, 2006: 28, 2007: 30, 2008: 32</t>
  </si>
  <si>
    <t>75372-13P</t>
  </si>
  <si>
    <t>James Bryce</t>
  </si>
  <si>
    <t>+1 (441) 298-5100</t>
  </si>
  <si>
    <t>Pembroke, Bermuda</t>
  </si>
  <si>
    <t>American International Building</t>
  </si>
  <si>
    <t>29 Richmond Road</t>
  </si>
  <si>
    <t>Pembroke</t>
  </si>
  <si>
    <t>HM 08</t>
  </si>
  <si>
    <t>Bermuda</t>
  </si>
  <si>
    <t>+1 (441) 292-8085</t>
  </si>
  <si>
    <t>info@ipcre.bm</t>
  </si>
  <si>
    <t>The company was acquired by Validus Holdings for 17.7 billion on September 4, 2009. The company is no longer actively tracked by PitchBook.</t>
  </si>
  <si>
    <t>Validus Group</t>
  </si>
  <si>
    <t>J.P. Morgan(Advisor: General), MJM(Legal Advisor), Sullivan &amp; Cromwell(Legal Advisor)</t>
  </si>
  <si>
    <t>59430-70</t>
  </si>
  <si>
    <t>Carso Global Telecom</t>
  </si>
  <si>
    <t>CGT</t>
  </si>
  <si>
    <t>Carso Global Telecom SA de CV</t>
  </si>
  <si>
    <t>Operator of a holding company. The company operates a holding company and through its subsidiary, provides telecommunication services mainly in Mexico, including local telephone systems, national and international long distance and an interconnection to the Telmex local network.</t>
  </si>
  <si>
    <t>Holding Companies, Telecommunications Service Providers*</t>
  </si>
  <si>
    <t>communication investment, investment service, telecom network</t>
  </si>
  <si>
    <t>2009: 33626, 2010: 31427</t>
  </si>
  <si>
    <t>TTM 3Q2010</t>
  </si>
  <si>
    <t>Insurgentes Sur 3500</t>
  </si>
  <si>
    <t>PB 13 Colonia Pena Pobre</t>
  </si>
  <si>
    <t>14060</t>
  </si>
  <si>
    <t>+52 (01)55 5244 0802</t>
  </si>
  <si>
    <t>+52 (01)55 5244 0808</t>
  </si>
  <si>
    <t>The company was acquired by América Móvil (MEX: AMX A) for MXN 226.332 billion on June 16, 2010. The company is no longer actively tracked by PitchBook.</t>
  </si>
  <si>
    <t>América Móvil</t>
  </si>
  <si>
    <t>Grupo Carso</t>
  </si>
  <si>
    <t>Grupo Carso(www.carso.com.mx)</t>
  </si>
  <si>
    <t>Banco Santander(Advisor: General), Bank of America Merrill Lynch(Advisor: General), Credit Suisse(Advisor: General)</t>
  </si>
  <si>
    <t>10409-32</t>
  </si>
  <si>
    <t>Halifax Bank</t>
  </si>
  <si>
    <t>HBOS, Halifax Bank of Scotland</t>
  </si>
  <si>
    <t>Halifax</t>
  </si>
  <si>
    <t>HBOS PLC</t>
  </si>
  <si>
    <t>Lloyds Bank, National Westminster Bank, Nationwide Building Society, The Royal Bank of Scotland (Malaysia), Royal Bank of Canada, Virgin Money, Metro Bank</t>
  </si>
  <si>
    <t>Provider of commercial banking and related financial services. The company offers current and savings accounts, mortgages in the retail market, personal loans, credit cards and capital market products to commercial, corporate and asset finance customers in the United Kingdom.</t>
  </si>
  <si>
    <t>assets finance, banking services, credit card services, current account, mortgage, personal loans, savings account, savings provider</t>
  </si>
  <si>
    <t>www.halifax.co.uk</t>
  </si>
  <si>
    <t>Lloyds Banking Group</t>
  </si>
  <si>
    <t>142439-59P</t>
  </si>
  <si>
    <t>Lord Blackwell</t>
  </si>
  <si>
    <t>Chairman of the Board</t>
  </si>
  <si>
    <t>+44 (0)13 1226 9701</t>
  </si>
  <si>
    <t>Leeds, United Kingdom</t>
  </si>
  <si>
    <t>PO Box 548</t>
  </si>
  <si>
    <t>Leeds</t>
  </si>
  <si>
    <t>LS1 1WU</t>
  </si>
  <si>
    <t>info@halifax.co.uk</t>
  </si>
  <si>
    <t>The company was acquired by Lloyds Banking Group (LON: LLOY) for GBP 12 billion on January 19, 2009. Bank of England provided an emergency funding for the acquisition.</t>
  </si>
  <si>
    <t>Bank of Scotland, Truist</t>
  </si>
  <si>
    <t>Bank of Scotland(www.bankofscotland.co.uk), Truist(www.truist.com)</t>
  </si>
  <si>
    <t>Gneiss Energy(Advisor: General), Maclay Murray &amp; Spens(Legal Advisor), Mandala Partners(Accounting), PwC(Auditor)</t>
  </si>
  <si>
    <t>Lloyds Bank(Debt Financing)</t>
  </si>
  <si>
    <t>62719-39</t>
  </si>
  <si>
    <t>Merck &amp; Company (Consumer Health Business)</t>
  </si>
  <si>
    <t>Provider of consumer medications. The company controls the rights to a portfolio of over-the-counter (OTC) medications, including the global trademark and prescription rights for allergy medications Claritin and Afrin.
Manufacturer of consumer healthcare products. The company develops, manufactures and sells over-the-counter products consisting of non-drowsy antihistamines, decongestant-free cold or flu medicine for people with high blood pressure, nasal decongestant sprays and products for occasional constipation, frequent heartburn and overactive bladder in women. The company mainly serves drug wholesalers and retailers, hospitals, government agencies, physicians, physician distributors, veterinarians, animal producers, food chain and mass merchandiser outlets, club stores and specialty channels.</t>
  </si>
  <si>
    <t>Drug Delivery, Medical Supplies, Other Devices and Supplies, Personal Products, Pharmaceuticals*</t>
  </si>
  <si>
    <t>consumer care, consumer healthcare, healthcare product</t>
  </si>
  <si>
    <t>Clinical Trials - Phase 3</t>
  </si>
  <si>
    <t>2017: 3800</t>
  </si>
  <si>
    <t>Whitehouse Station, NJ</t>
  </si>
  <si>
    <t>Whitehouse Station</t>
  </si>
  <si>
    <t>08889</t>
  </si>
  <si>
    <t>The Consumer Health Business of Merck &amp; Company was acquired by Bayer Group (XTER: BAYN) for EUR 13.74 billion October 02, 2014. The business is no longer actively tracked by PitchBook.</t>
  </si>
  <si>
    <t>Reckitt Benckiser Group(www.reckitt.com)</t>
  </si>
  <si>
    <t>Cobalt Law Firm(Legal Advisor)</t>
  </si>
  <si>
    <t>11850-40</t>
  </si>
  <si>
    <t>WellCare Health Plans</t>
  </si>
  <si>
    <t>WellCare Group</t>
  </si>
  <si>
    <t>WellCare</t>
  </si>
  <si>
    <t>WellCare Health Plans, Inc.</t>
  </si>
  <si>
    <t>Molina Healthcare, Aetna, Aetna Better Health of Virginia, Zoom+Care</t>
  </si>
  <si>
    <t>WellCare Health Plans Inc is a managed care organization focused on government-sponsored managed care services, including Medicare and Medicaid. WellCare's membership is concentrated in Florida, Georgia, Kentucky, New York, and Illinois. Its key segments are Medicaid health plans, Medicare health plans, and Medicare prescription drug plans. Medicaid health plans represent the largest proportion of both total membership and premium revenue. The Medicaid segment generates revenue from the premiums received from the states in which health plans are offered, based on a fixed per-member per-month amount. WellCare also provides Medicare Part C and Part D benefits through its Medicare Advantage plans.</t>
  </si>
  <si>
    <t>blinds care, disabled care, needy care</t>
  </si>
  <si>
    <t>www.wellcare.com</t>
  </si>
  <si>
    <t>2003: 1480, 2004: 1585, 2005: 2200, 2006: 3000, 2007: 3900, 2008: 4100, 2009: 3419, 2010: 3300, 2011: 3990, 2012: 4460, 2013: 5200, 2014: 6700, 2015: 6900, 2016: 7400, 2017: 8900, 2018: 12000, 2020: 3976</t>
  </si>
  <si>
    <t>222206-95P</t>
  </si>
  <si>
    <t>Timonthy Susanin</t>
  </si>
  <si>
    <t>General Counsel, Legal &amp; Secretary, Administration</t>
  </si>
  <si>
    <t>Tampa, FL</t>
  </si>
  <si>
    <t>P.O. Box 31370</t>
  </si>
  <si>
    <t>Tampa</t>
  </si>
  <si>
    <t>Florida</t>
  </si>
  <si>
    <t>33631</t>
  </si>
  <si>
    <t>The company was acquired by Centene (NYS: CNC) for $17.605 billion on January 23, 2020. The total consideration consisted of Centene common shares valued at $11,431 million (based on Centene's stock price of $66.76), $6,079 million in cash, and $95 million related to the fair value of replacement equity awards associated with pre-combination service. Each WellCare share was converted into 3.38 of validly issued, fully paid, non-assessable shares of Centene common stock and $120.00 in cash. In total, 171 million shares of Centene common stock were issued to the company's stockholders. The company is no longer actively tracked by PitchBook.</t>
  </si>
  <si>
    <t>Centene</t>
  </si>
  <si>
    <t>TowerBrook Capital Partners</t>
  </si>
  <si>
    <t>TowerBrook Capital Partners(www.towerbrook.com)</t>
  </si>
  <si>
    <t>King &amp; Spalding(Legal Advisor), Locke Lord(Legal Advisor)</t>
  </si>
  <si>
    <t>Bass, Berry &amp; Sims(Legal Advisor), Cowen &amp; Company(Underwriter), Deloitte(Accounting), DeMatteo Research(Underwriter), Greenberg Traurig(Legal Advisor), Kirkland &amp; Ellis(Legal Advisor), Lehman Brothers(Advisor: General), Locke Lord(Legal Advisor), Morgan Stanley(Underwriter), The Goldman Sachs Group(Advisor: General), UBS Group(Underwriter), Wells Fargo Advisors(Underwriter)</t>
  </si>
  <si>
    <t>126137-53</t>
  </si>
  <si>
    <t>Yum China (NYS: YUMC)</t>
  </si>
  <si>
    <t>Yum (China) Investment Co., Ltd.</t>
  </si>
  <si>
    <t>Yum! Brands, Jollibee Foods, Restaurant Brands International, Denny's, Dunkin' Brands, Chipotle Mexican Grill</t>
  </si>
  <si>
    <t>With almost 10,600 units and USD 9.5 billion in systemwide sales in 2020, Yum China is the largest restaurant chain in China. It generates revenue through its own restaurants and franchise fees. Key concepts include KFC (7,166 units) and Pizza Hut (2,355), but the company's portfolio also includes other brands such as Little Sheep, East Dawning, Taco Bell, Huang Ji Huang, COFFii &amp; Joy, and Lavazza (collectively representing about 985 units). Yum China is a trademark licensee of Yum Brands, paying 3% of total systemwide sales to the company it separated from in October 2016.</t>
  </si>
  <si>
    <t>Restaurants, Hotels and Leisure</t>
  </si>
  <si>
    <t>Restaurants and Bars</t>
  </si>
  <si>
    <t>Restaurants and Bars*</t>
  </si>
  <si>
    <t>food franchise, quick service restaurant</t>
  </si>
  <si>
    <t>www.yumchina.com</t>
  </si>
  <si>
    <t>2015: 400000, 2016: 420000, 2017: 450000, 2018: 450000, 2019: 450000, 2020: 406000</t>
  </si>
  <si>
    <t>YUMC</t>
  </si>
  <si>
    <t>213147-73P</t>
  </si>
  <si>
    <t>Andy Yeung</t>
  </si>
  <si>
    <t>Chief Financial Officer, Finance</t>
  </si>
  <si>
    <t>andy.yeung@yumchina.com</t>
  </si>
  <si>
    <t>+86 (0)121 2407 7777</t>
  </si>
  <si>
    <t>Shanghai, China</t>
  </si>
  <si>
    <t>Yum China Tower</t>
  </si>
  <si>
    <t>20 Tianyaoqiao Road</t>
  </si>
  <si>
    <t>Shanghai</t>
  </si>
  <si>
    <t>200030</t>
  </si>
  <si>
    <t>+86 (0)121 2407 8888</t>
  </si>
  <si>
    <t>The company was in talks to be acquired by Hillhouse Capital Group, Baring Private Equity Asia, Kohlberg Kravis Roberts and China Investment Corporation through a $17.6 billion public-to-private LBO on July 26, 2018. Subsequently the deal was cancelled on August 28, 2018. Previously, the company underwent an initial public offering on the NYSE stock exchange under the ticker symbol of YUMC on November 1, 2016. A total of 10,000,000 shares are being offered, putting the company's value at $10 billion. The company spun out of YUM! Brands. Primavera Capital Group invested $410 million and Ant Financial invested $50 million in this transaction.</t>
  </si>
  <si>
    <t>Ant Group, Primavera Capital Group</t>
  </si>
  <si>
    <t>Yum! Brands</t>
  </si>
  <si>
    <t>China Investment Corporation, Kohlberg Kravis Roberts, Temasek Holdings</t>
  </si>
  <si>
    <t>Ant Group(www.antgroup.com), Primavera Capital Group(www.primavera-capital.com)</t>
  </si>
  <si>
    <t>Yum! Brands(www.yum.com)</t>
  </si>
  <si>
    <t>China Investment Corporation(www.china-inv.cn), Kohlberg Kravis Roberts(www.kkr.com), Temasek Holdings(www.temasek.com.sg)</t>
  </si>
  <si>
    <t>ABCI Securities(Advisor: General), BOC International(Advisor: General), Citigroup(Advisor: General), CLSA(Advisor: General), CMBIgroup(Advisor: General), HSBC Holdings(Lead Manager or Arranger), ICBC International(Advisor: General), Simpson Thacher &amp; Bartlett(Legal Advisor), The Goldman Sachs Group(Advisor: General), UBS Group(Advisor: General)</t>
  </si>
  <si>
    <t>Morgan Stanley(Advisor: General), Sidley Austin(Legal Advisor), The Goldman Sachs Group(Advisor: General)</t>
  </si>
  <si>
    <t>13101-76</t>
  </si>
  <si>
    <t>E-TEK Dynamics</t>
  </si>
  <si>
    <t>Designer, manufacturer and packager of passive components and modules for the fiber optic network industry.</t>
  </si>
  <si>
    <t>Fiberoptic Equipment</t>
  </si>
  <si>
    <t>Fiberoptic Equipment*</t>
  </si>
  <si>
    <t>components, fiber optic, module, network</t>
  </si>
  <si>
    <t>1999: 1316, 2000: 2450</t>
  </si>
  <si>
    <t>FY 1998</t>
  </si>
  <si>
    <t>32262-94P</t>
  </si>
  <si>
    <t>Jing Jong Pan</t>
  </si>
  <si>
    <t>+1 (408) 546-5000</t>
  </si>
  <si>
    <t>1865 Lundy Avenue</t>
  </si>
  <si>
    <t>95131</t>
  </si>
  <si>
    <t>The company was acquired by JDS Uniphase (NASDAQ: JDSU) for $17.5 billion on June 30, 2000. Subsequently, the company merged with JDS Uniphase. The company is no longer actively tracked by PitchBook.</t>
  </si>
  <si>
    <t>Summit Partners</t>
  </si>
  <si>
    <t>Summit Partners(www.summitpartners.com)</t>
  </si>
  <si>
    <t>Dain Rauscher Wessels(Lead Manager or Arranger), Grellas Shah(Legal Advisor), Montgomery Securities(Lead Manager or Arranger), Morgan Stanley(Underwriter), PwC(Auditor), Sullivan &amp; Cromwell(Legal Advisor), The Goldman Sachs Group(Underwriter), Wilson Sonsini Goodrich &amp; Rosati(Legal Advisor)</t>
  </si>
  <si>
    <t>Recapitalization</t>
  </si>
  <si>
    <t>41179-15</t>
  </si>
  <si>
    <t>Pharmaceutical Product Development (NAS: PPD)</t>
  </si>
  <si>
    <t>Eagle Holding Company I</t>
  </si>
  <si>
    <t>PPD</t>
  </si>
  <si>
    <t>Pharmaceutical Product Development, Inc.</t>
  </si>
  <si>
    <t>PRA Health Sciences, Syngene International, Theorem Clinical Research, Parexel International, CATO SMS, Clinipace, Optimapharm, QPS Holdings, TCG Lifesciences, Chiltern International, Aragen, Atlant Clinical, ICON Government and Public Health Solutions, Icon, Trial Runners, Patheon, ClinTec International, ImageIQ, INC Research, Citoxlab, TFS International, Olon Ricerca Bioscience, Celerion, WuXi AppTec, Genae, KinderPharm, Eurotrials, The Chemistry Research Solution, Charles River Laboratories, Covance, Sygnature Discovery, ClinDatrix, Eurofins Scientific</t>
  </si>
  <si>
    <t>PPD is a global contract research organization that provides clinical trial and laboratory services to pharmaceutical, device, and diagnostic firms. The clinical development services segment offers outsourced trial services, spanning early- and late-stage trials, as well as peri- and post-approval trials, and the laboratory services segment includes both advanced lab testing and central lab services. The company was taken private in 2011 and went public again in 2020.. Thermo Fisher Scientific announced it will acquire PPD for $17.4 billion, which is scheduled to close by the end of 2021.</t>
  </si>
  <si>
    <t>BPO/Outsource Services</t>
  </si>
  <si>
    <t>Biotechnology, BPO/Outsource Services*, Drug Discovery, Laboratory Services (Healthcare)</t>
  </si>
  <si>
    <t>contract research organization, contract research organization operator, disease registry program, drug development, drug development system, lifecycle management, lifecycle management service</t>
  </si>
  <si>
    <t>www.ppd.com</t>
  </si>
  <si>
    <t>2011: 11000, 2015: 13000, 2016: 16000, 2017: 20000, 2018: 23000, 2019: 23000, 2020: 26000, 2021: 23715</t>
  </si>
  <si>
    <t>Promotion (New) Anshul Thakral, Chief Commercial Officer and Executive Vice President, Peri- and Post-Approval Services, Promotion (New) Karen Kaucic, Chief Medical Officer, News (New) , News (New) , News (New)</t>
  </si>
  <si>
    <t>38433-07P</t>
  </si>
  <si>
    <t>William Sharbaugh</t>
  </si>
  <si>
    <t>Chief Operating Officer, Operations</t>
  </si>
  <si>
    <t>william.sharbaugh@ppdi.com</t>
  </si>
  <si>
    <t>+1 (910) 251-0081</t>
  </si>
  <si>
    <t>Wilmington, NC</t>
  </si>
  <si>
    <t>929 North Front Street</t>
  </si>
  <si>
    <t>Wilmington</t>
  </si>
  <si>
    <t>28401-3331</t>
  </si>
  <si>
    <t>The company reached a definitive agreement to be acquired by Thermo Fisher Scientific (NYS: TMO) for $17.4 billion on April 15, 2021. Previously, existing shareholders sold a 10.9% stake in the company(NAS:PPD) for $1.2 billion on September 18, 2020. A total of 38,000,000 shares were sold at a price of $32.5 per share. The company is being actively tracked by PitchBook.</t>
  </si>
  <si>
    <t>Government of Singapore Investment Corporation (GIC), Hellman &amp; Friedman, The Abu Dhabi Investment Authority, The Carlyle Group</t>
  </si>
  <si>
    <t>Kohlberg Kravis Roberts, Pamplona Capital Management, The Blackstone Group, Thermo Fisher Scientific</t>
  </si>
  <si>
    <t>Government of Singapore Investment Corporation (GIC)(www.gic.com.sg), Hellman &amp; Friedman(www.hf.com), The Abu Dhabi Investment Authority(www.adia.ae), The Carlyle Group(www.carlyle.com)</t>
  </si>
  <si>
    <t>Kohlberg Kravis Roberts(www.kkr.com), Pamplona Capital Management(www.pamplonafunds.com), The Blackstone Group(www.blackstone.com), Thermo Fisher Scientific(www.thermofisher.com)</t>
  </si>
  <si>
    <t>Fennebresque &amp; Co.(Advisor: General), Perspective Group(Consulting)</t>
  </si>
  <si>
    <t>American Capital (ACAS)(Debt Financing), Arnold &amp; Porter Kaye Scholer(Legal Advisor), Bank of America Merrill Lynch(Underwriter), Barclays Investment Bank(Underwriter), BofA Securities(Underwriter), Cayman Islands(Debt Financing), Centerview Partners(Advisor: General), Citigroup(Underwriter), Credit Suisse(Advisor: General), Credit Suisse(Debt Financing), Deloitte(Accounting), Deutsche Bank(Underwriter), Deutsche Bank Securities(Underwriter), Drexel Hamilton(Underwriter), Duff &amp; Phelps, A Kroll Business(Advisor: General), Evercore Group(Underwriter), FS KKR Capital(Debt Financing), HSBC Securities (Canada)(Underwriter), Invesco(Debt Financing), J.P. Morgan(Debt Financing), J.P. Morgan Securities(Advisor: General), Jefferies Group(Underwriter), Latham &amp; Watkins(Legal Advisor), Lazard Middle Market(Advisor: General), Mizuho Americas(Underwriter), Mizuho Securities(Underwriter), Morgan Stanley(Advisor: General), New Mountain Finance(Debt Financing), Portman Ridge Finance Corp(Debt Financing), Robert W. Baird &amp; Co(Underwriter), Simpson Thacher &amp; Bartlett(Legal Advisor), Skadden, Arps, Slate, Meagher &amp; Flom(Legal Advisor), Solebury Capital Group(Advisor: General), The Goldman Sachs Group(Debt Financing), UBS Group(Debt Financing), William Blair &amp; Company(Underwriter), Wyrick Robbins Yates &amp; Ponton(Legal Advisor)</t>
  </si>
  <si>
    <t>11906-65</t>
  </si>
  <si>
    <t>Abbott (NYS: ABT)</t>
  </si>
  <si>
    <t>Abbott (Healthcare), Roche Holding, Boston Scientific, C. R. Bard, Medtronic, Quidel, AbbVie</t>
  </si>
  <si>
    <t>Abbott manufactures and markets medical devices, adult and pediatric nutritional products, diagnostic equipment and testing kits, and branded generic drugs. Products include pacemakers, implantable cardioverter defibrillators, neuromodulation devices, coronary stents, catheters, infant formula, nutritional liquids for adults, and immunoassays and point-of-care diagnostic equipment. Abbott derives approximately 60% of sales outside the United States.</t>
  </si>
  <si>
    <t>Diagnostic Equipment, Monitoring Equipment, Pharmaceuticals*</t>
  </si>
  <si>
    <t>clinical laboratory product, laboratory product, pharmaceutical drugs</t>
  </si>
  <si>
    <t>Debt Financed, Publicly Listed, Venture Capital</t>
  </si>
  <si>
    <t>www.abbott.com</t>
  </si>
  <si>
    <t>1989: 40920, 1990: 43770, 1991: 45694, 1992: 48118, 1993: 49659, 1994: 49464, 1995: 50241, 1996: 52817, 1997: 54487, 1998: 56236, 1999: 57100, 2000: 60571, 2001: 71426, 2002: 71819, 2003: 72200, 2004: 60600, 2005: 59735, 2006: 66663, 2007: 68000, 2008: 69000, 2009: 73000, 2010: 90000, 2011: 91000, 2012: 91000, 2013: 69000, 2014: 77000, 2015: 74000, 2016: 75000, 2017: 99000, 2018: 103000, 2019: 107000, 2020: 109000</t>
  </si>
  <si>
    <t>ABT</t>
  </si>
  <si>
    <t>140699-17P</t>
  </si>
  <si>
    <t>Ashish Jagyasi</t>
  </si>
  <si>
    <t>Associate Director, Mergers &amp; Acquisitions</t>
  </si>
  <si>
    <t>ashish.jagyasi@abbott.com</t>
  </si>
  <si>
    <t>+1 (224) 667-6100</t>
  </si>
  <si>
    <t>North Chicago, IL</t>
  </si>
  <si>
    <t>100 Abbott Park Road</t>
  </si>
  <si>
    <t>Abbott Park</t>
  </si>
  <si>
    <t>North Chicago</t>
  </si>
  <si>
    <t>60064</t>
  </si>
  <si>
    <t>The company received $17.2 billion of debt financing in a deal led by The Bank of America Merrill Lynch on April 29, 2016. The debt consists of $17.2 billion bridge loan that backs Abbott Laboratories' $25 billion acquisition of medical device maker St. Jude Medical. Abbott's new loan will bring bridge loan volume to US$24.5bn early in the second quarter of 2016, surpassing the US$15.3bn seen last quarter.</t>
  </si>
  <si>
    <t>Saints Capital</t>
  </si>
  <si>
    <t>Saints Capital(www.saintscapital.com)</t>
  </si>
  <si>
    <t>2e Creative(Advisor: Communications), 2SG Advisory Group(Advisor: General), ARISE Investment Consulting(Advisor: General), Boyanov &amp; Company(Legal Advisor), BrandStar(Advisor: Communications), BTD Consulting(Consulting), Clarity Consultants(Consulting), Destum Partners(Advisor: General), EY(Auditor), FERRERE Abogados(Legal Advisor), FSG(Consulting), InnovationXchange(Consulting), JRG Partners(Advisor: General), Lansons Communications(Consulting), Maven Wave Partners(Advisor: General), Maynard Cooper &amp; Gale(Legal Advisor), Munger, Tolles &amp; Olson(Legal Advisor), NYPPEX Private Markets(Advisor: General), Pacific Program Management(Consulting), Playmaker Systems(Consulting), Proudfoot(Consulting), Sprim(Consulting), Stonecroft Capital(Advisor: General), Strawn Arnold &amp; Associates(Consulting), True(Advisor: General), Vault Bioventures(Consulting), Venetia Partners(Consulting), ZS Associates(Consulting)</t>
  </si>
  <si>
    <t>Bank of America Merrill Lynch(Debt Financing), The Goldman Sachs Group(Debt Financing)</t>
  </si>
  <si>
    <t>Debt - General</t>
  </si>
  <si>
    <t>Debt</t>
  </si>
  <si>
    <t>Loan - $17.20B</t>
  </si>
  <si>
    <t>55258-48</t>
  </si>
  <si>
    <t>WhatsApp</t>
  </si>
  <si>
    <t>WhatsApp, Inc.</t>
  </si>
  <si>
    <t>Telegram, Skype, Pinger (Communication Software), WeChat, textPlus, eBuddy, Nimbuzz, Talkatone, Fring, Mailburn, Hike, Messenger, Beepsend, Oovoo, Kik (Communication Software), Chatimity, Nucleus Research, Kwippit, Dasher, Zip Phone, Innovative Venture, GroupMe, Wickr, TextNow, Silent Circle, if(we), The World's Online Festival, KaKao, Viber Media, Dropbox, Jibe Mobile, Tango</t>
  </si>
  <si>
    <t>Provider of a cross platform mobile messaging application. The company's platform allows the user to exchange messages without having to pay for SMS. In addition to basic messaging WhatsApp users can create groups, send each other unlimited images, video and audio media messages. It's available for iPhone, BlackBerry, Android, Windows Phone and Nokia.</t>
  </si>
  <si>
    <t>Application Software, Communication Software*, Other Communications and Networking</t>
  </si>
  <si>
    <t>iphone messaging application, messaging application, mobile messaging</t>
  </si>
  <si>
    <t>www.whatsapp.com</t>
  </si>
  <si>
    <t>2009: 53, 2014: 80, 2018: 300, 2019: 400</t>
  </si>
  <si>
    <t>Facebook</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</si>
  <si>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</si>
  <si>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</si>
  <si>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157310-56P</t>
  </si>
  <si>
    <t>Matthew Idema</t>
  </si>
  <si>
    <t>matt@whatsapp.com</t>
  </si>
  <si>
    <t>Mountain View, CA</t>
  </si>
  <si>
    <t>650 Castro Street</t>
  </si>
  <si>
    <t>Suite 120-219</t>
  </si>
  <si>
    <t>Mountain View</t>
  </si>
  <si>
    <t>94041</t>
  </si>
  <si>
    <t>info@whatsapp.com</t>
  </si>
  <si>
    <t>The company was acquired by Facebook (NAS: FB) for $17.19 billion on October 6, 2014. Facebook issued approximately 178 million shares of Class A common stock and paid $4.59 billion in cash as consideration. Facebook is also awarding $3.5 billion in restricted stock to WhatsApp employees, including nearly $2 billion to co-founder and Chief Executive Jan Koum and $1 billion to co-founder Brian Acton.</t>
  </si>
  <si>
    <t>Sequoia Capital</t>
  </si>
  <si>
    <t>Alphabet</t>
  </si>
  <si>
    <t>Sequoia Capital(www.sequoiacap.com)</t>
  </si>
  <si>
    <t>Alphabet(www.abc.xyz)</t>
  </si>
  <si>
    <t>Connor Group(Advisor: General), Motion!(Advisor: General), Redwood Valuation Partners(Valuation/Appraiser), Weil, Gotshal &amp; Manges(Legal Advisor)</t>
  </si>
  <si>
    <t>Fenwick &amp; West(Legal Advisor), Fortis Advisors(Advisor: General), Latham &amp; Watkins(Legal Advisor), Morgan Stanley(Advisor: General), Morris, Nichols, Arsht &amp; Tunnell(Legal Advisor)</t>
  </si>
  <si>
    <t>43104-52</t>
  </si>
  <si>
    <t>Reuters Group</t>
  </si>
  <si>
    <t>Router's Telegram Company</t>
  </si>
  <si>
    <t>Reuters</t>
  </si>
  <si>
    <t>Reuters Group PLC</t>
  </si>
  <si>
    <t>The Financial Times, Business Wire, TechCrunch, The Economist Group, The Wall Street Journal, Dow Jones &amp; Company, Investing.com, VentureBeat, Bloomberg, The Independent, Gigaom (Acquired), The Washington Post, BBC, VICE Media</t>
  </si>
  <si>
    <t>Operator of financial news agency. The company is a provider of computerized financial information services, serving financial and business communities across the world. Its product offerings include real-time financial information and transaction services, numerical and textual historical databases, news, news pictures and news videos. It generates financial data from exchanges, over-the-counter markets, currency exchange rates and other market information contributed directly by subscribers.</t>
  </si>
  <si>
    <t>Information Services (B2C)</t>
  </si>
  <si>
    <t>Information Services (B2C)*, Publishing</t>
  </si>
  <si>
    <t>financial information, media house, news agency</t>
  </si>
  <si>
    <t>www.reuters.com</t>
  </si>
  <si>
    <t>2007: 3, 2019: 7300, 2020: 7300</t>
  </si>
  <si>
    <t>Thomson Reuters</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</si>
  <si>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</si>
  <si>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</si>
  <si>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126849-61P</t>
  </si>
  <si>
    <t>Daniel Mandell</t>
  </si>
  <si>
    <t>Chief Revenue Officer &amp; General Manager</t>
  </si>
  <si>
    <t>daniel.mandell@reuters.com</t>
  </si>
  <si>
    <t>+44 (0)17 1250 1122</t>
  </si>
  <si>
    <t>85 Fleet Street</t>
  </si>
  <si>
    <t>EC4P 4AJ</t>
  </si>
  <si>
    <t>+44 (0)17 1510 5896</t>
  </si>
  <si>
    <t>The company was acquired by Thomson for $17 billion on April 17, 2008. The acquisition created world's largest provider of financial news and information.</t>
  </si>
  <si>
    <t>Aspen Worldwide(Consulting), BDA Partners(Advisor: General), PwC(Auditor), Sierra Asia Partners(Advisor: General)</t>
  </si>
  <si>
    <t>12851-02</t>
  </si>
  <si>
    <t>Adelphia Communications</t>
  </si>
  <si>
    <t>Adelphia Communications Corporation</t>
  </si>
  <si>
    <t>Provider of a cable television services in the United States. The company offers analog and digital video services, high-speed internet access, and other advanced services over its broadband networks. It provides an array of entertainment and communication services including cable entertainment, digital cable, local voice and long distance telephone services.</t>
  </si>
  <si>
    <t>Broadcasting, Radio and Television, Cable Service Providers*, Internet Service Providers</t>
  </si>
  <si>
    <t>analog, cable, communication, communications, digital, entertainment, integrated, internet, leisure, media, provider, television, video services</t>
  </si>
  <si>
    <t>www.adelphia.com</t>
  </si>
  <si>
    <t>1998: 5512, 2000: 15735, 2006: 14000, 2009: 181</t>
  </si>
  <si>
    <t>Greenwood Village, CO</t>
  </si>
  <si>
    <t>5619 DTC Parkway</t>
  </si>
  <si>
    <t>Greenwood Village</t>
  </si>
  <si>
    <t>80111</t>
  </si>
  <si>
    <t>The company was acquired by Time Warner (NYSE, TWX) and Comcast (Nasdaq, CMCSA, CMCSK) for $17,000,000,000 on July 31, 2006. The company is no longer tracked by PitchBook.</t>
  </si>
  <si>
    <t>Comcast, WarnerMedia</t>
  </si>
  <si>
    <t>Quadrangle Group</t>
  </si>
  <si>
    <t>Altice USA, Kohlberg Kravis Roberts, Providence Equity Partners</t>
  </si>
  <si>
    <t>Quadrangle Group(www.quadranglegroup.com)</t>
  </si>
  <si>
    <t>Altice USA(www.alticeusa.com), Kohlberg Kravis Roberts(www.kkr.com), Providence Equity Partners(www.provequity.com)</t>
  </si>
  <si>
    <t>Aaron Capital(Advisor: General), Chilmark Partners(Advisor: General), Credit Suisse(Debt Financing), Goldin Associates(Advisor: General), Pachulski Stang Ziehl &amp; Jones(Legal Advisor), Zolfo Cooper(Advisor: General)</t>
  </si>
  <si>
    <t>Allen &amp; Company(Advisor: General), Diamond Capital Advisors(Advisor: General), Kasowitz Benson Torres(Legal Advisor), Latham &amp; Watkins(Legal Advisor), Lazard Middle Market(Advisor: General), Skadden, Arps, Slate, Meagher &amp; Flom(Legal Advisor), Sullivan &amp; Cromwell(Legal Advisor), UBS Group(Advisor: General), Weil, Gotshal &amp; Manges(Legal Advisor), Willkie Farr &amp; Gallagher(Legal Advisor)</t>
  </si>
  <si>
    <t>12342-97</t>
  </si>
  <si>
    <t>Altera</t>
  </si>
  <si>
    <t>Altera Corp.</t>
  </si>
  <si>
    <t>Mosys, Broadcom, Atmel, GlobalFoundries U.S., Luxtera, Lattice Semiconductor, Cypress Semiconductor, Arteris IP, Texas Instruments, Diodes, Skyworks Solutions, Analog Devices, Aurrion, Au Optronics, Rambus, Qorvo, SiFotonics Technologies, GSI Technology, GigaDevice, Monolithic Power Systems, MACOM Technology Solutions, Microsemi, Phison Electronics, Integrated Silicon Solution, Mobiveil, HiSilicon, NeoPhotonics, Xilinx</t>
  </si>
  <si>
    <t>The company offers field-programmable gate array (FPGA) semiconductor devices, systems on a chip (SoCs) with embedded processor systems, and complex programmable logic devices (CPLDs) in combination with software tools, intellectual property, and embedded processors to provide high-value programmable solutions to businesses globally.</t>
  </si>
  <si>
    <t>circuit devices, digital signal processor, general purpose semiconductors, integrated circuit, semiconductor manufacturing</t>
  </si>
  <si>
    <t>www.altera.com</t>
  </si>
  <si>
    <t>1989: 284, 1990: 370, 1991: 446, 1992: 446, 1993: 527, 1994: 667, 1995: 881, 1996: 918, 1997: 1086, 1998: 1151, 1999: 1398, 2000: 1947, 2001: 1987, 2002: 1882, 2003: 1995, 2004: 2164, 2005: 2361, 2006: 2654, 2007: 2651, 2008: 2760, 2009: 2551, 2010: 2666, 2011: 102740, 2012: 3129, 2013: 3094, 2014: 3091, 2015: 3089</t>
  </si>
  <si>
    <t>Intel</t>
  </si>
  <si>
    <t>61489-27P</t>
  </si>
  <si>
    <t>Ward Vercruysse</t>
  </si>
  <si>
    <t>Senior Director, Engineering IC CAD</t>
  </si>
  <si>
    <t>wvercruysse@altera.com</t>
  </si>
  <si>
    <t>+1 (408) 544-7000</t>
  </si>
  <si>
    <t>101 Innovation Drive</t>
  </si>
  <si>
    <t>The company (NASDAQ: ALTR) was acquired by Intel (NASDAQ: INTC) for $17 billion on December 28, 2015.</t>
  </si>
  <si>
    <t>Berkeley VC International, CampVentures, DFW Capital Partners, Genesis Centre, IVP, Over the Water Capital, Shea Ventures, Technology Integration Group</t>
  </si>
  <si>
    <t>Berkeley VC International(www.berkeleyvc.com), CampVentures(www.campventures.com), DFW Capital Partners(www.dfwcapital.com), Genesis Centre(www.genesiscentre.ca), IVP(www.ivp.com), Over the Water Capital(www.otwcapital.com), Technology Integration Group(www.tig.com)</t>
  </si>
  <si>
    <t>Clarity Consultants(Consulting), Harvest Management Partners(Advisor: General), Network Control(Consulting), Sierra Asia Partners(Advisor: General), Sitrick and Company(Advisor: Communications), Weaver Austin Villeneuve &amp; Sampson(Legal Advisor)</t>
  </si>
  <si>
    <t>D. F. King(Advisor: General), Joele Frank(Advisor: Communications), Needham &amp; Company(Advisor: General), The Goldman Sachs Group(Advisor: General), TIG Advisors(Advisor: General), Vinson &amp; Elkins(Legal Advisor), Wilson Sonsini Goodrich &amp; Rosati(Legal Advisor)</t>
  </si>
  <si>
    <t>41177-98</t>
  </si>
  <si>
    <t>MilliporeSigma</t>
  </si>
  <si>
    <t>Sigma-Aldrich</t>
  </si>
  <si>
    <t>Sigma-Aldrich, Inc.</t>
  </si>
  <si>
    <t>Lonza Group, Aceto</t>
  </si>
  <si>
    <t>Manufacturer of chemicals &amp; bio-chemicals. The company provides organic chemical products, kits and services which are used in scientific research, biotechnology, pharmaceutical development, the diagnosis of disease and in pharmaceutical, diagnostics and high technology manufacturing.</t>
  </si>
  <si>
    <t>Biotechnology*, Medical Supplies, Specialty Chemicals</t>
  </si>
  <si>
    <t>FoodTech, Life Sciences, Manufacturing</t>
  </si>
  <si>
    <t>biochemical, biotechnology, chemical products, specialty chemicals</t>
  </si>
  <si>
    <t>www.sigmaaldrich.com</t>
  </si>
  <si>
    <t>1989: 3765, 1990: 3765, 1991: 3765, 1992: 4291, 1993: 5110, 1994: 5534, 1995: 5682, 1996: 5984, 1997: 6666, 1998: 7162, 1999: 7322, 2000: 6218, 2001: 6467, 2002: 5940, 2003: 5920, 2004: 6140, 2005: 6849, 2006: 7299, 2007: 7862, 2008: 7900, 2009: 7800, 2010: 7890, 2011: 8300, 2012: 9100, 2013: 9100, 2014: 9300, 2015: 9800, 2020: 22000, 2021: 58000</t>
  </si>
  <si>
    <t>230215-24P</t>
  </si>
  <si>
    <t>David Nogales</t>
  </si>
  <si>
    <t>Chief Information Officer</t>
  </si>
  <si>
    <t>+1 (800) 325-3010</t>
  </si>
  <si>
    <t>PO Box 14508</t>
  </si>
  <si>
    <t>63178</t>
  </si>
  <si>
    <t>+1 (800) 325-5052</t>
  </si>
  <si>
    <t>The company (NASDAQ: SIAL) was acquired by Merck (XTER: MRK) for $17 billion on November 18, 2015. With the acquisition, Merck will be able to serve life science customers around the world with a set of established brands such as SAFC and BioReliance, in addition to Millipore and Milli-Q, as well as an efficient supply chain that can support the delivery of more than 300,000 products, covering every step of the biotech production chain, creating a complete end-to-end workflow with enhanced customer service, a simplified customer interface and a leading distribution platform.</t>
  </si>
  <si>
    <t>2e Creative(Advisor: Communications), Allen &amp; Overy(Legal Advisor), Debevoise &amp; Plimpton(Legal Advisor), Guggenheim Partners(Advisor: General), J.P. Morgan(Advisor: General), J.P. Morgan Securities(Debt Financing), KPMG(Advisor: General), Merrill Lynch Capital(Debt Financing), Morgan Stanley(Advisor: General), Sidley Austin(Legal Advisor), Skadden, Arps, Slate, Meagher &amp; Flom(Legal Advisor), Wells Fargo Securities(Debt Financing)</t>
  </si>
  <si>
    <t>Morgan Stanley(Advisor: General), Sidley Austin(Legal Advisor)</t>
  </si>
  <si>
    <t>124029-28</t>
  </si>
  <si>
    <t>Royal Numico</t>
  </si>
  <si>
    <t>Royal Numico N.V.</t>
  </si>
  <si>
    <t>Manufacturer and marketer of specialized nutrition products intended to to help people lead healthy and rewarding lives. The company produces and markets special clinical nutrition, diet products and disease-specific nutrition as well as products that range from specialized nutrition for babies with specific needs and for breastfeeding mothers, enabling people to lead a healthy and rewarding life.</t>
  </si>
  <si>
    <t>Distributors/Wholesale (B2C), Food Products*</t>
  </si>
  <si>
    <t>baby food, baby milk, infant nutrition, mother food</t>
  </si>
  <si>
    <t>www.numico.com</t>
  </si>
  <si>
    <t>2007: 692</t>
  </si>
  <si>
    <t>FY 2007</t>
  </si>
  <si>
    <t>157770-55P</t>
  </si>
  <si>
    <t>Van der Wielen</t>
  </si>
  <si>
    <t>Zoetermeer, Netherlands</t>
  </si>
  <si>
    <t>P.O. Box 1</t>
  </si>
  <si>
    <t>Zoetermeer</t>
  </si>
  <si>
    <t>2700 MA</t>
  </si>
  <si>
    <t>The company was acquired by Drone for $17 billion on November 1, 2007. The transaction allows the acquirer to strengthen its health and nutrition market presence. Danone announced ownership of over 90% of Numico's shares on 31 October 2007, declaring its offer for the remainder unconditional. The company's shares were delisted from the Amsterdam Stock Exchange at the end of 2007 as Danone gained full control.</t>
  </si>
  <si>
    <t>Danone</t>
  </si>
  <si>
    <t>54598-60</t>
  </si>
  <si>
    <t>Sydney Airport (ASX: SYD)</t>
  </si>
  <si>
    <t>MAp</t>
  </si>
  <si>
    <t>SACL</t>
  </si>
  <si>
    <t>Sydney Airport Corporation Limited</t>
  </si>
  <si>
    <t>Adelaide Airport</t>
  </si>
  <si>
    <t>Sydney Airport has a lease to operate the facility until 2097. As Australia's busiest airport, it connects close to 100 international and domestic destinations, and handled more than 40 million passenger movements annually until COVID-19 border restrictions in 2020. Regulation is light, with airports setting charges and terms with airlines, and the regulator monitoring the aeronautical and car park operations to ensure reasonable pricing and service. Retail and property operations are free from regulatory oversight, though political and commercial pressure limits Sydney Airport from overly flexing its pricing muscle, particularly as the government owns the rival Western Sydney Airport, set to open in 2026.</t>
  </si>
  <si>
    <t>Air*, Buildings and Property</t>
  </si>
  <si>
    <t>airport, airport operator, airport operator company, airport operator firm, passenger flights services</t>
  </si>
  <si>
    <t>Failed Transaction (PE)</t>
  </si>
  <si>
    <t>www.sydneyairport.com.au</t>
  </si>
  <si>
    <t>2006: 5743</t>
  </si>
  <si>
    <t>ASX</t>
  </si>
  <si>
    <t>SYD</t>
  </si>
  <si>
    <t>157546-99P</t>
  </si>
  <si>
    <t>Greg Botham</t>
  </si>
  <si>
    <t>greg.botham@sydneyairport.com.au</t>
  </si>
  <si>
    <t>+61 (0)2 9667 9111</t>
  </si>
  <si>
    <t>Locked Bag 5000</t>
  </si>
  <si>
    <t>Sydney International Airport</t>
  </si>
  <si>
    <t>2020</t>
  </si>
  <si>
    <t>+61 (0)2 8338 4919</t>
  </si>
  <si>
    <t>info@sydneyairport.com.au</t>
  </si>
  <si>
    <t>The company had received bids to be acquired by IFM Investors, QSuper and Global Infrastructure Partners through an AUD 22.26 billion LBO as of July 4, 2021. Subsequently, the deal was canceled. Previously, the company (ASX:SYD) received AUD 1.4 billion of debt financing from undisclosed lenders on April 11, 2017.</t>
  </si>
  <si>
    <t>Ferrovial, The Abu Dhabi Investment Authority, Whitehelm Capital</t>
  </si>
  <si>
    <t>Hochtief, Public Sector Pension Investment Board</t>
  </si>
  <si>
    <t>Global Infrastructure Partners, IFM Investors, QSuper</t>
  </si>
  <si>
    <t>Ferrovial(www.ferrovial.com), The Abu Dhabi Investment Authority(www.adia.ae), Whitehelm Capital(www.whitehelmcapital.com)</t>
  </si>
  <si>
    <t>Hochtief(www.hochtief.com), Public Sector Pension Investment Board(www.investpsp.com)</t>
  </si>
  <si>
    <t>Global Infrastructure Partners(www.global-infra.com), IFM Investors(www.ifminvestors.com), QSuper(www.qsuper.qld.gov.au)</t>
  </si>
  <si>
    <t>Allens(Legal Advisor)</t>
  </si>
  <si>
    <t>Bank of America(Lead Manager or Arranger), Bank of America Merrill Lynch(Lead Manager or Arranger), Barrenjoey(Advisor: General), Grant Samuel Group(Advisor: General), J.P. Morgan(Lead Manager or Arranger), King &amp; Wood Mallesons(Legal Advisor), Scotiabank Global Banking and Markets(Lead Manager or Arranger), UBS Group(Advisor: General)</t>
  </si>
  <si>
    <t>Loan - $5.89B</t>
  </si>
  <si>
    <t>125251-03</t>
  </si>
  <si>
    <t>AMFM Radio Group</t>
  </si>
  <si>
    <t>Chancellor Media Corporation</t>
  </si>
  <si>
    <t>AMFM</t>
  </si>
  <si>
    <t>AMFM Inc.</t>
  </si>
  <si>
    <t>Provider of radio broadcasting services. The company operates radio stations specializing in outdoor advertising, media representations, internet operations and related services.</t>
  </si>
  <si>
    <t>broadcasting services, radio broadcasting, radio station</t>
  </si>
  <si>
    <t>143682-85P</t>
  </si>
  <si>
    <t>Thomas Hicks</t>
  </si>
  <si>
    <t>1845 Woodall Rodgers Freeway</t>
  </si>
  <si>
    <t>SUITE 1300</t>
  </si>
  <si>
    <t>The company was acquired by iHeartMedia (OTCMKTS:IHRT) for $ 16.7 billion on August 30, 2000.</t>
  </si>
  <si>
    <t>iHeartMedia</t>
  </si>
  <si>
    <t>Deutsche Bank(Advisor: General), Greenhill &amp; Co.(Legal Advisor), Jones Day(Legal Advisor), JPMorgan Chase(Advisor: General), Morgan Stanley(Advisor: General), Weil, Gotshal &amp; Manges(Legal Advisor)</t>
  </si>
  <si>
    <t>153339-22</t>
  </si>
  <si>
    <t>Pfizer (Consumer Healthcare Business - acquired by Johnson &amp; Johnson)</t>
  </si>
  <si>
    <t>Distributor of consumer healthcare products. The company offers products such as Listerine mouthwash, Nicorette smoking cessation treatments, Sudafed cold and allergy products, Rolaids antacid, Benadryl allergy medicine, Rogaine baldness treatment and antacid Zantac.</t>
  </si>
  <si>
    <t>Distributors/Wholesale (B2C), Pharmaceuticals*</t>
  </si>
  <si>
    <t>anti drugs, pharmaceutical preparation, skin health care</t>
  </si>
  <si>
    <t>2020: 19000</t>
  </si>
  <si>
    <t>235 East 42nd Street</t>
  </si>
  <si>
    <t>10017</t>
  </si>
  <si>
    <t>The Consumer Healthcare Business of Pfizer was acquired by Johnson &amp; Johnson (NYSE: JNJ) for $16.6 billion on December 20, 2006. The Consumer Healthcare Business is no longer actively tracked by PitchBook.</t>
  </si>
  <si>
    <t>Edgewood Consulting Group(Consulting), Spark Solutions for Growth(Consulting)</t>
  </si>
  <si>
    <t>157334-77</t>
  </si>
  <si>
    <t>Shokando</t>
  </si>
  <si>
    <t>Shokando Co. Ltd.</t>
  </si>
  <si>
    <t>Operator of pharmacies. The company operates and manages a chain of drug stores throughout Japan.</t>
  </si>
  <si>
    <t>chain of drug store, operator of drugstore</t>
  </si>
  <si>
    <t>www.shokando.co.jp</t>
  </si>
  <si>
    <t>Mitsui &amp; Co.</t>
  </si>
  <si>
    <t>144011-35P</t>
  </si>
  <si>
    <t>Ken Tsukihara</t>
  </si>
  <si>
    <t>tsukihara@shokando.co.jp</t>
  </si>
  <si>
    <t>+81 (0)66 910 4070</t>
  </si>
  <si>
    <t>Osaka, Japan</t>
  </si>
  <si>
    <t>Yubinbango540-6319, Chuo-ku, Osaka Shiromi</t>
  </si>
  <si>
    <t>Chome No. 3 No. 7 Matsushita IMP Building 19th floor</t>
  </si>
  <si>
    <t>Osaka</t>
  </si>
  <si>
    <t>+81 (0)66 910 4075</t>
  </si>
  <si>
    <t>The company, a subsidiary of EM Systems (TYO: 4820) was acquired by Mitsui &amp; Co (TYO: 8031) for JPY 1.5 billion on July 1, 2010.</t>
  </si>
  <si>
    <t>EM Systems</t>
  </si>
  <si>
    <t>EM Systems(www.emsystems.co.jp)</t>
  </si>
  <si>
    <t>Mizuho Securities(Advisor: General)</t>
  </si>
  <si>
    <t>12490-39</t>
  </si>
  <si>
    <t>Goodrich</t>
  </si>
  <si>
    <t>BF Goodrich</t>
  </si>
  <si>
    <t>Goodrich Corp.</t>
  </si>
  <si>
    <t>Supplier of aerospace components. The company is a worldwide supplier of aerospace components, systems and services to the commercial and general aviation airplane markets. It also supplies systems and products to the global defense and space markets.</t>
  </si>
  <si>
    <t>aerospace components, plane parts, space</t>
  </si>
  <si>
    <t>1989: 12302, 1990: 14701, 1991: 14415, 1992: 13375, 1993: 13416, 1994: 13392, 1995: 12287, 1996: 14160, 1997: 16838, 1998: 18414, 1999: 27044, 2000: 26322, 2001: 16600, 2002: 22900, 2003: 6200, 2004: 6200, 2005: 22600, 2006: 23400, 2007: 23400, 2008: 25000, 2009: 25000, 2010: 25600, 2011: 28000, 2012: 27000</t>
  </si>
  <si>
    <t>The company was acquired by United Technologies (NYSE: UTX) for $16.5 billion on July 26, 2012. The company is no longer actively tracked by PitchBook.</t>
  </si>
  <si>
    <t>ITECS Innovative(Consulting), Nilan Johnson Lewis(Legal Advisor), Ulmer &amp; Berne(Legal Advisor)</t>
  </si>
  <si>
    <t>Citigroup(Advisor: General), Credit Suisse(Advisor: General), Jones Day(Legal Advisor), Simpson Thacher &amp; Bartlett(Legal Advisor)</t>
  </si>
  <si>
    <t>56898-37</t>
  </si>
  <si>
    <t>Rodamco</t>
  </si>
  <si>
    <t>Rodamco Europe NV</t>
  </si>
  <si>
    <t>Provider of real estate investment services. The company is engaged in providing real estate investments particularly in the shopping centers retail properties operating in Europe.</t>
  </si>
  <si>
    <t>Department Stores</t>
  </si>
  <si>
    <t>Department Stores*, Real Estate Investment Trusts (REITs)</t>
  </si>
  <si>
    <t>retail shopping center, shopping center owner</t>
  </si>
  <si>
    <t>www.rodamco-eu.com</t>
  </si>
  <si>
    <t>2005: 578, 2006: 626, 2009: 682</t>
  </si>
  <si>
    <t>Rotterdam, Netherlands</t>
  </si>
  <si>
    <t>Hofplein 20</t>
  </si>
  <si>
    <t>3032 AC</t>
  </si>
  <si>
    <t>Rotterdam</t>
  </si>
  <si>
    <t>3000 BE</t>
  </si>
  <si>
    <t>The company (AMS: RCEA) was acquired by Unibail-Rodamco, formerly Unibail (PAR: UL), for an undisclosed amount on December 14, 2007. The acquisition will enable the acquirer to expand its real estate business. The company is no longer actively tracked by PitchBook.</t>
  </si>
  <si>
    <t>Allen &amp; Overy(Legal Advisor), Clifford Chance(Legal Advisor), Herbert Smith(Legal Advisor), Jones Day(Legal Advisor), KPMG(Accounting), The Goldman Sachs Group(Advisor: General), UBS Group(Advisor: General)</t>
  </si>
  <si>
    <t>41221-36</t>
  </si>
  <si>
    <t>Unocal</t>
  </si>
  <si>
    <t>Union Oil Company of California</t>
  </si>
  <si>
    <t>UCL</t>
  </si>
  <si>
    <t>Unocal Corporation</t>
  </si>
  <si>
    <t>Operator of natural gas and crude oil exploration and production companies.</t>
  </si>
  <si>
    <t>crude oil exploration, crude oil exploration service, natural gas company, natural gas fuel, natural gas producer</t>
  </si>
  <si>
    <t>www.unocal.com</t>
  </si>
  <si>
    <t>1989: 13000, 1990: 17518, 1991: 17248, 1992: 14687, 1993: 13613, 1994: 13127, 1995: 12509, 1996: 11658, 1997: 8394, 1998: 7880, 1999: 7550, 2000: 6800, 2001: 6980, 2002: 6615, 2003: 6700, 2004: 6590, 2005: 6000</t>
  </si>
  <si>
    <t>El Segundo, CA</t>
  </si>
  <si>
    <t>2141 Rosecrans Avenue</t>
  </si>
  <si>
    <t>Suite 4000</t>
  </si>
  <si>
    <t>El Segundo</t>
  </si>
  <si>
    <t>90245</t>
  </si>
  <si>
    <t>The company was acquired by Chevron (NYS: CVX) for USD 16.4 billion on April 4, 2005. ChevronTexaco is assuming an estimated net debt of $1.6 billion. The acquisition will significantly enhance ChevronTexaco's position as a global energy provider. The company is no longer actively tracked by PitchBook.</t>
  </si>
  <si>
    <t>PLS Energy Advisors(Advisor: General)</t>
  </si>
  <si>
    <t>41271-40</t>
  </si>
  <si>
    <t>Varian Medical Systems</t>
  </si>
  <si>
    <t>Varian Associates</t>
  </si>
  <si>
    <t>Varian</t>
  </si>
  <si>
    <t>Varian Medical Systems, Inc.</t>
  </si>
  <si>
    <t>ViewRay, Mevion Medical Systems, Essilor, Ablatus Therapeutics, Corin Group, Philips</t>
  </si>
  <si>
    <t>Varian Medical Systems designs, manufactures, and sells radiation technology for use in two business segments: oncology systems and proton therapy. The Americas account for the largest portion of revenue (47%), followed by Europe, the Middle East, and Africa (33%) and Asia-Pacific (19%).</t>
  </si>
  <si>
    <t>Therapeutic Devices*</t>
  </si>
  <si>
    <t>cancer, cancer treatment, digital image detectors, images detection product, images processing software, linear accelerator, original equipment manufacturer, proton therapy product, radiotherapy, replacement x-ray tubes, x-ray tubes</t>
  </si>
  <si>
    <t>www.varian.com</t>
  </si>
  <si>
    <t>1999: 2300, 2000: 2374, 2001: 2574, 2002: 2756, 2003: 2927, 2004: 3283, 2005: 3600, 2006: 3900, 2007: 4500, 2008: 4900, 2009: 5100, 2010: 5300, 2011: 5700, 2012: 6100, 2013: 6400, 2014: 6800, 2015: 7300, 2016: 7800, 2017: 6600, 2018: 7174, 2019: 10062, 2020: 10372, 2021: 11000</t>
  </si>
  <si>
    <t>Siemens Healthineers</t>
  </si>
  <si>
    <t>156634-93P</t>
  </si>
  <si>
    <t>Magnus Momsen</t>
  </si>
  <si>
    <t>Interim Chief Financial Officer, Senior Vice President, Chief Accounting Officer and Corporate Controller</t>
  </si>
  <si>
    <t>magnus.momsen@varian.com</t>
  </si>
  <si>
    <t>+1 (650) 493-4000</t>
  </si>
  <si>
    <t>Palo Alto, CA</t>
  </si>
  <si>
    <t>3120 Hansen Way</t>
  </si>
  <si>
    <t>M/S G100</t>
  </si>
  <si>
    <t>Palo Alto</t>
  </si>
  <si>
    <t>94304</t>
  </si>
  <si>
    <t>info@varian.com</t>
  </si>
  <si>
    <t>The company was acquired by Siemens Healthineers (FRA: SHL), a subsidiary of Siemens (ETR: SIE), for $16.4 billion on April 15, 2021. The combined company will offer an integrated platform of end-to-end oncology solutions to address the entire continuum of cancer care, from screening and diagnosis to care delivery and post-treatment survivorship.</t>
  </si>
  <si>
    <t>Bushkin Associates(Advisor: General), CFOs2GO(Consulting), Ekito(Consulting), Moore Stephens International(Accounting), Network Control(Consulting), REMAGINE Partners(Consulting), Rimon Law(Legal Advisor), SGC Partners(Consulting), Sideman &amp; Bancroft(Legal Advisor), The Mentor Group(Advisor: General), Venetia Partners(Consulting)</t>
  </si>
  <si>
    <t>Clifford Chance(Legal Advisor), JPMorgan Chase(Advisor: General), Slaughter and May(Legal Advisor), The Goldman Sachs Group(Advisor: Financial Due Diligence), UBS Group(Advisor: General), Wachtell, Lipton, Rosen &amp; Katz(Legal Advisor)</t>
  </si>
  <si>
    <t>40413-34</t>
  </si>
  <si>
    <t>Rohm &amp; Haas</t>
  </si>
  <si>
    <t>Rohm &amp; Haas Co.</t>
  </si>
  <si>
    <t>Manufacturer of chemicals. The company produces acrylic polymers, adhesives, sealants, coatings, cement, polymers, monomers, plastic additives, electronic materials, binders and plastic.</t>
  </si>
  <si>
    <t>Industrial Chemicals</t>
  </si>
  <si>
    <t>Industrial Chemicals*</t>
  </si>
  <si>
    <t>acrylic polymer, adhesives</t>
  </si>
  <si>
    <t>1989: 13040, 1990: 12920, 1991: 12872, 1992: 13619, 1993: 12985, 1994: 12211, 1995: 12211, 1996: 11633, 1997: 11592, 1998: 11300, 1999: 21512, 2000: 18474, 2001: 18210, 2002: 17611, 2003: 17300, 2004: 16691, 2005: 16519, 2006: 15800, 2007: 15710, 2008: 15490</t>
  </si>
  <si>
    <t>33040-45P</t>
  </si>
  <si>
    <t>Lewis Johnston</t>
  </si>
  <si>
    <t>Chief Auditor</t>
  </si>
  <si>
    <t>+1 (215) 592-3000</t>
  </si>
  <si>
    <t>Philadelphia, PA</t>
  </si>
  <si>
    <t>100 Independence Mall West</t>
  </si>
  <si>
    <t>Philadelphia</t>
  </si>
  <si>
    <t>19106</t>
  </si>
  <si>
    <t>+1 (215) 592-3377</t>
  </si>
  <si>
    <t>The company was acquired by The Dow Chemical Company (NYSE: DOW) for $16.3 billion on April 1, 2009. The company is no longer actively tracked by PitchBook.</t>
  </si>
  <si>
    <t>Dow</t>
  </si>
  <si>
    <t>BDA Partners(Advisor: General), BrandStar(Advisor: Communications), CHEMARK Consulting Group(Consulting), Gates and Company(Consulting), Strategex(Consulting), Vorys, Sater, Seymour and Pease(Legal Advisor)</t>
  </si>
  <si>
    <t>Cravath, Swaine &amp; Moore(Legal Advisor), Fasken(Legal Advisor), Greenhill &amp; Co.(Advisor: General), Perella Weinberg Partners(Advisor: General), Wachtell, Lipton, Rosen &amp; Katz(Legal Advisor)</t>
  </si>
  <si>
    <t>100972-09</t>
  </si>
  <si>
    <t>The Boots Company</t>
  </si>
  <si>
    <t>Boots</t>
  </si>
  <si>
    <t>The Boots Company PLC</t>
  </si>
  <si>
    <t>Rite Aid</t>
  </si>
  <si>
    <t>Operator of a chain of pharmacy stores based in Nottingham, United Kingdom. The company's stores offer medicine, health and beauty products, enabling patients to avail suitable and prescribed medicine medicinal products.</t>
  </si>
  <si>
    <t>Other Commercial Services, Pharmaceuticals, Specialty Retail*</t>
  </si>
  <si>
    <t>cancer care, pharmacy, pharmacy chain, pharmacy drugs, pharmacy store chain</t>
  </si>
  <si>
    <t>www.boots-uk.com</t>
  </si>
  <si>
    <t>2018: 57000, 2019: 62000, 2020: 54000, 2021: 44000</t>
  </si>
  <si>
    <t>Walgreens Boots Alliance</t>
  </si>
  <si>
    <t>260578-63P</t>
  </si>
  <si>
    <t>Michael Snape</t>
  </si>
  <si>
    <t>msnape@boots-uk.com</t>
  </si>
  <si>
    <t>+44 (0)34 5070 8090</t>
  </si>
  <si>
    <t>Nottingham, United Kingdom</t>
  </si>
  <si>
    <t>PO Box 5300</t>
  </si>
  <si>
    <t>Nottingham</t>
  </si>
  <si>
    <t>NG90 1AA</t>
  </si>
  <si>
    <t>The company was acquired by Walgreens Boots Alliance (NAS: WBA) for GBP 16 billion in 2014.</t>
  </si>
  <si>
    <t>Q5 Partners(Advisor: General)</t>
  </si>
  <si>
    <t>126045-55</t>
  </si>
  <si>
    <t>Hanson</t>
  </si>
  <si>
    <t>Hanson Trust plc</t>
  </si>
  <si>
    <t>Hanson UK</t>
  </si>
  <si>
    <t>Hanson Ltd</t>
  </si>
  <si>
    <t>Headwaters, Holcim, Breedon Group, Cement Industries of Malaysia, Cementir Italia, UltraTech Cement, Ambuja Cements, ACC, Holcim (LafargeHolcim)</t>
  </si>
  <si>
    <t>Manufacturer and seller of building materials. The company's building materials such as concrete, sands, bagged and landscaping aggregates, construction aggregates, crushed rocks, sands and gravels, fill materials, railway ballasts, asphalt and agricultural lime, enabling construction companies to buy raw materials easily.</t>
  </si>
  <si>
    <t>Building Products, Other Metals, Minerals and Mining*</t>
  </si>
  <si>
    <t>concrete cement, construction aggregates, landscaping aggregates, railway ballast</t>
  </si>
  <si>
    <t>www.hanson.co.uk</t>
  </si>
  <si>
    <t>1997: 22000, 1998: 14000, 1999: 17300, 2000: 27000, 2001: 26900, 2002: 25900, 2003: 24300, 2004: 24500, 2005: 24300, 2006: 25900, 2007: 65, 2008: 13</t>
  </si>
  <si>
    <t>HeidelbergCement</t>
  </si>
  <si>
    <t>TTM 2Q2007</t>
  </si>
  <si>
    <t>160649-02P</t>
  </si>
  <si>
    <t>Carsten Wendt</t>
  </si>
  <si>
    <t>Finance Director</t>
  </si>
  <si>
    <t>carsten.wendt@hanson.com</t>
  </si>
  <si>
    <t>+44 (0)16 2877 4100</t>
  </si>
  <si>
    <t>Maidenhead, United Kingdom</t>
  </si>
  <si>
    <t>14 Castle Hill</t>
  </si>
  <si>
    <t>Maidenhead</t>
  </si>
  <si>
    <t>SL6 4JJ</t>
  </si>
  <si>
    <t>The company was acquired by Lehigh UK, a subsidiary of HeidelbergCement (ETR: HEI) for GBP 8 billion in September 2007. The acquisition will enable the acquirer to expand its footprints in United Kingdom.</t>
  </si>
  <si>
    <t>Allen-Villere Partners(Advisor: General), Bushkin Associates(Advisor: General), EY(Auditor), FRD Center(Advisor: General), The Greystone Group(Advisor: General)</t>
  </si>
  <si>
    <t>61581-88</t>
  </si>
  <si>
    <t>Imperial Chemical Industries</t>
  </si>
  <si>
    <t>ICI</t>
  </si>
  <si>
    <t>Imperial Chemical Industries Ltd.</t>
  </si>
  <si>
    <t>Manufacturer and seller of specialty chemicals and paints. The company is engaged in the production and distribution of paints, chemical products, adhesives, encapsulants and specialty coatings to its clients in the architectural, food and beverage, personal care, textiles and footwear, paper and packaging, electronics, and construction industries in the United Kingdom, Europe, North America, Latin America and Asia.</t>
  </si>
  <si>
    <t>Other Chemicals and Gases</t>
  </si>
  <si>
    <t>Other Chemicals and Gases*, Other Commercial Products, Specialty Chemicals</t>
  </si>
  <si>
    <t>industrial specialty chemicals, paints manufacturing, spray adhesives</t>
  </si>
  <si>
    <t>www.ici.com</t>
  </si>
  <si>
    <t>1994: 66200, 1995: 64800, 1996: 63270, 1997: 69500, 1998: 60600, 1999: 53500, 2000: 45930, 2001: 38600, 2002: 38030, 2003: 36210, 2004: 33820, 2005: 32530, 2008: 1125</t>
  </si>
  <si>
    <t>20 Manchester Square</t>
  </si>
  <si>
    <t>W1U 3AN</t>
  </si>
  <si>
    <t>The company was acquired by AkzoNobel (AMS: AKZA) for GBP 8 billion on January 2, 2008. The deal was funded by a consortium of banks namely ABN AMRO Bank, Barclays Capital, BNP Paribas, Citigroup Global Markets, Deutsche Bank, HSBC Bank, ING Bank, Morgan Stanley and Societe Generale Corporate &amp; Investment Banking in the form of a loan. Subsequently, the company was delisted. The company is no longer actively tracked by PitchBook.</t>
  </si>
  <si>
    <t>AkzoNobel</t>
  </si>
  <si>
    <t>Caslano(Advisor: General), CHEMARK Consulting Group(Consulting)</t>
  </si>
  <si>
    <t>ABN AMRO Bank(Debt Financing), Bank of America Merrill Lynch(Advisor: General), Barclays Investment Bank(Debt Financing), BNP Paribas(Debt Financing), CHEMARK Consulting Group(Consulting), Citigroup Global Markets(Debt Financing), Deutsche Bank(Debt Financing), Freshfields Bruckhaus Deringer(Legal Advisor), HSBC Holdings(Debt Financing), ING Bank(Debt Financing), KPMG Audit(Advisor: General), Morgan Stanley(Advisor: General), Societe Generale Corporate &amp; Investment Banking(Debt Financing), UBS Group(Advisor: General), Zhong Lun Law Firm(Legal Advisor)</t>
  </si>
  <si>
    <t>10739-08</t>
  </si>
  <si>
    <t>Archstone-Smith</t>
  </si>
  <si>
    <t>Archstone Communities Trust, El Paso Real Estate Investment Trust</t>
  </si>
  <si>
    <t>Archstone, Archstone-Smith Trust</t>
  </si>
  <si>
    <t>Hines Interests Limited Partnership, Link Logistics Real Estate, Douglas Emmett, SL Green Realty, Home Properties, Industrial Property Trust, Apartment Investment and Management Company, UDR, AIR Communities, Vornado Realty Trust, Empire State Realty Trust, Boston Properties, Kilroy Realty</t>
  </si>
  <si>
    <t>Developer and operator of residential apartment buildings and communities in major metropolitan areas. The company operates as a real estate investment trust, and owns about 84,000 apartment units in areas such as Washington, DC, New York and Boston.</t>
  </si>
  <si>
    <t>Real Estate Investment Trusts (REITs)</t>
  </si>
  <si>
    <t>Real Estate Investment Trusts (REITs)*</t>
  </si>
  <si>
    <t>apartments, building, real estate, real estate investment trust, reit, residential</t>
  </si>
  <si>
    <t>1990: 10, 1997: 1231, 1998: 2100, 1999: 2000, 2000: 2000, 2001: 3300, 2002: 3450, 2003: 2730, 2004: 2640, 2005: 2703, 2006: 2666, 2007: 2659</t>
  </si>
  <si>
    <t>Englewood, CO</t>
  </si>
  <si>
    <t>9200 East Panorama Circle</t>
  </si>
  <si>
    <t>Englewood</t>
  </si>
  <si>
    <t>80112</t>
  </si>
  <si>
    <t>The company was acquired by Avalonbay Communities (NYSE: AVB) and Equity Residential (NYSE: EQR) for $16 billion on February 27, 2013. The company is no longer actively tracked by PitchBook.</t>
  </si>
  <si>
    <t>Avalonbay Communities, Equity Residential</t>
  </si>
  <si>
    <t>Lehman Brothers, Tishman Speyer Properties</t>
  </si>
  <si>
    <t>Avalonbay Communities(www.avaloncommunities.com), Equity Residential(www.equityapartments.com)</t>
  </si>
  <si>
    <t>Lehman Brothers(www.lehman.com), Tishman Speyer Properties(www.tishmanspeyer.com)</t>
  </si>
  <si>
    <t>Venable(Legal Advisor)</t>
  </si>
  <si>
    <t>Bank of America(Debt Financing), Barclays Investment Bank(Debt Financing), DLA Piper(Legal Advisor), Freddie Mac(Debt Financing), HFF Securities(Advisor: General), Hogan Lovells(Legal Advisor), Lehman Brothers(Advisor: General), Morgan Stanley(Legal Advisor), Willkie Farr &amp; Gallagher(Legal Advisor)</t>
  </si>
  <si>
    <t>25165-27</t>
  </si>
  <si>
    <t>BankBoston</t>
  </si>
  <si>
    <t>The Bank of Boston</t>
  </si>
  <si>
    <t>BankBoston Corporation</t>
  </si>
  <si>
    <t>Provider of banking and related financial services. The company's activities include investment banking, consumer and commercial banking services such as providing mortgages and home equity loans, checking and depository accounts, enabling corporate and individual clients to avail quality banking services to meet their financial needs.</t>
  </si>
  <si>
    <t>Investment Banks, National Banks*</t>
  </si>
  <si>
    <t>investment banking service, trade management service</t>
  </si>
  <si>
    <t>www.bankboston.com</t>
  </si>
  <si>
    <t>1989: 18600, 1990: 17400, 1991: 16100, 1992: 16100, 1993: 18644, 1994: 18644, 1995: 17881, 1996: 21990, 1997: 21495, 1998: 24500, 2018: 150</t>
  </si>
  <si>
    <t>TTM 2Q1999</t>
  </si>
  <si>
    <t>P.O. Box 2016</t>
  </si>
  <si>
    <t>The company was acquired by FleetBoston Financial (NYSE: FBF) for $16 billion on October 1, 1999. The company is no longer actively tracked by PitchBook.</t>
  </si>
  <si>
    <t>Benefit Capital Companies(Advisor: General), Martínez, Algaba, de Haro y Curiel(Legal Advisor), SWBi International(Advisor: General)</t>
  </si>
  <si>
    <t>25271-65</t>
  </si>
  <si>
    <t>Beam Suntory</t>
  </si>
  <si>
    <t>Beam, Fortune Brands, Beam Global Spirits &amp; Wine</t>
  </si>
  <si>
    <t>Beam Suntory, Inc.</t>
  </si>
  <si>
    <t>Puerto de Indias, Nelson's Green Brier Distillery, Tuthilltown Spirits, Martini &amp; Rossi, Dr Pepper Snapple Group, Patron Spirits, Bacardi-Martini, Windsor Vineyards, Carlton &amp; United Breweries, Accolade Wines, Castle Brands</t>
  </si>
  <si>
    <t>Producer of hard liquors and premium spirits intended to serve consumers all over the globe. The company operates various brands and distilleries and offers bourbon, Japanese, Canadian, Irish and scotch whiskey, helping its customers with their alcoholic drink needs.</t>
  </si>
  <si>
    <t>alcohol, consumables spirits, vodka, whiskey, wine</t>
  </si>
  <si>
    <t>www.beamsuntory.com</t>
  </si>
  <si>
    <t>1989: 20500, 1990: 49010, 1991: 64000, 1992: 23600, 1993: 45000, 1994: 34820, 1995: 34820, 1996: 28000, 1997: 24920, 1998: 26040, 1999: 26040, 2000: 27800, 2001: 24998, 2002: 28592, 2003: 30988, 2004: 31851, 2005: 30298, 2006: 36251, 2007: 31027, 2008: 27100, 2009: 24248, 2010: 24600, 2011: 3200, 2012: 3400, 2013: 3300, 2014: 3400, 2020: 231, 2021: 4800</t>
  </si>
  <si>
    <t>Suntory</t>
  </si>
  <si>
    <t>239867-65P</t>
  </si>
  <si>
    <t>Albert Baladi</t>
  </si>
  <si>
    <t>albert.baladi@beamsuntory.com</t>
  </si>
  <si>
    <t>Merchandise Mart, 222 West Merchandise Mart Plaza</t>
  </si>
  <si>
    <t>Suite 1600</t>
  </si>
  <si>
    <t>60654</t>
  </si>
  <si>
    <t>info@beamsuntory.com</t>
  </si>
  <si>
    <t>The company was acquired by Suntory (TKS: 2587) for $16 billion on April 30, 2014. As a result of the transaction, the company rebrands itself to Beam Suntory.</t>
  </si>
  <si>
    <t>Kingdom of Sweden, Pershing Square Holdings</t>
  </si>
  <si>
    <t>Pershing Square Holdings(www.pershingsquareholdings.com)</t>
  </si>
  <si>
    <t>Business Talent Group(Advisor: General), Centerview Partners(Advisor: General), Integration Consulting(Consulting)</t>
  </si>
  <si>
    <t>Centerview Partners(Advisor: General), Credit Suisse(Advisor: General), Lenner &amp; Partners Corporate Finance(Advisor: General), Morris, Nichols, Arsht &amp; Tunnell(Legal Advisor), Sidley Austin(Legal Advisor)</t>
  </si>
  <si>
    <t>122087-80</t>
  </si>
  <si>
    <t>GE Capital Bank (online banking unit)</t>
  </si>
  <si>
    <t>Provider of online banking services. The business unit oversees online deposits and brokered certificates of deposit.</t>
  </si>
  <si>
    <t>Investment Banks, Other Commercial Banks*</t>
  </si>
  <si>
    <t>online banking, online deposits</t>
  </si>
  <si>
    <t>Carol Stream, IL</t>
  </si>
  <si>
    <t>PO Box 4571</t>
  </si>
  <si>
    <t>Carol Stream</t>
  </si>
  <si>
    <t>60197</t>
  </si>
  <si>
    <t>The Online Banking Unit of General Electric Capital was acquired by Goldman Sachs for $16 billion on April 18, 2016. Under this agreement approximately $16 billion of deposits will be transferred to GS Bank. The unit is no longer actively tracked by PitchBook.</t>
  </si>
  <si>
    <t>The Goldman Sachs Group</t>
  </si>
  <si>
    <t>GE Capital</t>
  </si>
  <si>
    <t>GE Capital(www.gecapital.com)</t>
  </si>
  <si>
    <t>63212-59</t>
  </si>
  <si>
    <t>GlaxoSmithKline (Oncology Business)</t>
  </si>
  <si>
    <t>Provider of treatment for cancer. The company manufactures and sells medicines used in the treatment of cancer.</t>
  </si>
  <si>
    <t>cancer treatment, oncology treatment</t>
  </si>
  <si>
    <t>Brentford, United Kingdom</t>
  </si>
  <si>
    <t>980 Great West Road</t>
  </si>
  <si>
    <t>Brentford</t>
  </si>
  <si>
    <t>TW8 9GS</t>
  </si>
  <si>
    <t>The oncology business of GlaxoSmithKline (LSE: GSK) was acquired by Novartis (SIX: NOVN) for $16 billion on March 2, 2015. The business unit is no longer actively tracked by PitchBook.</t>
  </si>
  <si>
    <t>Novartis</t>
  </si>
  <si>
    <t>GlaxoSmithKline</t>
  </si>
  <si>
    <t>GlaxoSmithKline(www.gsk.com)</t>
  </si>
  <si>
    <t>51328-99</t>
  </si>
  <si>
    <t>Immunex</t>
  </si>
  <si>
    <t>Immunex Corporation</t>
  </si>
  <si>
    <t>Operator of a biopharmaceutical company intended to manufacture, develop and market therapeutic products. The company's therapeutic products were essentially immune system proteins that acted as hormones in the body enabling it to offer treatments for cancer, infectious diseases and autoimmune disorders.</t>
  </si>
  <si>
    <t>antibody therapeutics, asthma, cardiovascular therapy, rheumatoid arthritis, vascular science</t>
  </si>
  <si>
    <t>www.immunex.com</t>
  </si>
  <si>
    <t>1989: 350, 1990: 434, 1991: 527, 1992: 595, 1993: 782, 1994: 782, 1995: 770, 1996: 808, 1997: 886, 1998: 1007, 1999: 1170, 2000: 1425, 2001: 1618</t>
  </si>
  <si>
    <t>Seattle, WA</t>
  </si>
  <si>
    <t>51 University Street</t>
  </si>
  <si>
    <t>Seattle</t>
  </si>
  <si>
    <t>Washington</t>
  </si>
  <si>
    <t>98101</t>
  </si>
  <si>
    <t>The company was acquired by Amgen (NASDAQ: AMGN) for $16 billion on July 16, 2002. The company is no longer actively tracked by PitchBook.</t>
  </si>
  <si>
    <t>Amgen</t>
  </si>
  <si>
    <t>Cable &amp; Howse Ventures, Domain Associates, Eurand, Mayfield (Private Equity), New Enterprise Associates</t>
  </si>
  <si>
    <t>Domain Associates(www.domainvc.com), Mayfield (Private Equity)(www.mayfield.com), New Enterprise Associates(www.nea.com)</t>
  </si>
  <si>
    <t>Adams Harkness &amp; Hill Financial(Underwriter), Bank of America(Underwriter), Bear Stearns(Underwriter), BNP Paribas Fortis(Underwriter), Chase Securities(Underwriter), Commerzbank(Underwriter), Credit Suisse(Underwriter), D.A. Davidson Companies(Underwriter), Dain Rauscher Wessels(Underwriter), Edward Jones Investments(Underwriter), EY(Accounting), Janney(Underwriter), Lehman Brothers(Underwriter), Merrill Lynch Pierce Fenner &amp; Smith(Underwriter), Morgan Stanley(Underwriter), Neuberger Berman(Underwriter), Orrick(Legal Advisor), Piper Sandler(Underwriter), Ragen Mackenzie(Underwriter), Robertson Stephens (Out of Business in 2017)(Underwriter), Sanford C. Bernstein(Underwriter), Sullivan &amp; Cromwell(Legal Advisor), SVB Leerink(Underwriter)</t>
  </si>
  <si>
    <t>51714-73</t>
  </si>
  <si>
    <t>Nexon (TKS: 3659)</t>
  </si>
  <si>
    <t>Nexon Co. Ltd.</t>
  </si>
  <si>
    <t>Starbreeze, Codemasters, NCSoft, Falafel Games, Square Enix Europe</t>
  </si>
  <si>
    <t>NEXON Co Ltd provides engaging, high quality, geographically unique games to international users through the development and service of PC online and mobile games. The company's major PC online titles include MapleStory and Dungeon&amp;Fighter and their mobile games include HIT and DomiNations. The games are in approximately 200 countries including China, Korea, Japan, North America, and Europe. The PC segment is responsible for a majority of revenue, while the Mobile segment accounts for a smaller portion. Geographically, over half of the company's revenue is derived from China, roughly one quarter is derived from Korea, and the remainder is derived from Japan, North America, and Europe &amp; Others.</t>
  </si>
  <si>
    <t>Entertainment Software, Movies, Music and Entertainment*, Publishing</t>
  </si>
  <si>
    <t>Gaming, TMT</t>
  </si>
  <si>
    <t>free-to-play games, multiplayer games, multiplayer gaming, online gaming</t>
  </si>
  <si>
    <t>www.nexon.com</t>
  </si>
  <si>
    <t>2011: 3420, 2012: 4187, 2013: 4661, 2014: 4656, 2015: 5033, 2016: 5525, 2017: 5898, 2018: 6584, 2019: 6571, 2020: 6365</t>
  </si>
  <si>
    <t>3659</t>
  </si>
  <si>
    <t>52508-62P</t>
  </si>
  <si>
    <t>Owen Mahoney</t>
  </si>
  <si>
    <t>Representative Director, Chief Executive Officer &amp; President</t>
  </si>
  <si>
    <t>owen.mahoney@nexon.com</t>
  </si>
  <si>
    <t>Ark Hills South Tower 6F</t>
  </si>
  <si>
    <t>1-4-5 Roppongi, Minato-ku</t>
  </si>
  <si>
    <t>106-0032</t>
  </si>
  <si>
    <t>The company has received bids to be acquired by TPG Capital, The Carlyle Group, Kohlberg Kravis Roberts, Bain Capital, MBK Partners, KaKao and Netmarble Games (KRX: 251270) for $16 billion on May 31, 2019. Subsequently, the deal was cancelled on July 8, 2019 Previously, the company raised $1.17 billion in its initial public offering on the Tokyo Stock Exchange under the ticker symbol of 3659 on December 13, 2011.</t>
  </si>
  <si>
    <t>SoftBank Ventures Asia, WiseKids</t>
  </si>
  <si>
    <t>Insight Partners</t>
  </si>
  <si>
    <t>Amazon.com, Bain Capital, Comcast, Electronic Arts, KaKao, Kohlberg Kravis Roberts, MBK Partners, Netmarble Games, The Blackstone Group, The Carlyle Group, TPG</t>
  </si>
  <si>
    <t>SoftBank Ventures Asia(www.softbank.co.kr)</t>
  </si>
  <si>
    <t>Insight Partners(www.insightpartners.com)</t>
  </si>
  <si>
    <t>Amazon.com(www.amazon.com), Bain Capital(www.baincapital.com), Comcast(corporate.comcast.com), Electronic Arts(www.ea.com), KaKao(www.kakaocorp.com), Kohlberg Kravis Roberts(www.kkr.com), MBK Partners(www.mbkpartnerslp.com), Netmarble Games(www.netmarble.com), The Blackstone Group(www.blackstone.com), The Carlyle Group(www.carlyle.com), TPG(www.tpg.com)</t>
  </si>
  <si>
    <t>Deutsche Bank(Lead Manager or Arranger), Morgan Stanley(Advisor: General), Nomura Private Equity Capital(Underwriter), The Goldman Sachs Group(Advisor: General)</t>
  </si>
  <si>
    <t>11065-60</t>
  </si>
  <si>
    <t>Nuance Communications (NAS: NUAN)</t>
  </si>
  <si>
    <t>Kurzweil Computer Products, Xerox Imaging Systems, ScanSoft</t>
  </si>
  <si>
    <t>NUAN, Nuance</t>
  </si>
  <si>
    <t>Nuance Communications, Inc.</t>
  </si>
  <si>
    <t>SnapMD, Practice Insight, HealthEC, Life Image, Avelead Consulting, Palabra Apps, Quadax, Veeva Systems, Ephesoft, Calabrio, Kofax, Next IT, Artificial Solutions, Interactions, Dotmatics, DocuPhase, ABBYY, Genesys, Alfresco Software, SAS Institute, WorkForce Software, Subtle Medical, Automation Anywhere, Inbenta, Directly, nVoq, Cima Software, AI Speech, Clinc, Voicegain, DigitalGenius, Epicor Software, Reply.ai, Salesforce.com, Aspect Software (Massachusetts), SnapTV, Flamingo AI, SAP, Kayako, Vivocha, Help.com, Nitro Software</t>
  </si>
  <si>
    <t>Nuance Communications Inc is the pioneer in conversational AI innovations that bring intelligence to everyday work and life. The company delivers solutions that understand, analyze, and respond to people amplifying human intelligence to increase productivity and security. Its operating segment includes Healthcare; Enterprise; and Other. The company generates maximum revenue from the Healthcare segment. Its Healthcare segment is primarily engaged in providing clinical speech and clinical language understanding solutions that improve the clinical documentation process, from capturing the complete patient record to improving clinical documentation and quality measures for reimbursement. Geographically, it derives a majority of revenue from the United States.</t>
  </si>
  <si>
    <t>Business/Productivity Software*, Other Healthcare Technology Systems</t>
  </si>
  <si>
    <t>Artificial Intelligence &amp; Machine Learning, SaaS, TMT</t>
  </si>
  <si>
    <t>ai-enhanced learning, imaging software, natural language understanding, speech based technology, voice recognition</t>
  </si>
  <si>
    <t>www.nuance.com</t>
  </si>
  <si>
    <t>1994: 83, 1995: 99, 1996: 124, 1997: 262, 1998: 138, 1999: 62, 2000: 245, 2001: 472, 2002: 489, 2003: 806, 2004: 832, 2005: 1112, 2006: 1681, 2007: 3900, 2008: 6100, 2009: 5800, 2010: 6100, 2011: 7300, 2012: 12000, 2013: 12000, 2014: 14000, 2015: 13500, 2016: 13200, 2017: 11600, 2018: 10400, 2019: 6700, 2020: 7100, 2021: 7674</t>
  </si>
  <si>
    <t>NUAN</t>
  </si>
  <si>
    <t>87532-39P</t>
  </si>
  <si>
    <t>Daniel Tempesta</t>
  </si>
  <si>
    <t>dan@nuance.com</t>
  </si>
  <si>
    <t>+1 (781) 565-5000</t>
  </si>
  <si>
    <t>Burlington, MA</t>
  </si>
  <si>
    <t>1 Wayside Road</t>
  </si>
  <si>
    <t>Burlington</t>
  </si>
  <si>
    <t>01803</t>
  </si>
  <si>
    <t>The company reached a definitive agreement to be acquired by Microsoft (NAS: MSFT) for $16 billion on April 12, 2021. The acquisition will help Microsoft to put advanced AI solutions into the hands of professionals everywhere to drive better decision-making and create more meaningful connections. Previously, the company (NAS:NUAN) received $5.15 million of development capital from 8VC on August 4, 2020 through a private placement. The company is being actively tracked by PitchBook.</t>
  </si>
  <si>
    <t>8VC, Icahn Enterprises, Neuberger Berman</t>
  </si>
  <si>
    <t>Alloy Ventures, Artiman Ventures, Asset Management Finance, Asset Management Ventures, Attractor Investment Management, Brown Venture Associates, Carl Icahn, F-Prime Capital, Intel Capital, IVP, Mayfield (Private Equity), Morgenthaler Ventures, Motorola Solutions Venture Capital, Rembrandt Venture Partners, SAIC Venture Capital, SRI Ventures, The Goldman Sachs Group, US Venture Partners, Visa, Volition Capital, Warburg Pincus, Xerox</t>
  </si>
  <si>
    <t>8VC(www.8vc.com), Icahn Enterprises(www.ielp.com), Neuberger Berman(www.nb.com)</t>
  </si>
  <si>
    <t>Alloy Ventures(www.alloyventures.com), Artiman Ventures(www.artiman.com), Asset Management Finance(www.amfinance.com), Asset Management Ventures(www.assetman.com), Attractor Investment Management(www.attractor.com), Brown Venture Associates(www.bva.com), Carl Icahn(www.carlicahn.com), F-Prime Capital(www.fprimecapital.com), Intel Capital(www.intelcapital.com), IVP(www.ivp.com), Mayfield (Private Equity)(www.mayfield.com), Morgenthaler Ventures(www.morgenthaler.com), Rembrandt Venture Partners(www.rembrandtvc.com), The Goldman Sachs Group(www.goldmansachs.com), US Venture Partners(www.usvp.com), Visa(www.visa.com), Volition Capital(www.volitioncapital.com), Warburg Pincus(www.warburgpincus.com), Xerox(www.xerox.com)</t>
  </si>
  <si>
    <t>Microsoft(www.microsoft.com)</t>
  </si>
  <si>
    <t>Accounting Management Solutions(Accounting), Alliant Partners(Advisor: General), Aspen Worldwide(Consulting), Bowdoin Group(Consulting), David Powell(Consulting), Deloitte(Auditor), Kaufman &amp; Company(Advisor: General), Kidder Mathews(Advisor: General), Pagemill Partners(Advisor: General), Star Global Consulting(Consulting), The Astor Group(Advisor: General)</t>
  </si>
  <si>
    <t>Andersen Global(Auditor), Bank of America Merrill Lynch(Advisor: General), BDO(Accounting), Citigroup(Underwriter), Craig-Hallum Capital Group(Underwriter), Dain Rauscher Wessels(Underwriter), Edward Jones Investments(Underwriter), Evercore Group(Advisor: General), Fidelity Capital Markets(Underwriter), First Union National Bank(Underwriter), KeyBank(Underwriter), Lehman Brothers(Lead Manager or Arranger), Needham &amp; Company(Underwriter), Paul, Weiss, Rifkind, Wharton &amp; Garrison(Legal Advisor), Prudential Equity Group(Underwriter), Raymond James Financial(Underwriter), Robert W. Baird &amp; Co(Underwriter), RSM US(Accounting), Sands Brothers &amp; Co(Underwriter), Shearman &amp; Sterling(Legal Advisor), Soundview Technology Group(Underwriter), Stephens(Underwriter), Sturdivant &amp; Co.(Underwriter), SunTrust Robinson Humphrey(Underwriter), The Goldman Sachs Group(Underwriter), Thomas Weisel Partners Group(Lead Manager or Arranger), William Blair &amp; Company(Underwriter), Wilson Sonsini Goodrich &amp; Rosati(Legal Advisor)</t>
  </si>
  <si>
    <t>Series C</t>
  </si>
  <si>
    <t>11056-78</t>
  </si>
  <si>
    <t>Organon BioSciences</t>
  </si>
  <si>
    <t>Organon BioSciences N.V.</t>
  </si>
  <si>
    <t>Manufacturer of pharmaceutical products. The company develops, manufactures and markets products targeting selected therapeutic areas in human pharmaceuticals and covering a wide range of species in animal health. It offers its products in the areas of cardiovascular disease, fertility, gynecology, anesthesia, respiratory, consumer health care and neuroscience, immunology, animal health and oncology.</t>
  </si>
  <si>
    <t>HealthTech, Life Sciences, Manufacturing, Oncology, TMT</t>
  </si>
  <si>
    <t>human pharmaceutical, pharmaceutical drugs</t>
  </si>
  <si>
    <t>www.organon.com</t>
  </si>
  <si>
    <t>151713-46P</t>
  </si>
  <si>
    <t>Antonius Wilderbeek</t>
  </si>
  <si>
    <t>a.wilderbeek@organonbiosciences.com</t>
  </si>
  <si>
    <t>Oss, Netherlands</t>
  </si>
  <si>
    <t>Molenstraat 110</t>
  </si>
  <si>
    <t>Oss</t>
  </si>
  <si>
    <t>5342 CC</t>
  </si>
  <si>
    <t>The company was acquired by Schering-Plough (NYSE: SGP) for EUR 11 billion on November 19, 2007. The deal will expand and strengthen Schering-Plough's late-stage Rx pipeline with five additional promising Phase III compounds. The company is no longer actively tracked by PitchBook.</t>
  </si>
  <si>
    <t>AkzoNobel(www.akzonobel.com)</t>
  </si>
  <si>
    <t>ABN AMRO Bank(Advisor: General), De Brauw Blackstone Westbroek(Legal Advisor), Morgan Stanley(Advisor: General), Sullivan &amp; Cromwell(Legal Advisor)</t>
  </si>
  <si>
    <t>13260-25</t>
  </si>
  <si>
    <t>DuPont Nutrition &amp; Health</t>
  </si>
  <si>
    <t>Danisco</t>
  </si>
  <si>
    <t>Dupont N&amp;H</t>
  </si>
  <si>
    <t>Symrise, Omega Protein, BrucePac, Nactis Flavours, Fauji Foods, Blommer Chocolate Company, Kemin Industries, Advance International, Natra, Barry Callebaut, Ingredion, Novus International, Mondelēz International, Grupo Turin, Agrana Beteiligungs, Keystone Foods, JBS USA, SunOpta, Kerry Group</t>
  </si>
  <si>
    <t>Producer of food ingredients in the United States. The company develops, produces and markets food and beverage ingredients, enzymes and bio-based services. It offers soy proteins, probiotics, hydrocolliods, pharmaceutical ingredients, alginate, antioxidants, betaine, carrageenan, cellulose gum, antimicrobials, xanthan, emulsifiers, enzymes, dairy cultures, dietary fiber, guar gum, locust bean gum, sweeteners and medium-chain triglycerides.</t>
  </si>
  <si>
    <t>Agricultural Chemicals*, Food Products</t>
  </si>
  <si>
    <t>beverages ingredients, dietary supplements, food ingredients, specialty chemicals, specialty food</t>
  </si>
  <si>
    <t>www.dupontnutritionandbiosciences.com</t>
  </si>
  <si>
    <t>2008: 9510, 2009: 8986, 2010: 1327, 2011: 7000, 2019: 10000, 2021: 231</t>
  </si>
  <si>
    <t>TTM 3Q2011</t>
  </si>
  <si>
    <t>New Century, KS</t>
  </si>
  <si>
    <t>4 New Century Parkway</t>
  </si>
  <si>
    <t>New Century</t>
  </si>
  <si>
    <t>Kansas</t>
  </si>
  <si>
    <t>66031</t>
  </si>
  <si>
    <t>The company was acquired by International Flavors &amp; Fragrances (NYS: IFF) for $15.954 billion on February 1, 2021. The consideration consists of $25 for pre merger service of equity replacement awards and $ 15,929 million of stocks issued to the company's shareholders. The company is no longer actively tracked by PitchBook.</t>
  </si>
  <si>
    <t>International Flavors &amp; Fragrances</t>
  </si>
  <si>
    <t>E. I. du Pont de Nemours</t>
  </si>
  <si>
    <t>Nordic Investment Bank(Debt Financing), Sprim(Consulting)</t>
  </si>
  <si>
    <t>Carter Ledyard &amp; Milburn(Legal Advisor), Deutsche Bank(Advisor: General), Kromann Reumert(Legal Advisor), Nordea Markets(Advisor: General)</t>
  </si>
  <si>
    <t>10440-28</t>
  </si>
  <si>
    <t>Alliance Boots</t>
  </si>
  <si>
    <t>Boots UK, Boots the Chemists, Boot and Co., Boots Pure Drug Company</t>
  </si>
  <si>
    <t>Alliance Boots GmbH</t>
  </si>
  <si>
    <t>Provider of pharmacy-led health and beauty retailing and pharmaceutical wholesaling and distribution services. The company offers cosmetics and skincare products, sun care products, skin, hair, bath and body products and generic medicines which includes anti-aging skincare products, patient care products and everyday health and hygiene products.</t>
  </si>
  <si>
    <t>Distributors/Wholesale*, Personal Products, Pharmaceuticals</t>
  </si>
  <si>
    <t>anti-aging skincare, body product, care product, hygiene product</t>
  </si>
  <si>
    <t>www.allianceboots.com</t>
  </si>
  <si>
    <t>1998: 85349, 1999: 87394, 2000: 62133, 2001: 83560, 2002: 78706, 2003: 75360, 2004: 68910, 2005: 69631, 2009: 94319, 2012: 116000, 2014: 108000</t>
  </si>
  <si>
    <t>85926-07P</t>
  </si>
  <si>
    <t>George Silvester</t>
  </si>
  <si>
    <t>Director, Mergers &amp; Acquisitions-Retail</t>
  </si>
  <si>
    <t>gsilvester@allianceboots.com</t>
  </si>
  <si>
    <t>Bern, Switzerland</t>
  </si>
  <si>
    <t>Untermattweg 8</t>
  </si>
  <si>
    <t>Bern</t>
  </si>
  <si>
    <t>3027</t>
  </si>
  <si>
    <t>The company was acquired by Walgreens Boots Alliance (NYS: WAG) for $ 15.930 billion on December 31, 2014. The company is no longer actively tracked by PitchBook.</t>
  </si>
  <si>
    <t>Ardian, Canada Pension Plan Investment Board, Kohlberg Kravis Roberts, The Carlyle Group, The Family Office Company</t>
  </si>
  <si>
    <t>AlpInvest Partners, Halifax Bank, Terra Firma Capital Partners, Wellcome Trust</t>
  </si>
  <si>
    <t>Ardian(www.ardian.com), Canada Pension Plan Investment Board(www.cppinvestments.com), Kohlberg Kravis Roberts(www.kkr.com), The Carlyle Group(www.carlyle.com), The Family Office Company(www.tfoco.com)</t>
  </si>
  <si>
    <t>AlpInvest Partners(www.alpinvest.com), Halifax Bank(www.halifax.co.uk), Terra Firma Capital Partners(www.terrafirma.com), Wellcome Trust(www.wellcome.ac.uk)</t>
  </si>
  <si>
    <t>Allen &amp; Overy(Legal Advisor), Apollo Investment(Debt Financing), Bank of America(Debt Financing), Bank of America Merrill Lynch(Advisor: General), Barclays(Debt Financing), Centerview Partners(Advisor: General), Citigroup(Debt Financing), Clifford Chance(Legal Advisor), Credit Suisse(Advisor: General), Darrois Villey Maillot Brochier(Legal Advisor), Debevoise &amp; Plimpton(Legal Advisor), Deloitte(Advisor: General), Deutsche Bank(Debt Financing), Gleacher Shacklock(Advisor: General), Greenhill &amp; Co.(Advisor: General), J.P. Morgan(Debt Financing), JP Morgan Cazenove(Advisor: General), Lazard(Advisor: General), Lehman Brothers(Advisor: General), Linklaters(Legal Advisor), Macfarlanes(Legal Advisor), NatWest Group(Debt Financing), Niederer Kraft Frey(Legal Advisor), O'Melveny &amp; Myers(Legal Advisor), Simpson Thacher &amp; Bartlett(Legal Advisor), Slaughter and May(Legal Advisor), The Carlyle Group(Debt Financing), The Goldman Sachs Group(Advisor: General), UBS Group(Advisor: General), UniCredit(Debt Financing), Wachtell, Lipton, Rosen &amp; Katz(Legal Advisor), Weil, Gotshal &amp; Manges(Legal Advisor)</t>
  </si>
  <si>
    <t>Apollo Investment(Debt Financing), Bank of America(Debt Financing), Bank of America Merrill Lynch(Advisor: General), Barclays(Debt Financing), Centerview Partners(Advisor: General), Citigroup(Debt Financing), Credit Suisse(Advisor: General), Darrois Villey Maillot Brochier(Legal Advisor), Debevoise &amp; Plimpton(Legal Advisor), Deloitte(Advisor: General), Deutsche Bank(Debt Financing), Greenhill &amp; Co.(Advisor: General), J.P. Morgan(Debt Financing), Linklaters(Legal Advisor), NatWest Group(Debt Financing), Simpson Thacher &amp; Bartlett(Legal Advisor), Slaughter and May(Legal Advisor), The Carlyle Group(Debt Financing), The Goldman Sachs Group(Advisor: General), UBS Group(Advisor: General), UniCredit(Debt Financing)</t>
  </si>
  <si>
    <t>13414-69</t>
  </si>
  <si>
    <t>Linear Technology</t>
  </si>
  <si>
    <t>Linear</t>
  </si>
  <si>
    <t>Linear Technology Corp.</t>
  </si>
  <si>
    <t>Cypress Semiconductor, Atmel, Diodes, Analog Devices, Texas Instruments, KLA, Lattice Semiconductor, Skyworks Solutions, Intersil, Pericom Semiconductor, Imagination Technologies, Power Integrations, Qorvo, MACOM Technology Solutions, Monolithic Power Systems, Rambus, Intel, GlobalFoundries U.S., Maxim Integrated Products, Dialog Semiconductor, Broadcom, HiSilicon, iC-Haus, Capella Microsystems, NXP Semiconductors, InvenSense, Renesas Electronics, Cirrus Logic, Xilinx, ON Semiconductor, Espressif, Melexis, Maxlinear, ams, Cymbet, Marvell International, Integrated Device Technology, Microsemi, Fortemedia, Fairchild Semiconductor International, PhaseLink, Vishay Intertechnology, Silicon Labs, STMicroelectronics, Infineon Technologies, Advanced Micro Devices</t>
  </si>
  <si>
    <t>Manufacturer and designer of integrated circuits designed to solve tough engineering challenges. The company creates analog, mixed-signal and DSP (digital signal processing) integrated circuits to bridge the analog world and digital electronics in communications, networking, industrial, automotive, computer, medical, instrumentation, military and aerospace systems.</t>
  </si>
  <si>
    <t>General Purpose Semiconductors*</t>
  </si>
  <si>
    <t>amplifiers, clock and timing product, industrial ethernet, microwave circuit, optical circuit, power management, pwoer management</t>
  </si>
  <si>
    <t>www.linear.com</t>
  </si>
  <si>
    <t>1990: 535, 1991: 730, 1992: 800, 1993: 802, 1994: 1000, 1995: 1350, 1996: 1638, 1997: 1804, 1998: 2155, 1999: 2337, 2000: 2815, 2001: 3193, 2002: 2691, 2003: 2613, 2004: 3050, 2005: 3217, 2006: 3755, 2007: 3837, 2008: 4173, 2009: 3821, 2010: 4191, 2011: 4505, 2012: 4365, 2013: 4306, 2014: 4661, 2015: 4868, 2016: 4923</t>
  </si>
  <si>
    <t>Analog Devices</t>
  </si>
  <si>
    <t>TTM 2Q2017</t>
  </si>
  <si>
    <t>35667-37P</t>
  </si>
  <si>
    <t>Alexander McCann</t>
  </si>
  <si>
    <t>amccann@linear.com</t>
  </si>
  <si>
    <t>+1 (408) 432-1900</t>
  </si>
  <si>
    <t>Milpitas, CA</t>
  </si>
  <si>
    <t>1630 McCarthy Boulevard</t>
  </si>
  <si>
    <t>Milpitas</t>
  </si>
  <si>
    <t>95035</t>
  </si>
  <si>
    <t>The company was acquired by Analog Devices (NASDAQ: ADI) for $15.8 billion on March 10, 2017. Debt financing will be provided to Analog Devices (NASDAQ: ADI) by MUFG, Bank of America Merrill Lynch, J.P. Morgan and Credit Suisse (VTX: CSGN). Under the terms of the transaction, Analog Devices Inc will pay US$46 cash per share and will issue 0.2321 shares for every share held in Linear Technology. The transaction is expected to be funded through the issuance of 58 million new shares, US$7.5 billion in new long-term debt, and the combined company's balance sheet cash. The transaction will strengthen Analog Device's position in the analog industry and allow it to solve their customer's complex challenges at the intersection of the physical and digital domains.</t>
  </si>
  <si>
    <t>Berkeley VC International, Charter Venture Capital, Cornerstone Equity Investors, Kleiner Perkins, Mayfield (Private Equity), Olivetti, Sequoia Capital, Sutter Hill Ventures, Tekla Capital Management, Vulcan Capital</t>
  </si>
  <si>
    <t>Berkeley VC International(www.berkeleyvc.com), Charter Venture Capital(www.charterventures.com), Cornerstone Equity Investors(www.cornerstone-equity.com), Kleiner Perkins(www.kleinerperkins.com), Mayfield (Private Equity)(www.mayfield.com), Olivetti(www.olivetti.it), Sequoia Capital(www.sequoiacap.com), Sutter Hill Ventures(www.shv.com), Tekla Capital Management(www.teklacap.com), Vulcan Capital(capital.vulcan.com)</t>
  </si>
  <si>
    <t>Pagemill Partners(Advisor: General)</t>
  </si>
  <si>
    <t>Jones Day(Legal Advisor), Morgan Stanley(Underwriter), Morrow Sodali(Advisor: Communications), Qatalyst Partners(Advisor: General), Tekla Capital Management(Underwriter), Wilson Sonsini Goodrich &amp; Rosati(Legal Advisor)</t>
  </si>
  <si>
    <t>Loan (Unsecured); Revolving Credit Line</t>
  </si>
  <si>
    <t>41154-22</t>
  </si>
  <si>
    <t>Tiffany</t>
  </si>
  <si>
    <t>Tiffany &amp; Co.</t>
  </si>
  <si>
    <t>Helzberg's Diamond Shops, Orori, Reeds Jewelers, Saks, Diamonds Direct, Van Cleef &amp; Arpels, Blue Nile (Seattle), Jacob &amp; Co, Buccellati Holding Italia, JomaShop, Brilliant Earth, Boucheron Holding, Repossi, Birks Group, 1stdibs, De Beers Diamond Jewellers, I Love Diamonds, Velvetcase, Swarovski Crystal, Ritani, Bulgari, Bluestone, Guccio Gucci, Damiani, Calvin Klein, Boticca.com, Claire's Stores, PANDORA, CaratLane.com, James Allen</t>
  </si>
  <si>
    <t>Designer, manufacturer, and specialty retailer of jewelry and other ornaments. The company operates retail jewelry stores in the Americas, Asia-Pacific, Japan, Europe, and the United Arab Emirates and offers jewelry, sterling silver, china, crystal, stationery, fragrances, water bottles, watches, personal accessories, and leather goods, and also engages in direct selling through internet, catalog, and business gift operations.</t>
  </si>
  <si>
    <t>Accessories*, Luxury Goods, Specialty Retail</t>
  </si>
  <si>
    <t>engagement rings, fine jewelry, gemstone jewelry, jewelry sales, sterling silver jewelry, wedding band</t>
  </si>
  <si>
    <t>www.tiffany.com</t>
  </si>
  <si>
    <t>1990: 2085, 1991: 2085, 1993: 2865, 1994: 3133, 1995: 3306, 1996: 3656, 1997: 3892, 1998: 4360, 1999: 4845, 2000: 5368, 2001: 5960, 2002: 5938, 2003: 6431, 2004: 6862, 2005: 7341, 2006: 8100, 2007: 8900, 2008: 8800, 2009: 9000, 2010: 8400, 2011: 9200, 2012: 9800, 2013: 9900, 2014: 10600, 2015: 12000, 2016: 12200, 2017: 11900, 2018: 13100, 2019: 14200, 2020: 14100, 2021: 14000</t>
  </si>
  <si>
    <t>LVMH Moët Hennessy Louis Vuitton</t>
  </si>
  <si>
    <t>News (New) , News (New) , News (New) , News (New) , News (New) , News (New) , News (New) , News (New) , News (New) , News (New) , News (New) , News (New) , News (New) , News (New) , News (New) , News (New) , News (New) , News (New) , News (New) , News (New) , News (New) , News (New)</t>
  </si>
  <si>
    <t>74449-00P</t>
  </si>
  <si>
    <t>Alessandro Bogliolo</t>
  </si>
  <si>
    <t>+1 (212) 755-8000</t>
  </si>
  <si>
    <t>200 Fifth Avenue</t>
  </si>
  <si>
    <t>10010</t>
  </si>
  <si>
    <t>info@tiffany.com</t>
  </si>
  <si>
    <t>The company was acquired by LVMH Moët Hennessy Louis Vuitton (PAR: MC) for $15.8 billion on January 7, 2021.</t>
  </si>
  <si>
    <t>Blum Capital Partners, Investcorp Strategic Capital Group, JANA Partners, Qatar Investment Authority</t>
  </si>
  <si>
    <t>Blum Capital Partners(www.blumcapital.com), Investcorp Strategic Capital Group(www.investcorp.com), JANA Partners(www.janapartners.com), Qatar Investment Authority(www.qia.qa)</t>
  </si>
  <si>
    <t>Columbia Capital Securities(Advisor: General), Cowan, Liebowitz &amp; Latman(Legal Advisor), FSG(Consulting), Karen Harvey Consulting Group(Consulting), Stonebridge Associates(Advisor: General), Telsey Advisory Group(Advisor: General), The Audible Group(Consulting)</t>
  </si>
  <si>
    <t>Centerview Partners(Advisor: General), Sard Verbinnen(Advisor: General), Sullivan &amp; Cromwell(Legal Advisor), The Goldman Sachs Group(Advisor: General), Weil, Gotshal &amp; Manges(Legal Advisor)</t>
  </si>
  <si>
    <t>169287-13</t>
  </si>
  <si>
    <t>WellPoint Health Networks</t>
  </si>
  <si>
    <t>WellPoint</t>
  </si>
  <si>
    <t>WellPoint Health Networks Inc.</t>
  </si>
  <si>
    <t>Provider of healthcare insurance services. The company offers various healthcare insurance products, plans and services in the field of managed care to its clients in United States.</t>
  </si>
  <si>
    <t>Life and Health Insurance*, Managed Care</t>
  </si>
  <si>
    <t>healthcare insurance, insurance planning</t>
  </si>
  <si>
    <t>www.wellpoint.com</t>
  </si>
  <si>
    <t>1991: 2700, 1992: 2700, 1993: 2760, 1994: 2760, 1995: 3850, 1996: 6600, 1997: 10100, 1998: 10600, 1999: 10600, 2000: 10900, 2001: 13900, 2002: 16200, 2003: 19100</t>
  </si>
  <si>
    <t>TTM 3Q2004</t>
  </si>
  <si>
    <t>16314-67P</t>
  </si>
  <si>
    <t>Leonard Schaeffer</t>
  </si>
  <si>
    <t>leonard.schaeffer@wellpoint.com</t>
  </si>
  <si>
    <t>Thousand Oaks, CA</t>
  </si>
  <si>
    <t>1 WellPoint Way</t>
  </si>
  <si>
    <t>Thousand Oaks</t>
  </si>
  <si>
    <t>91362</t>
  </si>
  <si>
    <t>The company was acquired by Anthem (NYSE: ATH) for $15.8 billion on November 30, 2004. The acquisition of WellPoint Health Networks helped Anthem to create the nation's leading health benefits company and the largest holder of Blue Cross and/or Blue Shield licenses in the country. The company is no longer actively tracked by PitchBook.</t>
  </si>
  <si>
    <t>Blue Cross of California</t>
  </si>
  <si>
    <t>Anthem</t>
  </si>
  <si>
    <t>Charles River Associates(Advisor: General), Strobl &amp; Sharp(Legal Advisor)</t>
  </si>
  <si>
    <t>Sagent Advisors(Advisor: General)</t>
  </si>
  <si>
    <t>41569-30</t>
  </si>
  <si>
    <t>Hospira</t>
  </si>
  <si>
    <t>Hospira, Inc.</t>
  </si>
  <si>
    <t>Medtronic, Covidien, Grifols Diagnostic Solutions, Ambu, Curative Medical, AmerisourceBergen Technology Group, Intersurgical, B. Braun Melsungen, Avanos Medical, Medisoft, Bedford Laboratories, Hansen Medical, Nipro, EndoChoice, Baxter International, Fresenius Kabi, Bellco, Becton, Dickinson and Company, Coloplast</t>
  </si>
  <si>
    <t>Supplier of sterile injectable drugs products and provider of infusion technology and services intended to improve patient and caregiver safety while reducing healthcare costs. The company offers intravenous fluids, smart pumps and pain management and safety software technology, thereby helping clinics, home healthcare providers and long-term care facilities to meet clinical, safety and workflow goals.</t>
  </si>
  <si>
    <t>Medical Supplies*, Other Healthcare Technology Systems</t>
  </si>
  <si>
    <t>infusion technology, infusion technology product, injectable pharmaceutical, medical supplies, pharmaceutical research, pharmaceuticals and medicine</t>
  </si>
  <si>
    <t>www.hospira.com</t>
  </si>
  <si>
    <t>2004: 14000, 2005: 14000, 2006: 13000, 2007: 14000, 2008: 14500, 2009: 13500, 2010: 14000, 2011: 15000, 2012: 16000, 2013: 17000, 2014: 19000, 2015: 19000</t>
  </si>
  <si>
    <t>Lake Forest, IL</t>
  </si>
  <si>
    <t>275 North Field Drive</t>
  </si>
  <si>
    <t>Lake Forest</t>
  </si>
  <si>
    <t>60045</t>
  </si>
  <si>
    <t>The company was acquired by Pfizer Pharmaceuticals (NYSE: PFE) for $15.7 billion on September 3, 2015. The company is no longer actively tracked by PitchBook.</t>
  </si>
  <si>
    <t>Abbott, NovaQuest Capital Management</t>
  </si>
  <si>
    <t>Abbott(www.abbott.com), NovaQuest Capital Management(www.novaquest.com)</t>
  </si>
  <si>
    <t>Brown Rudnick(Legal Advisor)</t>
  </si>
  <si>
    <t>Georgeson Shareholder Communications(Legal Advisor), Morgan Stanley(Advisor: General), Skadden, Arps, Slate, Meagher &amp; Flom(Legal Advisor)</t>
  </si>
  <si>
    <t>44506-99</t>
  </si>
  <si>
    <t>Tableau Software</t>
  </si>
  <si>
    <t>Tableau</t>
  </si>
  <si>
    <t>Tableau Software, Inc.</t>
  </si>
  <si>
    <t>3PL Central, Optiva, Brightpearl, Kenandy, SAP, Registria, Microsoft Visio, John Galt, SnapLogic, Incorta, Adaptive Insights, Benefitfocus, Exosite, Datascience.com, Dimensional Insight, Anaplan, Howwe Technologies, Diyotta, Alteryx, Infor Global Solutions, Qlik Technologies, MicroStrategy, Domo, Coupa, Splunk, Aptean, Kloudio, Looker, Dundas Data Visualization, Minitab</t>
  </si>
  <si>
    <t>Tableau Software develops and sells software that enables customers to visualize and analyze data through a single, easy-to-use platform, primarily delivered as an on-premises solution. The company reports revenue in two business segments, with license contributing roughly half of total revenue while maintenance and services makes up the remaining half. The firm derives roughly 70% of its sales from the United States, with the remainder coming from international markets. In June 2019, Salesforce.com announced an all stock-bid to acquire Tableau's assets.</t>
  </si>
  <si>
    <t>Application Software</t>
  </si>
  <si>
    <t>Application Software*, Business/Productivity Software</t>
  </si>
  <si>
    <t>analytics software, data analytics, data manager</t>
  </si>
  <si>
    <t>www.tableau.com</t>
  </si>
  <si>
    <t>2013: 1212, 2014: 1947, 2015: 3008, 2016: 3280, 2017: 3489, 2018: 4181, 2019: 4200, 2020: 7501</t>
  </si>
  <si>
    <t>News (New) , News (New) , News (New) , News (New) , News (New) , News (New) , News (New) , News (New)</t>
  </si>
  <si>
    <t>143946-10P</t>
  </si>
  <si>
    <t>Adam Selipsky</t>
  </si>
  <si>
    <t>aselipsky@tableausoftware.com</t>
  </si>
  <si>
    <t>+1 (206) 266-4064</t>
  </si>
  <si>
    <t>1621 North 34th Street</t>
  </si>
  <si>
    <t>98103</t>
  </si>
  <si>
    <t>+1 (206) 633-3400</t>
  </si>
  <si>
    <t>+1 (206) 633-3004</t>
  </si>
  <si>
    <t>info@tableau.com</t>
  </si>
  <si>
    <t>The company was acquired by Salesforce (NYS: CRM) for $15.7 billion on August 1, 2019. The acquisition will accelerate Salesforce's ability to deliver customer success by enabling a truly unified and powerful view across all of a customer's data.</t>
  </si>
  <si>
    <t>Meritech Capital Partners, New Enterprise Associates</t>
  </si>
  <si>
    <t>Meritech Capital Partners(www.meritechcapital.com), New Enterprise Associates(www.nea.com)</t>
  </si>
  <si>
    <t>Cresa(Advisor: General), FBN Securities(Advisor: General), PwC(Accounting), Ryan, Swanson &amp; Cleveland(Legal Advisor), Slalom(Consulting)</t>
  </si>
  <si>
    <t>BMO Capital Markets(Underwriter), Clearsight Advisors(Advisor: General), Cooley(Legal Advisor), Credit Suisse(Underwriter), J.P. Morgan(Underwriter), JMP Securities(Underwriter), Morgan Stanley(Underwriter), PwC(Accounting), The Goldman Sachs Group(Advisor: General), The Goldman Sachs Group(Underwriter), UBS Group(Underwriter)</t>
  </si>
  <si>
    <t>13433-59</t>
  </si>
  <si>
    <t>Samba Financial Group</t>
  </si>
  <si>
    <t>Saudi American Bank</t>
  </si>
  <si>
    <t>Samba</t>
  </si>
  <si>
    <t>Arab National Bank, Emirates NBD, Riyad Bank, Bank Albilad, Saudi British Bank, United Arab Bank, Dubai Islamic Bank, Banque Saudi Fransi (Saudi), Bank AlJazira, Commercial Bank of Dubai, YES Bank, Axis Bank, State Bank of India, National Commercial Bank, Saigon - Hanoi Commercial Bank</t>
  </si>
  <si>
    <t>Samba Financial Group is a financial services company providing banking and related services to its customers. Its segments consist of Consumer Banking comprising of individual customer time deposits, current, call and savings accounts, credit cards, retail investment products, individual and consumer loans; Corporate Banking comprising of corporate time deposits, current and call accounts, overdrafts, loans and other credit facilities, customer derivative portfolios and corporate advisory business; Treasury segment managing money market, foreign exchange, commission rate trading and derivatives for corporate and institutional customers; and Investment Banking providing investment management services and asset management activities.</t>
  </si>
  <si>
    <t>banking, banking facility, banking firm, credit facility, loans offering</t>
  </si>
  <si>
    <t>www.samba.com</t>
  </si>
  <si>
    <t>2009: 3120, 2010: 3135, 2011: 3057, 2012: 3329, 2013: 3306, 2014: 3404, 2015: 3723, 2016: 3560, 2017: 3360, 2018: 3290, 2019: 3991, 2020: 4004</t>
  </si>
  <si>
    <t>National Commercial Bank</t>
  </si>
  <si>
    <t>141725-62P</t>
  </si>
  <si>
    <t>Abdul Sheikh</t>
  </si>
  <si>
    <t>abdulhaleem.sheikh@samba.com.sa</t>
  </si>
  <si>
    <t>+966 (0)11 838 2000</t>
  </si>
  <si>
    <t>P. O. Box 25895</t>
  </si>
  <si>
    <t>11476</t>
  </si>
  <si>
    <t>+966 (0)11 217 7979</t>
  </si>
  <si>
    <t>customercare@samba.com</t>
  </si>
  <si>
    <t>The company reached a definitive agreement to be acquired by National Commercial Bank (SAU: 1180) for $15.63 billion on October 11, 2020.</t>
  </si>
  <si>
    <t>Citibank</t>
  </si>
  <si>
    <t>Citibank(www.online.citi.com)</t>
  </si>
  <si>
    <t>EY(Auditor), PwC(Auditor)</t>
  </si>
  <si>
    <t>Cleary Gottlieb(Legal Advisor), Morgan Stanley(Advisor: General)</t>
  </si>
  <si>
    <t>97044-13</t>
  </si>
  <si>
    <t>Yunnan Metallurgical Group</t>
  </si>
  <si>
    <t>CYMCO</t>
  </si>
  <si>
    <t>Yunnan Metallurgical Group Co., Ltd.</t>
  </si>
  <si>
    <t>Operator of a mining company. The company is engaged in the mining of aluminum, lead and zinc, manganese, titanium and silicon.</t>
  </si>
  <si>
    <t>Aluminum Mining*, Other Metals, Minerals and Mining</t>
  </si>
  <si>
    <t>aluminum mining, manganese mining, mining company, silicon mining, zinc mining</t>
  </si>
  <si>
    <t>www.cymco.cn</t>
  </si>
  <si>
    <t>Aluminum Corporation of China</t>
  </si>
  <si>
    <t>189856-72P</t>
  </si>
  <si>
    <t>Yang Huaizhang</t>
  </si>
  <si>
    <t>Director</t>
  </si>
  <si>
    <t>yhuaizhang@cymco.cn</t>
  </si>
  <si>
    <t>Kunming, China</t>
  </si>
  <si>
    <t>Xiaokang Avenue</t>
  </si>
  <si>
    <t>Panlong Qu</t>
  </si>
  <si>
    <t>Kunming</t>
  </si>
  <si>
    <t>Yunnan</t>
  </si>
  <si>
    <t>The company was acquired by Aluminum Corporation of China for $15.6 billion May 28, 2018.</t>
  </si>
  <si>
    <t>Yunnan government</t>
  </si>
  <si>
    <t>Yunnan government(yunnan.chinadaily.com.cn)</t>
  </si>
  <si>
    <t>41299-57</t>
  </si>
  <si>
    <t>SanDisk</t>
  </si>
  <si>
    <t>SNDK</t>
  </si>
  <si>
    <t>Sandisk Corp.</t>
  </si>
  <si>
    <t>Seagate Technology, Transcend Information, Kingston Technology Company, DensBits Technologies, Axiom Memory, Tegile, TarDisk, Pure Storage, Hewlett-Packard, Apacer, PNY Technologies, Lexar Media, WekaIO</t>
  </si>
  <si>
    <t>Manufacturer of flash storage card products. The company's products are used to store large amount of data with the help of its flash memory's capability. The company's products also facilitates assistance in digital cameras, mobile phones, USB drives and other consumer services.</t>
  </si>
  <si>
    <t>Storage (IT)</t>
  </si>
  <si>
    <t>Other Hardware, Storage (IT)*</t>
  </si>
  <si>
    <t>data storage, flash storage</t>
  </si>
  <si>
    <t>1994: 163, 1995: 204, 1996: 289, 1997: 445, 1998: 477, 1999: 809, 2000: 720, 2001: 565, 2002: 629, 2003: 805, 2005: 1083, 2006: 2586, 2007: 3172, 2008: 3565, 2010: 3267, 2011: 3469, 2012: 4636, 2013: 5459, 2014: 8696, 2016: 8790, 2019: 8700</t>
  </si>
  <si>
    <t>257094-01P</t>
  </si>
  <si>
    <t>Shashidaran C</t>
  </si>
  <si>
    <t>Director of Finance</t>
  </si>
  <si>
    <t>+1 (408) 717-6000</t>
  </si>
  <si>
    <t>5601 Great Oaks Parkway</t>
  </si>
  <si>
    <t>95119</t>
  </si>
  <si>
    <t>The company (NASDAQ: SNDK) was acquired by Western Digital (NASDAQ: WDC) for $15.59 billion on May 12, 2016. Under the terms of the agreement, Western Digital Corp would pay $67.5 in cash and issue 0.2387 share of Western Digital for every share of SanDisk Corp sought. The agreement also stipulated that Western Digital Corp will instead pay $85.10 in cash and 0.0176 share of Western Digital for every share sought if the previously announced investment by Unisplendour Corp Ltd in Western Digital Corp closes prior to the completion of the SanDisk acquisition. It was announced on September 30, 2015, that Unisplendour is investing $3.8 billion for a 15% stake in Western Digital. The deal will be financed by an aggregate of $18.4 billion in new debt facilities, including a $1 billion revolving facility. Micron Technology is in talk for acquisition. The company is no longer actively tracked by PitchBook.</t>
  </si>
  <si>
    <t>Western Digital</t>
  </si>
  <si>
    <t>Atheneum Capital, Endeavour Vision, Matrix Partners, Mayfield (Private Equity), Oak Investment Partners, Seagate Venture Fund, US Venture Partners</t>
  </si>
  <si>
    <t>Micron Technology</t>
  </si>
  <si>
    <t>Atheneum Capital(www.atheneumcapital.com), Endeavour Vision(www.endeavourvision.com), Matrix Partners(www.matrixpartners.com), Mayfield (Private Equity)(www.mayfield.com), Oak Investment Partners(www.oakinv.com), US Venture Partners(www.usvp.com)</t>
  </si>
  <si>
    <t>Micron Technology(www.micron.com)</t>
  </si>
  <si>
    <t>Adept Resources Group(Consulting), DeSantis Breindel(Advisor: General), Keker, Van Nest &amp; Peters(Legal Advisor), Kunzler Bean &amp; Adamson(Legal Advisor), Launch Search Partners(Consulting), Maples Group(Legal Advisor), Neil Fink Associates(Consulting), Network Control(Consulting)</t>
  </si>
  <si>
    <t>BBVA USA Bancshares(Debt Financing), BNP Paribas Securities Services(Debt Financing), Chase Bank(Debt Financing), Citibank(Debt Financing), Credit Suisse Securities (USA)(Debt Financing), DBS Bank(Debt Financing), Egan-Jones(Advisor: General), EY(Auditor), Fifth Third Bank(Debt Financing), Glass Lewis(Advisor: General), HSBC Holdings(Debt Financing), Institutional Shareholder Services(Advisor: General), J.P. Morgan Securities(Debt Financing), Merrill Lynch Pierce Fenner &amp; Smith(Debt Financing), Mizuho Bank(Debt Financing), MUFG Bank(Debt Financing), RBC Capital Markets(Debt Financing), Sard Verbinnen(Advisor: Communications), Scotiabank(Debt Financing), Simmons &amp; Simmons(Legal Advisor), Skadden, Arps, Slate, Meagher &amp; Flom(Legal Advisor), Standard Chartered(Debt Financing), Sumitomo Mitsui Banking(Debt Financing), SunTrust Bank(Debt Financing), SunTrust Robinson Humphrey(Debt Financing), TD Bank(Debt Financing), TD Securities(Debt Financing), The Goldman Sachs Group(Legal Advisor), U.S. Bancorp(Debt Financing), Wells Fargo(Debt Financing)</t>
  </si>
  <si>
    <t>Loan - $18.00B; Revolving Credit Line - $1.00B</t>
  </si>
  <si>
    <t>59345-65</t>
  </si>
  <si>
    <t>Suez Environment (PAR: SEV)</t>
  </si>
  <si>
    <t>Suez</t>
  </si>
  <si>
    <t>Suez SA</t>
  </si>
  <si>
    <t>Metito Group, AquaVenture Holdings, Rockwater Energy Solutions, Xylem, Kurita Water Industries, Evoqua Water Technologies, Oasys Water, Veolia Environnement</t>
  </si>
  <si>
    <t>Suez Environnement became the second-largest global water company after spinning off from GDF Suez in 2008. The European water segment operates municipal water distribution and treatment systems, mainly in France and Spain. The European waste segment operates hazardous and nonhazardous landfills, as well as a network of incinerators throughout Europe. The company's international segment designs, builds, and operates water and waste infrastructure outside Europe.</t>
  </si>
  <si>
    <t>Environmental Services (B2B)</t>
  </si>
  <si>
    <t>Environmental Services (B2B)*, Water Utilities</t>
  </si>
  <si>
    <t>CleanTech, Industrials, Infrastructure, TMT</t>
  </si>
  <si>
    <t>sanitation service, utility company, wastewater management, water distribution, water treatment device</t>
  </si>
  <si>
    <t>www.suez.com</t>
  </si>
  <si>
    <t>2008: 65382, 2012: 79549, 2013: 79219, 2014: 80990, 2015: 82536, 2016: 83921, 2018: 89000, 2020: 86195</t>
  </si>
  <si>
    <t>SEV</t>
  </si>
  <si>
    <t>95987-26P</t>
  </si>
  <si>
    <t>Jean-Louis Chaussade</t>
  </si>
  <si>
    <t>Chairman &amp; Board Member</t>
  </si>
  <si>
    <t>jean-louis.chaussade@suez.com</t>
  </si>
  <si>
    <t>+33 (0)1 58 81 20 00</t>
  </si>
  <si>
    <t>Tour CB 21</t>
  </si>
  <si>
    <t>16, Place de l'Iris</t>
  </si>
  <si>
    <t>92040</t>
  </si>
  <si>
    <t>info@suez.com</t>
  </si>
  <si>
    <t>The company is in talks to be acquired by Veolia Environnement (PAR: VIE) for EUR 13 billion on January 7, 2021. The acquisition will help both companies in fighting off new global challengers emerging in China and provide a better place in growth areas such as environmental services and recycling. The company is being actively tracked by PitchBook.</t>
  </si>
  <si>
    <t>Veolia Environnement, Veolia UK</t>
  </si>
  <si>
    <t>Caisse des Dépôts Group, CNP Assurances, Engie, Groupe Bruxelles Lambert, Orano, Sofina</t>
  </si>
  <si>
    <t>Caisse des Dépôts Group(www.caissedesdepots.fr), CNP Assurances(www.cnp.fr), Engie(www.engie.com), Groupe Bruxelles Lambert(www.gbl.be), Orano(www.orano.group), Sofina(www.sofinagroup.com)</t>
  </si>
  <si>
    <t>Auditex(Accounting), BDGS Associes(Advisor: General), BNP Paribas(Advisor: General), Credit Suisse(Advisor: General), D'angelin &amp; Co.(Advisor: General), DC Advisory(Advisor: General), EY(Accounting), JPMorgan Chase(Advisor: General), Lazard(Advisor: General), Racine Avocats(Legal Advisor), Rothschild &amp; Co(Advisor: General), Sullivan &amp; Cromwell(Legal Advisor), The Goldman Sachs Group(Advisor: General), Wachtell, Lipton, Rosen &amp; Katz(Legal Advisor), Weil, Gotshal &amp; Manges(Legal Advisor)</t>
  </si>
  <si>
    <t>41344-48</t>
  </si>
  <si>
    <t>Invitrogen</t>
  </si>
  <si>
    <t>Life Technologies</t>
  </si>
  <si>
    <t>Life Technologies Corp.</t>
  </si>
  <si>
    <t>Aro Biotherapeutics, Refuge Biotech, ZeptoMetrix, Jounce Therapeutics, Empire Genomics, Luminex, Sorrento Therapeutics, RainDance Technologies, CIS Bio International, Seracare Life Sciences, NuGEN, Black Diamond Therapeutics, Perthera, OpGen, DIAsource, Amal Therapeutics, Akonni Biosystems, Aura Biosciences, Mustang Bio, Oncorus</t>
  </si>
  <si>
    <t>Provider of genetic testing equipment and products intended to support biotechnological research. The company's genetic testing equipment and products include a range of differentiated reagents, kits, and benchtop devices that are easy to access and easy to buy, enabling laboratories to accelerate life sciences research, solve complex analytical challenges, improve patient diagnostics and increase laboratory productivity.</t>
  </si>
  <si>
    <t>Biotechnology*, Drug Discovery</t>
  </si>
  <si>
    <t>biodefense, bioinformatics, genetic testing, genetic testing equipment, genetic testing product, molecular biology, stem cell research, testing equipment</t>
  </si>
  <si>
    <t>www.lifetechnologies.com</t>
  </si>
  <si>
    <t>1998: 221, 1999: 376, 2000: 296, 2001: 2726, 2002: 2744, 2003: 2995, 2004: 3800, 2005: 4800, 2006: 4835, 2007: 4300, 2008: 9700, 2009: 9000, 2010: 11000, 2011: 10400, 2012: 10000, 2013: 10400, 2014: 10400</t>
  </si>
  <si>
    <t>Thermo Electron</t>
  </si>
  <si>
    <t>TTM 3Q2013</t>
  </si>
  <si>
    <t>22970-80P</t>
  </si>
  <si>
    <t>Lyle Turner</t>
  </si>
  <si>
    <t>Co-Founder</t>
  </si>
  <si>
    <t>Carlsbad, CA</t>
  </si>
  <si>
    <t>5791 Van Allen Way</t>
  </si>
  <si>
    <t>Carlsbad</t>
  </si>
  <si>
    <t>92008</t>
  </si>
  <si>
    <t>The company (NASDAQ: LIFE) was acquired by Thermo Fisher Scientific (NYSE: TMO) for $15.303 billion on February 4, 2014. As part of the transaction, Barclays Bank and DBL Partners provided bridge financing in support of the deal. Thermo Fisher Scientific had raised $2.53 billion by stock offering. The company is no longer actively tracked by PitchBook.</t>
  </si>
  <si>
    <t>Thermo Electron, Thermo Fisher Scientific</t>
  </si>
  <si>
    <t>New Enterprise Associates, TA Associates Management</t>
  </si>
  <si>
    <t>New Enterprise Associates(www.nea.com), TA Associates Management(www.ta.com)</t>
  </si>
  <si>
    <t>BDA Partners(Advisor: General), Eureka Capital Partners(Advisor: General), Shepherd and Wedderburn(Legal Advisor), TouchStone Executive Consultants(Consulting)</t>
  </si>
  <si>
    <t>Bank of America(Debt Financing), Barclays(Advisor: General), BB&amp;T Scott &amp; Stringfellow(Underwriter), BT Alex.Brown(Underwriter), Cowen &amp; Company(Underwriter), Cravath, Swaine &amp; Moore(Legal Advisor), DBL Partners(Debt Financing), Deutsche Bank(Advisor: General), Deutsche Bank Securities(Underwriter), Donaldson, Lufkin &amp; Jenrette(Underwriter), Edelman Financial Services(Underwriter), Fahnestock &amp; Co.(Underwriter), Gerard Klauer Mattison &amp; Co.(Underwriter), Gruntal &amp; Company(Underwriter), Hambrecht &amp; Quist(Underwriter), ING Barings Private Equity(Underwriter), J.C. Bradford &amp; Company(Underwriter), KeyBank(Underwriter), Ladenburg Thalmann Financial Services(Underwriter), Laidlaw Capital Markets(Underwriter), Legg Mason Wood Walker(Underwriter), Moelis &amp; Company(Advisor: General), Piper Sandler(Underwriter), PMG Capital(Underwriter), Robertson Stephens (Out of Business in 2017)(Underwriter), Roney &amp; Company(Underwriter), Ryan, Beck &amp; Co.(Underwriter), Sands Brothers &amp; Co(Underwriter), Smith Barney(Underwriter), Stifel Financial(Underwriter), The Goldman Sachs Group(Underwriter), Warburg Dillon Read(Underwriter)</t>
  </si>
  <si>
    <t>Bridge</t>
  </si>
  <si>
    <t>12402-73</t>
  </si>
  <si>
    <t>Mobileye</t>
  </si>
  <si>
    <t>Mobileye B.V.</t>
  </si>
  <si>
    <t>Drive.ai, nuTonomy, WeRide, Pony.ai, Comma.ai, ADASENS Automotive, Princeton Lightwave, Waymo, Optimus Ride, Cipia, DeepMap, Guardian (), DeepScale, Strobe (Electronic Equipment and Instruments), Movidius, Cruise (California), Ambarella</t>
  </si>
  <si>
    <t>Developer of collision avoidance system designed to reduce vehicle injuries and fatalities. The company's collision avoidance system engages offers computer vision and machine learning, data analysis, localization and mapping for advanced driver assistance systems and autonomous driving with the help of advance technology that performs detailed interpretations of the visual field in order to anticipate possible collisions with other vehicles, pedestrians, cyclists, animals, debris and other obstacles to reduce the risks of traffic accidents.</t>
  </si>
  <si>
    <t>Application Software, Application Specific Semiconductors, Automotive*</t>
  </si>
  <si>
    <t>Artificial Intelligence &amp; Machine Learning, Autonomous cars, Big Data, Industrials, Mobility Tech, TMT</t>
  </si>
  <si>
    <t>accident reduction, autonomous car, computer vision, drives assistance, machine learning, mobility tech</t>
  </si>
  <si>
    <t>www.mobileye.com</t>
  </si>
  <si>
    <t>2000: 185, 2006: 185, 2008: 185, 2013: 185, 2014: 473, 2015: 542, 2016: 663, 2017: 660, 2018: 1400, 2020: 2500, 2021: 2100</t>
  </si>
  <si>
    <t>News (New) , News (New) , News (New) , News (New) , News (New) , News (New) , News (New) , News (New) , News (New) , News (New) , News (New) , News (New) , News (New) , News (New) , News (New) , News (New) , News (New) , News (New) , News (New) , News (New) , News (New)</t>
  </si>
  <si>
    <t>50129-65P</t>
  </si>
  <si>
    <t>Ofer Maharshak</t>
  </si>
  <si>
    <t>Senior Vice President &amp; Chief Financial Officer</t>
  </si>
  <si>
    <t>ofer.maharshak@mobileye.com</t>
  </si>
  <si>
    <t>+972 (0)2 541 7333</t>
  </si>
  <si>
    <t>Jerusalem, Israel</t>
  </si>
  <si>
    <t>13 Hartom Street</t>
  </si>
  <si>
    <t>Har Hotzvim</t>
  </si>
  <si>
    <t>Jerusalem</t>
  </si>
  <si>
    <t>9777513</t>
  </si>
  <si>
    <t>Israel</t>
  </si>
  <si>
    <t>+972 (0)2 541 7300</t>
  </si>
  <si>
    <t>info@mobileye.com</t>
  </si>
  <si>
    <t>The company was acquired by Intel (NAS: INTC) for $15.3 billion in April 2018 The combination of Intel and Mobileye will allow Mobileye's leading computer vision expertise to complement Intel's high-performance computing and connectivity expertise to create automated driving solutions from cloud to car. The new integrated company planning to build a fleet of 100 autonomous test cars. The AV fleet will include multiple car brands and vehicle types to demonstrate the technology's agnostic nature. The test fleet will allow the hybrid solution based on Mobileye and Intel technology to be demonstrated to current and prospective customers in a real-world landscape, and also serve as a base to interact directly with regulators. It will also showcase novel concepts of mapping and safety validation, which are both geared toward scalability.</t>
  </si>
  <si>
    <t>ADIP, Alumni Ventures Group, Bank Leumi le-Israel, BlackRock Private Equity Partners, Catalyst Investments, Cinco Capital, Daniel Gutenberg, Enterprise Rent A Car Canada, Fidelity Investments, Gandyr Investments, Gil Agmon, GlenRock Israel, Goldman Sachs Merchant Banking Division, Motorola Solutions Venture Capital, Sailing Capital, The Blackstone Group, Union Tech Ventures, Wellington Management</t>
  </si>
  <si>
    <t>ADIP(www.adipvc.com), Alumni Ventures Group(www.avgfunds.com), Bank Leumi le-Israel(english.leumi.co.il), Catalyst Investments(www.catalyst-fund.com), Daniel Gutenberg(www.gutenberg.ch), Enterprise Rent A Car Canada(www.enterprisecarshare.com), Fidelity Investments(www.fidelity.com), Gandyr Investments(www.gandyr.com), GlenRock Israel(www.grg.co.il), Sailing Capital(www.sailing-capital.com.hk), The Blackstone Group(www.blackstone.com), Union Tech Ventures(www.uniontech.co.il), Wellington Management(www.wellington.com)</t>
  </si>
  <si>
    <t>GK Investor &amp; Public Relations(Advisor: General)</t>
  </si>
  <si>
    <t>Baker &amp; McKenzie(Legal Advisor), Barclays(Underwriter), Citibank(Underwriter), Compass Lexecon(Consulting), Goldfarb Seligman(Legal Advisor), Hagai Greenspoon &amp; Co.(Legal Advisor), Livingston Securities(Underwriter), Meitar Law Offices(Legal Advisor), Morgan Stanley(Advisor: General), Morrison &amp; Foerster(Legal Advisor), Poalim Capital Markets(Advisor: General), PwC(Accounting), Raymond James Financial(Advisor: General), Robert W. Baird &amp; Co(Underwriter), The Goldman Sachs Group(Underwriter), Van Campen Liem(Legal Advisor), Wells Fargo(Underwriter), William Blair &amp; Company(Underwriter)</t>
  </si>
  <si>
    <t>11832-22</t>
  </si>
  <si>
    <t>XL Group</t>
  </si>
  <si>
    <t>XL Insurance (Bermuda)</t>
  </si>
  <si>
    <t>XL</t>
  </si>
  <si>
    <t>XL Group Ltd</t>
  </si>
  <si>
    <t>Scor, Arch Capital Group, IRB-Brasil Resseguros, Hiscox, W.R. Berkley, The Hanover Insurance Group, Zurich Insurance Group, Chubb, Zurich American Insurance Company, Allianz Group, Factory Mutual Insurance Company, American International Group, Markel (Insurance Services), Allied World, Radian Group, Dadgar Insurance Agency, Swiss Re Group, AIG Sigorta Financial Services, Kenya Reinsurance Corporation, Old Republic International, Prudential Financial, Hays Companies, Protective Life, AIG Korea, Prudential Insurance (Nepal)</t>
  </si>
  <si>
    <t>With more than $10 billion of equity, XL is a significant player in the global insurance market. XL Insurance offers commercial and specialty insurance for risks, including satellites and horses. XL Re reinsures catastrophe, marine, and other risks. XL Financial guarantees investment contracts, designs structured weather-risk reinsurance products, and provides other specialty risk-management services, but XL is exiting some of these areas following recent stumbles.</t>
  </si>
  <si>
    <t>Re-Insurance</t>
  </si>
  <si>
    <t>Re-Insurance*</t>
  </si>
  <si>
    <t>casual insurance, non-life, property insurance, reinsurance, risk mitigation, term life</t>
  </si>
  <si>
    <t>www.xlgroup.com</t>
  </si>
  <si>
    <t>1997: 184, 1998: 800, 1999: 1300, 2000: 1300, 2001: 2700, 2002: 3100, 2003: 3350, 2004: 3527, 2005: 3600, 2006: 3772, 2007: 4011, 2008: 4000, 2009: 3565, 2010: 3576, 2011: 3818, 2012: 4007, 2013: 4291, 2014: 4663, 2015: 7200, 2016: 7400, 2017: 7304, 2018: 7400</t>
  </si>
  <si>
    <t>Hamilton, Bermuda</t>
  </si>
  <si>
    <t>O'Hara House, P.O. Box HM 2245</t>
  </si>
  <si>
    <t>One Bermudiana Road</t>
  </si>
  <si>
    <t>Hamilton</t>
  </si>
  <si>
    <t>+1 (441) 292-8515</t>
  </si>
  <si>
    <t>+1 (441) 292-9536</t>
  </si>
  <si>
    <t>The company (NYS: XL) was acquired by AXA (PAR: CS) for $15.3 billion on September 12, 2018. AXA plans to finance the acquisition using cash in hand, subordinated debt and proceeds from an IPO of its existing U.S. operations. It's also arranged $11 billion of backup bridge financing. The acquisition will enable the acquirer to expand its footprint in the US life insurance market. Financed by EUR 3.5 billion of cash at hand, EUR 6.0 billion from the planned US IPO and related transactions, EUR 3.0 billion of subordinated debt, EUR 9 billion of backup bridge financing already in place. The company went private after this transaction. The company is no longer actively tracked by PitchBook.</t>
  </si>
  <si>
    <t>AXA</t>
  </si>
  <si>
    <t>Citisoft(Consulting), Lincoln International(Advisor: General), Mahler Corporate Finance(Advisor: General), PwC(Auditor), Sandler O'Neill + Partners(Lead Manager or Arranger), Slalom(Consulting)</t>
  </si>
  <si>
    <t>Ardea Partners(Advisor: General), Cleary Gottlieb(Legal Advisor), Morgan Stanley(Advisor: General), Skadden, Arps, Slate, Meagher &amp; Flom(Legal Advisor)</t>
  </si>
  <si>
    <t>25169-05</t>
  </si>
  <si>
    <t>General Growth Properties</t>
  </si>
  <si>
    <t>GGP</t>
  </si>
  <si>
    <t>Federal Realty Investment Trust, Pennsylvania Real Estate Investment Trust, CBL Properties, Brandywine Realty Trust, Duke Realty, Highwoods Properties, Agree Realty Corporation, Tanger Factory Outlet Centers, Regency Centers, Retail Properties of America, Realty Income, Equity Commonwealth, National Retail Properties, Rexford Industrial Realty, Hammerson, Equity Lifestyle Properties, Corporate Office Properties Trust, Mack Cali Realty, Macerich, Service Properties Trust, Vornado Realty Trust, Simon Property Group, Summit Hotel Properties, Kilroy Realty, Redwood Trust, EPR Properties, Annaly Capital Management, Prologis, Kite Realty Group Trust, Parkway, Alexandria Real Estate Equities, STAG Industrial, Hines Interests Limited Partnership, Kimco Realty, Brixmor Property Group, Weingarten Realty, SITE Centers</t>
  </si>
  <si>
    <t>Brookfield Property REIT Inc is a retail real estate company. Its portfolio of mall properties spans the nation, encompassing approximately 124 retail properties located throughout the United States comprising approximately 121 million square feet of gross leasable area. The company is focused exclusively on managing, leasing and redeveloping high-quality retail properties.</t>
  </si>
  <si>
    <t>community development, real estate investment trust, re-development platform</t>
  </si>
  <si>
    <t>2016: 2407, 2018: 700</t>
  </si>
  <si>
    <t>350 North Orleans</t>
  </si>
  <si>
    <t>Suite 300</t>
  </si>
  <si>
    <t>The company was acquired by Brookfield Asset Management for $15.25 billion on August 28, 2018. The cash portion of the consideration was funded by a combination of approximately $4 billion from joint venture equity partners and financing from a syndicate of lenders. In connection with the closing of the transactions, GGP's existing common stock and Series A preferred stock were delisted from the New York Stock Exchange. The company is no longer actively traced by PitchBook.</t>
  </si>
  <si>
    <t>Brookfield Asset Management</t>
  </si>
  <si>
    <t>China Investment Corporation, Fairholme Capital, Pershing Square Holdings, Teacher Retirement System of Texas, The Abu Dhabi Investment Authority, The Blackstone Group</t>
  </si>
  <si>
    <t>Simon Property Group, Westfield</t>
  </si>
  <si>
    <t>China Investment Corporation(www.china-inv.cn), Fairholme Capital(www.fairholmefunds.com), Pershing Square Holdings(www.pershingsquareholdings.com), Teacher Retirement System of Texas(www.trs.texas.gov), The Abu Dhabi Investment Authority(www.adia.ae), The Blackstone Group(www.blackstone.com)</t>
  </si>
  <si>
    <t>Simon Property Group(www.simon.com), Westfield(www.westfieldcorp.com)</t>
  </si>
  <si>
    <t>Kurtzman Carson Consultants(Advisor: General), Manhard Consulting(Consulting), Odeon Capital Group(Advisor: General), S&amp;D Law(Legal Advisor), WeissLaw(Legal Advisor)</t>
  </si>
  <si>
    <t>Arnold &amp; Porter Kaye Scholer(Legal Advisor), Barclays Investment Bank(Advisor: General), Citigroup Global Markets(Underwriter), Deloitte(Auditor), Deutsche Bank(Lead Manager or Arranger), Glass Lewis(Advisor: General), Institutional Shareholder Services(Advisor: General), Kahn Swick &amp; Foti(Legal Advisor), Kirkland &amp; Ellis(Legal Advisor), KPMG(Auditor), Macquarie Asset Management(Underwriter), Miller Buckfire &amp; Co.(Advisor: General), Moelis &amp; Company(Advisor: General), Morgan Stanley(Underwriter), Piper Sandler(Underwriter), RBC Capital Markets(Underwriter), Simpson Thacher &amp; Bartlett(Legal Advisor), Sullivan &amp; Cromwell(Legal Advisor), TD Securities(Underwriter), The CenterCap Group(Advisor: General), The Goldman Sachs Group(Lead Manager or Arranger), UBS Group(Advisor: General), Weil, Gotshal &amp; Manges(Legal Advisor), Wells Fargo(Underwriter), Wolf Popper(Legal Advisor)</t>
  </si>
  <si>
    <t>11550-43</t>
  </si>
  <si>
    <t>Barclays Global Investors</t>
  </si>
  <si>
    <t>BGI</t>
  </si>
  <si>
    <t>Barclays Global Investors Ltd</t>
  </si>
  <si>
    <t>Provider of investment banking services. The company's services includes financial advisory, capital raising, financing and risk management services to corporations, governments and financial institutions.</t>
  </si>
  <si>
    <t>Investment Banks</t>
  </si>
  <si>
    <t>Asset Management, Investment Banks*</t>
  </si>
  <si>
    <t>financial advisory, investment advisor, investment banking, investment banking service, investment management</t>
  </si>
  <si>
    <t>www.barclaysglobal.com</t>
  </si>
  <si>
    <t>2014: 10000</t>
  </si>
  <si>
    <t>Murray House</t>
  </si>
  <si>
    <t>1 Royal Mint Court</t>
  </si>
  <si>
    <t>EC3N 4HH</t>
  </si>
  <si>
    <t>The company was acquired by BlackRock (NYSE: BLK) for $13.5 billion on December 1, 2009. The company is no longer actively tracked by PitchBook.</t>
  </si>
  <si>
    <t>BlackRock</t>
  </si>
  <si>
    <t>Barclays</t>
  </si>
  <si>
    <t>Barclays(home.barclays)</t>
  </si>
  <si>
    <t>Barclays Investment Bank(Advisor: General), Clifford Chance(Legal Advisor), Mallesons Stephen Jaques(Legal Advisor)</t>
  </si>
  <si>
    <t>Anderson Mōri &amp; Tomotsune(Legal Advisor), Barclays Investment Bank(Debt Financing), Citigroup(Advisor: General), Credit Suisse(Advisor: General), Grail Partners(Advisor: General), JP Morgan Cazenove(Advisor: General), Lazard Middle Market(Advisor: General), MinterEllison(Legal Advisor), Osler, Hoskin &amp; Harcourt(Legal Advisor), Pinheiro Neto Advogados(Legal Advisor), Sullivan &amp; Cromwell(Legal Advisor), William Fry(Legal Advisor), Willkie Farr &amp; Gallagher(Legal Advisor), WongPartnership(Legal Advisor)</t>
  </si>
  <si>
    <t>10057-42</t>
  </si>
  <si>
    <t>Wachovia</t>
  </si>
  <si>
    <t>Wachovia Corp.</t>
  </si>
  <si>
    <t>Operator of a financial holding company and a bank holding company. The company provides commercial and retail banking services such as account opening, saving accounts and loans.</t>
  </si>
  <si>
    <t>International Banks*</t>
  </si>
  <si>
    <t>banking service, commercial banking, retail banking service</t>
  </si>
  <si>
    <t>1989: 17733, 1990: 20521, 1991: 24203, 1992: 23459, 1993: 23459, 1994: 23459, 1995: 45000, 1996: 44333, 1997: 47096, 1998: 71486, 1999: 71659, 2000: 71262, 2001: 84046, 2002: 80000, 2003: 86670, 2004: 96030, 2005: 93980, 2006: 108238, 2007: 121890, 2009: 30, 2010: 29</t>
  </si>
  <si>
    <t>TTM 3Q2008</t>
  </si>
  <si>
    <t>301 South College Street, Suite 4000</t>
  </si>
  <si>
    <t>One Wachovia Center</t>
  </si>
  <si>
    <t>28288</t>
  </si>
  <si>
    <t>The company was acquired by Wells Fargo (NYS: WFC) for $15.1 billion on October 3, 2008. Well's Fargo &amp; Co. completed the deal in an all-stock transaction, wiping out Wachovia's previous plan to sell its banking operations to rival suitor Citigroup. The company is no longer actively tracked by PitchBook.</t>
  </si>
  <si>
    <t>Warburg Pincus</t>
  </si>
  <si>
    <t>Warburg Pincus(www.warburgpincus.com)</t>
  </si>
  <si>
    <t>Boyanov &amp; Company(Legal Advisor), Cahill(Legal Advisor), Hill Ward Henderson(Legal Advisor), Optima Group(Consulting), Sandler O'Neill + Partners(Lead Manager or Arranger), SP3 Consulting(Consulting), The Mentor Group(Advisor: General)</t>
  </si>
  <si>
    <t>Cahill(Legal Advisor), JPMorgan Chase(Advisor: General), Orenda Corporate Finance(Auditor), Perella Weinberg Partners(Advisor: General), Sica Consultants(Advisor: General), Sullivan &amp; Cromwell(Legal Advisor), The Goldman Sachs Group(Advisor: General)</t>
  </si>
  <si>
    <t>113703-40</t>
  </si>
  <si>
    <t>HONOR</t>
  </si>
  <si>
    <t>Huawei Device Co., Ltd.</t>
  </si>
  <si>
    <t>Manufacturer and supplier of smartphones in Gurugram, India. The company's purpose is to provide an unforgettable experience in every scenario in the lives of its users.</t>
  </si>
  <si>
    <t>Wireless Communications Equipment*</t>
  </si>
  <si>
    <t>smartphone, smartphone company, smartphone manufacturer, smartphone provider, smartphone supplier</t>
  </si>
  <si>
    <t>www.hihonor.com</t>
  </si>
  <si>
    <t>2020: 7000, 2021: 8000</t>
  </si>
  <si>
    <t>Zhixinxin</t>
  </si>
  <si>
    <t>190006-84P</t>
  </si>
  <si>
    <t>Ming Zhao</t>
  </si>
  <si>
    <t>mzhao@hihonor.com</t>
  </si>
  <si>
    <t>Gurugram, India</t>
  </si>
  <si>
    <t>9th floor, Capital Cyberscape</t>
  </si>
  <si>
    <t>Gurugram Manesar Urban Complex</t>
  </si>
  <si>
    <t>Gurugram</t>
  </si>
  <si>
    <t>Haryana</t>
  </si>
  <si>
    <t>The company, a subsidiary of Huawei Technologies Company, was acquired by Zhixinxin for approximately CNY 100 billion on November 17, 2020. The all-cash sale will include almost all assets including brand, research &amp; development capabilities and supply chain management. The deal would allow Honor to deal with American companies for sourcing chips and processors.</t>
  </si>
  <si>
    <t>Huawei Technologies Company</t>
  </si>
  <si>
    <t>Huawei Technologies Company(www.huawei.com)</t>
  </si>
  <si>
    <t>41255-29</t>
  </si>
  <si>
    <t>AmSurg</t>
  </si>
  <si>
    <t>AmSurg Corp.</t>
  </si>
  <si>
    <t>Family HealthCare Network, Associated Anesthesiologists of Reno, Akron General Health System, Summa Health Care, United Surgical Partners International, Aspire Health, Symbion, LifePoint Health, Surgery Partners, HCA Management Services, Lighthouse Anesthesia, Somnia Anesthesia, Surgical Care Affiliates, National Surgical Hospitals, Northwest Anesthesia, Team Health Holdings, Mission Regional Medical Center, OrthoNOW</t>
  </si>
  <si>
    <t>Provider of ambulatory surgery center management services intended to empower organizations to deliver a patient-focused, physician-centric experience. The company operates and manages outpatient surgery centers by providing comprehensive resources in partnership with physicians that facilitate same-day surgical service, thereby improving operational efficiency through strategic collaboration.</t>
  </si>
  <si>
    <t>Clinics/Outpatient Services*, Other Healthcare Services</t>
  </si>
  <si>
    <t>diagnostic center, eye surgery center, overnight hospital, surgery center, surgical care</t>
  </si>
  <si>
    <t>www.amsurg.com</t>
  </si>
  <si>
    <t>2015: 5000, 2016: 6500</t>
  </si>
  <si>
    <t>Envision Healthcare</t>
  </si>
  <si>
    <t>132782-32P</t>
  </si>
  <si>
    <t>John Grant</t>
  </si>
  <si>
    <t>Division President of Ophthalmology</t>
  </si>
  <si>
    <t>jgrant@amsurg.com</t>
  </si>
  <si>
    <t>+1 (615) 665-1283</t>
  </si>
  <si>
    <t>Nashville, TN</t>
  </si>
  <si>
    <t>1A Burton Hills Boulevard</t>
  </si>
  <si>
    <t>Nashville</t>
  </si>
  <si>
    <t>Tennessee</t>
  </si>
  <si>
    <t>37215</t>
  </si>
  <si>
    <t>+1 (615) 665-0755</t>
  </si>
  <si>
    <t>info@amsurg.com</t>
  </si>
  <si>
    <t>The company was acquired by Envision Healthcare (NYSE: EVHC) for $15 billion on December 1, 2016.</t>
  </si>
  <si>
    <t>BlackRock, Dimensional Fund Advisors, Fidelity Management &amp; Research, Neuberger Berman, The Vanguard Group, Tivity Health</t>
  </si>
  <si>
    <t>BlackRock(www.blackrock.com), Dimensional Fund Advisors(www.dimensional.com), Neuberger Berman(www.nb.com), The Vanguard Group(www.vanguard.com)</t>
  </si>
  <si>
    <t>American Capital (ACAS)(Debt Financing), Bank of America(Debt Financing), Corporate Capital Trust(Debt Financing), Foley &amp; Lardner(Legal Advisor), Morgan Keegan(Underwriter), Regions Financial(Debt Financing), SunTrust Robinson Humphrey(Debt Financing), The Bloom Organization(Advisor: General), Waller Lansden Dortch &amp; Davis(Legal Advisor)</t>
  </si>
  <si>
    <t>Avondale Partners(Advisor: General), Barclays Bank UK(Advisor: General), Bass, Berry &amp; Sims(Legal Advisor), BMO Capital Markets(Advisor: General), Cantor Fitzgerald(Underwriter), Citigroup(Underwriter), Craft Capital Management(D&amp;O Insurance), Deloitte(Accounting), Deutsche Bank Securities(Underwriter), Guggenheim Partners(Advisor: General), J.P. Morgan(Advisor: General), Jefferies Financial Group(Advisor: General), Piper Sandler(Underwriter), Portman Ridge Finance Corp(Debt Financing), Raymond James Financial(Underwriter), Robert W. Baird &amp; Co(Underwriter), SunTrust Robinson Humphrey(Advisor: General), The Goldman Sachs Group(Underwriter)</t>
  </si>
  <si>
    <t>125826-58</t>
  </si>
  <si>
    <t>BHP Iron Ore Jimblebar</t>
  </si>
  <si>
    <t>Hancock Mining</t>
  </si>
  <si>
    <t>BHP Iron Ore Jimblebar Pty Ltd</t>
  </si>
  <si>
    <t>Operator of an iron ore mine. The company's services include production and exploration of iron ores.</t>
  </si>
  <si>
    <t>Iron and Steel Mining</t>
  </si>
  <si>
    <t>Iron and Steel Mining*</t>
  </si>
  <si>
    <t>iron ore, iron ore exploration, iron ore exploration service, iron ore mine, iron ore mining</t>
  </si>
  <si>
    <t>Perth, Australia</t>
  </si>
  <si>
    <t>225 St George's Tce</t>
  </si>
  <si>
    <t>Perth</t>
  </si>
  <si>
    <t>Western Australia</t>
  </si>
  <si>
    <t>6000</t>
  </si>
  <si>
    <t>BHP sold 15% stake in the company to Itochu (TKS: 8001) and Mitsui (TKS: 8031) for $15000 millions on June 21, 2013. BHP sold 8% stake in the company to Itochu ((TKS: 8001) for $800 million and Mitsui (TKS: 8031) for $700 million.</t>
  </si>
  <si>
    <t>Itochu, Mitsui &amp; Co.</t>
  </si>
  <si>
    <t>Itochu(www.itochu.co.jp), Mitsui &amp; Co.(www.mitsui.com)</t>
  </si>
  <si>
    <t>56671-84</t>
  </si>
  <si>
    <t>Elanco Animal Health (NYS: ELAN)</t>
  </si>
  <si>
    <t>Elanco</t>
  </si>
  <si>
    <t>Elanco US, Inc.</t>
  </si>
  <si>
    <t>Johnson &amp; Johnson, Phibro Animal Health</t>
  </si>
  <si>
    <t>Elanco Animal Health Inc is an animal health company that is engaged in innovating, developing, manufacturing, and marketing products for companion and food animals. Geographically, the company derives revenue from North America, Europe, the Middle East and Africa, Latin America, and the Asia Pacific with the highest revenue from the North America segment. It offers a range of food animal products used in cattle, sheep, goats, and swine production.</t>
  </si>
  <si>
    <t>Food Products*, Other Consumer Non-Durables, Pharmaceuticals</t>
  </si>
  <si>
    <t>animal care, animal food, animal health, pet care, pet food, pet health</t>
  </si>
  <si>
    <t>www.elanco.com</t>
  </si>
  <si>
    <t>2018: 6250, 2019: 6080, 2020: 9400</t>
  </si>
  <si>
    <t>ELAN</t>
  </si>
  <si>
    <t>48661-30P</t>
  </si>
  <si>
    <t>Jeffrey Simmons</t>
  </si>
  <si>
    <t>President, Chief Executive Officer &amp; Member of the Executive, Board of Directors and Finance and Oversight Committee</t>
  </si>
  <si>
    <t>jeffsimmons@elanco.com</t>
  </si>
  <si>
    <t>+54 9 114 546 4112</t>
  </si>
  <si>
    <t>Buenos Aires, Argentina</t>
  </si>
  <si>
    <t>Colectora Este Ramal Pilar Manuel Alberti</t>
  </si>
  <si>
    <t>Suite 317</t>
  </si>
  <si>
    <t>Buenos Aires</t>
  </si>
  <si>
    <t>Argentina</t>
  </si>
  <si>
    <t>The company (NYS:ELAN) received an undisclosed amount of development capital from Starboard Value on May 14, 2021 through a private placement.</t>
  </si>
  <si>
    <t>Eli Lilly, Starboard Value</t>
  </si>
  <si>
    <t>Eli Lilly(lilly.com), Starboard Value(www.starboardvalue.com)</t>
  </si>
  <si>
    <t>BofA Securities(Debt Financing), Chase Bank(Debt Financing), Cukierman &amp; Co.(Advisor: General), EY(Auditor), Ice Miller(Legal Advisor), Milbank(Legal Advisor), Mizuho Bank(Debt Financing), Paul, Weiss, Rifkind, Wharton &amp; Garrison(Legal Advisor), Samuel A. Ramirez &amp; Company(Underwriter), Stifel Financial(Advisor: General)</t>
  </si>
  <si>
    <t>Academy Securities(Underwriter), Bank of America Merrill Lynch(Underwriter), Barclays Bank UK(Underwriter), Barnes &amp; Thornburg(Legal Advisor), BNP Paribas(Underwriter), Citigroup(Underwriter), Cowen &amp; Company(Underwriter), Credit Suisse Securities (USA)(Underwriter), Deutsche Bank Securities(Underwriter), Drexel Hamilton(Underwriter), Evercore Group(Underwriter), EY(Accounting), J.P. Morgan(Underwriter), Mischler Financial Group(Underwriter), Morgan Stanley(Underwriter), Samuel A. Ramirez &amp; Company(Underwriter), The Goldman Sachs Group(Underwriter), The Williams Capital Group(Underwriter), Weil, Gotshal &amp; Manges(Legal Advisor)</t>
  </si>
  <si>
    <t>149663-44</t>
  </si>
  <si>
    <t>HFC Bank</t>
  </si>
  <si>
    <t>HFC Bank Ltd.</t>
  </si>
  <si>
    <t>First City Bank of Florida, Simsbury Bank &amp; Trust, (CenterState Bank) Downtown Fort Pierce Branch, Beach Community Bank, Salisbury Bank and Trust Company, HSBC Holdings, First National Bank of Durango</t>
  </si>
  <si>
    <t>Provider of banking services. The company provides debt collection, money lending and money management services.</t>
  </si>
  <si>
    <t>debt collection, money management, personal loans</t>
  </si>
  <si>
    <t>www.hfcbank.co.uk</t>
  </si>
  <si>
    <t>2002: 3764, 2003: 3703</t>
  </si>
  <si>
    <t>131726-53P</t>
  </si>
  <si>
    <t>Dean Backer</t>
  </si>
  <si>
    <t>Birmingham, United Kingdom</t>
  </si>
  <si>
    <t>Camden House West</t>
  </si>
  <si>
    <t>The Parade</t>
  </si>
  <si>
    <t>Birmingham</t>
  </si>
  <si>
    <t>B1 3PY</t>
  </si>
  <si>
    <t>The company was acquired by HSBC Bank for $15 billion in 2003. The company is no longer actively tracked by PitchBook.</t>
  </si>
  <si>
    <t>HSBC Holdings</t>
  </si>
  <si>
    <t>KPMG(Auditor)</t>
  </si>
  <si>
    <t>154222-57</t>
  </si>
  <si>
    <t>Lafarge Building Materials Holding Egypt</t>
  </si>
  <si>
    <t>Orascom Building Materials Holding</t>
  </si>
  <si>
    <t>Lafarge Building Materials Holding Egypt SAE</t>
  </si>
  <si>
    <t>Manufacturer of cement products. The company's cement products include cement mixture, concrete and other related products.</t>
  </si>
  <si>
    <t>Building Products*</t>
  </si>
  <si>
    <t>cement, cement mixture, cement product, concrete</t>
  </si>
  <si>
    <t>New Cairo, Egypt</t>
  </si>
  <si>
    <t>15 Summit Building Teseen Street</t>
  </si>
  <si>
    <t>New Cairo</t>
  </si>
  <si>
    <t>Egypt</t>
  </si>
  <si>
    <t>Africa</t>
  </si>
  <si>
    <t>Northern Africa</t>
  </si>
  <si>
    <t>The company was acquired by Lafarge for $15 billion on in January 2008. The company is no longer actively tracked by PitchBook.</t>
  </si>
  <si>
    <t>Orascom Construction Industries</t>
  </si>
  <si>
    <t>234149-68</t>
  </si>
  <si>
    <t>Mozambique LNG Project</t>
  </si>
  <si>
    <t>Mozambique LNG</t>
  </si>
  <si>
    <t>Tellurian, Prometheus Energy</t>
  </si>
  <si>
    <t>Operator of holding company intended to manage liquefied natural gas (LNG) project in Mozambique. The company's project consists about 75 trillion cubic feet of recoverable natural gas in the offshore area 1 supporting well designs of 100 to 200 million cubic feet per day, enabling its clients to a get a continuous supply of liquefied natural gas.</t>
  </si>
  <si>
    <t>Energy Production*, Holding Companies</t>
  </si>
  <si>
    <t>liquefied natural gas project, lng gas, lng project, lng project operator, natural gas project</t>
  </si>
  <si>
    <t>Debt Financed, M&amp;A</t>
  </si>
  <si>
    <t>www.mzlng.com</t>
  </si>
  <si>
    <t>Maputo, Mozambique</t>
  </si>
  <si>
    <t>Avenue Julius Nyerere</t>
  </si>
  <si>
    <t>JN 3412 Office Park</t>
  </si>
  <si>
    <t>Maputo</t>
  </si>
  <si>
    <t>3412</t>
  </si>
  <si>
    <t>Mozambique</t>
  </si>
  <si>
    <t>+258 21 500000</t>
  </si>
  <si>
    <t>+258 21 500001</t>
  </si>
  <si>
    <t>info@mzlng.com</t>
  </si>
  <si>
    <t>Eastern Africa</t>
  </si>
  <si>
    <t>The company received $15 billion of debt financing in the form of a loan from Rand Merchant Bank and other undisclosed lender on May 28, 2020.</t>
  </si>
  <si>
    <t>Total</t>
  </si>
  <si>
    <t>Total(www.total.com)</t>
  </si>
  <si>
    <t>Anadarko Petroleum(www.anadarko.com)</t>
  </si>
  <si>
    <t>African Development Bank Group(Debt Financing), Rand Merchant Bank(Debt Financing)</t>
  </si>
  <si>
    <t>Loan - $15.00B</t>
  </si>
  <si>
    <t>11593-09</t>
  </si>
  <si>
    <t>North Fork Bank</t>
  </si>
  <si>
    <t>Mattituck Bank, North Fork Bank &amp; Trust Co.</t>
  </si>
  <si>
    <t>North Fork Bancorporation Inc</t>
  </si>
  <si>
    <t>Provider of commercial banking services. The company provides corporate financing, money lending, retail banking and financial advisory services to business organizations, local government units and retail customers.</t>
  </si>
  <si>
    <t>commercial banking service, financial advisory service</t>
  </si>
  <si>
    <t>Capital One Financial</t>
  </si>
  <si>
    <t>Melville, NY</t>
  </si>
  <si>
    <t>275 Broad Hollow Road</t>
  </si>
  <si>
    <t>P.O. Box 8914</t>
  </si>
  <si>
    <t>Melville</t>
  </si>
  <si>
    <t>11747</t>
  </si>
  <si>
    <t>The company was acquired by Capital One Financial (NYSE: COF) for $15 billion on December 1, 2006. The company is no longer actively tracked by PitchBook.</t>
  </si>
  <si>
    <t>Citigroup(Advisor: General), JPMorgan Chase(Advisor: General), Keefe, Bruyette &amp; Woods(Advisor: General), Sandler O'Neill + Partners(Advisor: General), Wachtell, Lipton, Rosen &amp; Katz(Legal Advisor)</t>
  </si>
  <si>
    <t>40392-01</t>
  </si>
  <si>
    <t>NOVA Chemicals</t>
  </si>
  <si>
    <t>Nova</t>
  </si>
  <si>
    <t>NOVA Chemicals Corp</t>
  </si>
  <si>
    <t>Clariant International, Avient, Israel Chemicals, Chevron Phillips Chemical Company, Hexion (Columbus), Brenntag, Evonik Jayhawk Fine Chemicals Corporation, Lubrizol, EMS-Chemie Holding, FMC, Valspar, Mitsui Chemicals, OMNOVA Solutions, Celanese, Cabot, Westlake Chemical, Ashland Global Holdings, Eastman Chemical Company, INVISTA, China National Chemical, Ascend Performance Materials, The Chemours, Grupa Azoty, Dow, Arkema</t>
  </si>
  <si>
    <t>Producer of chemicals and plastic products. The company specializes in developing and manufacturing of materials which are used primarily for consumer, industrial and packaging products.</t>
  </si>
  <si>
    <t>Multi-line Chemicals</t>
  </si>
  <si>
    <t>Industrial Chemicals, Multi-line Chemicals*</t>
  </si>
  <si>
    <t>chemicals and plastic, expandable polystyrene, foam resins solutions, resins</t>
  </si>
  <si>
    <t>www.novachem.com</t>
  </si>
  <si>
    <t>1998: 4200, 1999: 4700, 2000: 4737, 2001: 4600, 2002: 4300, 2003: 4300, 2004: 4300, 2005: 3600, 2006: 102662, 2007: 2820, 2008: 2850, 2009: 2850, 2010: 2445, 2011: 2450, 2012: 2500, 2013: 2600, 2019: 2900, 2020: 3000</t>
  </si>
  <si>
    <t>TTM 2Q2014</t>
  </si>
  <si>
    <t>152368-12P</t>
  </si>
  <si>
    <t>Stephen Soules</t>
  </si>
  <si>
    <t>Chairman of Audit Committee and Member of Remuneration Committee</t>
  </si>
  <si>
    <t>+1 (403) 750-3600</t>
  </si>
  <si>
    <t>1000 Seventh Avenue, Southwest</t>
  </si>
  <si>
    <t>P.O. Box 2518</t>
  </si>
  <si>
    <t>T2P 5C6</t>
  </si>
  <si>
    <t>The company was rumored to be in talks to be acquired by Chevron Phillips Chemical Company for an approximate $15 billion on June 20, 2019. Chevron Phillips Chemical Company would gain scale and expand its footprint through the acquisition. Subsequently the deal was cancelled. Previously, the company was acquired by International Petroleum Investment Company through a $501.25 million public-to-private LBO on July 6, 2009. As part of the transaction, International Petroleum Investment Company assumed $1.798 billion of liabilities.</t>
  </si>
  <si>
    <t>International Petroleum Investment Company</t>
  </si>
  <si>
    <t>NOVA Corporation of Alberta</t>
  </si>
  <si>
    <t>International Petroleum Investment Company(www.ipic.ae)</t>
  </si>
  <si>
    <t>ADI Analytics(Consulting)</t>
  </si>
  <si>
    <t>Osler, Hoskin &amp; Harcourt(Legal Advisor), RBC Capital Markets(Advisor: General), UBS Group(Advisor: General), Wachtell, Lipton, Rosen &amp; Katz(Legal Advisor)</t>
  </si>
  <si>
    <t>267850-45</t>
  </si>
  <si>
    <t>Tsar Aerospace</t>
  </si>
  <si>
    <t>Operator of an aerospace technology company in Bhubaneswar India. The company's research theme is to design and develop a conceptual unmanned hypersonic research aircraft with new computational approaches and methods and has technical competencies in product/system development, aerospace system design, rapid prototyping, and business analysis, serving commercial, civil, and military customers.</t>
  </si>
  <si>
    <t>3D Printing, Robotics and Drones</t>
  </si>
  <si>
    <t>aerospace, aerospace design, aerospace safety, aerospace solutions, aerospace systems design</t>
  </si>
  <si>
    <t>www.tzaraerospace.com</t>
  </si>
  <si>
    <t>205640-65P</t>
  </si>
  <si>
    <t>Priyam Mohanty</t>
  </si>
  <si>
    <t>Founder &amp; Managing Director</t>
  </si>
  <si>
    <t>priyam.mohanty@tzaraerospace.com</t>
  </si>
  <si>
    <t>Bhubaneswar, India</t>
  </si>
  <si>
    <t>DLF Cybercity</t>
  </si>
  <si>
    <t>Idco Info Park, Chandaka Industrial Estate, Patia</t>
  </si>
  <si>
    <t>Bhubaneswar</t>
  </si>
  <si>
    <t>Odisha</t>
  </si>
  <si>
    <t>751024</t>
  </si>
  <si>
    <t>A 37% stake in the company was acquired by Dreamvision Overseas for USD 15 Billion on May 14, 2019.</t>
  </si>
  <si>
    <t>Dreamvision Overseas</t>
  </si>
  <si>
    <t>227447-92</t>
  </si>
  <si>
    <t>Nabisco Holdings</t>
  </si>
  <si>
    <t>Nabisco, Snackworks</t>
  </si>
  <si>
    <t>Nabisco Holdings Corp.</t>
  </si>
  <si>
    <t>Manufacturer of cookies and snacks. The company's products include chocolate, strawberry, butter, peanut, thin crust, digestive, vanilla and other flavored biscuits and snacks, enabling consumers to avail hygienic and tasty food products.</t>
  </si>
  <si>
    <t>cookies, cookies manufacturer, cookies producer</t>
  </si>
  <si>
    <t>www.nabiscoworld.com</t>
  </si>
  <si>
    <t>Parsippany, NJ</t>
  </si>
  <si>
    <t>7 Campus Drive</t>
  </si>
  <si>
    <t>Parsippany</t>
  </si>
  <si>
    <t>07054</t>
  </si>
  <si>
    <t>+1 (201) 682-5000</t>
  </si>
  <si>
    <t>The company was acquired by Philip Morris International (NYS: PM) for $14900 million on June 26, 2000. The combination of Kraft and Nabisco will create the most dynamic company in the food industry, both in terms of absolute earnings levels and revenue and earnings-growth rates. The company is no longer actively tracked by PitchBook.</t>
  </si>
  <si>
    <t>Philip Morris International</t>
  </si>
  <si>
    <t>Brock Capital Group(Advisor: General)</t>
  </si>
  <si>
    <t>59010-13</t>
  </si>
  <si>
    <t>First Gulf Bank</t>
  </si>
  <si>
    <t>FGB</t>
  </si>
  <si>
    <t>First Gulf Bank PJSC</t>
  </si>
  <si>
    <t>Abu Dhabi Commercial Bank, First Abu Dhabi Bank, Emirates NBD, Dubai Islamic Bank, Commercial Bank of Qatar, Al Ahli Bank Of Kuwait, Burgan Bank, Ahli Bank (Qatar), Commercial Bank of Dubai, HSBC Holdings</t>
  </si>
  <si>
    <t>Provider of banking services. The company provides personal, business and employee banking services to its customers in Abu Dhabi, United Arab Emirates. It also offers financial services to business and consumer sectors through its wholesale, consumer and treasury &amp; global markets businesses.</t>
  </si>
  <si>
    <t>banking service provider, employee banking services, personal banking service</t>
  </si>
  <si>
    <t>www.bankfab.com</t>
  </si>
  <si>
    <t>2008: 989, 2009: 969, 2010: 956, 2011: 930, 2012: 1112, 2013: 1452, 2014: 1454, 2015: 1436, 2016: 1322</t>
  </si>
  <si>
    <t>First Abu Dhabi Bank</t>
  </si>
  <si>
    <t>89119-00P</t>
  </si>
  <si>
    <t>Karim Karoui</t>
  </si>
  <si>
    <t>karim.karoui@fgb.ae</t>
  </si>
  <si>
    <t>P. O. Box 6316</t>
  </si>
  <si>
    <t>The company was acquired by National Bank of Abu Dhabi (ADS: NBAD) for AED 54.51 billion on April 1, 2017. Subsequently the company was delisted from ADS stock exchange.</t>
  </si>
  <si>
    <t>Allen &amp; Overy(Legal Advisor), Bain &amp; Company(Advisor: General), Credit Suisse(Advisor: General), EY(Accounting), Freshfields Bruckhaus Deringer(Legal Advisor)</t>
  </si>
  <si>
    <t>Bain &amp; Company(Advisor: General), Credit Suisse(Advisor: General), EY(Accounting), Freshfields Bruckhaus Deringer(Legal Advisor), UBS Group(Advisor: General)</t>
  </si>
  <si>
    <t>57434-14</t>
  </si>
  <si>
    <t>Gallaher Group</t>
  </si>
  <si>
    <t>Gallaher</t>
  </si>
  <si>
    <t>Gallaher Group Plc</t>
  </si>
  <si>
    <t>Manufacturer and seller of tobacco products. The company manufactures cigarettes, cigars, tobacco, and smokers' supplies.</t>
  </si>
  <si>
    <t>cigarettes seller, cigars manufacturer, tobacco, tobacco product</t>
  </si>
  <si>
    <t>1999: 3066, 2000: 3519, 2001: 6217, 2002: 9602, 2003: 10000, 2004: 11000, 2005: 11100, 2017: 80</t>
  </si>
  <si>
    <t>Weybridge, United Kingdom</t>
  </si>
  <si>
    <t>Members Hill Brooklands Road</t>
  </si>
  <si>
    <t>Weybridge</t>
  </si>
  <si>
    <t>KT13 0QU</t>
  </si>
  <si>
    <t>The company was acquired by JTI (UK) Management, a subsidiary of Japan Tobacco (TYO: 2914), for GBP 7.5 billion on April 18, 2007. The company is no longer actively tracked by PitchBook.</t>
  </si>
  <si>
    <t>Japan Tobacco</t>
  </si>
  <si>
    <t>American Brands</t>
  </si>
  <si>
    <t>Deloitte(Auditor), Dresdner Kleinwort Wasserstein(Advisor: General), Fried, Frank, Harris, Shriver &amp; Jacobson(Legal Advisor)</t>
  </si>
  <si>
    <t>Dresdner Kleinwort Wasserstein(Advisor: General), Fried, Frank, Harris, Shriver &amp; Jacobson(Legal Advisor), Greenhill &amp; Co.(Advisor: General), PwC(Advisor: General), Slaughter and May(Legal Advisor), The Goldman Sachs Group(Advisor: General)</t>
  </si>
  <si>
    <t>224468-20</t>
  </si>
  <si>
    <t>Refinitiv</t>
  </si>
  <si>
    <t>Project Finance International</t>
  </si>
  <si>
    <t>FinancialCAD, Axioma, Calypso Technology, eVestment Alliance, Murex, Airex (Business/Productivity Software), Wealthfront, FactSet Research Systems, LexisNexis Group</t>
  </si>
  <si>
    <t>Developer of financial data and risk analytics tools powering participants across the global financial marketplace. The company's financial data and risk analytics tools offer easy access to trusted news, data and analytics that are filtered by relevance and displayed in a highly visual way, enabling individual investors and financial institutions to avail real-time and accurate financial data.</t>
  </si>
  <si>
    <t>Database Software, Financial Software*</t>
  </si>
  <si>
    <t>financial data, financial database, financial risk, risk analytics, risk analytics software</t>
  </si>
  <si>
    <t>Debt Financed, Private Equity</t>
  </si>
  <si>
    <t>www.refinitiv.com</t>
  </si>
  <si>
    <t>2020: 18500, 2021: 25000</t>
  </si>
  <si>
    <t>London Stock Exchange Group</t>
  </si>
  <si>
    <t>61303-69P</t>
  </si>
  <si>
    <t>David Craig</t>
  </si>
  <si>
    <t>david.craig@refinitiv.com</t>
  </si>
  <si>
    <t>+1 (646) 794-7000</t>
  </si>
  <si>
    <t>3 Times Square</t>
  </si>
  <si>
    <t>The company was acquired by London Stock Exchange Group (LON: LSE) for $14.8 billion on January 29, 2021. As part of the all-share acquisition deal, London Stock Exchange Group (LSE) will take on the company's $12.2 billion in debt left over from its buyout by Blackstone. The deal will expand LSE's trading business and make it a major distributor and creator of market data.</t>
  </si>
  <si>
    <t>Canada Pension Plan Investment Board, Government of Singapore Investment Corporation (GIC), The Blackstone Group, Thomson Reuters</t>
  </si>
  <si>
    <t>Canada Pension Plan Investment Board(www.cppinvestments.com), Government of Singapore Investment Corporation (GIC)(www.gic.com.sg), The Blackstone Group(www.blackstone.com), Thomson Reuters(www.thomsonreuters.com)</t>
  </si>
  <si>
    <t>Bank of America Merrill Lynch(Advisor: General), Barclays Bank UK(Debt Financing), Barings(Debt Financing), Barings BDC(Debt Financing), Canson Capital Partners(Advisor: General), Citigroup(Advisor: General), Credit Suisse(Debt Financing), Deutsche Bank(Debt Financing), DLA Piper(Legal Advisor), Eterna Partners(Advisor: General), Evercore Group(Advisor: General), Flat Rock Global(Debt Financing), Goodwin(Legal Advisor), Guggenheim Securities(Advisor: General), Herbert Smith Freehills(Legal Advisor), HSBC Holdings(Debt Financing), J.P. Morgan(Advisor: General), Jefferies Financial Group(Advisor: General), Morgan Stanley(Debt Financing), Oaktree Strategic Income II(Debt Financing), Royal Bank of Canada(Debt Financing), Simpson Thacher &amp; Bartlett(Legal Advisor), Sumitomo Corporation(Debt Financing), The Goldman Sachs Group(Debt Financing), UBS Group(Debt Financing), Wachtell, Lipton, Rosen &amp; Katz(Legal Advisor), Wells Fargo(Debt Financing)</t>
  </si>
  <si>
    <t>Loan - $0.54M (First Lien; Floating); Loan - $1.00M (First Lien; Floating); Loan (First Lien); Loan - $9.25B (Term Loan B); Revolving Credit Line - $750.00M</t>
  </si>
  <si>
    <t>51497-56</t>
  </si>
  <si>
    <t>Five9 (NAS: FIVN)</t>
  </si>
  <si>
    <t>Five9, Inc.</t>
  </si>
  <si>
    <t>8X8, RingCentral, Drip Global, 3CLogic, Intelliverse, Talkdesk, Ribbon Communications, BroadSoft, Qumido, Bright Pattern, Aircall, Acqueon, Path Chat, Serenova, Noble Systems, HappyFox, Fuze, Vonage Holdings, BMC Software, Syntellect, Advanced Call Processing, Natterbox, TCN (Call Center), Masergy, Mitel Networks, Avaamo, Spoken, Momentum Telecom, Vocalcom, Phonedeck, Tenfold, Jive Communications, inContact, Genesys, Conquer.io, LiveOps</t>
  </si>
  <si>
    <t>Five9 Inc is a provider of intelligent cloud software for contact centers. Its solutions support omnichannel communication and include automatic call distribution and interactive voice response. Five9's intelligent routing solutions can direct customer inquiries to the call center agent best able to handle a customer's inquiry and suggest the best course of action for an agent to resolve the question quickly and satisfyingly. Some of its solutions include Digital Engagement, Inbound &amp; Outbound services, Virtual Assistant, Workforce Optimization, Reporting &amp; Analytics, and Workflow Automation. The vast majority of its revenue comes from the United States.</t>
  </si>
  <si>
    <t>Automation/Workflow Software, Communication Software*</t>
  </si>
  <si>
    <t>call-centre operations software, call-centre software, calling management software, interactive voice response, virtual calling center</t>
  </si>
  <si>
    <t>Debt Financed, M&amp;A, Publicly Listed, Venture Capital</t>
  </si>
  <si>
    <t>www.five9.com</t>
  </si>
  <si>
    <t>2013: 533, 2014: 630, 2015: 692, 2016: 780, 2017: 860, 2018: 983, 2019: 1210, 2020: 1549</t>
  </si>
  <si>
    <t>FIVN</t>
  </si>
  <si>
    <t>Deal (New) Merger/Acquisition, 2021|Announced/In Progress,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</si>
  <si>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40041-37P</t>
  </si>
  <si>
    <t>Barry Zwarenstein</t>
  </si>
  <si>
    <t>bzwarenstein@five9.com</t>
  </si>
  <si>
    <t>+1 (925) 201-2000</t>
  </si>
  <si>
    <t>San Ramon, CA</t>
  </si>
  <si>
    <t>3001 Bishop Drive</t>
  </si>
  <si>
    <t>Suite 350</t>
  </si>
  <si>
    <t>San Ramon</t>
  </si>
  <si>
    <t>94583</t>
  </si>
  <si>
    <t>info@five9.com</t>
  </si>
  <si>
    <t>The company reached a definitive agreement to be acquired by Zoom Video Communications (NAS: ZM) for $14.7 billion on July 18, 2021. The acquisition enables Zoom Video Communications to enhance its platform for customer engagement. Previously, existing shareholders sold their stake in the company (NAS:FIVN) on an undisclosed date. The company is being actively tracked by PitchBook.</t>
  </si>
  <si>
    <t>Adams Street Partners, Artiman Ventures, ATEL Capital Group, Hummer Winblad Venture Partners, Kingfisher Investment Advisors, Mosaic Capital Partners (Mississauga), NightDragon, Partech, Sapphire Ventures</t>
  </si>
  <si>
    <t>Zoom Video Communications</t>
  </si>
  <si>
    <t>Adams Street Partners(www.adamsstreetpartners.com), Artiman Ventures(www.artiman.com), ATEL Capital Group(www.atel.com), Hummer Winblad Venture Partners(www.hwvp.com), Kingfisher Investment Advisors(www.kingfisherinvestment.com), Mosaic Capital Partners (Mississauga)(www.mosaicvp.com), NightDragon(www.nightdragon.com), Partech(www.partechpartners.com), Sapphire Ventures(www.sapphireventures.com)</t>
  </si>
  <si>
    <t>Zoom Video Communications(www.zoom.us)</t>
  </si>
  <si>
    <t>Craig-Hallum Capital Group(Advisor: General), Goodwin(Legal Advisor), Moore Stephens International(Accounting), Sequoia Consulting Group(Consulting), The Blueshirt Group(Advisor: Communications)</t>
  </si>
  <si>
    <t>Bank of America Merrill Lynch(Underwriter), Barclays Investment Bank(Underwriter), Canaccord Genuity(Underwriter), City National Bank(Debt Financing), Fifth Street Asset Management(Debt Financing), J.P. Morgan(Underwriter), Jones Day(Legal Advisor), KBCM Technology Group(Underwriter), KPMG(Accounting), Latham &amp; Watkins(Legal Advisor), Needham &amp; Company(Underwriter), Oaktree Specialty Lending(Debt Financing), Qatalyst Partners(Advisor: General)</t>
  </si>
  <si>
    <t>165736-09</t>
  </si>
  <si>
    <t>AXA Asia Pacific</t>
  </si>
  <si>
    <t>National Mutual</t>
  </si>
  <si>
    <t>AXA Asia Pacific Holdings Ltd</t>
  </si>
  <si>
    <t>Provider of insurance services intended to protect from financial loss. The company's insurance services enables the policyholder to minimize or hedge against the risk of a contingent and uncertain financial losses.</t>
  </si>
  <si>
    <t>Multi-line Insurance*</t>
  </si>
  <si>
    <t>automobile insurance, building insurance, personal insurance service</t>
  </si>
  <si>
    <t>2002: 3810, 2006: 2200, 2007: 6000, 2008: 6800, 2009: 7188</t>
  </si>
  <si>
    <t>166475-53P</t>
  </si>
  <si>
    <t>Les Owen</t>
  </si>
  <si>
    <t>Melbourne, Australia</t>
  </si>
  <si>
    <t>447 Collins Street</t>
  </si>
  <si>
    <t>Melbourne</t>
  </si>
  <si>
    <t>Victoria</t>
  </si>
  <si>
    <t>3000</t>
  </si>
  <si>
    <t>The company was acquired by AMP for $14,600 million on March 30, 2011. The company is no longer actively tracked by PitchBook.</t>
  </si>
  <si>
    <t>AMP</t>
  </si>
  <si>
    <t>Baker &amp; McKenzie(Legal Advisor)</t>
  </si>
  <si>
    <t>Macquarie Group(Advisor: General)</t>
  </si>
  <si>
    <t>41579-74</t>
  </si>
  <si>
    <t>BioMed Realty</t>
  </si>
  <si>
    <t>BioMed</t>
  </si>
  <si>
    <t>BioMed Realty L.P.</t>
  </si>
  <si>
    <t>LTC Properties, Alexandria Real Estate Equities</t>
  </si>
  <si>
    <t>Provider of real estate services to life science and technology community. The company operates as a real estate investment trust providing sustainable real estate solutions, which include development, construction, redevelopment, acquisition, financing, leasing, and property management, to tenant partners in the United States and the United Kingdom.</t>
  </si>
  <si>
    <t>Real Estate Investment Trusts (REITs)*, Real Estate Services (B2C)</t>
  </si>
  <si>
    <t>investment trust, land property, real estate investment trust operator, real estate solutions, realty trust</t>
  </si>
  <si>
    <t>www.biomedrealty.com</t>
  </si>
  <si>
    <t>2004: 29, 2005: 50, 2006: 87, 2007: 113, 2008: 126, 2009: 132, 2010: 159, 2011: 166, 2012: 175, 2013: 235, 2014: 247, 2015: 229</t>
  </si>
  <si>
    <t>63705-52P</t>
  </si>
  <si>
    <t>Alan Gold</t>
  </si>
  <si>
    <t>alan.gold@biomedrealty.com</t>
  </si>
  <si>
    <t>+1 (858) 485-9840</t>
  </si>
  <si>
    <t>San Diego, CA</t>
  </si>
  <si>
    <t>4570 Executive Drive</t>
  </si>
  <si>
    <t>San Diego</t>
  </si>
  <si>
    <t>92121</t>
  </si>
  <si>
    <t>+1 (858) 485-9843</t>
  </si>
  <si>
    <t>info@biomedrealty.com</t>
  </si>
  <si>
    <t>The company was sold by Blackstone Real Estate Partners VIII to a newer Blackstone fund through a continuation fund LBO for $14.6 billion on November 20, 2020. As a part of the transaction, the company was recapitalized.</t>
  </si>
  <si>
    <t>Kidder Mathews(Advisor: General), Oppenheimer &amp; Company(Advisor: General), Pacific Program Management(Consulting)</t>
  </si>
  <si>
    <t>Allen &amp; Company(Underwriter), Dominick &amp; Dickerman(Advisor: General), FBR &amp; Company(Underwriter), First Albany Companies(Underwriter), Janney(Underwriter), KeyBank(Underwriter), KPMG(Accounting), Latham &amp; Watkins(Legal Advisor), Lazard Middle Market(Underwriter), Legg Mason Wood Walker(Underwriter), Morgan Stanley(Advisor: General), MUFG Union Bank(Advisor: General), Needham &amp; Company(Underwriter), Raymond James Financial(Underwriter), RBC Capital Markets(Underwriter)</t>
  </si>
  <si>
    <t>Secondary Buyout</t>
  </si>
  <si>
    <t>11348-20</t>
  </si>
  <si>
    <t>Mister Minit</t>
  </si>
  <si>
    <t>Landing in Japan</t>
  </si>
  <si>
    <t>Minit Asia Pacific Co., Ltd.</t>
  </si>
  <si>
    <t>Owner and operator of shoe repair and key duplication business. The company offers shoe repair, key replication and other related repair services. It also operates a store network of over 600 owned and franchised stores throughout Japan, Australia, New Zealand, Canada, Singapore and Malaysia.</t>
  </si>
  <si>
    <t>Footwear, Other Commercial Services*, Other Services (B2C Non-Financial)</t>
  </si>
  <si>
    <t>keys duplication business, repair service, shoes repair</t>
  </si>
  <si>
    <t>www.minit.co.jp</t>
  </si>
  <si>
    <t>2016: 807, 2020: 350</t>
  </si>
  <si>
    <t>Aoyama Trading Company</t>
  </si>
  <si>
    <t>150754-78P</t>
  </si>
  <si>
    <t>Shunsuke Sako</t>
  </si>
  <si>
    <t>shunsuke.sako@minit.co.jp</t>
  </si>
  <si>
    <t>+81 (0)36 435 7100</t>
  </si>
  <si>
    <t>No. 8, No. 12 NBF Shiba Daimon Street building 4F</t>
  </si>
  <si>
    <t>Minato-ku, Shiba Park 1-chome, Yubinbango</t>
  </si>
  <si>
    <t>105-0011</t>
  </si>
  <si>
    <t>+81 (0)44 556 9266</t>
  </si>
  <si>
    <t>The company was acquired by Aoyama Trading Company for JPY 14. 58 billion on December 16, 2015. The transaction helped Aoyama Trading Company to expand and develop the after-care products area in addition to the suits business.</t>
  </si>
  <si>
    <t>CVC Capital Partners, Minit Group, UBS Group, Unison Capital</t>
  </si>
  <si>
    <t>Advent International, Wise Partners</t>
  </si>
  <si>
    <t>CVC Capital Partners(www.cvc.com), UBS Group(www.ubs.com), Unison Capital(www.unisoncap.com)</t>
  </si>
  <si>
    <t>Advent International(www.adventinternational.com)</t>
  </si>
  <si>
    <t>Atlas Advisors(Advisor: General), Liberty Corporate Finance(Advisor: General), Mizuho Securities(Advisor: General), Nomura Securities(Advisor: General), Rabobank Group(Debt Financing)</t>
  </si>
  <si>
    <t>155660-95</t>
  </si>
  <si>
    <t>Bradford and Bingley (loans)</t>
  </si>
  <si>
    <t>A portfolio of loans and mortgages. The portfolio includes a part of the bad loans and mortgages belonging to Bradford and Bingley that were acquired by the UK Government in 2008.</t>
  </si>
  <si>
    <t>bad bank loan, loan portfolio advisory services, loan portfolio firm</t>
  </si>
  <si>
    <t>Bingley, United Kingdom</t>
  </si>
  <si>
    <t>Bingley</t>
  </si>
  <si>
    <t>BD16</t>
  </si>
  <si>
    <t>Bradford and Bingley's loan portfolio was acquired by The Blackstone Group (NYS: BX) and Prudential (LON: PRU) through a GBP 11.8 billion LBO on March 31, 2017.</t>
  </si>
  <si>
    <t>Prudential UK, The Blackstone Group</t>
  </si>
  <si>
    <t>Bradford &amp; Bingley, Government of UK</t>
  </si>
  <si>
    <t>Prudential UK(www.prudentialplc.com), The Blackstone Group(www.blackstone.com)</t>
  </si>
  <si>
    <t>Bradford &amp; Bingley(www.bbg.co.uk), Government of UK(www.uk-futurefund.co.uk)</t>
  </si>
  <si>
    <t>12046-24</t>
  </si>
  <si>
    <t>McKessonHBOC</t>
  </si>
  <si>
    <t>HBO &amp; Company</t>
  </si>
  <si>
    <t>HBO &amp; Co.</t>
  </si>
  <si>
    <t>Provider of healthcare information systems. The company is a provider of medical software products.</t>
  </si>
  <si>
    <t>Healthcare Technology Systems</t>
  </si>
  <si>
    <t>Other Healthcare Technology Systems</t>
  </si>
  <si>
    <t>Other Healthcare Technology Systems*</t>
  </si>
  <si>
    <t>SaaS, TMT</t>
  </si>
  <si>
    <t>healthcare information, healthcare system</t>
  </si>
  <si>
    <t>www.hboc.com</t>
  </si>
  <si>
    <t>301 Perimeter Center North</t>
  </si>
  <si>
    <t>30346</t>
  </si>
  <si>
    <t>The company was acquired by Mckesson for $14.5 billion on October 19, 1998. The company is no longer actively tracked by PitchBook.</t>
  </si>
  <si>
    <t>McKesson</t>
  </si>
  <si>
    <t>InterWest Health Partners</t>
  </si>
  <si>
    <t>454406-32</t>
  </si>
  <si>
    <t>Stanbic IBTC Pension Managers</t>
  </si>
  <si>
    <t>Stanbic IBTC Pension Managers Limited</t>
  </si>
  <si>
    <t>Provider of pension fund services based in Lagos, Nigeria. The company's services include retirement savings, account, micro pension, and voluntary contributions.</t>
  </si>
  <si>
    <t>Asset Management*</t>
  </si>
  <si>
    <t>pension fund, pension fund advisory, pension fund management, pension fund manager, pension fund planning</t>
  </si>
  <si>
    <t>www.stanbicibtcpension.com</t>
  </si>
  <si>
    <t>253074-07P</t>
  </si>
  <si>
    <t>Olumide Oyetan</t>
  </si>
  <si>
    <t>+234 (0)1 271 6000</t>
  </si>
  <si>
    <t>Lagos, Nigeria</t>
  </si>
  <si>
    <t>The Wealth House, 1678 Olakunle Bakare Close</t>
  </si>
  <si>
    <t>Off Sanusi Fanfunwa Street Victoria Island</t>
  </si>
  <si>
    <t>Lagos</t>
  </si>
  <si>
    <t>Nigeria</t>
  </si>
  <si>
    <t>Western Africa</t>
  </si>
  <si>
    <t>Access Bank sold a 17.65% stake in the company to an undisclosed investor for NGN 14.4 billion on February 14, 2007.</t>
  </si>
  <si>
    <t>Stanbic IBTC Bank</t>
  </si>
  <si>
    <t>Access Bank</t>
  </si>
  <si>
    <t>Stanbic IBTC Bank(www.stanbicibtcbank.com)</t>
  </si>
  <si>
    <t>Access Bank(www.accessbankplc.com)</t>
  </si>
  <si>
    <t>58483-54</t>
  </si>
  <si>
    <t>The BOC Group</t>
  </si>
  <si>
    <t>Brin's Oxygen Company</t>
  </si>
  <si>
    <t>BOC</t>
  </si>
  <si>
    <t>The BOC Group Ltd</t>
  </si>
  <si>
    <t>The BOC Group was a producer of industrial gases essential for almost every manufacturing process. Its products was purity gases, compressed gases, industrial gases, chemical gases, medical gases, LPG, bulk liquefied gases to fabrication, pressure equipment for industrial and scientific applications, enabling petroleum, electronic, steel manufacturing, metal producing and fabricating, construction, ceramic and food and beverage industries to get industrial gases required for manufacturing processes. On June 3, 2006 the firm was acquired by Linde.</t>
  </si>
  <si>
    <t>Other Chemicals and Gases, Other Commercial Products*</t>
  </si>
  <si>
    <t>chemicals gas, compressed gas, industrial gas, lpg, lpg gas, medical gas</t>
  </si>
  <si>
    <t>www.boc-gases.com</t>
  </si>
  <si>
    <t>1997: 41374, 1998: 37086, 1999: 42124, 2000: 42709, 2001: 43171, 2002: 46280, 2003: 44507, 2004: 43383, 2005: 30572, 2018: 200, 2020: 200</t>
  </si>
  <si>
    <t>Guildford, United Kingdom</t>
  </si>
  <si>
    <t>The Priestley Centre</t>
  </si>
  <si>
    <t>10 Priestley Road, The Surrey Research Park</t>
  </si>
  <si>
    <t>Guildford</t>
  </si>
  <si>
    <t>GU2 7XY</t>
  </si>
  <si>
    <t>The company was acquired by The Linde Group (ETR: LIN) for $14,400 million on March 6, 2006. The company is no longer actively tracked by PitchBook.</t>
  </si>
  <si>
    <t>Ater Wynne(Legal Advisor), CET(Advisor: General)</t>
  </si>
  <si>
    <t>Shearman &amp; Sterling(Legal Advisor)</t>
  </si>
  <si>
    <t>222531-85</t>
  </si>
  <si>
    <t>HengFeng Bank</t>
  </si>
  <si>
    <t>Evergrowing Bank, Evergrowing Bank Co. Ltd.</t>
  </si>
  <si>
    <t>Hengfeng Bank Co. Ltd.</t>
  </si>
  <si>
    <t>Provider of banking and financial services based in Yantai, China. The company offers banking, financial and lending services and is the first bank in China to use the cloud for its core banking system and to build its analytics on the Hadoop big data platform.</t>
  </si>
  <si>
    <t>Big Data, FinTech</t>
  </si>
  <si>
    <t>banking and financial services, banking firm, commercial bank, commercial banking, financial services</t>
  </si>
  <si>
    <t>www.hfbank.com.cn</t>
  </si>
  <si>
    <t>220038-13P</t>
  </si>
  <si>
    <t>Chen Ying</t>
  </si>
  <si>
    <t>Jinan City, China</t>
  </si>
  <si>
    <t>No. 8 Wuyuan Street</t>
  </si>
  <si>
    <t>Jinan City</t>
  </si>
  <si>
    <t>Shandong</t>
  </si>
  <si>
    <t>The company received CNY 100 billion of financing from United Overseas Bank, Shandong Lucion Investment Holdings Group and Central Huijin Investment on January 12, 2020. Shandong Lucion Investment Holdings Group and Central Huijin Investment, provided CNY 36 billion and CNY 60 billion of funding respectively. United Overseas Bank and the other investors provided CNY 4 billion respectively. The deal is a part of a restructuring process initiated by the Chinese Government to ease risk in the country's financial system.</t>
  </si>
  <si>
    <t>Central Huijin Investment, Shandong Lucion Investment Holdings Group, United Overseas Bank</t>
  </si>
  <si>
    <t>Central Huijin Investment(www.huijin-inv.cn), United Overseas Bank(www.uobgroup.com)</t>
  </si>
  <si>
    <t>41950-72</t>
  </si>
  <si>
    <t>Medivation</t>
  </si>
  <si>
    <t>Medivation, Inc.</t>
  </si>
  <si>
    <t>VBI Vaccines(Rehovot), Insmed, Alkermes, Boehringer Ingelheim, Nektar Therapeutics, OncBioMune, Tetraphase Pharmaceuticals, Mustang Bio, Innate Pharma, VelosBio, Amunix Pharmaceuticals, Achaogen, Corvus Pharmaceuticals, Sorrento Therapeutics, Gilead Sciences, Lundbeck, Aridis Pharmaceuticals, Dare Bioscience, Flexion Therapeutics, Heron Therapeutics, NexImmune, SelectX Pharmaceuticals, Emergent Biosolutions, PaxVax, Genentech, Apexigen, Ultragenyx Pharmaceutical, Spero Therapeutics, TScan Therapeutics, Sutro Biopharma, Inovio Pharmaceuticals, OncoResponse, Immunomedics, Celator Pharmaceuticals, Taiwan Liposome, AEterna Zentaris, Novo Nordisk</t>
  </si>
  <si>
    <t>Operator of a biopharmaceutical company focused on the development and commercialization of medically innovative therapies. The company develops novel, small molecule drugs to treat serious diseases for which there are limited treatment options, thereby offering hope to critically ill patients and their families.</t>
  </si>
  <si>
    <t>biopharmaceutical company, biopharmaceutical product, biopharmaceuticals, disease therapy, molecule drug discovery</t>
  </si>
  <si>
    <t>www.medivation.com</t>
  </si>
  <si>
    <t>1998: 13, 2004: 3, 2005: 5, 2006: 9, 2007: 28, 2008: 59, 2009: 98, 2010: 92, 2011: 121, 2012: 257, 2013: 370, 2014: 485, 2015: 628</t>
  </si>
  <si>
    <t>TTM 2Q2016</t>
  </si>
  <si>
    <t>525 Market Street</t>
  </si>
  <si>
    <t>36th Floor</t>
  </si>
  <si>
    <t>The company (NASDAQ: MDVN) was acquired by Pfizer (NYSE: PFE) for approximately $14.3 billion on September 28, 2016. This acquisition represents a rare opportunity for Pfizer to expand its business offering with an attractive pipeline and with XTANDI, an important medicine for men with prostate cancer. The company is no longer actively tracked by PitchBook.</t>
  </si>
  <si>
    <t>Azimuth Opportunity, Orion Acquisition Corp. II</t>
  </si>
  <si>
    <t>BB Biotech, Crown Predator Holdings, Kearny Venture Partners, Venrock</t>
  </si>
  <si>
    <t>BB Biotech(www.bbbiotech.ch), Crown Predator Holdings(www.crownpredator.com), Kearny Venture Partners(www.kearnyvp.com), Venrock(www.venrock.com)</t>
  </si>
  <si>
    <t>Aquilo Partners(Advisor: General), DeWinter Group(Consulting), PMI Advisors(Consulting)</t>
  </si>
  <si>
    <t>Adams Harkness &amp; Hill Financial(Underwriter), Cooley(Legal Advisor), Evercore Group(Advisor: General), Glass Lewis(Advisor: General), J.P. Morgan Securities(Underwriter), JPMorgan Chase(Advisor: General), Latham &amp; Watkins(Legal Advisor), MDB Capital Group(Placement Agent), Reedland Capital Partners(Placement Agent), SingerLewak(Accounting), Wachtell, Lipton, Rosen &amp; Katz(Legal Advisor), Wedbush Securities(Underwriter)</t>
  </si>
  <si>
    <t>60942-88</t>
  </si>
  <si>
    <t>SouthTrust</t>
  </si>
  <si>
    <t>Birmingham Trust and Savings Company, Alabama Financial Group, Southern Bancorporation of Alabama</t>
  </si>
  <si>
    <t>SouthTrust Corp</t>
  </si>
  <si>
    <t>Provider of banking and financial services. The company's services include cash management services, commercial leasing services, investments and wealth management services and retirement trust services.</t>
  </si>
  <si>
    <t>cash management, investment services, mortgage lending service</t>
  </si>
  <si>
    <t>www.southtrust.com</t>
  </si>
  <si>
    <t>1989: 4200, 1990: 4900, 1991: 4900, 1992: 6500, 1993: 6500, 1994: 7400, 1995: 7400, 1996: 9100, 1997: 10300, 1998: 12000, 1999: 12500, 2000: 12200, 2001: 13300, 2002: 13200, 2003: 12400</t>
  </si>
  <si>
    <t>Wachovia Corporation (corporate trust and institutional custody businesses)</t>
  </si>
  <si>
    <t>58785-94P</t>
  </si>
  <si>
    <t>Jeannie Colquett</t>
  </si>
  <si>
    <t>+1 (361) 449-1571</t>
  </si>
  <si>
    <t>BirminghamGeorge West, TX</t>
  </si>
  <si>
    <t>601 Guadalupe Street</t>
  </si>
  <si>
    <t>BirminghamGeorge West</t>
  </si>
  <si>
    <t>78022</t>
  </si>
  <si>
    <t>+1 (361) 449-1443</t>
  </si>
  <si>
    <t>The company was acquired by Wachovia Corporation (corporate trust and institutional custody businesses) (NYSE: WB) for $14.3 billion on October 29, 2004. The acquisition will enable the acquirer to expand its operations in the growing Texas market.</t>
  </si>
  <si>
    <t>Bradley(Legal Advisor)</t>
  </si>
  <si>
    <t>10713-79</t>
  </si>
  <si>
    <t>Zayo Group</t>
  </si>
  <si>
    <t>Zayo</t>
  </si>
  <si>
    <t>Zayo Group, LLC</t>
  </si>
  <si>
    <t>Windstream, Mediacom, Koninklijke KPN, EnTouch Systems, Alaska Communications Systems, ComSouth Telecommunications, Hyperoptic, Lumen Technologies, Shentel, Free au Sénégal, Sparklight, Connectivity Wireless Solutions, Affiniti (Texas), XO Holdings, Broadview Networks, RCN Telecom Services, Cablevision, Millicom International Cellular, Ziggo, Frontier Communications, Telefónica El Salvador, WideOpenWest, Consolidated Communications, Altice USA, GlobeNet Cabos Submarinos, Safaricom, Telecom Italia Sparkle, Agile Networks, Deutsche Telekom, GCI Communication, 1stPoint Communications, Cincinnati Bell, Atlantic Broadband Group, Telecom Italia, ISP Fuel Broadband, Reliance Communications, OPTK Networks, Unite Private Networks, Hawaiian Telcom Holdco, GTT Communications, Adam Phones, Rise Broadband, Mobilitie, M24Seven, AT&amp;T, FirstLight Fiber, Entanet International, T-Mobile (US), euNetworks, FPL FiberNet, Segra (Charlotte), Cogent Communications, Summit Broadband, InSite Wireless Group, Sprint, Suddenlink Communications, Orange, Fibrenoire, Towerstream, Belgacom International Carrier Services, Alpheus Communications, Telefónica Holding de Argentina, ExteNet Systems, Interoute Communications, Cricket Wireless, Verizon Communications, Telefónica, Telstra, Vodafone Group, Telefonica Brasil, Bright House Networks, Cablemasters, T-Mobile Netherlands, Telefónica del Perú, Google Fiber, OneCom (United Kingdom), Megaport, Level 3 Communications, Daisy Group, Philippine Long Distance Telephone, Gigaclear, Altice, Syniverse Technologies, Wave</t>
  </si>
  <si>
    <t>Zayo owns about 130,000 route miles of fiber, which underlies most of its business and is in over 400 markets throughout the U.S., Canada, and Europe. In its biggest segment, Fiber Solutions, Zayo leases dark fiber on long-term contracts primarily to communications service providers. In its Transport and Enterprise Networks segments, Zayo similarly leases fiber to customers to transport data, but it has a range of offerings over fiber that Zayo has lit, saving customers from having to activate and customize it themselves. Zayo also operates 50 U.S. data centers, provides cloud services, and owns a small Canadian telecom company, Allstream, that serves business customers. In 2018, Zayo announced its intention to split its business into two companies by the end of 2019.</t>
  </si>
  <si>
    <t>Cable Service Providers, Internet Service Providers*, Telecommunications Service Providers</t>
  </si>
  <si>
    <t>Infrastructure, TMT</t>
  </si>
  <si>
    <t>bandwidth infrastructure, bandwidth infrastructure services, fibre cable provider, interconnection service, low latency routing</t>
  </si>
  <si>
    <t>www.zayo.com</t>
  </si>
  <si>
    <t>2007: 60, 2012: 482, 2014: 1513, 2015: 1949, 2016: 3379, 2017: 3899, 2018: 3774, 2019: 3781</t>
  </si>
  <si>
    <t>39118-33P</t>
  </si>
  <si>
    <t>Matthew Steinfort</t>
  </si>
  <si>
    <t>matthew.steinfort@zayo.com</t>
  </si>
  <si>
    <t>+1 (866) 364-6033</t>
  </si>
  <si>
    <t>Boulder, CO</t>
  </si>
  <si>
    <t>1821 30th Street</t>
  </si>
  <si>
    <t>Unit A</t>
  </si>
  <si>
    <t>Boulder</t>
  </si>
  <si>
    <t>80301</t>
  </si>
  <si>
    <t>info@zayo.com</t>
  </si>
  <si>
    <t>The company (NYSE: ZAYO) was acquired by EQT, Ardian and Digital Colony through a $14.3 billion public-to-private LBO on February 02, 2020. Under the terms of the merger agreement, the company's stockholders will receive $35 in cash per share of the company's common stock. As a result of the transaction completion, the company is now a privately held company and its common stock has ceased trading on the NYSE. Fisher Lynch Capital also participated in the round. Barings provided an undisclosed amount of debt financing in the form of the first lien loan, a revolving credit line, and a term loan b to support this transaction.</t>
  </si>
  <si>
    <t>Ardian, BlackRock, Capital Factory, Digital Bridge, EQT, Fisher Lynch Capital</t>
  </si>
  <si>
    <t>AlpInvest Partners, Battery Ventures, Bridgescale, Centennial Ventures, Charlesbank Capital Partners, Columbia Capital, Delta-v Capital, Greenspring Associates, GTCR, HarbourVest Partners, M/C Partners, Morgan Stanley Investment Management, Oak Investment Partners</t>
  </si>
  <si>
    <t>Ardian(www.ardian.com), BlackRock(www.blackrock.com), Capital Factory(www.capitalfactory.com), Digital Bridge(www.digitalbridge.com), EQT(www.eqtgroup.com), Fisher Lynch Capital(www.fisherlynch.com)</t>
  </si>
  <si>
    <t>AlpInvest Partners(www.alpinvest.com), Battery Ventures(www.battery.com), Bridgescale(www.bridgescale.com), Centennial Ventures(www.centennial.com), Charlesbank Capital Partners(www.charlesbank.com), Columbia Capital(www.colcap.com), Delta-v Capital(www.deltavcapital.com), Greenspring Associates(www.greenspringassociates.com), GTCR(www.gtcr.com), HarbourVest Partners(www.harbourvest.com), M/C Partners(www.mcpartners.com), Oak Investment Partners(www.oakinv.com)</t>
  </si>
  <si>
    <t>Chatham Financial(Advisor: General), Citigroup Global Markets(Debt Financing), GS Bank(Debt Financing), Intrinsic(Valuation/Appraiser), Invesco(Debt Financing), JPMorgan Chase(Debt Financing), Morgan Stanley Senior Funding(Debt Financing), RBC Capital Markets(Debt Financing), SunTrust Robinson Humphrey(Debt Financing)</t>
  </si>
  <si>
    <t>American Capital (ACAS)(Debt Financing), Barclays(Debt Financing), Barclays Investment Bank(Underwriter), Barings(Debt Financing), BDO(Accounting), Blake, Cassels &amp; Graydon(Legal Advisor), CIT Group(Debt Financing), Citigroup Global Markets(Underwriter), CoBank(Debt Financing), Corporate Capital Trust(Debt Financing), Cowen &amp; Company(Underwriter), D.A. Davidson Companies(Underwriter), FS KKR Capital(Debt Financing), Gibson, Dunn &amp; Crutcher(Legal Advisor), Goodwin(Legal Advisor), Hercules Capital(Debt Financing), J.P. Morgan(Underwriter), Kahn Swick &amp; Foti(Legal Advisor), Koenig, Oelsner, Taylor, Schoenfeld &amp; Gaddis(Legal Advisor), KPMG(Accounting), Morgan Stanley(Underwriter), Oppenheimer &amp; Company(Underwriter), Raymond James Financial(Underwriter), RBC Capital Markets(Debt Financing), RBC Capital Markets(Underwriter), RBC Mezzanine Finance(Underwriter), Simpson Thacher &amp; Bartlett(Legal Advisor), Skadden, Arps, Slate, Meagher &amp; Flom(Legal Advisor), Source Capital Group(Underwriter), Stephens(Advisor: General), SunTrust Bank(Debt Financing), SunTrust Robinson Humphrey(Underwriter), The Goldman Sachs Group(Underwriter), Wells Fargo(Underwriter), William Blair &amp; Company(Underwriter)</t>
  </si>
  <si>
    <t>Loan (Term Loan B); Loan (First Lien); Revolving Credit Line</t>
  </si>
  <si>
    <t>11746-54</t>
  </si>
  <si>
    <t>Intercontinental Exchange (NYS: ICE)</t>
  </si>
  <si>
    <t>ICE</t>
  </si>
  <si>
    <t>Intercontinental Exchange, Inc.</t>
  </si>
  <si>
    <t>Intercontinental Exchange is a vertically integrated operator of financial exchanges and provides ancillary data products. Though the company is probably best known for its ownership of the New York Stock Exchange, which it acquired in 2013, ICE operates a large derivatives exchange, too. The company's largest commodity futures product is the ICE Brent crude futures contract. In addition to the exchanges business, which is about 55% of net revenue, Intercontinental Exchange has used a series of acquisitions to create its mortgage technology business (18% of net revenue) and fixed-income and data-services segment (27% of net revenue).</t>
  </si>
  <si>
    <t>Other Capital Markets/Institutions*, Other Financial Services</t>
  </si>
  <si>
    <t>clearing house services, risk management, stock exchange, stock exchange operator, trading platform</t>
  </si>
  <si>
    <t>www.intercontinentalexchange.com</t>
  </si>
  <si>
    <t>2004: 194, 2005: 406, 2006: 452, 2007: 506, 2008: 795, 2009: 826, 2010: 933, 2011: 1013, 2012: 1077, 2013: 4232, 2014: 4338, 2015: 5549, 2016: 5631, 2017: 5242, 2018: 5161, 2019: 5989, 2020: 8890, 2021: 8964</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</si>
  <si>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</si>
  <si>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88233-22P</t>
  </si>
  <si>
    <t>Scott Hill</t>
  </si>
  <si>
    <t>scott.hill@theice.com</t>
  </si>
  <si>
    <t>+1 (770) 857-4700</t>
  </si>
  <si>
    <t>5660 New Northside Drive North West</t>
  </si>
  <si>
    <t>3rd Floor</t>
  </si>
  <si>
    <t>30328</t>
  </si>
  <si>
    <t>+1 (770) 937-0020</t>
  </si>
  <si>
    <t>The company received GBP 10 billion of debt financing in the form of loan from Morgan Stanley, Wells Fargo and Mitsubishi UFJ Securities Holdings on April 5, 2016. The funding was secured to bid for the London Stock Exchange. Previously, the company received $3.87 billion of debt financing from Wells Fargo, Bank of America, The Bank of Tokyo-Mitsubishi, Bank of Montreal, Bank of China, BBVA Compass Bank, Fifth Third Bank, Citibank, Credit Suisse, J.P. Morgan, Morgan Stanley, Societe Generale Group, US Bank, The Goldman Sachs Group, Lloyds TSB Group, Regions Financial SunTrust Banks on November 12, 2015.</t>
  </si>
  <si>
    <t>Goldman Sachs Merchant Banking Division</t>
  </si>
  <si>
    <t>AEP Investments, BP, Continental Power Exchange, DB Structured Products, Duke Energy Trading Exchange, MHC Investment, Morgan Stanley, NatWest Group, SGF Soquia, Shell Aviation Australia, Société Générale, TA Associates Management, The Goldman Sachs Group, Total Investments USA, Vernon &amp; Park Capital</t>
  </si>
  <si>
    <t>BP(bp.com), Morgan Stanley(www.morganstanley.com), NatWest Group(www.natwestgroup.com), Société Générale(www.societegenerale.com), TA Associates Management(www.ta.com), The Goldman Sachs Group(www.goldmansachs.com), Vernon &amp; Park Capital(www.vernonpark.com)</t>
  </si>
  <si>
    <t>Bank of America(Debt Financing), Bank of America Merrill Lynch(Advisor: General), Bank of China(Debt Financing), BBVA USA Bancshares(Debt Financing), Blaylock Van(Underwriter), BMO Capital Markets(Debt Financing), BMO Financial Group(Debt Financing), Chatsworth Securities(Underwriter), Citibank(Debt Financing), Credit Suisse(Debt Financing), ETrade Securities(Underwriter), EY(Auditor), Fifth Third Bank(Debt Financing), J.P. Morgan(Debt Financing), Lloyds Bank(Debt Financing), Mitsubishi UFJ Securities Holdings(Debt Financing), Morgan Stanley(Debt Financing), MUFG Bank(Debt Financing), Regions Financial(Debt Financing), Sandler O'Neill + Partners(Underwriter), SG Capital(Underwriter), Société Générale(Underwriter), Sullivan &amp; Cromwell(Legal Advisor), SunTrust Bank(Debt Financing), Susquehanna Financial Group(Underwriter), The Goldman Sachs Group(Underwriter), U.S. Bancorp(Debt Financing), UBS Securities (China)(Underwriter), Wells Fargo(Debt Financing), William Blair &amp; Company(Underwriter)</t>
  </si>
  <si>
    <t>Loan - $14.28B</t>
  </si>
  <si>
    <t>Public Investment 2nd Offering</t>
  </si>
  <si>
    <t>121903-21</t>
  </si>
  <si>
    <t>Dresdner Bank</t>
  </si>
  <si>
    <t>Dredsner</t>
  </si>
  <si>
    <t>Dresdner Bank AG</t>
  </si>
  <si>
    <t>Operator of a commercial bank intended to provide financial transaction services. The company's commercial banking services offer money transactions, loans and deposits, financial services, financing concepts enabling customers to avail online banking services in Germany.</t>
  </si>
  <si>
    <t>bank branch, banking, cash management, commercial bank, corporate banking, financial conglomerate, financial transaction, loans, risk management</t>
  </si>
  <si>
    <t>www.dresdner-bank.com</t>
  </si>
  <si>
    <t>2008: 23686, 2012: 42382, 2015: 23295</t>
  </si>
  <si>
    <t>Frankfurt, Germany</t>
  </si>
  <si>
    <t>Jürgen-Ponto-Platz 1</t>
  </si>
  <si>
    <t>Frankfurt</t>
  </si>
  <si>
    <t>60301</t>
  </si>
  <si>
    <t>The company was acquired by Commerzbank (PINX: CRZBY) for EUR 9.8 billion in 2008. The company is no longer actively tracked by PitchBook.</t>
  </si>
  <si>
    <t>Commerzbank</t>
  </si>
  <si>
    <t>Allianz Group</t>
  </si>
  <si>
    <t>Allianz Group(www.allianz.com)</t>
  </si>
  <si>
    <t>Colchester Partners(Advisor: General), Mediobanca(Advisor: General)</t>
  </si>
  <si>
    <t>63889-84</t>
  </si>
  <si>
    <t>UP Chemical</t>
  </si>
  <si>
    <t>UP Chemical Co., Ltd.</t>
  </si>
  <si>
    <t>Manufacturer and supplier of precursors for the production of semiconductors based in Pyeongtaek, South Korea. The company's products include display and solar materials, capacitor and gate high-k dielectric, capacitor and gate electrode, DPT and TSV SIO2, SiO2/SiN, GST, metallization, ReRAM, and spin-on dielectric.</t>
  </si>
  <si>
    <t>Industrial Supplies and Parts*, Other Semiconductors</t>
  </si>
  <si>
    <t>display and solar materials, gates electrode, precursors, semiconductor materials, semiconductor product</t>
  </si>
  <si>
    <t>www.upchem.co.kr</t>
  </si>
  <si>
    <t>Jiangsu Yoke Technology Company</t>
  </si>
  <si>
    <t>173907-37P</t>
  </si>
  <si>
    <t>Soo-Ick Sohn</t>
  </si>
  <si>
    <t>+82 (0)31 611 8900</t>
  </si>
  <si>
    <t>Pyeongtaek, South Korea</t>
  </si>
  <si>
    <t>81, Sandan-ro 197beon-gil</t>
  </si>
  <si>
    <t>Pyeongtaek</t>
  </si>
  <si>
    <t>Gyeonggi-do</t>
  </si>
  <si>
    <t>+82 (0)31 668 0300</t>
  </si>
  <si>
    <t>admin@upchem.co.kr</t>
  </si>
  <si>
    <t>The company was acquired by Jiangsu Yoke Technology (SHE: 002409) for Won 197.24 billion on September 01, 2016. The deal also included 31.16 percent stake of company founder Shin Hyeon-guk.</t>
  </si>
  <si>
    <t>Rohm &amp; Haas, Woongjin Capital, Woori Bank, Wooshin Venture Investment Corp</t>
  </si>
  <si>
    <t>Woori Bank(spot.wooribank.com), Wooshin Venture Investment Corp(www.wooshinvc.com)</t>
  </si>
  <si>
    <t>57984-58</t>
  </si>
  <si>
    <t>Banca Antonveneta</t>
  </si>
  <si>
    <t>Antoniana-Popolare Veneta</t>
  </si>
  <si>
    <t>Antonveneta</t>
  </si>
  <si>
    <t>Banca Antonveneta S.p.A.</t>
  </si>
  <si>
    <t>Operator of a regional commercial bank in Italy. The company provides current accounts, savings accounts, medium-long term loans, ordinary short-term loans, unsecured loans and mortgage loans, working capital, recovery of liquidity loans. It also provides insurance products like agriculture credit, remote banking, cross-border banking, collection and payment and electronic billing services.</t>
  </si>
  <si>
    <t>Other Commercial Banks*</t>
  </si>
  <si>
    <t>banking and finance</t>
  </si>
  <si>
    <t>www.antonveneta.it</t>
  </si>
  <si>
    <t>2008: 10800</t>
  </si>
  <si>
    <t>Padua, Italy</t>
  </si>
  <si>
    <t>Piazzetta Filippo Turati 2</t>
  </si>
  <si>
    <t>Padua</t>
  </si>
  <si>
    <t>35131</t>
  </si>
  <si>
    <t>The company was acquired by Banca Monte dei Paschi di Siena (MIL: BMPS) for EUR 9000 million on May 30, 2008. The company is no longer actively tracked by PitchBook.</t>
  </si>
  <si>
    <t>Banca Monte dei Paschi di Siena</t>
  </si>
  <si>
    <t>ABN AMRO Bank, Banca Popolare di Lodi, Banco Popolare Società Cooperativa</t>
  </si>
  <si>
    <t>ABN AMRO Bank(www.abnamro.com), Banco Popolare Società Cooperativa(www.bancobpmspa.it)</t>
  </si>
  <si>
    <t>KPMG(Advisor: General), Mediobanca(Advisor: General)</t>
  </si>
  <si>
    <t>KPMG(Advisor: General)</t>
  </si>
  <si>
    <t>51467-23</t>
  </si>
  <si>
    <t>Andeavor Logistics</t>
  </si>
  <si>
    <t>Tesoro Logistics</t>
  </si>
  <si>
    <t>Andeavor, ANDX</t>
  </si>
  <si>
    <t>Andeavor Logistics LP</t>
  </si>
  <si>
    <t>Oryx Midstream Services, Pembina Pipeline, Magellan Midstream Partners, Spear Logistics, Hellmann Worldwide Logistics, TVS Supply Chain Solutions, Agility (Kuwait), Kerry Logistics Network, Aramex, Panalpina World Transport, UTi Worldwide, CEVA Logistics</t>
  </si>
  <si>
    <t>ndeavor Logistics is a full-service logistics company operating, though its subsidiaries, primarily in the western and mid-continent regions of the United States. The company owns and operates a network of crude oil, refined products and natural gas pipelines as well as crude oil and refined product trucks, marine and storage terminals. It was founded in 2011 and is headquartered in San Antonio, Texas. The company seeks to acquire businesses through mergers, acquisitions and investments which would help the firm to expand and consolidate its presence in the logistics industry. It was acquired on 30th July 2020 by MPLX LP.</t>
  </si>
  <si>
    <t>Energy Infrastructure, Energy Storage, Energy Transportation, Logistics*</t>
  </si>
  <si>
    <t>inbound logistics, logistics chain, logistics firm, logistics service, storage services provider, truck transportation service</t>
  </si>
  <si>
    <t>www.andeavorlogistics.com</t>
  </si>
  <si>
    <t>2010: 95, 2011: 114, 2012: 160, 2013: 470, 2014: 853, 2015: 965, 2016: 1088, 2017: 1900</t>
  </si>
  <si>
    <t>The company was acquired by MPLX (NYS: MPLX) for $14 billion on July 30, 2019. The transaction helps MPLX have an expanded geographic footprint which enhances its long-term growth opportunities and the sustainable cash flow profile of the business.. The company is no longer actively tracked by PitchBook.</t>
  </si>
  <si>
    <t>MPLX</t>
  </si>
  <si>
    <t>Andrews Kurth Kenyon(Legal Advisor), Oppenheimer &amp; Company(Advisor: General), Seaport Global(Advisor: General), Simmons Energy(Advisor: General)</t>
  </si>
  <si>
    <t>Bank of America Merrill Lynch(Underwriter), Barclays Investment Bank(Underwriter), Citigroup Global Markets(Underwriter), Cleary Gottlieb(Legal Advisor), Credit Suisse Securities (USA)(Underwriter), Cushing Asset Management(Advisor: General), Deutsche Bank Securities(Underwriter), EY(Accounting), J.P. Morgan(Underwriter), Kahn Swick &amp; Foti(Legal Advisor), Latham &amp; Watkins(Legal Advisor), Raymond James Financial(Underwriter), RBC Capital Markets(Underwriter), Sidley Austin(Legal Advisor), The Goldman Sachs Group(Advisor: General), Wells Fargo Securities(Underwriter)</t>
  </si>
  <si>
    <t>155000-62</t>
  </si>
  <si>
    <t>Edwards Systems Technology</t>
  </si>
  <si>
    <t>Edwards, EST</t>
  </si>
  <si>
    <t>Edwards Systems Technology, Inc.</t>
  </si>
  <si>
    <t>Provider of fire detection and alarm services intended to protect lives and livelihoods of the people. The company offers life safety services, fire alarm, mass notification services and hazard warning services.</t>
  </si>
  <si>
    <t>Security Services (B2B)</t>
  </si>
  <si>
    <t>Other Services (B2C Non-Financial), Security Services (B2B)*</t>
  </si>
  <si>
    <t>alarm service, fire alarm system, hazard warning tools, life safety product</t>
  </si>
  <si>
    <t>www.est.net</t>
  </si>
  <si>
    <t>186190-03P</t>
  </si>
  <si>
    <t>Jay Twombly</t>
  </si>
  <si>
    <t>Cheshire, CT</t>
  </si>
  <si>
    <t>90 Fieldstone Court</t>
  </si>
  <si>
    <t>Cheshire</t>
  </si>
  <si>
    <t>06410</t>
  </si>
  <si>
    <t>The company, a subsidiary of SPX was acquired by GE Security for $14 billion in 2005. The purchase will position acquirer's security business as a leader in the fire detection and life safety market. The company is no longer actively tracked by PitchBook.</t>
  </si>
  <si>
    <t>Interlogix</t>
  </si>
  <si>
    <t>SPX</t>
  </si>
  <si>
    <t>SPX(www.spx.com)</t>
  </si>
  <si>
    <t>53417-80</t>
  </si>
  <si>
    <t>Roche Holding (SWX: ROG)</t>
  </si>
  <si>
    <t>Roche</t>
  </si>
  <si>
    <t>Roche Holding AG</t>
  </si>
  <si>
    <t>Astellas Pharma, Mallinckrodt, Actelion Pharmaceuticals, Ferrer Internacional, Cisbio Bioassays, Upsher-Smith Laboratories, Abbott India, Boehringer Ingelheim, Nodality, Novartis, Allergan, Grifols, GlaxoSmithKline, Nipro, Meridian Bioscience, Abbott, UCB Pharma, Aurobindo Pharma, Cipla, BioMotiv, AstraZeneca, Janssen Global Services, Beckman Coulter, Teva Pharmaceutical Industries, Novo Nordisk, Almirall, Phibro Animal Health, CSL, TOMA Biosciences</t>
  </si>
  <si>
    <t>Roche is a Swiss biopharmaceutical and diagnostic company. The firm's best-selling pharmaceutical products include a variety of oncology therapies from acquired partner Genentech, and its diagnostics group was bolstered by the acquisition of Ventana in 2008. Oncology products account for 60% of pharmaceutical sales, and centralized and point-of-care diagnostics for more than half of diagnostic-related sales.</t>
  </si>
  <si>
    <t>Diagnostic Equipment, Drug Delivery, Pharmaceuticals*</t>
  </si>
  <si>
    <t>diagnostic solutions, healthcare solutions, pharmaceutical product, therapeutic product</t>
  </si>
  <si>
    <t>www.roche.com</t>
  </si>
  <si>
    <t>2005: 48972, 2006: 74372, 2007: 78604, 2008: 80080, 2009: 81507, 2010: 80653, 2011: 80129, 2012: 82089, 2013: 85080, 2014: 88509, 2015: 91747, 2016: 94052, 2017: 80080, 2018: 94442, 2019: 97735, 2020: 101465</t>
  </si>
  <si>
    <t>SWX</t>
  </si>
  <si>
    <t>ROG</t>
  </si>
  <si>
    <t>59881-87P</t>
  </si>
  <si>
    <t>Alan Hippe</t>
  </si>
  <si>
    <t>Chief Financial &amp; Information Officer</t>
  </si>
  <si>
    <t>alan.hippe@roche.com</t>
  </si>
  <si>
    <t>+41 (0)61 688 1111</t>
  </si>
  <si>
    <t>Basel, Switzerland</t>
  </si>
  <si>
    <t>Grenzacherstrasse 124</t>
  </si>
  <si>
    <t>Konzern Hauptsitz</t>
  </si>
  <si>
    <t>Basel</t>
  </si>
  <si>
    <t>4070</t>
  </si>
  <si>
    <t>Novartis was in talks to sell its shares of the company's (SWX: RO) common stock, raising $14 billion on April 24, 2016. Subsequently, the deal was canceled on October 24, 2016. Previously, the company (SWX: RO) received $180.32 million of development capital from Scout Investments, Douglass Winthrop Advisors, Sky Investment Group, Ferguson Wellman Capital Management, Cape Cod Five Cents Savings Bank, Thornburg Investment Management, Hemenway Trust Company, Motco, Taylor Cottrill, Hunter Associates, inc, Sheets Smith Wealth Management, Everett Harris &amp; Co, Kornitzer Capital Management, Hansberger Global Investors and Capital Counsel on April 15, 2016 through a private placement.</t>
  </si>
  <si>
    <t>Cape Cod 5, Capital Counsel, Douglass Winthrop Advisors, Everett Harris &amp; Co, Ferguson Wellman Capital Management, Hansberger Global Investors, Hemenway Trust Company, Hunter Associates, Kornitzer Capital Management, Motco, Novartis, Sheets Smith Wealth Management, Sky Investment Group, Taylor Cottrill, TechAcq Ventures, Thornburg Investment Management</t>
  </si>
  <si>
    <t>BZ Bank</t>
  </si>
  <si>
    <t>Cape Cod 5(www.capecodfive.com), Capital Counsel(capitalcounsel.com), Douglass Winthrop Advisors(www.douglasswinthrop.com), Ferguson Wellman Capital Management(www.fergusonwellman.com), Hansberger Global Investors(www.hansberger.com), Hemenway Trust Company(www.hemtrust.com), Hunter Associates(www.hunterassociates.com), Kornitzer Capital Management(www.kornitzercapitalmanagement.com), Novartis(www.novartis.com), Sheets Smith Wealth Management(www.sheetssmith.com), Taylor Cottrill(www.tceainc.com), TechAcq Ventures(www.techacq.com), Thornburg Investment Management(www.thornburg.com)</t>
  </si>
  <si>
    <t>BZ Bank(www.bzbank.ch)</t>
  </si>
  <si>
    <t>Adjuvant Partners(Consulting), Athos Ventures(Consulting), Atlas Advisors(Advisor: General), Barnes &amp; Thornburg(Legal Advisor), BioSpring(Consulting), Brunswick Group(Advisor: General), CET(Advisor: General), Cicero Group(Advisor: General), Clarity Consultants(Consulting), Franzen &amp; Company(Advisor: General), Freshfields Bruckhaus Deringer(Legal Advisor), Georgiev, Todorov &amp; Company(Legal Advisor), Hejun Group(Consulting), I-Scale(Consulting), Ice Miller(Legal Advisor), ITECS Innovative(Consulting), Keystone Strategy(Consulting), KLI Consulting(Consulting), Lenovys(Consulting), Miebach Consulting(Consulting), ProClinical(Consulting), SK Helsel &amp; Associates(Consulting), Toft Group(Consulting), TouchStone Executive Consultants(Consulting), Trestle Group(Consulting), Vault Bioventures(Consulting), Venetia Partners(Consulting), Venture 7 Advisors(Consulting), ZS Associates(Consulting)</t>
  </si>
  <si>
    <t>Secondary Transaction - Open Market</t>
  </si>
  <si>
    <t>10204-21</t>
  </si>
  <si>
    <t>SoftBank Telecom (TKS: 9434)</t>
  </si>
  <si>
    <t>Japan Telecom</t>
  </si>
  <si>
    <t>SoftBank Corp</t>
  </si>
  <si>
    <t>SoftBank Telecom Corp.</t>
  </si>
  <si>
    <t>SoftBank Corp, or SoftBank, is an established, telecommunications services provider in Japan owning a mobile network with around 45 million mobile customers and 24% market share. It also provides some fixed line services, which are mostly resold so are low margin. It is reasonably well understood by many investors previously as a core operation within the larger technology conglomerate, SoftBank Group. SoftBank Group sold 33.5% of the company in an IPO in 2018 and sold down further to a 42% holding in 2020.</t>
  </si>
  <si>
    <t>data transmission, dedicated line services, fixed line telephone, fixed line telephony</t>
  </si>
  <si>
    <t>www.softbanktelecom.co.jp</t>
  </si>
  <si>
    <t>2013: 24598, 2014: 70336, 2018: 21000, 2019: 37466, 2020: 50950, 2021: 65920</t>
  </si>
  <si>
    <t>9434</t>
  </si>
  <si>
    <t>SoftBank Group</t>
  </si>
  <si>
    <t>1-9-1 Higashi Shimbashi Minato-ku</t>
  </si>
  <si>
    <t>105-7316</t>
  </si>
  <si>
    <t>+81 (0)33 570 7550</t>
  </si>
  <si>
    <t>+81 (0)35 543 1972</t>
  </si>
  <si>
    <t>SoftBank Group (TKS: 9984) is in talks to sell 22.1% stake in the company (TKS: 9434) to an undisclosed investor for $14 billion on August 28, 2020. Subsequently, the deal was cancelled. Previously, the company was spun out of SoftBank Group through an initial public offering on the Tokyo stock exchange on December 19, 2018. The company raised JPY 2.65 trillion. The IPO proceeds will enable SoftBank to pay down debt and provide a supply of cash for further investment.</t>
  </si>
  <si>
    <t>Goldman Sachs Merchant Banking Division, Ripplewood Advisors, Silverfleet Capital, Siris Capital Group, TPG, TVG Capital Partners, Vodafone Group</t>
  </si>
  <si>
    <t>Ripplewood Advisors(ripplewoodadvisors.com), Silverfleet Capital(www.silverfleetcapital.com), Siris Capital Group(www.siris.com), TPG(www.tpg.com), TVG Capital Partners(www.tvgfunds.com), Vodafone Group(www.vodafone.com)</t>
  </si>
  <si>
    <t>SoftBank Group(www.softbank.jp)</t>
  </si>
  <si>
    <t>Bank of America(Advisor: General), JPMorgan Chase(Advisor: General), Mizuho Capital Partners(Advisor: General)</t>
  </si>
  <si>
    <t>Aozora Bank(Debt Financing), BNP Paribas(Debt Financing), Citigroup Global Markets(Debt Financing), Deutsche Bank Securities(Underwriter), J.P. Morgan(Debt Financing), Mitsubishi UFJ Trust and Banking(Debt Financing), Mizuho Financial Group(Debt Financing), Mizuho Securities(Underwriter), MUFG Bank(Debt Financing), Nomura Securities(Underwriter), Shinsei Bank(Debt Financing), SMBC Nikko Capital Markets(Underwriter), The Goldman Sachs Group(Advisor: General)</t>
  </si>
  <si>
    <t>Loan - $1.70B</t>
  </si>
  <si>
    <t>157659-49</t>
  </si>
  <si>
    <t>United Arab Shipping (CAI: UASG.CA)</t>
  </si>
  <si>
    <t>UASC</t>
  </si>
  <si>
    <t>United Arab Shipping Co.</t>
  </si>
  <si>
    <t>Evergreen Marine (Taiwan), Eusu Holdings, Kawasaki Kisen Kaisha, Cosco Shipping Specialized Carriers Company, U.N Ro-Ro Isletmeleri, MSC Mediterranean Shipping Company, Yang Ming Marine Transport Corporation, Eimskipafélag Íslands, HMM</t>
  </si>
  <si>
    <t>United Arab Shipping provides a wide range of shipping and related services. Its products consist of cargo, fleet, e-, and others such as dry cargo, reefer cargo, dangerous goods, special cargo, coffee transport, containers, vessels as well as online, portals, e-mail, mobile and others. The company operates in more than 120 countries.</t>
  </si>
  <si>
    <t>Marine</t>
  </si>
  <si>
    <t>Marine*</t>
  </si>
  <si>
    <t>cargo shipping, cargo transportation, container shipping</t>
  </si>
  <si>
    <t>2016: 1965</t>
  </si>
  <si>
    <t>CAI</t>
  </si>
  <si>
    <t>UASG.CA</t>
  </si>
  <si>
    <t>Hapag-Lloyd</t>
  </si>
  <si>
    <t>133513-21P</t>
  </si>
  <si>
    <t>Basil Al Zaid</t>
  </si>
  <si>
    <t>balzaid@uasc.net</t>
  </si>
  <si>
    <t>+971 (0)4 295 2626</t>
  </si>
  <si>
    <t>Dubai, United Arab Emirates</t>
  </si>
  <si>
    <t>P.O.Box 55586</t>
  </si>
  <si>
    <t>Dubai</t>
  </si>
  <si>
    <t>+971 (0)4 295 2103</t>
  </si>
  <si>
    <t>communications@uasc.net</t>
  </si>
  <si>
    <t>The company was acquired by Hapag-Lloyd (ETR: HLAG) for $14 billion on May 24, 2017. The two businesses will start to integrate their services in about eight weeks in a process called commercial cut-over, which is due to be concluded by the end of the third quarter. The two majority shareholders of UASC, Qatar Investment Authority, through its subsidiary Qatar Holding LLC, and the Public Investment Fund of the Kingdom of Saudi Arabia (PIF), will become new key shareholders of Hapag-Lloyd.</t>
  </si>
  <si>
    <t>Bahrain Mumtalakat Holding Company, Qatar Holding, Saudi Arabia's Public Investment Fund</t>
  </si>
  <si>
    <t>Bahrain Mumtalakat Holding Company(www.mumtalakat.bh), Qatar Holding(www.qh.com.qa), Saudi Arabia's Public Investment Fund(www.pif.gov.sa)</t>
  </si>
  <si>
    <t>Burgan Bank(Debt Financing), Lazard Middle Market(Advisor: General), Watson, Farley &amp; Williams(Legal Advisor), White &amp; Case(Legal Advisor)</t>
  </si>
  <si>
    <t>61078-87</t>
  </si>
  <si>
    <t>Livongo</t>
  </si>
  <si>
    <t>EosHealth</t>
  </si>
  <si>
    <t>Livongo Health, Inc.</t>
  </si>
  <si>
    <t>Omada, Ontrak, Onduo</t>
  </si>
  <si>
    <t>Livongo Health Inc provides a data science and technology enabled platform for detection of diabetes. Its additional solutions include Livongo for Hypertension, Livongo for Prediabetes and Weight Management, and Livongo for Behavioral Health by myStrength. The company's client comprise of employers, health plans, government entities, and labor unions. Its operations are primarily located in the United States.</t>
  </si>
  <si>
    <t>Monitoring Equipment</t>
  </si>
  <si>
    <t>Monitoring Equipment*, Other Healthcare Technology Systems</t>
  </si>
  <si>
    <t>Artificial Intelligence &amp; Machine Learning, Digital Health, HealthTech, TMT</t>
  </si>
  <si>
    <t>chronic disease management, diabetes management app, diabetes management platform, healthcare program, personalized health management</t>
  </si>
  <si>
    <t>www2.livongo.com</t>
  </si>
  <si>
    <t>2014: 61, 2015: 110, 2016: 100, 2019: 615, 2020: 900</t>
  </si>
  <si>
    <t>Teladoc Health</t>
  </si>
  <si>
    <t>TTM 3Q2020</t>
  </si>
  <si>
    <t>18214-30P</t>
  </si>
  <si>
    <t>Lee Shapiro</t>
  </si>
  <si>
    <t>lee@7wireventures.com</t>
  </si>
  <si>
    <t>+1 (312) 588-7060</t>
  </si>
  <si>
    <t>150 West Evelyn Avenue</t>
  </si>
  <si>
    <t>Suite 150</t>
  </si>
  <si>
    <t>The company was acquired by Teladoc Health (NYS: TDOC) for $13.94 billion on October 30, 2020. The company is no longer actively tracked by PitchBook.</t>
  </si>
  <si>
    <t>7wire Ventures, Kinnevik, Kleiner Perkins, Merck Global Health Innovation Fund</t>
  </si>
  <si>
    <t>American Investment Holdings, Cowen Healthcare Investments, Echo Health Ventures, EDBI, General Catalyst, Healthcare Growth Partners, Human Capital Investment Management, Humana, Kevin Colleran, M12, Sapphire Ventures, Singapore Economic Development Board, Slow Ventures, Threshold Ventures, Wanxiang America, Zaffre Investments</t>
  </si>
  <si>
    <t>7wire Ventures(www.7wireventures.com), Kinnevik(www.kinnevik.com), Kleiner Perkins(www.kleinerperkins.com), Merck Global Health Innovation Fund(www.merckghifund.com)</t>
  </si>
  <si>
    <t>Echo Health Ventures(www.echohealthventures.com), EDBI(www.edbi.com), General Catalyst(www.generalcatalyst.com), Healthcare Growth Partners(www.hgp.com), Human Capital Investment Management(www.human.capital), Humana(humana.gcs-web.com), M12(www.m12.vc), Sapphire Ventures(www.sapphireventures.com), Singapore Economic Development Board(www.edb.gov.sg), Slow Ventures(slow-prod.herokuapp.com), Threshold Ventures(www.threshold.vc), Wanxiang America(www.wanxiang.com), Zaffre Investments(www.zaffreinvestments.com)</t>
  </si>
  <si>
    <t>Cooley(Legal Advisor), Daversa Partners(Consulting), Mercer(Consulting), Orrick(Legal Advisor), Riviera Partners(Consulting), Vedder Price(Legal Advisor)</t>
  </si>
  <si>
    <t>Canaccord Genuity(Underwriter), Daversa Partners(Consulting), Healthcare Growth Partners(Lead Manager or Arranger), J.P. Morgan(Underwriter), Kahn Swick &amp; Foti(Legal Advisor), KeyBanc Capital Markets(Underwriter), Mercer(Consulting), Mischler Financial Group(Advisor: General), Morgan Stanley(Underwriter), Needham &amp; Company(Underwriter), Orrick(Legal Advisor), Piper Sandler(Underwriter), PwC(Accounting), Roberts &amp; Ryan Investments(Underwriter), Sard Verbinnen(Advisor: Communications), Sidley Austin(Legal Advisor), Skadden, Arps, Slate, Meagher &amp; Flom(Legal Advisor), SVB Leerink(Underwriter), The Goldman Sachs Group(Underwriter), Vedder Price(Legal Advisor), Wilson Sonsini Goodrich &amp; Rosati(Legal Advisor)</t>
  </si>
  <si>
    <t>11980-27</t>
  </si>
  <si>
    <t>MedImmune</t>
  </si>
  <si>
    <t>Molecular Vaccines, Inc.</t>
  </si>
  <si>
    <t>MedImmune, LLC</t>
  </si>
  <si>
    <t>Grifols Diagnostic Solutions, Agenus</t>
  </si>
  <si>
    <t>Developer of drugs for prevention and treatment of infectious disease, autoimmune diseases and cancer. The company undertakes the research and development, manufacture and marketing of biologics to address some of the major medical needs in the healthcare industry.</t>
  </si>
  <si>
    <t>Medical Supplies*</t>
  </si>
  <si>
    <t>inflammatory, influenza, respiratory</t>
  </si>
  <si>
    <t>www.medimmune.com</t>
  </si>
  <si>
    <t>1991: 41, 1992: 41, 1993: 125, 1994: 125, 1995: 125, 1996: 252, 1997: 344, 1998: 438, 1999: 664, 2000: 790, 2001: 877, 2002: 1505, 2003: 1650, 2004: 1976, 2005: 2215, 2006: 2538, 2008: 3000</t>
  </si>
  <si>
    <t>TTM 1Q2007</t>
  </si>
  <si>
    <t>Gaithersburg, MD</t>
  </si>
  <si>
    <t>One MedImmune Way</t>
  </si>
  <si>
    <t>Gaithersburg</t>
  </si>
  <si>
    <t>Maryland</t>
  </si>
  <si>
    <t>20878</t>
  </si>
  <si>
    <t>+1 (301) 398-0000</t>
  </si>
  <si>
    <t>+1 (301) 527-4200</t>
  </si>
  <si>
    <t>The company was acquired by AstraZeneca (LSE:AZN) for $13.8 billion on June 19, 2007. The company is no longer actively tracked by PitchBook.</t>
  </si>
  <si>
    <t>Global Emerging Markets, HealthCare Ventures, Patricia Industries, Rho Ventures</t>
  </si>
  <si>
    <t>Maryland Industrial Partnerships</t>
  </si>
  <si>
    <t>Global Emerging Markets(www.gemny.com), HealthCare Ventures(www.hcven.com), Patricia Industries(www.patriciaindustries.com), Rho Ventures(www.rhoventures.com)</t>
  </si>
  <si>
    <t>Maryland Industrial Partnerships(www.mips.umd.edu)</t>
  </si>
  <si>
    <t>Seed Intellectual Property Law Group(Legal Advisor)</t>
  </si>
  <si>
    <t>185232-16</t>
  </si>
  <si>
    <t>Schwing</t>
  </si>
  <si>
    <t>Schwing GmbH</t>
  </si>
  <si>
    <t>Manufacturer of mobile and stationary concrete pumps and truck mixers. The company's mobile and stationary concrete pumps and truck mixers are used for construction purpose, enabling the construction industry to access a wide range of products for their operation under one roof.</t>
  </si>
  <si>
    <t>Machinery (B2B)*, Other Commercial Products</t>
  </si>
  <si>
    <t>concrete pumping manufacturer, concrete pumping producer, mobile concrete pumping, truck mixers</t>
  </si>
  <si>
    <t>www.schwing.de</t>
  </si>
  <si>
    <t>2008: 3650, 2009: 3037, 2010: 2976, 2011: 3110, 2015: 314, 2016: 325</t>
  </si>
  <si>
    <t>XCMG Europe</t>
  </si>
  <si>
    <t>Herne, Germany</t>
  </si>
  <si>
    <t>Heerstrasse 9-27</t>
  </si>
  <si>
    <t>Herne</t>
  </si>
  <si>
    <t>44653</t>
  </si>
  <si>
    <t>+49 (0)23 2598 70</t>
  </si>
  <si>
    <t>+49 (0)23 2572 922</t>
  </si>
  <si>
    <t>info@schwing.de</t>
  </si>
  <si>
    <t>The company was acquired by XCMG Europe for CYR 87 billion on April 20, 2012. The acquisition will enable XCMG to enhance the core competitiveness and the overall strength in this field.</t>
  </si>
  <si>
    <t>Chartwell Financial Advisory(Valuation/Appraiser)</t>
  </si>
  <si>
    <t>41247-64</t>
  </si>
  <si>
    <t>Pall</t>
  </si>
  <si>
    <t>Micro Metallic Corporation</t>
  </si>
  <si>
    <t>Pall Corp.</t>
  </si>
  <si>
    <t>Plymovent, Des-Case, Chemspeed Technologies, Filtration Group, Mann+Hummel, Porvair, Tri-Dim Filter, Aventics, Baldwin Technology, CECO Environmental, RoboVent, PerkinElmer Optoelectronics (Lathrography systems), ZEISS International, Genesis Systems Group, Clarcor Industrial Air, Esterline Technologies, Danfoss, DiversiTech, Powell Industries, Camfil, Hydac, Rockwell Automation, Clarcor</t>
  </si>
  <si>
    <t>Manufacturer of filter products intended to meet fluid management needs. The company manufactures and markets filtration, purification and separation products and integrated systems solutions for biotech, laboratory, medical and aerospace industry, thereby enabling customers to safeguard health, protect critical assets, improve product quality, and minimize emissions and waste.</t>
  </si>
  <si>
    <t>Biotechnology, Other Commercial Products*</t>
  </si>
  <si>
    <t>filtration, fluid-monitoring equipment, fuel and chemicals, microelectronics, purification, purification product, water treatment</t>
  </si>
  <si>
    <t>www.pall.com</t>
  </si>
  <si>
    <t>1989: 6200, 1990: 6300, 1991: 6400, 1992: 6400, 1993: 6300, 1994: 6200, 1995: 6500, 1996: 7700, 1997: 8500, 1998: 8500, 1999: 8600, 2000: 8800, 2001: 9400, 2002: 10700, 2003: 10500, 2004: 10300, 2005: 10400, 2006: 10828, 2007: 10700, 2009: 10200, 2010: 10400, 2011: 10900, 2012: 10800, 2013: 9800, 2014: 10400, 2015: 5001</t>
  </si>
  <si>
    <t>150089-41P</t>
  </si>
  <si>
    <t>Henry Carroll</t>
  </si>
  <si>
    <t>henry.carroll@pall.com</t>
  </si>
  <si>
    <t>+1 (516) 484-3600</t>
  </si>
  <si>
    <t>Port Washington, NY</t>
  </si>
  <si>
    <t>25 Harbor Park Drive</t>
  </si>
  <si>
    <t>Port Washington</t>
  </si>
  <si>
    <t>11050</t>
  </si>
  <si>
    <t>+1 (516) 801-9754</t>
  </si>
  <si>
    <t>The company was acquired by Danaher (NYS: DHR) for $13.57 billion on August 31, 2015.</t>
  </si>
  <si>
    <t>DPO&amp;Co(Advisor: General), Leydig, Voit &amp; Mayer(Legal Advisor), The Abernathy MacGregor Group(Advisor: Communications), The Mentor Group(Advisor: General)</t>
  </si>
  <si>
    <t>Okapi Partners(Advisor: General), Shearman &amp; Sterling(Legal Advisor), The Goldman Sachs Group(Advisor: General)</t>
  </si>
  <si>
    <t>10306-90</t>
  </si>
  <si>
    <t>ZF TRW</t>
  </si>
  <si>
    <t>TRW Automotive</t>
  </si>
  <si>
    <t>TRW</t>
  </si>
  <si>
    <t>TRW Automotive Holdings Corp.</t>
  </si>
  <si>
    <t>Brembo, Autoform Tool &amp; Manufacturing</t>
  </si>
  <si>
    <t>Manufacturer of automotive components. The company's automotive components include safety systems, radio frequency systems, integrated electronics, sensor technology, steering, suspension, transmission pumps, braking systems and other related products.</t>
  </si>
  <si>
    <t>automotive components, automotive product, brake system, car parts, safety system, steering, suspension</t>
  </si>
  <si>
    <t>2003: 65000, 2004: 59900, 2005: 63100, 2006: 63800, 2007: 66300, 2008: 65200, 2009: 63600, 2010: 69800, 2011: 72700, 2012: 75200, 2013: 78200, 2014: 78900</t>
  </si>
  <si>
    <t>122358-07P</t>
  </si>
  <si>
    <t>Michael Gambrell</t>
  </si>
  <si>
    <t>mike@standardalcohol.com</t>
  </si>
  <si>
    <t>+1 (303) 500-0954</t>
  </si>
  <si>
    <t>Livonia, MI</t>
  </si>
  <si>
    <t>12001 Tech Center Drive</t>
  </si>
  <si>
    <t>Livonia</t>
  </si>
  <si>
    <t>Michigan</t>
  </si>
  <si>
    <t>48150</t>
  </si>
  <si>
    <t>The company (NYSE: TRW) was acquired by ZF Friedrichshafenis for $13.5 billion on May 15, 2015. The company is no longer actively tracked by PitchBook.</t>
  </si>
  <si>
    <t>ZF Friedrichshafen</t>
  </si>
  <si>
    <t>Northrop Grumman, Stockwell Capital, The Blackstone Group</t>
  </si>
  <si>
    <t>Northrop Grumman(www.northropgrumman.com), Stockwell Capital(www.stockwellcapital.com), The Blackstone Group(www.blackstone.com)</t>
  </si>
  <si>
    <t>Evarts Capital(Advisor: General), SEViX GROUP(Consulting), Tenzing Consulting(Consulting), Texas Consilium(Consulting), The Financial Executives Consulting Group(Consulting)</t>
  </si>
  <si>
    <t>Bank of America Merrill Lynch(Advisor: General), Bank of America Merrill Lynch(Underwriter), Bank Street Group(Advisor: General), Burke &amp; Quick Partners(Advisor: General), Citigroup(Underwriter), Credit Suisse(Advisor: General), Deutsche Bank(Underwriter), EY(Accounting), Freshfields Bruckhaus Deringer(Legal Advisor), Gibson, Dunn &amp; Crutcher(Legal Advisor), Gleiss Lutz(Legal Advisor), J.P. Morgan(Advisor: General), Lazard Middle Market(Underwriter), Lehman Brothers(Advisor: General), Morgan Stanley(Underwriter), Salomon Brothers(Advisor: General), Schroders(Advisor: General), Simpson Thacher &amp; Bartlett(Legal Advisor), Stephens(Advisor: General), The Goldman Sachs Group(Underwriter)</t>
  </si>
  <si>
    <t>Management Buyout</t>
  </si>
  <si>
    <t>99977-50</t>
  </si>
  <si>
    <t>Waste Management (Acquired 1998)</t>
  </si>
  <si>
    <t>Provider of waste management services. The company provides collection, transfer, recycling and resource recovery and disposal services to residential, commercial, industrial and municipal customers.</t>
  </si>
  <si>
    <t>Environmental Services (B2B)*, Other Services (B2C Non-Financial)</t>
  </si>
  <si>
    <t>CleanTech, Industrials, TMT</t>
  </si>
  <si>
    <t>electronic recycling, medical waste recycling, recycling brokerage service, resources recovery, waste management service</t>
  </si>
  <si>
    <t>FY 1997</t>
  </si>
  <si>
    <t>1001 Fannin Street</t>
  </si>
  <si>
    <t>The company was acquired by USA Waste Services (NYSE: UW) for $13.47 billion on July 16, 1998. The company is no longer actively tracked by PitchBook.</t>
  </si>
  <si>
    <t>Waste Management</t>
  </si>
  <si>
    <t>Bank of America Merrill Lynch(Advisor: General), Simpson Thacher &amp; Bartlett(Legal Advisor), Skadden, Arps, Slate, Meagher &amp; Flom(Legal Advisor)</t>
  </si>
  <si>
    <t>41124-97</t>
  </si>
  <si>
    <t>Airgas</t>
  </si>
  <si>
    <t>Airgas, Inc.</t>
  </si>
  <si>
    <t>Diversified Pure Chem, Messer Group, Praxair Norway, Braskem, Yingde Gases, Air Products and Chemicals, Matheson Tri-Gas, Brenntag, Praxair, nexAir</t>
  </si>
  <si>
    <t>Supplier of industrial, medical and specialty gases. The company's offerings include atmospheric gases, carbon dioxide, dry ice, refrigerants, ammonia, process chemicals and related safety products.</t>
  </si>
  <si>
    <t>Industrial Chemicals, Specialty Chemicals*</t>
  </si>
  <si>
    <t>atmospheric gas, process chemicals, refrigerant, specialty gas</t>
  </si>
  <si>
    <t>www.airgas.com</t>
  </si>
  <si>
    <t>1990: 2200, 1991: 2200, 1992: 2400, 1993: 2800, 1994: 3600, 1995: 4100, 1996: 5200, 1997: 6400, 1998: 81, 1999: 8000, 2000: 8000, 2001: 7600, 2002: 8500, 2003: 8500, 2004: 9700, 2005: 11000, 2006: 10300, 2007: 11500, 2008: 14500, 2009: 14000, 2010: 14000, 2011: 14000, 2012: 15000, 2013: 15000, 2014: 16000, 2015: 17000, 2016: 17000, 2017: 18000, 2019: 18000, 2020: 18500</t>
  </si>
  <si>
    <t>Air Liquide</t>
  </si>
  <si>
    <t>90268-66P</t>
  </si>
  <si>
    <t>Robert McLaughlin</t>
  </si>
  <si>
    <t>Chief Financial Officer, Member of the Management Committee &amp; Senior Vice President</t>
  </si>
  <si>
    <t>robert.mclaughlin@airgas.com</t>
  </si>
  <si>
    <t>+1 (800) 255-2165</t>
  </si>
  <si>
    <t>Wayne, PA</t>
  </si>
  <si>
    <t>259 North Radnor-Chester Road</t>
  </si>
  <si>
    <t>Suite 100</t>
  </si>
  <si>
    <t>Wayne</t>
  </si>
  <si>
    <t>19087</t>
  </si>
  <si>
    <t>+1 (610) 225-3271</t>
  </si>
  <si>
    <t>The company was acquired by Air Liquide (PAR: AI) for $13.4 billion on May 23, 2016. The company (NYSE: ARG) was in talks to be acquired by Air Products &amp; Chemicals on December 21, 2010 for $69.6 million. The company is no longer tracked by PitchBook.</t>
  </si>
  <si>
    <t>Air Products and Chemicals</t>
  </si>
  <si>
    <t>Air Products and Chemicals(www.airproducts.com)</t>
  </si>
  <si>
    <t>The Mentor Group(Advisor: General), Tucker Capital(Advisor: General)</t>
  </si>
  <si>
    <t>Bank of America Merrill Lynch(Advisor: General), Barclays Investment Bank(Advisor: General), BNP Paribas(Advisor: General), The Goldman Sachs Group(Advisor: General), Wachtell, Lipton, Rosen &amp; Katz(Legal Advisor)</t>
  </si>
  <si>
    <t>279497-71</t>
  </si>
  <si>
    <t>Celgene (Otezla)</t>
  </si>
  <si>
    <t>A psoriasis treatment pharmaceutical product.</t>
  </si>
  <si>
    <t>Buildings and Property*, Pharmaceuticals</t>
  </si>
  <si>
    <t>drugs assets, psoriasis treatment, psoriasis treatment drugs</t>
  </si>
  <si>
    <t>www.otezla.com</t>
  </si>
  <si>
    <t>The Otezla brand of Celegene (NASDAQ: CELG), was acquired by Amgen (NASDAQ: AMGN) for $13.4 billion on November 20, 2019. This acquisition represents a unique opportunity to further Amgen's mission of bringing innovative medicines to patients, while building on its long-standing expertise in inflammation. The asset is no longer actively tracked by PitchBook.</t>
  </si>
  <si>
    <t>Celgene(www.celgene.com)</t>
  </si>
  <si>
    <t>12786-13</t>
  </si>
  <si>
    <t>Quaker Oats</t>
  </si>
  <si>
    <t>Quaker Oats Co</t>
  </si>
  <si>
    <t>Meadow Foods, Ghirardelli Chocolate, Urban Fresh Foods, Way Better Snacks, The Wellness Group, McCain Foods, Treehouse Foods, Kishlay Foods, Dr Pepper Snapple Group, Bambino Agro Industries, WM Wrigley Jr, Terra Chips, DFM Foods, Barrel O' Fun Snack Foods, Michael Foods, Naturell India, FrieslandCampina, Barry Callebaut, Juanita's Foods, Pringles, Faribault Foods, Danone, Popchips, Kettle Foods, Beanitos, Natra, Mondelēz International, Vosges Haut-Chocolat, Dang, Pinnacle Foods, Kellogg's, Hearthside Food Solutions, Shearer's Snacks, Ocean's Halo, Barry Callebaut Sweden, Bellisio Foods, Veeba, Bacardi-Martini, Lancaster Colony, Maple Leaf Foods</t>
  </si>
  <si>
    <t>Producer of cereals and food beverages. The company's cereals portfolio comprises of hot cereals, cold cereals, snackabars, oats and other products.</t>
  </si>
  <si>
    <t>agro-food product, cereals, cereals food, hot cereals, sweetened fruit drink</t>
  </si>
  <si>
    <t>www.quakeroats.com</t>
  </si>
  <si>
    <t>1990: 28200, 1991: 28200, 1992: 21100, 1993: 21100, 1994: 20000, 1995: 17000, 1996: 14800, 1997: 14123, 1998: 11860, 1999: 11666, 2000: 11858</t>
  </si>
  <si>
    <t>Pepsico</t>
  </si>
  <si>
    <t>Post Office Box 049003</t>
  </si>
  <si>
    <t>60604</t>
  </si>
  <si>
    <t>+1 (312) 821-1000</t>
  </si>
  <si>
    <t>The company was acquired by Pepsico (NYSE: PEP) for 13.4 billion on December 4, 2000. The acquisition will enable the acquirer to enter into the sports beverage market through the addition of Gatorade in its portfolio.</t>
  </si>
  <si>
    <t>Coca-Cola</t>
  </si>
  <si>
    <t>Coca-Cola(www.coca-colacompany.com)</t>
  </si>
  <si>
    <t>Bushkin Associates(Advisor: General), Fifty Gazelles(Consulting), Strategic Options(Consulting), Texas Consilium(Consulting)</t>
  </si>
  <si>
    <t>Atlas Advisors(Advisor: General)</t>
  </si>
  <si>
    <t>111928-78</t>
  </si>
  <si>
    <t>Merck Serono</t>
  </si>
  <si>
    <t>Serono SA, Serono</t>
  </si>
  <si>
    <t>Serono International S.A.</t>
  </si>
  <si>
    <t>Merck Serono S.A.</t>
  </si>
  <si>
    <t>Provider of gastroenterology devices and medical supply. The company is engaged in manufacturing medicines, fertility drugs and other medicinal products for its clients in Germany and other countries.</t>
  </si>
  <si>
    <t>Other Devices and Supplies, Other Healthcare Services, Pharmaceuticals*</t>
  </si>
  <si>
    <t>gastroenterology, medical supply, pharmaceutical company, pharmaceuticals firm, urology</t>
  </si>
  <si>
    <t>www.serono.com</t>
  </si>
  <si>
    <t>1999: 3965, 2000: 4268, 2001: 4501, 2002: 4694, 2003: 4577, 2004: 4902, 2005: 4750</t>
  </si>
  <si>
    <t>Geneva, Germany</t>
  </si>
  <si>
    <t>15bis, chemin des Mines</t>
  </si>
  <si>
    <t>Case postale 54</t>
  </si>
  <si>
    <t>Geneva</t>
  </si>
  <si>
    <t>The company was acquired by Merck Biopharma, a subsidiary of Merck (ETR: MRK), for EUR 10.4 billion on September 21, 2006. Merck Biopharma will hold 75.5% of the voting rights in the company. Bertarelli Family, which owned the majority stake in the company, were sellers in the transaction. The transaction values the company at EUR 16.12 billion approximately.</t>
  </si>
  <si>
    <t>Merck Biopharma</t>
  </si>
  <si>
    <t>Merck Biopharma(www.biopharma.merckgroup.com)</t>
  </si>
  <si>
    <t>Sorainen(Legal Advisor)</t>
  </si>
  <si>
    <t>150517-54</t>
  </si>
  <si>
    <t>Gulf Corporation</t>
  </si>
  <si>
    <t>The Gulf Corporation</t>
  </si>
  <si>
    <t>Operator of an oil company. The company is engaged in exploration, production, marketing and distribution of gasoline in United States.</t>
  </si>
  <si>
    <t>petrochemical</t>
  </si>
  <si>
    <t>Pittsburgh, PA</t>
  </si>
  <si>
    <t>Pittsburgh</t>
  </si>
  <si>
    <t>The company was acquired by Standard Oil of California for $13.2 billion in cash on December 31, 1984. The company is no longer tracked by PitchBook.</t>
  </si>
  <si>
    <t>Bank of America(Debt Financing), Bank of America Merrill Lynch(Advisor: General), Salomon Brothers(Advisor: General)</t>
  </si>
  <si>
    <t>10478-53</t>
  </si>
  <si>
    <t>Nycomed</t>
  </si>
  <si>
    <t>Nycomed International</t>
  </si>
  <si>
    <t>Nycomed A/S</t>
  </si>
  <si>
    <t>Provider of pharmaceutical and OTC drugs. The company's pharmaceutical and OTC drugs includes a diversified product portfolio serving customers in Europe and emerging markets. The company has a wide range of markets and diverse talent base that will help improve the health of patients worldwide through leading innovation in medicine.</t>
  </si>
  <si>
    <t>over the counter drugs</t>
  </si>
  <si>
    <t>Debt Financed, Private Equity, Venture Capital</t>
  </si>
  <si>
    <t>www.nycomed.com</t>
  </si>
  <si>
    <t>2008: 12000, 2011: 12000</t>
  </si>
  <si>
    <t>36507-34P</t>
  </si>
  <si>
    <t>Norbert Oppitz</t>
  </si>
  <si>
    <t>Senior Vice President, Latin America</t>
  </si>
  <si>
    <t>norbert.oppitz@nycomed.com</t>
  </si>
  <si>
    <t>Zürich, Switzerland</t>
  </si>
  <si>
    <t>Thurgauerstrasse 130</t>
  </si>
  <si>
    <t>Glattpark, Opfikon</t>
  </si>
  <si>
    <t>Zürich</t>
  </si>
  <si>
    <t>8152</t>
  </si>
  <si>
    <t>The company was acquired by Takeda Pharmaceutical for EUR 9.6 billion on September 30, 2011. The company is no longer tracked by PitchBook.</t>
  </si>
  <si>
    <t>AlpInvest Partners, aPriori Capital Partners, Avista Capital Partners, Crescent Capital Group, HarbourVest Partners, Intermediate Capital Group, New Leaf Venture, NIBC Holding, Nordic Capital, Nordic Mezzanine, Sprout Group, Stockwell Capital, The Blackstone Group, Ver Capital Sgr</t>
  </si>
  <si>
    <t>AlpInvest Partners(www.alpinvest.com), aPriori Capital Partners(www.aprioricapital.com), Avista Capital Partners(www.avistacap.com), Crescent Capital Group(www.crescentcap.com), HarbourVest Partners(www.harbourvest.com), Intermediate Capital Group(www.icgam.com), New Leaf Venture(www.nlvpartners.com), NIBC Holding(www.nibc.com), Nordic Capital(www.nordiccapital.com), Nordic Mezzanine(www.nordicmezzanine.com), Sprout Group(www.sproutgroup.com), Stockwell Capital(www.stockwellcapital.com), The Blackstone Group(www.blackstone.com), Ver Capital Sgr(www.vercapital.com)</t>
  </si>
  <si>
    <t>CET(Advisor: General), mInvestment Banking(Advisor: General), Moelis &amp; Company(Advisor: General)</t>
  </si>
  <si>
    <t>Carnegie Investment Bank(Advisor: General), Credit Suisse(Advisor: General), Freshfields Bruckhaus Deringer(Legal Advisor), PwC(Auditor), Reitler Kailas &amp; Rosenblatt(Legal Advisor), Simpson Thacher &amp; Bartlett(Legal Advisor), The Goldman Sachs Group(Advisor: General), Ver Capital Sgr(Debt Financing)</t>
  </si>
  <si>
    <t>10925-02</t>
  </si>
  <si>
    <t>Whole Foods Market</t>
  </si>
  <si>
    <t>WFM</t>
  </si>
  <si>
    <t>Whole Foods Market IP. L.P.</t>
  </si>
  <si>
    <t>Sprouts Farmers Market, Food Giant Supermarkets, Fields Foods, Lucky's Market, Earth Fare, The Fresh Market, Total Wine &amp; More, Trader Joe's</t>
  </si>
  <si>
    <t>Retailer of natural and organic food products in North America and the UK. The company offers a variety of food products including meat, cheese, chocolates, dried fruit, and nuts, dairy products, that do not contain artificial flavors, colors, preservatives or sweeteners with free delivery and pick-up services thereby enabling its customers to purchase plant-based and grocery products.</t>
  </si>
  <si>
    <t>Food Products, Specialty Retail*</t>
  </si>
  <si>
    <t>LOHAS &amp; Wellness</t>
  </si>
  <si>
    <t>baked goods, natural food product, organic dairy product, organic food, organic food product</t>
  </si>
  <si>
    <t>www.wholefoodsmarket.com</t>
  </si>
  <si>
    <t>1980: 19, 1990: 1100, 1991: 1100, 1992: 2350, 1993: 4150, 1994: 4150, 1995: 6100, 1996: 6100, 1997: 9459, 1998: 12300, 1999: 16600, 2000: 18500, 2001: 15400, 2002: 24100, 2003: 29200, 2004: 30500, 2005: 38000, 2006: 41500, 2007: 52600, 2009: 52500, 2010: 58300, 2011: 64200, 2012: 72700, 2013: 78400, 2014: 87200, 2015: 90900, 2016: 87000, 2017: 89000, 2018: 90000, 2019: 95000, 2020: 100000, 2021: 105000</t>
  </si>
  <si>
    <t>Amazon.com</t>
  </si>
  <si>
    <t>165274-21P</t>
  </si>
  <si>
    <t>Keith Manbeck</t>
  </si>
  <si>
    <t>Chief Financial Officer, Chief Administrative Officer &amp; Executive Vice President</t>
  </si>
  <si>
    <t>keith.manbeck@wholefoodsmarket.com</t>
  </si>
  <si>
    <t>+1 (512) 477-4455</t>
  </si>
  <si>
    <t>Austin, TX</t>
  </si>
  <si>
    <t>550 Bowie Street</t>
  </si>
  <si>
    <t>Austin</t>
  </si>
  <si>
    <t>78703-4644</t>
  </si>
  <si>
    <t>+1 (512) 482-7000</t>
  </si>
  <si>
    <t>info@wholefoodsmarket.com</t>
  </si>
  <si>
    <t>The company was acquired by Amazon.com (NASDAQ: AMZN) for approximately $13.17 billion on August 28, 2017. The acquisition enables Amazon.com to expand its retail presence.</t>
  </si>
  <si>
    <t>1ST Interstate Capital, American Customer Satisfaction Index, Criterion Capital Management, FIS Holdings, JANA Partners, Leonard Green &amp; Partners, Oak Investment Partners, The Yucaipa Companies</t>
  </si>
  <si>
    <t>American Customer Satisfaction Index(theacsi.org), Criterion Capital Management(www.criterionmgt.com), FIS Holdings(www.fis-holdings.com), JANA Partners(www.janapartners.com), Leonard Green &amp; Partners(www.leonardgreen.com), Oak Investment Partners(www.oakinv.com), The Yucaipa Companies(www.yucaipaco.com)</t>
  </si>
  <si>
    <t>Apron(Advisor: Communications), Brand X Research(Consulting), Daversa Partners(Consulting), Execution Specialists Group(Consulting), EY(Advisor: General), Power Brands(Consulting), Tribridge(Consulting), William Blair &amp; Company(Advisor: General), Wood Warren(Advisor: General)</t>
  </si>
  <si>
    <t>Bank of America(Debt Financing), Bank of America Merrill Lynch(Advisor: General), Davies Ward Phillips &amp; Vineberg(Legal Advisor), Dechert(Legal Advisor), Evercore Group(Advisor: General), Rigrodsky &amp; Long(Legal Advisor), The Goldman Sachs Group(Debt Financing), Wachtell, Lipton, Rosen &amp; Katz(Legal Advisor)</t>
  </si>
  <si>
    <t>Bridge - $13.18B</t>
  </si>
  <si>
    <t>103795-39</t>
  </si>
  <si>
    <t>Zensar Technologies (BOM: 504067)</t>
  </si>
  <si>
    <t>Hollerith</t>
  </si>
  <si>
    <t>Zensar</t>
  </si>
  <si>
    <t>Zensar Technologies Ltd.</t>
  </si>
  <si>
    <t>Infor Global Solutions, Amazon Web Services, NetScout Systems, Virtusa, Tableau Software, SAP, 3i Infotech, Applause, Xavient Digital, ServiceNow, Genpact, Aricent, CMTSU Liquidation, Infosys, Idhasoft, Atlassian, Fair Isaac, Salesforce.com, Alteryx, Microsoft Visio, Microland, Itential, Netcracker Technology, SpaceTime Insight, Oracle NetSuite, InfoVista, Ridango</t>
  </si>
  <si>
    <t>Zensar Technologies Ltd provides a range of information technology services and sells IT-related products in two segments based on service type. The application management services segment, which generates the majority of revenue, provides a variety of services that include application management, legacy modernization, and enterprise architecture. The infrastructure management Services segment provides cloud, IT security, and networking services. The majority of revenue comes from the United States.</t>
  </si>
  <si>
    <t>Application Software*, Business/Productivity Software, Software Development Applications</t>
  </si>
  <si>
    <t>bpm service, business application service</t>
  </si>
  <si>
    <t>www.zensar.com</t>
  </si>
  <si>
    <t>2014: 6800, 2015: 6350, 2016: 6573, 2017: 8524, 2018: 9813, 2019: 10166, 2020: 10166</t>
  </si>
  <si>
    <t>BOM</t>
  </si>
  <si>
    <t>504067</t>
  </si>
  <si>
    <t>253082-44P</t>
  </si>
  <si>
    <t>Ajay Bhutoria</t>
  </si>
  <si>
    <t>Board Member, Chief Executive Officer &amp; Managing Director</t>
  </si>
  <si>
    <t>a.bhutoria@zensar.com</t>
  </si>
  <si>
    <t>+1 (312) 265-6772</t>
  </si>
  <si>
    <t>Pune, India</t>
  </si>
  <si>
    <t>Zensar Knowledge Park, Kharadi</t>
  </si>
  <si>
    <t>Plot 4, MIDC</t>
  </si>
  <si>
    <t>Pune</t>
  </si>
  <si>
    <t>Maharashtra</t>
  </si>
  <si>
    <t>411014</t>
  </si>
  <si>
    <t>+91 (0)20 6607 4000</t>
  </si>
  <si>
    <t>+91 (0)20 6607 4444</t>
  </si>
  <si>
    <t>ganesh.natarajan@zensar.com</t>
  </si>
  <si>
    <t>Electra Private Equity sold a 23% stake in the company to Marina Holdco for INR 8.590 billion on October 9, 2015.</t>
  </si>
  <si>
    <t>Altamir, Apax Partners, Marina Holdco</t>
  </si>
  <si>
    <t>Epiris</t>
  </si>
  <si>
    <t>Altamir(www.altamir.fr), Apax Partners(www.apax.com)</t>
  </si>
  <si>
    <t>Epiris(www.epiris.co.uk)</t>
  </si>
  <si>
    <t>Thinking Dimensions Global(Consulting)</t>
  </si>
  <si>
    <t>10955-71</t>
  </si>
  <si>
    <t>Concho Resources</t>
  </si>
  <si>
    <t>Concho Equity Holdings Corp.</t>
  </si>
  <si>
    <t>Concho</t>
  </si>
  <si>
    <t>Concho Resources Inc.</t>
  </si>
  <si>
    <t>EOG Resources, Laredo Petroleum, Diamondback Energy, WPX Energy, Arc Resources, Anadarko Petroleum, Crescent Point Energy, Apache, Occidental Petroleum, Devon Energy, Chaparral Energy, Cabot Oil &amp; Gas, HighPoint Resources, Gazprom Investproject, Noble Energy, PetroQuest Energy, Oasis Petroleum, Parsley Energy, Cimarex Energy, Obsidian Energy, Comstock Resources, Centennial Resource Development, Contango Oil &amp; Gas, Battalion Oil, Total, Abraxas Petroleum, Canadian Natural Resources, WesternZagros Resources, Kamchatgazprom, Callon Petroleum Company, Monadnock Resources, Penn Virginia, Pioneer Natural Resources, EnVen Energy Corporation, Samson Resources II, Energen, Pengrowth Energy, Ovintiv, ConocoPhillips, Laredo Energy IV, Eni, Unbridled Resources, Rice Energy, W&amp;T Offshore, Newfield Exploration, Woodside Petroleum, Whiting Petroleum, Clayton Williams Energy, Approach Resources, Fieldwood Energy, Royal Dutch Shell, Energy XXI Gulf Coast, Lilis Energy, Tatneft Group, QEP Resources, Suncor Energy, Husky Energy, Imperial Oil, Grizzly Energy, Earthstone Energy, Rosneft, Oil India, Oilex, Ring Energy, Repsol, Forge Energy, Royale Energy, Gazprom, Jones Energy, Marathon Oil, Chesapeake Energy, SM Energy, Felix Energy 1, Bashneft, Matador Resources, Ikkuma Resources, Ecopetrol, XTO Energy, Nine Point Energy, Baron Energy, Chevron, Enerplus, Sasol, LukOil, PayRock Energy, Equinor, Norris Industries, LINN Energy, Erin Energy, Hess</t>
  </si>
  <si>
    <t>Concho Resources is an independent oil and natural gas company with operations primarily in the Permian Basin of western Texas and southeastern New Mexico. At the end of 2019, it reported proved reserves of 1.0 billion barrels of oil equivalent. Net production averaged about 331 thousand boe per day in 2018, of which 63% was oil (with natural gas and natural gas liquids making up the remainder).</t>
  </si>
  <si>
    <t>gas property, natural gas acquisition</t>
  </si>
  <si>
    <t>www.concho.com</t>
  </si>
  <si>
    <t>2005: 80, 2006: 80, 2007: 113, 2008: 245, 2009: 284, 2010: 443, 2011: 592, 2012: 745, 2013: 868, 2014: 1022, 2015: 1121, 2016: 1085, 2017: 1203, 2018: 1503, 2019: 1453</t>
  </si>
  <si>
    <t>217401-22P</t>
  </si>
  <si>
    <t>Jacob Gobar</t>
  </si>
  <si>
    <t>Chief Accounting Officer, Accounting &amp; Vice President</t>
  </si>
  <si>
    <t>Midland, TX</t>
  </si>
  <si>
    <t>One Concho Center</t>
  </si>
  <si>
    <t>600 West Illinois Avenue</t>
  </si>
  <si>
    <t>Midland</t>
  </si>
  <si>
    <t>79701</t>
  </si>
  <si>
    <t>The company was acquired by ConocoPhillips (NYS: COP) for $13.125 billion on January 15, 2021. The company is no longer actively tracked by PitchBook.</t>
  </si>
  <si>
    <t>Artemis Investment Management, BlackRock, British Airways Pension Investment Management, Carmignac Risk Managers, Chase Oil Corporation, Chesapeake Energy, Fidelity Investments, Frontier Energy Services, JPMorgan Chase, Metropolitan Life Insurance Company, National Pension Service, Passport Capital, The Capital Group Companies, Yale University Endowment, Yorktown Partners</t>
  </si>
  <si>
    <t>Artemis Investment Management(www.artemisfunds.com), BlackRock(www.blackrock.com), British Airways Pension Investment Management(www.mybapension.com/aps/about-us/british-airways-pension-investment-management-ltd), Carmignac Risk Managers(www.carmignac.com), Chesapeake Energy(www.chk.com), Fidelity Investments(www.fidelity.com), Frontier Energy Services(www.frontierenergyllc.com), JPMorgan Chase(www.jpmorganchase.com), National Pension Service(www.nps.or.kr), Passport Capital(www.passportcapital.com), The Capital Group Companies(www.capitalgroup.com), Yale University Endowment(www.investments.yale.edu), Yorktown Partners(www.yorktownenergy.com)</t>
  </si>
  <si>
    <t>Alston &amp; Bird(Legal Advisor)</t>
  </si>
  <si>
    <t>Bank of America(Underwriter), Bank of America Merrill Lynch(Advisor: General), Barclays Investment Bank(Underwriter), BMO Capital Markets(Underwriter), BNP Paribas(Underwriter), Boenning &amp; Scattergood(Advisor: General), Capital One Securities(Underwriter), Computershare Trust Company(Advisor: General), Credit Suisse Securities (USA)(Underwriter), Grant Thornton(Accounting), Heikkinen Energy Advisors(Underwriter), J.P. Morgan(Underwriter), J.P. Morgan Securities(Underwriter), KeyBank(Underwriter), Ladenburg Thalmann Financial Services(Lead Manager or Arranger), Lehman Brothers(Underwriter), Raymond James Financial(Advisor: General), RBC Capital Markets(Underwriter), Scotiabank Global Banking and Markets(Underwriter), Simmons Energy(Advisor: General), Stephens(Advisor: General), Sullivan &amp; Cromwell(Legal Advisor), The Goldman Sachs Group(Underwriter), Tudor, Pickering, Holt &amp; Company(Underwriter), Tuohy Brothers Investment Research(Underwriter), U.S. Capital Advisors(Advisor: General), UBS Group(Underwriter), Vinson &amp; Elkins(Legal Advisor), Wachovia Bank(Underwriter), Wells Fargo Securities(Underwriter)</t>
  </si>
  <si>
    <t>55285-12</t>
  </si>
  <si>
    <t>MyoKardia</t>
  </si>
  <si>
    <t>MyoKardia, Inc.</t>
  </si>
  <si>
    <t>Immune Design, OncoResponse, Crinetics Pharmaceuticals, Novartis Gene Therapies, Agios, NexImmune, Aduro Biotech, Aileron Therapeutics, Adverum Biotechnologies, Lysogene, Recyte Therapeutics, Ultragenyx Pharmaceutical, G1 Therapeutics, Corvus Pharmaceuticals, Spero Therapeutics, Seneca Biopharma, resTORbio, Tenaya Therapeutics, Immunophotonics, Dimension Therapeutics, Promethera Biosciences, Renova Therapeutics, DalCor Pharmaceuticals, DiaMedica Therapeutics, Acer Therapeutics, Principia Biopharma, eTheRNA Immunotherapies, Meditope Biosciences, Voyager Therapeutics, ABIONYX Pharma, Selecta Biosciences, Amal Therapeutics, Unity Biotechnology, Forge Therapeutics, Milestone Pharmaceuticals, Celyad Oncology, CytomX Therapeutics, Eidos Therapeutics, InCarda Therapeutics, Klotho Therapeutics, Sutro Biopharma, Axolabs, Cascadian Therapeutics, Aegerion Pharmaceuticals, Kymera Therapeutics, Inovio Pharmaceuticals, Summit Therapeutics, Jounce Therapeutics, Nurix, SinocellTech, Cullinan Oncology, Neon Therapeutics, Beijing Mabworks Biotech, Novelion Therapeutics, SAGE Therapeutics, BioAtla, PhaseBio, Arrowhead Pharmaceuticals, Surface Oncology, Arcus Biosciences, Oisin Biotechnologies, Bioarray Genetics, Blueprint Medicines, CEL-SCI, Regulus Therapeutics, BeiGene, Radius Health, BioNTech, Madrigal Pharmaceuticals, Syndax, OncoGenex Pharmaceuticals, Achaogen, Innate Pharma, uniQure, Afferent Pharmaceuticals, Ra Pharmaceuticals, Acasti Pharma, Cytokinetics, diaDexus, Dicerna Pharmaceuticals, Altimmune, Kite Pharma, NeuroSigma, Catabasis Pharmaceuticals, Prothena, Ionis Pharmaceuticals, Alnylam Pharmaceuticals, Intarcia, Onconova Therapeutics, Inhibrx, FivePrime Therapeutics, Zogenix, Cardax, PanOptica, XBiotech, Aridis Pharmaceuticals, Neurana Pharmaceuticals, Taiwan Liposome, Progenics Pharmaceuticals, PTC Therapeutics, Strongbridge Biopharma, Immunomedics, CureVac, Igenica Biotherapeutics, AIKO Biotechnology, Moderna Therapeutics, Ambrx</t>
  </si>
  <si>
    <t>MyoKardia Inc is a US-based clinical-stage biopharmaceutical company which is engaged in discovering, developing and commercializing targeted therapies for the treatment of serious and neglected rare cardiovascular diseases. The company mainly focuses on the treatment of heritable cardiomyopathies and genetically-driven forms of heart failure that result from biomechanical defects in cardiac muscle contraction. It uses its medicine platform to generate an initial pipeline of therapeutic programs for the chronic treatment of the two most common forms of heritable cardiomyopathy-hypertrophic cardiomyopathy (HCM) and dilated cardiomyopathy. The company's products include MYK-461 s an orally administered small molecule to reduce excessive cardiac muscle contractility leading to HCM.</t>
  </si>
  <si>
    <t>Biotechnology, Drug Discovery*, Other Pharmaceuticals and Biotechnology</t>
  </si>
  <si>
    <t>biopharmaceutical company, biopharmaceutical company operator, cardiovascular disease, genetic disease, heart disease, muscle therapy</t>
  </si>
  <si>
    <t>www.myokardia.com</t>
  </si>
  <si>
    <t>2015: 61, 2016: 78, 2017: 102, 2018: 165, 2019: 235, 2020: 318</t>
  </si>
  <si>
    <t>43392-07P</t>
  </si>
  <si>
    <t>Christine Seidman</t>
  </si>
  <si>
    <t>Brisbane, CA</t>
  </si>
  <si>
    <t>1000 Sierra Point Parkway</t>
  </si>
  <si>
    <t>Brisbane</t>
  </si>
  <si>
    <t>94005</t>
  </si>
  <si>
    <t>The company was acquired by Bristol-Myers Squibb (NYS: BMY) for $13.1 billion on November 17, 2020. The acquisition will help Bristol to further strengthen its portfolio, pipeline and scientific capabilities, and is expected to add a meaningful medium- and long-term growth drive. The company is no longer actively tracked by PitchBook.</t>
  </si>
  <si>
    <t>Aventis, Bridge Bioresearch, Casdin Capital, Cormorant Asset Management, Fidelity Investments, Foresite Capital Management, Perceptive Advisors, Sanofi, Sanofi Genzyme, Third Rock Ventures</t>
  </si>
  <si>
    <t>Aventis(www.aventis.com), Bridge Bioresearch(www.bridgebioresearch.com), Casdin Capital(www.casdincapital.com), Fidelity Investments(www.fidelity.com), Foresite Capital Management(www.foresitecapital.com), Perceptive Advisors(www.perceptivelife.com), Sanofi(www.sanofi.com), Sanofi Genzyme(www.sanofigenzyme.com), Third Rock Ventures(www.thirdrockventures.com)</t>
  </si>
  <si>
    <t>BMO Capital Markets(Advisor: General), Faber Daeufer &amp; Itrato(Legal Advisor), Latham &amp; Watkins(Legal Advisor), Stern Investor Relations(Consulting)</t>
  </si>
  <si>
    <t>Bank of America Merrill Lynch(Underwriter), BMO Capital Markets(Advisor: General), Cantor Fitzgerald(Underwriter), Centerview Partners(Advisor: General), Cooley(Legal Advisor), Cowen &amp; Company(Underwriter), Credit Suisse Securities (USA)(Underwriter), Goodwin(Legal Advisor), Guggenheim Securities(Advisor: General), J.P. Morgan(Underwriter), Mischler Financial Group(Advisor: General), PwC(Accounting), Wedbush Securities(Underwriter), Wells Fargo Securities(Underwriter)</t>
  </si>
  <si>
    <t>11672-38</t>
  </si>
  <si>
    <t>Change Healthcare (NAS: CHNG)</t>
  </si>
  <si>
    <t>Emdeon, Emdeon Inc.</t>
  </si>
  <si>
    <t>Change Healthcare LLC</t>
  </si>
  <si>
    <t>Aver, Aviacode, MediGain, Health Catalyst, nThrive, Picis, Waystar Health, Availity, Allscripts Healthcare Solutions, Bolder Healthcare Solutions, Athenahealth, Etactics, Encore Health Resources, Gateway EDI, Visionary RCM, NextServices, VisitPay, Gebbs Healthcare Solutions, TransUnion Healthcare (Analytics Division), RevSpring, Equian, Cedar Gate Technologies, Inovalon Holdings, Payerpath, Vpay, Carepayment, Remedy Partners</t>
  </si>
  <si>
    <t>Change Healthcare is a spin-off of various healthcare processing and consulting services acquired by McKesson over numerous years. Recently, these processing assets were contributed to a joint venture and in June 2019 public shares were issued with McKesson retaining the majority interest. As of the end of the March 2020 quarter, McKesson distributed all its interest in the public processor. Core services consist of insurance (healthcare) claim clearinghouse for healthcare payers in addition to administrative and consulting services to assist healthcare providers improve reimbursement coding, billing, and collections.</t>
  </si>
  <si>
    <t>Enterprise Systems (Healthcare)</t>
  </si>
  <si>
    <t>Enterprise Systems (Healthcare)*, Other Healthcare Technology Systems</t>
  </si>
  <si>
    <t>Artificial Intelligence &amp; Machine Learning, HealthTech, TMT</t>
  </si>
  <si>
    <t>clinical communication, clinical decision support, healthcare blockchain, healthcare network, healthcare payment software, intelligent healthcare network, payment integrity, revenue cycle technology, software analytics, value-based payment</t>
  </si>
  <si>
    <t>www.changehealthcare.com</t>
  </si>
  <si>
    <t>2017: 15000, 2019: 14000, 2020: 15000, 2021: 15000</t>
  </si>
  <si>
    <t>CHNG</t>
  </si>
  <si>
    <t>91329-40P</t>
  </si>
  <si>
    <t>Fredrik Eliasson</t>
  </si>
  <si>
    <t>feliasson@changehealthcare.com</t>
  </si>
  <si>
    <t>100 Airpark Center Drive East</t>
  </si>
  <si>
    <t>37217</t>
  </si>
  <si>
    <t>+1 (877) 363-3666</t>
  </si>
  <si>
    <t>The company reached a definitive agreement to be acquired by Optum, a subsidiary of UnitedHealth Group (NYS: UNH), for approximately $13 billion on January 6, 2021. The amount of $13 billion includes more than $5 billion in debt owed by the company. The acquisition will help clinicians make the most informed and clinically advanced patient care decisions, more quickly and easily. The deal is expected to close in the second half of 2021. Previously, the company raised $640.7 million in its initial public offering on the Nasdaq stock exchange under the ticker symbol of CHNG on June 27, 2019. The company is being actively tracked by PitchBook.</t>
  </si>
  <si>
    <t>The Blackstone Group, West Health</t>
  </si>
  <si>
    <t>AlpInvest Partners, Blue Venture Fund, Crimson Ventures, General Atlantic, Hellman &amp; Friedman, HLTH, Israel Innovation Authority, Kleiner Perkins, McKesson, PCG Capital Partners</t>
  </si>
  <si>
    <t>Optum</t>
  </si>
  <si>
    <t>The Blackstone Group(www.blackstone.com), West Health(www.westhealth.org)</t>
  </si>
  <si>
    <t>AlpInvest Partners(www.alpinvest.com), Blue Venture Fund(blueventurefund.com), Crimson Ventures(www.crimsonventuresllc.com), General Atlantic(www.generalatlantic.com), Hellman &amp; Friedman(www.hf.com), Israel Innovation Authority(www.innovationisrael.org.il), Kleiner Perkins(www.kleinerperkins.com), McKesson(www.mckesson.com), PCG Capital Partners(www.pcgcp.com)</t>
  </si>
  <si>
    <t>Optum(www.optum.com)</t>
  </si>
  <si>
    <t>Chatham Financial(Consulting), Daversa Partners(Consulting), Deloitte(Auditor), Deutsche Bank Securities(Advisor: General), EY(Auditor), Perspective Group(Consulting), SLR Investment(Debt Financing), WeissLaw(Legal Advisor), Winston &amp; Strawn(Legal Advisor)</t>
  </si>
  <si>
    <t>American Capital (ACAS)(Debt Financing), Amerivet Securities(Advisor: General), Baird Advisors(Advisor: General), Bank of America Merrill Lynch(Underwriter), Barclays(Advisor: General), Barclays Investment Bank(Underwriter), Bear Stearns(Debt Financing), Cantor Fitzgerald(Underwriter), Citigroup(Advisor: General), Citigroup Global Markets(Debt Financing), Cowen &amp; Company(Underwriter), Credit Suisse(Underwriter), Deloitte(Auditor), Deutsche Bank(Debt Financing), Deutsche Bank Securities(Advisor: General), Drexel Hamilton(Underwriter), EY(Auditor), First Liberties Financial(Underwriter), Gladstone Capital(Debt Financing), Guggenheim Securities(Underwriter), Hogan Lovells(Legal Advisor), Invesco(Debt Financing), J.P. Morgan(Underwriter), Jefferies Financial Group(Underwriter), Kahn Swick &amp; Foti(Legal Advisor), King &amp; Spalding(Legal Advisor), Morgan Stanley(Advisor: General), O'Keeffe &amp; O'Malley(Advisor: General), O'Melveny &amp; Myers(Legal Advisor), Oppenheimer &amp; Company(Underwriter), Oxford Square Capital(Debt Financing), Paul, Weiss, Rifkind, Wharton &amp; Garrison(Legal Advisor), Piper Sandler(Underwriter), RBC Capital Markets(Underwriter), Robert W. Baird &amp; Co(Underwriter), Roberts &amp; Ryan Investments(Underwriter), Ropes &amp; Gray(Legal Advisor), Siebert Cisneros Shank &amp; Co.(Underwriter), Simpson Thacher &amp; Bartlett(Legal Advisor), SunTrust Robinson Humphrey(Debt Financing), SVB Leerink(Underwriter), The Blackstone Group(Advisor: General), The Goldman Sachs Group(Underwriter), UBS Group(Underwriter), Wells Fargo Advisors(Underwriter), Wells Fargo Securities(Underwriter), Westwicke(Advisor: General), William Blair &amp; Company(Underwriter)</t>
  </si>
  <si>
    <t>97855-12</t>
  </si>
  <si>
    <t>Columbia Pipeline Partners</t>
  </si>
  <si>
    <t>Columbia Pipeline Partners LP</t>
  </si>
  <si>
    <t>Operator of gas pipelines in the U.S. The company operates more than 15,700 miles of strategically located natural gas pipelines, extending from the Gulf Coast to the Midwest, Mid-Atlantic and Northeast regions of the country. The pipeline also is integrated with one of the largest underground storage systems in North America.</t>
  </si>
  <si>
    <t>Energy Infrastructure*, Energy Storage, Energy Transportation</t>
  </si>
  <si>
    <t>natural gas pipeline, natural gas storage</t>
  </si>
  <si>
    <t>www.columbiapipelinegroup.com</t>
  </si>
  <si>
    <t>2014: 8830</t>
  </si>
  <si>
    <t>80423-29P</t>
  </si>
  <si>
    <t>Julie Boushka</t>
  </si>
  <si>
    <t>jboushka@nisource.com</t>
  </si>
  <si>
    <t>+1 (800) 835-7191</t>
  </si>
  <si>
    <t>5151 San Felipe</t>
  </si>
  <si>
    <t>Suite 2500</t>
  </si>
  <si>
    <t>pipelinelandowners@nisource.com</t>
  </si>
  <si>
    <t>The company was acquired by TransCanada (TSX:TRP) for $13 billion on July 1, 2016.</t>
  </si>
  <si>
    <t>TC Energy</t>
  </si>
  <si>
    <t>NiSource</t>
  </si>
  <si>
    <t>NiSource(www.nisource.com)</t>
  </si>
  <si>
    <t>Bank of America Merrill Lynch(Underwriter), Barclays Investment Bank(Underwriter), Barrington Associates(Underwriter), BNP Paribas Securities Services(Underwriter), Citigroup Global Markets(Underwriter), Credit Suisse(Underwriter), Deloitte(Accounting), Fifth Third Bank(Underwriter), HCAP Partners(Debt Financing), J.P. Morgan(Underwriter), KeyBank(Underwriter), Lazard Middle Market(Advisor: General), Mizuho Securities(Underwriter), Morgan Stanley(Underwriter), MUFG Securities EMEA(Underwriter), RBC Capital Markets(Underwriter), Scotiabank Global Banking and Markets(Underwriter), Sidley Austin(Legal Advisor), The Goldman Sachs Group(Underwriter), Vinson &amp; Elkins(Legal Advisor)</t>
  </si>
  <si>
    <t>10818-37</t>
  </si>
  <si>
    <t>E*Trade</t>
  </si>
  <si>
    <t>Trade*Plus</t>
  </si>
  <si>
    <t>E*TRADE Financial Holdings, LLC</t>
  </si>
  <si>
    <t>TD Ameritrade, Charles Schwab &amp; Co., TradePMR</t>
  </si>
  <si>
    <t>E-Trade is one of the largest direct-to-investor platforms in the United States and housed over $500 billion of invested assets and client cash at the end of 2019. The company generates interest income on noninvested cash on its platform, trading commissions, service charges including payment for order flow, and fees from stock plan administration. Almost all the company's revenue is generated within the U.S.</t>
  </si>
  <si>
    <t>Brokerage*, Financial Software, Other Financial Services</t>
  </si>
  <si>
    <t>etrading, etrading services, mutual fund, online broking, stock broking</t>
  </si>
  <si>
    <t>us.etrade.com</t>
  </si>
  <si>
    <t>1995: 297, 1996: 327, 1997: 499, 1998: 833, 1999: 1735, 2000: 3778, 2001: 3495, 2002: 3500, 2003: 3500, 2004: 3300, 2005: 3400, 2006: 4126, 2007: 3757, 2008: 3249, 2009: 3100, 2010: 3000, 2011: 3200, 2012: 3000, 2013: 3009, 2014: 3221, 2015: 3421, 2016: 3655, 2017: 3629, 2018: 4095, 2019: 4297, 2020: 4178, 2021: 3000</t>
  </si>
  <si>
    <t>205244-20P</t>
  </si>
  <si>
    <t>Chad Turner</t>
  </si>
  <si>
    <t>Jersey City, NJ</t>
  </si>
  <si>
    <t>PO Box 484</t>
  </si>
  <si>
    <t>Jersey City</t>
  </si>
  <si>
    <t>07303</t>
  </si>
  <si>
    <t>The company was acquired by Morgan Stanley (NYS: MS) for approximately $13 billion on October 2, 2020. The acquisition will significantly increase the scale and breadth of Morgan Stanley's Wealth Management franchise, and positions Morgan Stanley to be an industry leader in Wealth Management across all channels and wealth segments.</t>
  </si>
  <si>
    <t>Harmony Partners</t>
  </si>
  <si>
    <t>Charles Schwab &amp; Co., TD Ameritrade</t>
  </si>
  <si>
    <t>Harmony Partners(www.harmonyvp.com)</t>
  </si>
  <si>
    <t>Charles Schwab &amp; Co.(www.schwab.com), TD Ameritrade(www.tdameritrade.com)</t>
  </si>
  <si>
    <t>Auriemma Consulting Group(Consulting), BarkerGilmore(Consulting), Cerulli Associates(Advisor: General), Citadel (Hedge Fund)(Debt Financing), Clarity Consultants(Consulting), Corporate Capital Trust(Debt Financing), DGZ Associates(Advisor: General), Evercore Group(Advisor: General), IQ Workforce(Consulting), Mackenzie Partners(Advisor: General), New Century Capital Partners(Advisor: General), Payne &amp; Fears(Legal Advisor), Pier Capital (Sydney)(Advisor: General), Quinn Emanuel Urquhart &amp; Sullivan(Legal Advisor), Wilson Sonsini Goodrich &amp; Rosati(Legal Advisor)</t>
  </si>
  <si>
    <t>Ardea Partners(Advisor: General), Brobeck, Phleger &amp; Harrison(Legal Advisor), Cooley(Legal Advisor), J.P. Morgan(Advisor: Financial Due Diligence), Kahn Swick &amp; Foti(Legal Advisor), Skadden, Arps, Slate, Meagher &amp; Flom(Legal Advisor)</t>
  </si>
  <si>
    <t>266413-87</t>
  </si>
  <si>
    <t>eBay Classifieds Group</t>
  </si>
  <si>
    <t>eCG</t>
  </si>
  <si>
    <t>Operator of e-commerce and information service websites based in the Netherlands. The company through its websites helps people get information about products and services such as jobs, real estate, furniture, cars, concert ticket and financial services.</t>
  </si>
  <si>
    <t>Information Services (B2C)*, Media and Information Services (B2B)</t>
  </si>
  <si>
    <t>E-Commerce</t>
  </si>
  <si>
    <t>information services, online advertisement, online information service, online trade, used product sale</t>
  </si>
  <si>
    <t>www.ebayclassifiedsgroup.com</t>
  </si>
  <si>
    <t>2019: 1400, 2020: 400</t>
  </si>
  <si>
    <t>Adevinta</t>
  </si>
  <si>
    <t>226065-16P</t>
  </si>
  <si>
    <t>Alex Green</t>
  </si>
  <si>
    <t>Chief Financial Officer &amp; Vice President</t>
  </si>
  <si>
    <t>Meester Treublaan 7</t>
  </si>
  <si>
    <t>1097 DP</t>
  </si>
  <si>
    <t>The company, a subsidiary of eBay (NAS: EBAY) was acquired by Adevinta (OSL: ADE) for $13 billion on June 25, 2021. The acquisition will allow Adevinta to accelerate innovation in products and services to deliver more value to its users and customers and to take advantage of the ongoing consolidation in the global online classifieds industry.</t>
  </si>
  <si>
    <t>eBay</t>
  </si>
  <si>
    <t>eBay(www.ebay.com)</t>
  </si>
  <si>
    <t>Barclays(Advisor: General), De Brauw Blackstone Westbroek(Legal Advisor), LionTree Advisors(Advisor: General), Quinn Emanuel Urquhart &amp; Sullivan(Legal Advisor), Stikeman Elliott(Legal Advisor), The Goldman Sachs Group(Advisor: General), Thommessen(Legal Advisor)</t>
  </si>
  <si>
    <t>11699-11</t>
  </si>
  <si>
    <t>Electronic Data Systems</t>
  </si>
  <si>
    <t>EDS</t>
  </si>
  <si>
    <t>Electronic Data Systems Corporation</t>
  </si>
  <si>
    <t>Provider of business solutions, including a broad portfolio of information technology and business process outsourcing services to clients in the manufacturing, financial services, healthcare, communications, energy, transportation, and consumer and retail industries and to governments around the world. The company is based in Plano, TX.</t>
  </si>
  <si>
    <t>Systems and Information Management*</t>
  </si>
  <si>
    <t>information technology outsourcing, it consulting, it services</t>
  </si>
  <si>
    <t>1990: 61000, 1991: 70500, 1992: 71000, 1993: 71000, 1994: 71000, 1995: 71000, 1996: 100041, 1997: 110000, 1998: 120000, 1999: 121000, 2000: 122000, 2001: 143000, 2002: 137000, 2003: 132000, 2004: 117000, 2005: 117057, 2006: 131063, 2007: 131063, 2008: 139565, 2009: 139500</t>
  </si>
  <si>
    <t>TTM 2Q2008</t>
  </si>
  <si>
    <t>188747-83P</t>
  </si>
  <si>
    <t>Dick Brown</t>
  </si>
  <si>
    <t>5400 Legacy Drive</t>
  </si>
  <si>
    <t>The company was acquired by Hewlett-Packard for $13 billion on August 26, 2008. The company is no longer actively tracked by PitchBook.</t>
  </si>
  <si>
    <t>General Motors, Hewlett-Packard</t>
  </si>
  <si>
    <t>Bustillo Abogados(Legal Advisor), KP Tech Corporate Finance(Advisor: General), N2Growth(Consulting), Progressive Intelligence(Consulting)</t>
  </si>
  <si>
    <t>Borden Ladner Gervais(Legal Advisor), Evercore Group(Advisor: General), McKool Smith(Legal Advisor), Momentum Cyber(Advisor: General)</t>
  </si>
  <si>
    <t>157746-61</t>
  </si>
  <si>
    <t>Foster's Group</t>
  </si>
  <si>
    <t>Foster's Brewing Group</t>
  </si>
  <si>
    <t>Foster's</t>
  </si>
  <si>
    <t>Foster's Group Pty. Ltd</t>
  </si>
  <si>
    <t>Producer of beer and alcoholic beverages. The company's portfolio of beer, wine, cider and spirits brands are produced, marketed and exported to over 100 countries.</t>
  </si>
  <si>
    <t>alcoholic drink and beverages, beer, beer brewer, beer drinks, beverages, cider, spirits branding, wine</t>
  </si>
  <si>
    <t>www.fosters.com.au</t>
  </si>
  <si>
    <t>1989: 33603, 1991: 19000, 1992: 15812, 1993: 14600, 1994: 14600, 1995: 14600, 1996: 10436, 1997: 10646, 1998: 8207, 2000: 14000, 2001: 13700, 2002: 12950, 2003: 13400, 2005: 10300, 2006: 10100, 2007: 6588, 2008: 6373, 2009: 6271, 2010: 5731, 2011: 2239</t>
  </si>
  <si>
    <t>32280-94P</t>
  </si>
  <si>
    <t>Ian Johnston</t>
  </si>
  <si>
    <t>ian.johnston@fostersgroup.com</t>
  </si>
  <si>
    <t>Southbank, Australia</t>
  </si>
  <si>
    <t>77 Southbank Boulevard</t>
  </si>
  <si>
    <t>Southbank</t>
  </si>
  <si>
    <t>3006</t>
  </si>
  <si>
    <t>The company was acquired by SABMiller (LON:SAB) for $13 billion in November, 2011. The company is no longer actively tracked by PitchBook.</t>
  </si>
  <si>
    <t>SABMiller</t>
  </si>
  <si>
    <t>Grant Samuel Group(Advisor: General), NVC Consulting(Consulting), Washington Search Partners(Consulting)</t>
  </si>
  <si>
    <t>Cravath, Swaine &amp; Moore(Legal Advisor), Grant Samuel Group(Advisor: General), Gresham Partners (Sydney)(Advisor: General)</t>
  </si>
  <si>
    <t>99936-01</t>
  </si>
  <si>
    <t>Joint Venture (GlaxoSmithKline / Novartis)</t>
  </si>
  <si>
    <t>GlaxoSmithKline Consumer Healthcare Ltd., India</t>
  </si>
  <si>
    <t>Manufacturer of consumer healthcare products. The company's consumer healthcare products include pain relief medicines, toothpastes, respiratory medicine, skin care and other related products, enabling customers to get access to quality nutritional supplementary products.</t>
  </si>
  <si>
    <t>Household Products, Other Healthcare, Personal Products*</t>
  </si>
  <si>
    <t>healthcare product, pain relief medicine, respiratory medicine, skincare, toothpaste</t>
  </si>
  <si>
    <t>Hindustan Unilever</t>
  </si>
  <si>
    <t>146727-28P</t>
  </si>
  <si>
    <t>Brian McNamara</t>
  </si>
  <si>
    <t>bmcnamara@gskpensions.co.uk</t>
  </si>
  <si>
    <t>WeWork Two Horizon Centre</t>
  </si>
  <si>
    <t>5th Floor, DLF Two Horizon Centre</t>
  </si>
  <si>
    <t>122002</t>
  </si>
  <si>
    <t>Novartis (SWX: NOVN) sold a 36.5% stake in the company to GlaxoSmithKline (LON: GSK) for $13 billion on June 1, 2018. GSK is initiating a strategic review of Horlicks and its other consumer healthcare nutrition products to support funding of the transaction. The transaction with Novartis is expected to add to adjusted earnings from 2018 and to strengthen cash flow generation for GlaxoSmithKline.</t>
  </si>
  <si>
    <t>GlaxoSmithKline, Novartis</t>
  </si>
  <si>
    <t>GlaxoSmithKline(www.gsk.com), Novartis(www.novartis.com)</t>
  </si>
  <si>
    <t>Barclays(Advisor: General), Cyril Amarchand Mangaldas(Legal Advisor)</t>
  </si>
  <si>
    <t>41074-66</t>
  </si>
  <si>
    <t>Liberty Property Trust</t>
  </si>
  <si>
    <t>Rouse &amp; Associates</t>
  </si>
  <si>
    <t>LPT</t>
  </si>
  <si>
    <t>Liberty Property Limited Partnership</t>
  </si>
  <si>
    <t>Hines Interests Limited Partnership, Rexford Industrial Realty, Tier REIT, Rayonier, Brandywine Realty Trust, Healthcare Realty Trust, Retail Properties of America, Eastgroup Properties, Prologis, Highwoods Properties, Mack Cali Realty, First Industrial, Duke Realty, Goodman, Boston Properties, American Homes 4 Rent, Federal Realty Investment Trust, Kilroy Realty, STAG Industrial, Simon Property Group</t>
  </si>
  <si>
    <t>Liberty Property Trust is a real estate investment trust that primarily manages and leases industrial and office properties throughout the United States. The majority of the company's real estate portfolio comprises industrial facilities, such as distribution warehouses and light-manufacturing spaces. Office buildings located principally in suburban developments and office parks also represent a substantial share of its assets. Liberty derives nearly all of its income as rental revenue from tenants. Its largest individual markets in terms of revenue are Central and Southeast Pennsylvania. The vast majority of Liberty's income is split between its distribution and office locations. The company's most significant tenants are large retailers and financial services firms.</t>
  </si>
  <si>
    <t>estate investment, investment trust, property trust, real estate, reit</t>
  </si>
  <si>
    <t>www.libertyproperty.com</t>
  </si>
  <si>
    <t>1994: 142, 1995: 145, 1996: 199, 1997: 278, 1998: 331, 1999: 331, 2000: 347, 2001: 355, 2002: 366, 2003: 399, 2004: 422, 2005: 470, 2006: 474, 2007: 506, 2008: 481, 2009: 469, 2010: 461, 2011: 443, 2012: 433, 2013: 453, 2014: 449, 2015: 384, 2016: 301, 2017: 295, 2018: 271</t>
  </si>
  <si>
    <t>15264-19P</t>
  </si>
  <si>
    <t>Christopher Papa</t>
  </si>
  <si>
    <t>Malvern, PA</t>
  </si>
  <si>
    <t>500 Chesterfield Parkway</t>
  </si>
  <si>
    <t>Malvern</t>
  </si>
  <si>
    <t>19355</t>
  </si>
  <si>
    <t>The company was acquired by Prologis (NYS: PLD) for $13 billion on February 4, 2020. Through this acquisition, Prologis will expand its footprint in important locations and benefit from immediate operational cost savings. The company is no longer actively tracked by PitchBook.</t>
  </si>
  <si>
    <t>Prologis</t>
  </si>
  <si>
    <t>BlackArch Partners(Advisor: General), Fitzpatrick Lentz &amp; Bubba(Legal Advisor), J.P. Morgan Securities(Advisor: General), Stream Realty Partners(Consulting)</t>
  </si>
  <si>
    <t>Citigroup(Advisor: General), D. F. King(Advisor: General), J.P. Morgan Securities(Advisor: General), Kahn Swick &amp; Foti(Legal Advisor), Mizuho Americas(Advisor: General), Morgan Lewis(Legal Advisor), Stifel Financial(Advisor: General), The Goldman Sachs Group(Advisor: General)</t>
  </si>
  <si>
    <t>119120-95</t>
  </si>
  <si>
    <t>Nayara Energy</t>
  </si>
  <si>
    <t>Essar Oil</t>
  </si>
  <si>
    <t>Nayara Energy Ltd</t>
  </si>
  <si>
    <t>Oil and Natural Gas Corporation, Oilex, Oil India, Indian Oil Corporation, Cairn India</t>
  </si>
  <si>
    <t>Provider of oil exploration services Mumbai, India. The company is engaged in the exploration and marketing of oil, gas and petroleum products.</t>
  </si>
  <si>
    <t>Energy Exploration*, Energy Marketing, Energy Production</t>
  </si>
  <si>
    <t>crude oil producer, oil &amp; gas, oil exploration, oil exploration firm, petroleum product</t>
  </si>
  <si>
    <t>www.nayaraenergy.com</t>
  </si>
  <si>
    <t>2010: 1337, 2011: 1676, 2012: 1697, 2013: 1689, 2014: 1722, 2015: 1889, 2020: 75000</t>
  </si>
  <si>
    <t>126056-71P</t>
  </si>
  <si>
    <t>Anup Vikal</t>
  </si>
  <si>
    <t>a.vikal@essar.com</t>
  </si>
  <si>
    <t>+91 (0)22 6612 1800</t>
  </si>
  <si>
    <t>Mumbai, India</t>
  </si>
  <si>
    <t>5th Floor, Jet Airways Godrej BKC, Plot No. C-68</t>
  </si>
  <si>
    <t>G Block, Bandra Kurla Complex, Bandra East, Maharashtra</t>
  </si>
  <si>
    <t>Mumbai</t>
  </si>
  <si>
    <t>400051</t>
  </si>
  <si>
    <t>The company was acquired by Rosneft (LON: ROSN), UCP Investment Group and Trafigura for $12.9 billion on June 22, 2017. Rosneft will control only 49.13 percent of the company, with Trafigura and UCP jointly holding another 49.13 percent. The deal will see Rosneft, along with its partners Trafigura and United Capital Partners (UCP), pay $10.9 billion for Essar's refining and retail assets. Ruia brothers own the remaining 1.74 percent stake. The company also received $3.9 million of debt financing in the form of a loan from VTB Capital as a part of the transaction.</t>
  </si>
  <si>
    <t>Algoma Steel, Rosneft, Trafigura Group, UCP Investment Group</t>
  </si>
  <si>
    <t>Algoma Steel(www.algoma.com), Rosneft(www.rosneft.ru), Trafigura Group(www.trafigura.com), UCP Investment Group(www.ucp.com)</t>
  </si>
  <si>
    <t>Arpwood Capital(Advisor: General), VTB Capital(Debt Financing)</t>
  </si>
  <si>
    <t>Loan - $3.90M</t>
  </si>
  <si>
    <t>41282-47</t>
  </si>
  <si>
    <t>Cameron International</t>
  </si>
  <si>
    <t>Cooper Cameron Corporation</t>
  </si>
  <si>
    <t>Cooper Cameron</t>
  </si>
  <si>
    <t>Cameron International Corp.</t>
  </si>
  <si>
    <t>OneSubsea, Proserv, Ebara, The WellMark Company, Aker Solutions, Forum Energy Technologies, Dril-Quip, Sulzer, Enerflex, Acteon Group</t>
  </si>
  <si>
    <t>Manufacturer and supplier of flow equipment products to oil, gas, and process industries. The company offers a variety of products related to flow control, drilling, subsea, surface, and process systems, reciprocating compression, centrifugal compression, valves, valve automation, measurement, and valve management.</t>
  </si>
  <si>
    <t>Machinery (B2B)*, Oil and Gas Equipment</t>
  </si>
  <si>
    <t>Industrials, Manufacturing, Oil &amp; Gas</t>
  </si>
  <si>
    <t>exploration system, flow management product, pressure control equipment, production systems</t>
  </si>
  <si>
    <t>www.c-a-m.com</t>
  </si>
  <si>
    <t>1996: 8500, 1997: 9600, 1998: 9300, 1999: 7200, 2000: 7300, 2001: 8000, 2002: 7800, 2003: 7700, 2004: 8825, 2005: 12200, 2006: 12400, 2007: 15400, 2008: 17100, 2009: 18100, 2010: 19500, 2011: 22500, 2012: 27000, 2013: 29000, 2014: 28000, 2015: 23000, 2016: 24000</t>
  </si>
  <si>
    <t>Schlumberger</t>
  </si>
  <si>
    <t>1333 West Loop South</t>
  </si>
  <si>
    <t>Suite 1700</t>
  </si>
  <si>
    <t>77027</t>
  </si>
  <si>
    <t>The company (NYSE: CAM) was acquired by Schlumberger (NYSE: SLB) for $12.8 billion on April 01, 2016. Cameron shareholders will receive 0.716 shares of Schlumberger common stock and a cash payment of $14.4, valued at $66.36 per share. Each Cameron stockholder is entitled to receive 0.716 shares of Schlumberger common stock and $14.44 in cash, in exchange for each Cameron share. Schlumberger has issued approximately 138 million shares pursuant to the merger. As a result, former Cameron stockholders own approximately 10% of Schlumberger's outstanding shares of common stock.</t>
  </si>
  <si>
    <t>Rigrodsky &amp; Long(Legal Advisor), Vaco(Consulting)</t>
  </si>
  <si>
    <t>Cravath, Swaine &amp; Moore(Legal Advisor), Credit Suisse(Advisor: General), D. F. King(Legal Advisor), Deutsche Bank Securities(Advisor: General), J.P. Morgan(Advisor: General), Joele Frank(Advisor: Communications), Morgan Stanley(Advisor: General)</t>
  </si>
  <si>
    <t>12866-68</t>
  </si>
  <si>
    <t>Catamaran</t>
  </si>
  <si>
    <t>Systems Xcellence, SXC Health Solutions</t>
  </si>
  <si>
    <t>Catamaran Corp.</t>
  </si>
  <si>
    <t>Provider of healthcare transaction processing services and software applications, designed for health benefit management organizations. The company combines web-enabled, real-time transaction processing technology with business consulting expertise and technical services to deliver patient-centric software services to the healthcare benefits industry.</t>
  </si>
  <si>
    <t>Enterprise Systems (Healthcare)*, Other Healthcare Technology Systems, Other Software</t>
  </si>
  <si>
    <t>healthcare application, healthcare enterprise, healthcare technology</t>
  </si>
  <si>
    <t>www.catamaranrx.com</t>
  </si>
  <si>
    <t>2003: 225, 2004: 260, 2005: 317, 2006: 426, 2007: 429, 2008: 940, 2009: 935, 2010: 1216, 2011: 1433, 2012: 3300, 2013: 4000, 2014: 4500</t>
  </si>
  <si>
    <t>106756-84P</t>
  </si>
  <si>
    <t>Jennifer Hadley</t>
  </si>
  <si>
    <t>Director of Corporate Treasury and Risk</t>
  </si>
  <si>
    <t>jennifer.hadley@sxc.com</t>
  </si>
  <si>
    <t>+1 (800) 282-3232</t>
  </si>
  <si>
    <t>Schaumburg, IL</t>
  </si>
  <si>
    <t>1600 McConnor Parkway</t>
  </si>
  <si>
    <t>Schaumburg</t>
  </si>
  <si>
    <t>60173</t>
  </si>
  <si>
    <t>+1 (224) 231-1901</t>
  </si>
  <si>
    <t>The company (NASDAQ: CTRX) was acquired by OptumRx, a subsidiary of UnitedHealth Group (NYSE: UNH), for $12.8 billion on July 23, 2015. The company is no longer actively tracked by PitchBook.</t>
  </si>
  <si>
    <t>OptumRx</t>
  </si>
  <si>
    <t>Covington Capital Corporation, Genesys Capital, MCG Capital, Satwik Ventures</t>
  </si>
  <si>
    <t>Covington Capital Corporation(www.covingtonfunds.com), Genesys Capital(www.genesyscapital.com), MCG Capital(www.mcgcapital.com), Satwik Ventures(www.satwikventures.com)</t>
  </si>
  <si>
    <t>Sard Verbinnen(Advisor: Communications)</t>
  </si>
  <si>
    <t>Aird &amp; Berlis(Legal Advisor), Baker &amp; McKenzie(Legal Advisor), Cormark Securities(Underwriter), Innisfree M&amp;A(Legal Advisor), Joele Frank(Advisor: Communications), KPMG(Accounting), MCG Capital(Debt Financing), PJT Partners(Advisor: General), Sidley Austin(Legal Advisor), Taurus Capital Markets Ltd(Underwriter), The Blackstone Group(Advisor: General), Third500(Advisor: General)</t>
  </si>
  <si>
    <t>42361-57</t>
  </si>
  <si>
    <t>WorldPay (Global Payment Processing)</t>
  </si>
  <si>
    <t>Royal Bank of Scotland (Global Payment Processing Business)</t>
  </si>
  <si>
    <t>WorldPay</t>
  </si>
  <si>
    <t>WorldPay Ltd.</t>
  </si>
  <si>
    <t>BillingTree, Adyen, BluePay, Sentenial, DIBS Payment Services, Stripe, Paysafe Group, Limonetik, EBANX, Pay and Shop, Aevi (Financial Software), Remitly, Solupay, Klarna, Worldline, Dwolla, First Data, Payworks, 2Checkout (Acquired), Paymill, Ixaris, allpago, Mash Finance Corporation, Braintree, Payfirma, GlobalCollect, Wirecard, Equinox Payments, Wise, Vocalink, Docdata Payments, HiPay, PPRO Financial, CyberSource, Nets, SIX Payment Services, Mint Payments, WePay, Buckaroo, KOHO, SafetyPay, Payvision, Payline Data, 2C2P, Planet Payment (Acquired/Merged), Sage Pay, Paymentwall, PayPlug, Credorax, Elavon, Fidelity Payment Services, VeriFone, Authorize.Net, Judo (Payments Platform), Sterling Payment Technologies, Square, Merchant e-Solutions, Bell Identification, Green Dot, TrustCommerce, Ingenico Group, PayLane, BlueSnap, ROAM Data, PAY.ON, Affirm, Dalenys, Zettle by PayPal, Openbucks, Venmo, Tipalti, Payment plugin, InstaMed, Net 1 UEPS Technologies, Fiserv, Evertec, ChargeBee, NetSpend, FastSpring, UniRush, Payoneer, Monex Financial Services, PayPal Holdings</t>
  </si>
  <si>
    <t>WorldPay (Global Payment Processing) was a developer of payment processing technology and services created to offer secure payment services. The company's payment processing technology included services such as card payments, multi-currency processing, online payments, contact-less and secure proprietary technology platforms, enabling merchants to accept a vast array of payment types, across multiple channels, anywhere in the world.</t>
  </si>
  <si>
    <t>alternative payment system, data analytics, online payment, online payment gateway, payment processing, payment processing service, payments process technology</t>
  </si>
  <si>
    <t>2014: 4518, 2015: 4982, 2016: 4613, 2017: 5000, 2018: 8000</t>
  </si>
  <si>
    <t>The company (LON: WPG) was acquired by Vantiv (NYSE: VNTV) for GBP 9.33 billion on January 16, 2018. The funding comprises of GBP 8 billion in equity and GBP 1.3 billion in debt. Following the merger, Worldpay shareholders would own approximately 43 percent of the share capital of the newly combined group. Worldpay investors will receive 55 pence per share in cash and 0.0672 new Vantiv shares. The acquisition will allow Vantiv to enhance its global e-commerce capabilities and open multiple growth opportunities.</t>
  </si>
  <si>
    <t>Advent International, Ardian, Ares Capital, Bain Capital, Bain Capital Credit, Crescent Capital Group, Kohlberg Kravis Roberts, NatWest Group, Ship Global</t>
  </si>
  <si>
    <t>Clayton, Dubilier &amp; Rice, Hellman &amp; Friedman, Ingenico Group, The Blackstone Group, TPG, Wirecard</t>
  </si>
  <si>
    <t>Advent International(www.adventinternational.com), Ardian(www.ardian.com), Ares Capital(www.arescapitalcorp.com), Bain Capital(www.baincapital.com), Bain Capital Credit(www.baincapitalcredit.com), Crescent Capital Group(www.crescentcap.com), Kohlberg Kravis Roberts(www.kkr.com), NatWest Group(www.natwestgroup.com)</t>
  </si>
  <si>
    <t>Clayton, Dubilier &amp; Rice(www.cdr-inc.com), Hellman &amp; Friedman(www.hf.com), Ingenico Group(www.ingenico.com), The Blackstone Group(www.blackstone.com), TPG(www.tpg.com), Wirecard(www.wirecard.com)</t>
  </si>
  <si>
    <t>Accourt(Consulting), Eden McCallum(Consulting), Notch Partners(Consulting), PA Consulting(Consulting), Walker Sands Communications(Advisor: Communications)</t>
  </si>
  <si>
    <t>Allen &amp; Overy(Legal Advisor), Ares Capital(Debt Financing), Bain Capital Credit(Debt Financing), Bank of America Merrill Lynch(Underwriter), Barclays Bank UK(Advisor: General), Barclays Investment Bank(Underwriter), Canaccord Genuity(Underwriter), Centerview Partners(Advisor: General), Credit Suisse(Advisor: General), Crescent Capital Group(Debt Financing), Fifth Third Bank(Underwriter), FS KKR Capital(Debt Financing), J.P. Morgan(Advisor: General), Jefferies Financial Group(Underwriter), KBCM Technology Group(Underwriter), KeyBank(Advisor: General), Kohlberg Kravis Roberts(Debt Financing), Lazard Middle Market(Advisor: General), Liberty Corporate Finance(Advisor: General), Linklaters(Legal Advisor), Mayer Brown(Legal Advisor), Mediobanca(Debt Financing), Mediobanca(Underwriter), Morgan Stanley(Underwriter), NatWest Group(Debt Financing), Partners Group(Debt Financing), Royal Bank of Canada(Advisor: General), Simmons &amp; Simmons(Legal Advisor), The Goldman Sachs Group(Underwriter), UBS Group(Advisor: General), Weil, Gotshal &amp; Manges(Legal Advisor)</t>
  </si>
  <si>
    <t>43120-90</t>
  </si>
  <si>
    <t>McCaw Cellular</t>
  </si>
  <si>
    <t>McCaw Communications, McCaw Cellular Incorporated</t>
  </si>
  <si>
    <t>McCaw Cellular Inc.</t>
  </si>
  <si>
    <t>Provider of cellular mobile telephone services. The company debuted the installation of a software program that allowed customers to receive calls outside of their home areas without the use of a customary series of access codes.</t>
  </si>
  <si>
    <t>Telecommunications Service Providers*, Wireless Communications Equipment</t>
  </si>
  <si>
    <t>cellular service, telephonic cellular service, telephonic services</t>
  </si>
  <si>
    <t>67781-71P</t>
  </si>
  <si>
    <t>Craig Mccaw</t>
  </si>
  <si>
    <t>+1 (435) 278-7100</t>
  </si>
  <si>
    <t>Kirkland, WA</t>
  </si>
  <si>
    <t>Kirkland</t>
  </si>
  <si>
    <t>The company was acquired by AT&amp;T for $12.6 billion on September 19, 1994. The company was delisted as a result of the transaction. The company is no longer actively tracked by PitchBook.</t>
  </si>
  <si>
    <t>BT Group (UK), Meritage Funds</t>
  </si>
  <si>
    <t>BT Group (UK)(www.btplc.com), Meritage Funds(www.meritagefunds.com)</t>
  </si>
  <si>
    <t>10870-30</t>
  </si>
  <si>
    <t>The Clorox (NYS: CLX)</t>
  </si>
  <si>
    <t>Electro-Alkaline Company, Clorox Chemical Co</t>
  </si>
  <si>
    <t>Clorox</t>
  </si>
  <si>
    <t>The Clorox Company</t>
  </si>
  <si>
    <t>Church &amp; Dwight Company, Elizabeth Arden, Unilever Indonesia, Melaleuca, United-Guardian, Mary Kay, The Sun Products, Hindustan Unilever, Oriflame Cosmetics, Jafra Cosmetics International, Eugene Perma France</t>
  </si>
  <si>
    <t>With a history dating back more than 100 years, Clorox now sells a variety of consumer staples products, including cleaning supplies, laundry care, trash bags, cat litter, charcoal, food dressings, water-filtration products, and natural personal-care products. Beyond its namesake brand, the firm's portfolio includes Liquid-Plumr, Pine-Sol, S.O.S, Tilex, Kingsford, Fresh Step, Glad, Hidden Valley, KC Masterpiece, Brita, and Burt's Bees. Just shy of 85% of Clorox's sales stem from its home turf.</t>
  </si>
  <si>
    <t>Household Products</t>
  </si>
  <si>
    <t>Household Products*, Personal Products, Specialty Chemicals</t>
  </si>
  <si>
    <t>bleach, bleach manufacturer, cleaning product, cleaning supplies, consumer goods, household consumer product</t>
  </si>
  <si>
    <t>www.thecloroxcompany.com</t>
  </si>
  <si>
    <t>1957: 370, 1989: 5300, 1990: 5500, 1991: 6100, 1992: 5800, 1993: 4700, 1994: 4700, 1995: 4700, 1996: 5300, 1997: 5500, 1998: 6600, 1999: 11000, 2000: 11000, 2001: 11000, 2002: 9500, 2003: 8900, 2004: 8600, 2005: 7600, 2006: 7600, 2007: 7800, 2008: 8300, 2009: 8300, 2010: 8300, 2011: 8100, 2012: 8400, 2013: 8400, 2014: 8400, 2015: 7700, 2016: 8000, 2017: 8100, 2018: 8700, 2019: 8800, 2020: 8800, 2021: 8800</t>
  </si>
  <si>
    <t>CLX</t>
  </si>
  <si>
    <t>184446-19P</t>
  </si>
  <si>
    <t>Kevin Jacobsen</t>
  </si>
  <si>
    <t>kevin.jacobsen@clorox.com</t>
  </si>
  <si>
    <t>+1 (510) 271-7000</t>
  </si>
  <si>
    <t>1221 Broadway</t>
  </si>
  <si>
    <t>The company was in talks to be acquired by Icahn Enterprises for $12.6 billion on July 15, 2011. Subsequently the deal was cancelled.</t>
  </si>
  <si>
    <t>Icahn Enterprises</t>
  </si>
  <si>
    <t>Procter &amp; Gamble(www.us.pg.com)</t>
  </si>
  <si>
    <t>Icahn Enterprises(www.ielp.com)</t>
  </si>
  <si>
    <t>Auxis(Consulting), Axiom Consulting Partners(Consulting), Blue Dots Partners(Advisor: General), DeWinter Group(Consulting), Fahrenheit 212(Advisor: General), Pacific Program Management(Consulting)</t>
  </si>
  <si>
    <t>59594-05</t>
  </si>
  <si>
    <t>Hopewell Highway Infrastructure (HKG: 00737)</t>
  </si>
  <si>
    <t>Hopewell Highway</t>
  </si>
  <si>
    <t>Hopewell Highway Infrastructure Ltd.</t>
  </si>
  <si>
    <t>Shenzhen Investment Holdings Bay Area Development Co Ltd is an investment holding company that is engaged in the initiation, promotion, development, and operation of toll expressways and bridges in China. The company manages its business in three segments namely Guangzhou-Shenzhen Superhighway, Guangzhou-Zhuhai West Superhighway, and Xintang Interchange. The company generates the majority of the revenue in the form of Toll.</t>
  </si>
  <si>
    <t>Infrastructure</t>
  </si>
  <si>
    <t>Infrastructure*</t>
  </si>
  <si>
    <t>highway construction, highway construction company, highway construction service, road maintenance</t>
  </si>
  <si>
    <t>www.sihbay.com</t>
  </si>
  <si>
    <t>2008: 2666, 2010: 37, 2011: 39, 2012: 28, 2013: 28, 2014: 26, 2015: 25, 2016: 23, 2017: 29, 2018: 30, 2019: 36, 2020: 39</t>
  </si>
  <si>
    <t>00737</t>
  </si>
  <si>
    <t>Shenzhen Investment International Capital Holdings Infrastructure</t>
  </si>
  <si>
    <t>177070-06P</t>
  </si>
  <si>
    <t>Thomas Jefferson WU</t>
  </si>
  <si>
    <t>Managing Director</t>
  </si>
  <si>
    <t>thomas.jefferson@hopewellhighway.com</t>
  </si>
  <si>
    <t>+852 2528 4975</t>
  </si>
  <si>
    <t>Wan Chai, Hong Kong</t>
  </si>
  <si>
    <t>63/F Hopewell Centre</t>
  </si>
  <si>
    <t>183 Queen's Road East</t>
  </si>
  <si>
    <t>Wan Chai</t>
  </si>
  <si>
    <t>Hong Kong</t>
  </si>
  <si>
    <t>+852 2861 0177</t>
  </si>
  <si>
    <t>The company (KKG: 00737) was acquired by Shenzhen Investment International Capital Holdings Infrastructure for HKD$ 9.87 billion on March 28, 2018.</t>
  </si>
  <si>
    <t>Hopewell Holdings</t>
  </si>
  <si>
    <t>Hopewell Holdings(www.hopewellholdings.com)</t>
  </si>
  <si>
    <t>BOC International(Placement Agent)</t>
  </si>
  <si>
    <t>BNP Paribas(Underwriter), BOC International(Underwriter), Citigroup(Underwriter), CLSA(Underwriter), Daiwa Securities Group(Underwriter), Deloitte(Legal Advisor), Haiwen &amp; Partners(Legal Advisor), ICEA Capital(Underwriter), ING Bank(Underwriter), J.P. Morgan(Underwriter), Kim Eng Corporate Finance(Underwriter), Latham &amp; Watkins(Legal Advisor), Maples Group(Legal Advisor), Morgan Stanley(Underwriter), South China Securities(Underwriter), Sun Hung Kai &amp; Company(Underwriter), UOB Asia Limited(Underwriter), VC CEF Capital(Underwriter), Woo, Kwan, Lee &amp; Lo(Legal Advisor)</t>
  </si>
  <si>
    <t>10454-77</t>
  </si>
  <si>
    <t>Cooper Industries</t>
  </si>
  <si>
    <t>Cooper Industries, Inc.</t>
  </si>
  <si>
    <t>Manufacturer of electrical products and tools. The company develops and distributes electrical equipment, circuit protection products, fuses, lighting and lighting controls, electrical plugs and receptacles and voltage regulators.</t>
  </si>
  <si>
    <t>Distributors/Wholesale*, Electrical Equipment</t>
  </si>
  <si>
    <t>circuit protection product, electrical plug, electrical product</t>
  </si>
  <si>
    <t>1989: 58100, 1990: 57500, 1991: 53900, 1992: 52900, 1993: 49500, 1994: 40800, 1995: 40400, 1996: 42400, 1997: 41200, 1998: 28100, 1999: 30100, 2000: 34250, 2001: 30520, 2002: 28462, 2003: 27188, 2004: 26863, 2005: 28903, 2006: 31000, 2007: 31500, 2008: 31200, 2009: 28255, 2010: 24795, 2011: 25786</t>
  </si>
  <si>
    <t>TTM 3Q2012</t>
  </si>
  <si>
    <t>31602-88P</t>
  </si>
  <si>
    <t>Kirk Hachigian</t>
  </si>
  <si>
    <t>+353 (0)1 254 6200</t>
  </si>
  <si>
    <t>600 Travis</t>
  </si>
  <si>
    <t>Suite 5600</t>
  </si>
  <si>
    <t>The company was acquired by Eaton (NYSE: ETN) for EUR 9.8 billion on November 30, 2012. The company is no longer actively tracked by PitchBook.</t>
  </si>
  <si>
    <t>Eaton</t>
  </si>
  <si>
    <t>Danaher(www.danaher.com)</t>
  </si>
  <si>
    <t>Bushkin Associates(Advisor: General), M&amp;A Capital(Advisor: General), REL Consultancy(Consulting), The Mentor Group(Advisor: General)</t>
  </si>
  <si>
    <t>Arthur Cox(Legal Advisor), D. F. King(Advisor: General), Slaughter and May(Legal Advisor), The Goldman Sachs Group(Advisor: General), Wachtell, Lipton, Rosen &amp; Katz(Legal Advisor)</t>
  </si>
  <si>
    <t>42164-83</t>
  </si>
  <si>
    <t>CareFusion</t>
  </si>
  <si>
    <t>Pyxis</t>
  </si>
  <si>
    <t>CareFusion Corporation</t>
  </si>
  <si>
    <t>nSpire Health, Hospira, COSMED, Talyst, Curative Medical, Synaptive, Mölnlycke Health Care, Beckman Coulter, KCI Holdings, MGC Diagnostics, Omnicell, Baxter International</t>
  </si>
  <si>
    <t>Provider of medical products and enterprise management solutions intended to improve the safety and cost of healthcare. The company's medical technology products include automated dispensing and patient identification systems, respiratory ventilators as well as surgical instruments required for infection prevention, neurological monitoring and diagnosis, thereby helping healthcare organizations to achieve infection control, medication management, medical supply management and respiratory care improvements.</t>
  </si>
  <si>
    <t>Diagnostic Equipment, Enterprise Systems (Healthcare), Medical Supplies*</t>
  </si>
  <si>
    <t>infection control, medical supply management, medication management, medication management system, respiratory care</t>
  </si>
  <si>
    <t>www.carefusion.com</t>
  </si>
  <si>
    <t>2008: 16000, 2009: 16000, 2010: 15000, 2011: 14000, 2012: 15000, 2013: 15000, 2014: 16000</t>
  </si>
  <si>
    <t>3750 Torrey View Court</t>
  </si>
  <si>
    <t>92130</t>
  </si>
  <si>
    <t>The company (NYSE: CFN) was acquired by Becton Dickinson (NYSE: BDX) for $12.538 billion on March 17, 2015. The acquisition will position Becton Dickinson as a global leader in medication management. The company is no longer actively tracked by PitchBook.</t>
  </si>
  <si>
    <t>Talisman Capital Partners</t>
  </si>
  <si>
    <t>Blum Capital Partners, Cardinal Health</t>
  </si>
  <si>
    <t>Talisman Capital Partners(www.talismancp.com)</t>
  </si>
  <si>
    <t>Blum Capital Partners(www.blumcapital.com), Cardinal Health(www.cardinalhealth.com)</t>
  </si>
  <si>
    <t>Rigrodsky &amp; Long(Legal Advisor)</t>
  </si>
  <si>
    <t>Barclays Investment Bank(Advisor: General), EY(Accounting), Perella Weinberg Partners(Advisor: General), Wachtell, Lipton, Rosen &amp; Katz(Legal Advisor), Weil, Gotshal &amp; Manges(Legal Advisor)</t>
  </si>
  <si>
    <t>64266-13</t>
  </si>
  <si>
    <t>HSBC (Swiss Private Banking Assets)</t>
  </si>
  <si>
    <t>Provider of private banking services. The company provides investment-related advice and wealth management services to their client's entire financial situation.</t>
  </si>
  <si>
    <t>Investment Banks, Other Capital Markets/Institutions, Other Commercial Services*</t>
  </si>
  <si>
    <t>alternative investment, investable assets, private banking</t>
  </si>
  <si>
    <t>2014: 70</t>
  </si>
  <si>
    <t>Geneva, Switzerland</t>
  </si>
  <si>
    <t>Quai du Général Guisan 2</t>
  </si>
  <si>
    <t>PO Box 3580</t>
  </si>
  <si>
    <t>1211</t>
  </si>
  <si>
    <t>HSBC Private Bank sold 15% stake in Swiss Private Banking Assets to LGT Bank (Schweiz) for $12.5 billion on June 24, 2014.</t>
  </si>
  <si>
    <t>HSBC Private Bank, LGT Bank (Schweiz)</t>
  </si>
  <si>
    <t>HSBC Private Bank(www.privatebanking.hsbc.com), LGT Bank (Schweiz)(www.lgt.ch)</t>
  </si>
  <si>
    <t>55321-93</t>
  </si>
  <si>
    <t>WhiteWave Foods</t>
  </si>
  <si>
    <t>The WhiteWave Foods Company</t>
  </si>
  <si>
    <t>Shamrock Foods Company, Inyange Industries, SunOpta, J&amp;J Snack Foods, General Mills, The C.F. Sauer Company, AdvancePierre Foods, Dean Foods, Mondelēz International, Abbott Nutrition, Kellogg's, Hearthside Food Solutions, Post Holdings</t>
  </si>
  <si>
    <t>Manufacturer of packaged food and beverages based in Denver, Colorado. The company engages in the manufacturing, marketing, distribution and sale of plant-based food and beverages, coffee creamers and beverages and dairy products in North America and Europe.</t>
  </si>
  <si>
    <t>coffee creamer, dairy products, food prepartion, organic produce, packaged food</t>
  </si>
  <si>
    <t>www.whitewave.com</t>
  </si>
  <si>
    <t>2012: 2600, 2013: 3900, 2014: 4500, 2015: 5300, 2016: 5800, 2018: 6000, 2020: 6000, 2021: 6000</t>
  </si>
  <si>
    <t>1225 Seventeenth Street</t>
  </si>
  <si>
    <t>The company (NYSE: WWAV) was acquired by Groupe Danone (PAR: DN) for $12.5 billion on April 12, 2017. This unique combination positions Danone better to address tomorrow's consumer trends. The company is no longer actively tracked by PitchBook.</t>
  </si>
  <si>
    <t>Dean Foods</t>
  </si>
  <si>
    <t>Grayhawk Capital, Hudson Executive Capital</t>
  </si>
  <si>
    <t>Dean Foods(www.deanfoods.com)</t>
  </si>
  <si>
    <t>Grayhawk Capital(www.grayhawkcapital.us), Hudson Executive Capital(www.hudsonexecutive.com)</t>
  </si>
  <si>
    <t>CEO Search Partners &amp; Strategic Food Partners(Consulting), White &amp; Case(Legal Advisor)</t>
  </si>
  <si>
    <t>Bank of America Merrill Lynch(Advisor: General), Barclays Investment Bank(Underwriter), Credit Suisse Securities (USA)(Underwriter), Crédit Agricole Corporate &amp; Investment Bank(Underwriter), Dechert(Legal Advisor), Deloitte(Auditor), Dorr LLP. Cravath(Legal Advisor), J.P. Morgan(Underwriter), Morgan Stanley Investment Management(Underwriter), Skadden, Arps, Slate, Meagher &amp; Flom(Legal Advisor), Stikeman Elliott(Legal Advisor), SunTrust Robinson Humphrey(Underwriter), The Goldman Sachs Group(Advisor: General), Wells Fargo Advisors(Underwriter), WilmerHale(Legal Advisor)</t>
  </si>
  <si>
    <t>464230-45</t>
  </si>
  <si>
    <t>Aramco Oil Pipelines</t>
  </si>
  <si>
    <t>Aramco Oil Pipelines Co.</t>
  </si>
  <si>
    <t>Operator of an oil pipeline system based in Dhahran, Saudi Arabia.</t>
  </si>
  <si>
    <t>Energy Exploration*, Other Energy</t>
  </si>
  <si>
    <t>Infrastructure, Oil &amp; Gas</t>
  </si>
  <si>
    <t>oil pipeline company, oil pipeline infrastructure, oil pipeline leasing, oil pipeline network, oil pipeline operator, oil pipeline system</t>
  </si>
  <si>
    <t>Dhahran, Saudi Arabia</t>
  </si>
  <si>
    <t>Dhahran</t>
  </si>
  <si>
    <t>Saudi Aramco sold a 49% stake in the company to EIG Global Energy Partners and Mubadala Investment Company for $12.4 billion on April 9, 2021. The transaction values the company at $25.31 billion. The deal is part of Saudi Arabia's drive to open up to foreign investment and use the money to diversify its economy. BNP Paribas, Citigroup, First Abu Dhabi Bank, HSBC Holdings, J.P. Morgan, Mizuho Bank, MUFG Bank and Sumitomo Mitsui Banking provided $10.5 billion of debt financing for the transaction.</t>
  </si>
  <si>
    <t>EIG Global Energy Partners, Mubadala Investment Company</t>
  </si>
  <si>
    <t>EIG Global Energy Partners(www.eigpartners.com), Mubadala Investment Company(www.mubadala.com)</t>
  </si>
  <si>
    <t>BNP Paribas(Debt Financing), Citigroup(Debt Financing), First Abu Dhabi Bank(Debt Financing), HSBC Holdings(Debt Financing), J.P. Morgan(Debt Financing), Mizuho Bank(Debt Financing), MUFG Bank(Debt Financing), Sumitomo Mitsui Banking(Debt Financing)</t>
  </si>
  <si>
    <t>Loan - $10.50B</t>
  </si>
  <si>
    <t>108277-84</t>
  </si>
  <si>
    <t>Alza (Pharmaceuticals and Biotechnology)</t>
  </si>
  <si>
    <t>Alza Corp.</t>
  </si>
  <si>
    <t>Manufacturer of drug delivery systems created to develop pharmaceutical products with enhanced therapeutic value. The company's drug delivery systems include therapeutic devices for oral, transdermal, implantable and liposomal technologies, enabling healthcare sector to innovate and create novel medicines for the cure of chronic and life-threatening diseases.</t>
  </si>
  <si>
    <t>Drug Delivery</t>
  </si>
  <si>
    <t>Drug Delivery*, Therapeutic Devices</t>
  </si>
  <si>
    <t>HealthTech, Manufacturing, TMT</t>
  </si>
  <si>
    <t>delivery system, drugs delivery, drugs delivery device, drugs delivery system, therapeutic system</t>
  </si>
  <si>
    <t>www.alza.com</t>
  </si>
  <si>
    <t>1989: 675, 1990: 683, 1991: 782, 1992: 1071, 1993: 1078, 1994: 1078, 1995: 1444, 1996: 1652, 1997: 1532, 1998: 1845, 1999: 2034, 2000: 2442</t>
  </si>
  <si>
    <t>1900 Charleston Road</t>
  </si>
  <si>
    <t>P.O. Box 7210</t>
  </si>
  <si>
    <t>94039</t>
  </si>
  <si>
    <t>The company was acquired by Johnson &amp; Johnson (NYSE: JNJ) for 12.3 billion on June 22, 2001. This acquisition will enable Johnson &amp; Johnson to extend product life cycle and bring them significant new product opportunities. The company is no longer actively tracked by PitchBook.</t>
  </si>
  <si>
    <t>Glynn Capital</t>
  </si>
  <si>
    <t>Glynn Capital(www.glynncapital.com)</t>
  </si>
  <si>
    <t>Abbott(www.abbott.com)</t>
  </si>
  <si>
    <t>Cresa(Advisor: General), Decision Analytics(Advisor: General)</t>
  </si>
  <si>
    <t>12104-65</t>
  </si>
  <si>
    <t>Infinity Broadcasting</t>
  </si>
  <si>
    <t>Infinity Broadcasting Corp.</t>
  </si>
  <si>
    <t>Operator of radio broadcasting stations in the United States. The company also offers advertising space on billboards, mall posters, phone kiosks, buses, bus shelters, benches, trains, and train platforms, as well as in commuter rail terminals.</t>
  </si>
  <si>
    <t>advertising space, broadcasting station, outdoor advertising</t>
  </si>
  <si>
    <t>www.infinityradio.com</t>
  </si>
  <si>
    <t>2001: 8200</t>
  </si>
  <si>
    <t>Viacom</t>
  </si>
  <si>
    <t>32572-81P</t>
  </si>
  <si>
    <t>Thomas Dooley</t>
  </si>
  <si>
    <t>Chief Financial Officer &amp; Chief Administrative Officer</t>
  </si>
  <si>
    <t>+1 (201) 432-0463</t>
  </si>
  <si>
    <t>40 West 57th Street</t>
  </si>
  <si>
    <t>Suite 14</t>
  </si>
  <si>
    <t>10019</t>
  </si>
  <si>
    <t>+1 (212) 314-9200</t>
  </si>
  <si>
    <t>+1 (212) 314-9228</t>
  </si>
  <si>
    <t>A 35.7% stake in the company was acquired by Viacom (NYSE: VIA.B) for $12.03 billion on February 21, 2001. The company is no longer actively tracked by PitchBook.</t>
  </si>
  <si>
    <t>The Cypress Group, Westinghouse Electric Company</t>
  </si>
  <si>
    <t>Westinghouse Electric Company(www.westinghousenuclear.com)</t>
  </si>
  <si>
    <t>Rossoff &amp; Company(Advisor: General)</t>
  </si>
  <si>
    <t>Bank of America Merrill Lynch(Advisor: General), Bear Stearns(Advisor: General), Debevoise &amp; Plimpton(Legal Advisor), Deutsche Bank Securities(Advisor: General), KPMG(Auditor), Skadden, Arps, Slate, Meagher &amp; Flom(Legal Advisor)</t>
  </si>
  <si>
    <t>41313-70</t>
  </si>
  <si>
    <t>Logility</t>
  </si>
  <si>
    <t>Logility, Inc.</t>
  </si>
  <si>
    <t>Zoho Corporation, Epicor Software, Infor Global Solutions, Blue Yonder (Arizona), Optricity, Jaggaer, ECi Software Solutions, Accelogix, Scanmarket, Fortna, Antuit.ai, Qad, SAP, Kinaxis, 3PL Central, E2open, Blue Horseshoe, Oracle NetSuite, Ivalua, ASAP Systems, Determine, Anaplan, ShipXpress, Slimstock, Acumatica, Proactis, o9 Solutions, Avercast, BravoSolution, Wisys, RELEX Solutions, OneSCM, LLamasoft, ToolsGroup, Solvoyo</t>
  </si>
  <si>
    <t>Developer of software products based in Atlanta, Georgia. The company provides business planning, process optimization, quality and compliance and analytics software to the electronics, retail and disitribution sectors.</t>
  </si>
  <si>
    <t>IT Consulting and Outsourcing</t>
  </si>
  <si>
    <t>Business/Productivity Software, IT Consulting and Outsourcing*</t>
  </si>
  <si>
    <t>CloudTech &amp; DevOps, Marketing Tech, Supply Chain Tech, TMT</t>
  </si>
  <si>
    <t>marketing software, software developer, software development, software product, supply chain tech, support software</t>
  </si>
  <si>
    <t>www.logility.com</t>
  </si>
  <si>
    <t>1997: 185, 1998: 214, 1999: 170, 2000: 206, 2001: 167, 2002: 150, 2003: 132, 2004: 115, 2005: 141, 2006: 139, 2007: 137, 2008: 141</t>
  </si>
  <si>
    <t>American Software</t>
  </si>
  <si>
    <t>78238-27P</t>
  </si>
  <si>
    <t>Vincent Klinges</t>
  </si>
  <si>
    <t>vklinges@logility.com</t>
  </si>
  <si>
    <t>+1 (404) 261-9777</t>
  </si>
  <si>
    <t>470 East Paces Ferry Road</t>
  </si>
  <si>
    <t>30305</t>
  </si>
  <si>
    <t>+1 (404) 264-5206</t>
  </si>
  <si>
    <t>The company was acquired by American Software (Nasdaq: AMSWA) for $12.3 Billion on June 6, 2009.</t>
  </si>
  <si>
    <t>VRA Partners(Advisor: General)</t>
  </si>
  <si>
    <t>11782-18</t>
  </si>
  <si>
    <t>SP Telecom</t>
  </si>
  <si>
    <t>Qwest</t>
  </si>
  <si>
    <t>Qwest Communications International Inc</t>
  </si>
  <si>
    <t>Provider of communications services. The company offers broadband, protocol label switching, satellite radio service, wireless and telephone connection services.</t>
  </si>
  <si>
    <t>Wireless Service Providers</t>
  </si>
  <si>
    <t>Wireless Service Providers*</t>
  </si>
  <si>
    <t>broadband connection, satellite radio, telephone connection</t>
  </si>
  <si>
    <t>1996: 950, 1997: 1600, 1998: 8700, 1999: 10000, 2000: 67000, 2001: 61000, 2002: 27000, 2003: 47000, 2004: 41000, 2005: 39000, 2006: 38000, 2007: 37000, 2008: 32937, 2009: 30138, 2010: 29221, 2011: 28043, 2012: 26000, 2013: 24900</t>
  </si>
  <si>
    <t>186171-49P</t>
  </si>
  <si>
    <t>Pat Engels</t>
  </si>
  <si>
    <t>The company was acquired by CenturyLink (NYSE: CTL) for $12.27 billion on April 1, 2011. The company is no longer actively tracked by PitchBook.</t>
  </si>
  <si>
    <t>Ameritraining(Consulting), Johnson &amp; Urban(Consulting), Leadership Group Executive Search(Consulting)</t>
  </si>
  <si>
    <t>Deutsche Bank(Advisor: General), Lazard Middle Market(Advisor: General), Morgan Stanley(Advisor: General), Perella Weinberg Partners(Advisor: General), Skadden, Arps, Slate, Meagher &amp; Flom(Legal Advisor), WilmerHale(Legal Advisor)</t>
  </si>
  <si>
    <t>87866-29</t>
  </si>
  <si>
    <t>Bright House Networks</t>
  </si>
  <si>
    <t>TWEAN Subsidiary</t>
  </si>
  <si>
    <t>Bright House Networks LLC</t>
  </si>
  <si>
    <t>Time Warner Cable, Mediacom, Grande Communications Networks, RCN Telecom Services, Cablevision, Broadview Networks, Telecom Argentina, Telefónica El Salvador, Zayo Group, Atlant Telecom, Liquid Intelligent Technologies, Hawaiian Telcom Holdco, Go, Cox Communications, OPTK Networks, Google Fiber, EarthLink, Telecom Liechtenstein, NuLink, Atlantic Broadband Group, Cbeyond, WideOpenWest, Telefónica Holding de Argentina, Towerstream, Altice Portugal, C Spire Wireless, Electric Lightwave (acquired), Telefónica UK, Claro Puerto Rico, Cogent Communications</t>
  </si>
  <si>
    <t>Owner and operator of cable systems in the United States. The company provides network management services, home security, data services and automation services. It owns local news and sports channels and sells its products and services through its online shop.</t>
  </si>
  <si>
    <t>cable system, home security, network management</t>
  </si>
  <si>
    <t>brighthouse.com</t>
  </si>
  <si>
    <t>2015: 5001</t>
  </si>
  <si>
    <t>95592-61P</t>
  </si>
  <si>
    <t>Steve Miron</t>
  </si>
  <si>
    <t>smiron@brighthouse.com</t>
  </si>
  <si>
    <t>East Syracuse, NY</t>
  </si>
  <si>
    <t>5000 Campuswood Drive</t>
  </si>
  <si>
    <t>Suite 1</t>
  </si>
  <si>
    <t>East Syracuse</t>
  </si>
  <si>
    <t>13057</t>
  </si>
  <si>
    <t>The company was acquired by Charter Communication (NASDAQ: CHTR) for $12.2 billion on March 18, 2016. Charter is backed by Crestview Partners and Oaktree Capital Management. Charter will pay Advance/Newhouse, the parent company a mix of $5.9 billion worth of common stock, $2.5 billion worth convertible preferred shares that pay a 6 percent coupon and $2 billion in cash. Liberty Broadband has also reaffirmed its commitment to purchase an additional $700 million at a price of $173 per share in connection with Charter's proposed acquisition of Bright House Networks from Advance/Newhouse Partnership. Advance Publications will own 26.3% in the newly-merged unit while Charter Communications shall own the remaining 73.7% majority stake. Under the terms of the transaction, Advance Publications will receive $2 billion in cash, 33,387,801 Charter Communications Inc stock and $2.5 billion in convertible preferred shares. Charter Communications has secured $2.5 billion of senior unsecured notes to be used in the acquisition of the company. The company is no longer actively tracked by PitchBook.</t>
  </si>
  <si>
    <t>Advance Publications</t>
  </si>
  <si>
    <t>Liberty Broadband, Time Warner Cable</t>
  </si>
  <si>
    <t>Advance Publications(www.advance.com)</t>
  </si>
  <si>
    <t>Liberty Broadband(www.libertybroadband.com), Time Warner Cable(www.timewarnercable.com)</t>
  </si>
  <si>
    <t>MarketBridge(Consulting)</t>
  </si>
  <si>
    <t>Sabin, Bermant &amp; Gould(Legal Advisor), Sullivan &amp; Cromwell(Legal Advisor), UBS Group(Advisor: General)</t>
  </si>
  <si>
    <t>41070-43</t>
  </si>
  <si>
    <t>Rouse Company</t>
  </si>
  <si>
    <t>James W. Rouse &amp; Company, Inc</t>
  </si>
  <si>
    <t>Rouse</t>
  </si>
  <si>
    <t>Rouse Co.</t>
  </si>
  <si>
    <t>Provider of management, leasing services, expansion and development of rental properties based in Columbia, Maryland. The company develops and sells land for residential, commercial and other uses primarily in master planned communities.</t>
  </si>
  <si>
    <t>property management, rental property development, rental property management</t>
  </si>
  <si>
    <t>www.therousecompany.com</t>
  </si>
  <si>
    <t>1989: 5337, 1990: 5612, 1991: 5488, 1992: 4868, 1993: 5085, 1994: 5085, 1995: 5085, 1996: 4287, 1997: 4040, 1998: 4126, 1999: 4140, 2000: 3749, 2001: 3396, 2002: 3453, 2003: 3169</t>
  </si>
  <si>
    <t>210132-19P</t>
  </si>
  <si>
    <t>Thomas DeRosa</t>
  </si>
  <si>
    <t>Columbia, MD</t>
  </si>
  <si>
    <t>10275 Little Patuxent Parkway</t>
  </si>
  <si>
    <t>Columbia</t>
  </si>
  <si>
    <t>21044-3456</t>
  </si>
  <si>
    <t>The company was acquired by General Growth Properties for $12.2 billion on August 20, 2004. The acquisition enables General Growth Properties to expand its business in New Jersey and New York. The company is no longer actively tracked by PitchBook.</t>
  </si>
  <si>
    <t>165738-43</t>
  </si>
  <si>
    <t>Peninsular &amp; Oriental Steam Navigation</t>
  </si>
  <si>
    <t>P&amp;O</t>
  </si>
  <si>
    <t>Peninsular and Oriental Steam Navigation Company</t>
  </si>
  <si>
    <t>Provider of shipping services. The company's shipping services include dry bulk shipping through a fleet of 21 vessels in around 20 countries, enabling oil and gas industries to have flexible and reliable transportation services and develop strong industry relations with partners and customers.</t>
  </si>
  <si>
    <t>Logistics, Marine*</t>
  </si>
  <si>
    <t>logistics, marine transportation, shipping, shipping services, shipping vessels</t>
  </si>
  <si>
    <t>www.pogroup.com</t>
  </si>
  <si>
    <t>1989: 64000, 1990: 75000, 1991: 62461, 1992: 71133, 1993: 51755, 1994: 61467, 1995: 66924, 1996: 71205, 1997: 69533, 1998: 68333, 1999: 62674, 2000: 41853, 2001: 26891, 2002: 30194</t>
  </si>
  <si>
    <t>179179-30P</t>
  </si>
  <si>
    <t>Robert Woods</t>
  </si>
  <si>
    <t>robert.woods@pogroup.com</t>
  </si>
  <si>
    <t>79 Pall Mall</t>
  </si>
  <si>
    <t>Scotland</t>
  </si>
  <si>
    <t>SW1Y 5EJ</t>
  </si>
  <si>
    <t>The company was acquired by DP World (DIFX: DPW) for $6.85 billion in February 2006. The company is no longer actively tracked by PitchBook.</t>
  </si>
  <si>
    <t>DP World</t>
  </si>
  <si>
    <t>10768-06</t>
  </si>
  <si>
    <t>BlackRock (NYS: BLK)</t>
  </si>
  <si>
    <t>BlackRock Financial Management</t>
  </si>
  <si>
    <t>BlackRock Inc.</t>
  </si>
  <si>
    <t>Franklin Templeton, Lazard, T. Rowe Price, Affiliated Managers Group, BNY Mellon, The Goldman Sachs Group, Waddell &amp; Reed, MFS Investment Management, Westwood Holdings Group, Piper Sandler, Stifel Financial, Russell Investments Group, Jefferies Financial Group, Schroders, Funds Evaluation Service, Allianz Global Investors, PanAgora Asset Management, Amundi, The Vanguard Group, Apollo Global Management, State Street Global Advisors, Charles Schwab &amp; Co., The D. E. Shaw Group, International Fund Services, Fortress Investment Group, TPG, LPL Financial, Oaktree Capital Management, Raymond James Financial, Wellington Management, Bridgewater Associates, SEI Investments, Mount Lucas Management, The Blackstone Group, Eaton Vance, AQR Capital Management, Guggenheim Partners, Neuberger Berman, Deutsche Bank, H.I.G. Capital, Rothschild &amp; Co, Janus Capital Group, Janus Henderson Investors, DoubleLine, Wells Fargo, Kohlberg Kravis Roberts, Ultimus Fund Solutions, Credit Suisse, Mizuho Financial Group, Morgan Stanley, Hamilton Lane, City Merchants High Yield, Rockefeller Capital Management, Bridgepoint Advisers, Baring Private Equity Asia, Audax Group, Good Harbor Financial, Conning, Ares Management, iShares, Silver Lake, TD Ameritrade, Pacific Investment Management Company, Starwood Capital Group</t>
  </si>
  <si>
    <t>BlackRock is one of the largest asset managers in the world, with $9.496 trillion in AUM at the end of June 2021. Product mix is fairly diverse, with 53% of the firm's managed assets in equity strategies, 28% in fixed income, 8% in multi-asset class, 8% in money market funds, and 3% in alternatives. Passive strategies account for around two thirds of long-term AUM, with the company's iShares ETF platform maintaining a leading market share domestically and on a global basis. Product distribution is weighted more toward institutional clients, which by our calculations account for around 80% of AUM. BlackRock is also geographically diverse, with clients in more than 100 countries and more than one third of managed assets coming from investors domiciled outside the U.S. and Canada.</t>
  </si>
  <si>
    <t>Asset Management, Brokerage*</t>
  </si>
  <si>
    <t>asset management firm, asset management fund, investment management firm, private equity, private equity financing</t>
  </si>
  <si>
    <t>www.blackrock.com</t>
  </si>
  <si>
    <t>1998: 551, 1999: 633, 2000: 727, 2001: 804, 2002: 909, 2003: 973, 2004: 1020, 2005: 2151, 2006: 5113, 2007: 5952, 2008: 5341, 2009: 8629, 2010: 9127, 2011: 10100, 2012: 10500, 2013: 11400, 2014: 12200, 2015: 13000, 2016: 13000, 2017: 13900, 2018: 14900, 2019: 16200, 2020: 16600, 2021: 16700</t>
  </si>
  <si>
    <t>BLK</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</si>
  <si>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</si>
  <si>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16220-35P</t>
  </si>
  <si>
    <t>Laurence Fink</t>
  </si>
  <si>
    <t>Co-Founder, Chief Executive Officer &amp; Chairman</t>
  </si>
  <si>
    <t>laurence.fink@blackrock.com</t>
  </si>
  <si>
    <t>+1 (212) 810-5300</t>
  </si>
  <si>
    <t>40 East 52nd Street</t>
  </si>
  <si>
    <t>info@blackrock.com</t>
  </si>
  <si>
    <t>PNC sold a 18.86% stake in the company (NYS:BLK) for $12.08 billion on May 15, 2020. A total of 28,753,248 shares were sold at $420 per share. The company will not receive any proceeds from the offering. The underwriters were granted an option to purchase up to an additional 2,875,325 shares from the selling shareholders to cover-allotments, if any.</t>
  </si>
  <si>
    <t>Bank of America, Tiburon Strategic Advisors</t>
  </si>
  <si>
    <t>PNC</t>
  </si>
  <si>
    <t>Bank of America(www.bankofamerica.com), Tiburon Strategic Advisors(www.tiburonadvisors.com)</t>
  </si>
  <si>
    <t>PNC(www.pnc.com)</t>
  </si>
  <si>
    <t>Bank of America Merrill Lynch(Lead Manager or Arranger), BB&amp;T Capital Markets(Advisor: General), Bespoke Connections(Consulting), BNY Mellon(Custodian), Brigard &amp; Urrutia(Legal Advisor), Burness Paull(Legal Advisor), Capital Fund Law Group(Legal Advisor), Cerulli Associates(Consulting), Citisoft(Consulting), Clifford Chance(Legal Advisor), Coffer Corporate Leisure(Advisor: General), Creel, García-Cuéllar, Aiza y Enríquez(Legal Advisor), Deloitte(Auditor), Freshfields Bruckhaus Deringer(Legal Advisor), Fried, Frank, Harris, Shriver &amp; Jacobson(Legal Advisor), Gleason(Consulting), GreensLedge Capital Markets(Placement Agent), Greenwich Associates(Consulting), IFS Securities(Advisor: General), Jamesbeck Global Partners(Advisor: General), Kuwait Financial Centre(Advisor: General), Lansons Communications(Consulting), Loop Capital Markets(Advisor: General), Maxim Group(Lead Manager or Arranger), Mediobanca(Advisor: General), MinterEllison(Legal Advisor), Quantit(Valuation/Appraiser), Quinn Emanuel Urquhart &amp; Sullivan(Legal Advisor), Raymond James Financial(Underwriter), Selinus Capital(Placement Agent), Simmons &amp; Simmons(Legal Advisor), True(Advisor: General)</t>
  </si>
  <si>
    <t>Academy Securities(Underwriter), Bank of America Merrill Lynch(Lead Manager or Arranger), Barclays Investment Bank(Underwriter), Citigroup Capital Markets(Underwriter), Credit Suisse(Underwriter), Deloitte(Auditor), Evercore Group(Underwriter), EY(Accounting), Guzman &amp; Company(Underwriter), J.P. Morgan(Underwriter), Jefferies Group(Underwriter), Keefe, Bruyette &amp; Woods(Underwriter), Latham &amp; Watkins(Legal Advisor), Lehman Brothers(Underwriter), Loop Capital Markets(Advisor: General), Morgan Stanley(Underwriter), Piper Sandler(Underwriter), PNC(Underwriter), Prudential Financial (Global Commodities Business)(Underwriter), RBC Capital Markets(Underwriter), Salomon Brothers(Underwriter), Siebert Williams Shank &amp; Co.(Underwriter), Skadden, Arps, Slate, Meagher &amp; Flom(Legal Advisor), The Goldman Sachs Group(Underwriter), UBS Group(Underwriter), Wells Fargo Securities(Underwriter)</t>
  </si>
  <si>
    <t>60935-59</t>
  </si>
  <si>
    <t>National Thermal Power Corporation (BOM: 532555)</t>
  </si>
  <si>
    <t>NTPC</t>
  </si>
  <si>
    <t>National Thermal Power Corporation Ltd.</t>
  </si>
  <si>
    <t>Adani Power, Reliance Power, Tata Power Company, Torrent Power, Azure Power, Greenko Group, Hero Future Energies, Santa Fe Midstream, Mytrah Energy, ReNew Power Ventures</t>
  </si>
  <si>
    <t>NTPC Ltd is an Indian state-owned electric utility company. It is the largest power producer in India and supplies a significant amount of the nation's total needs. The company primarily generates revenue through the sale of electricity to state-owned Indian power distribution companies from its stations throughout the country. NTPC also brings in a significant amount of revenue through its consultancy wing, which provides engineering and project management services to the utility industry. While the vast majority of its facilities use coal and gas fuel sources, NTPC has also increased its capacity through renewable energy sources, such as hydroelectric, solar, and thermal power, and plans to continue this trend going forward.</t>
  </si>
  <si>
    <t>Energy Infrastructure, Energy Production*, Energy Traders and Brokers</t>
  </si>
  <si>
    <t>CleanTech, Oil &amp; Gas, TMT</t>
  </si>
  <si>
    <t>coal mining, power firm, power generation, power trading</t>
  </si>
  <si>
    <t>www.ntpc.co.in</t>
  </si>
  <si>
    <t>2009: 23639, 2012: 24011, 2013: 25484, 2014: 25013, 2015: 24067, 2016: 23133, 2017: 20593, 2018: 19739, 2019: 18359, 2020: 17398</t>
  </si>
  <si>
    <t>532555</t>
  </si>
  <si>
    <t>104254-30P</t>
  </si>
  <si>
    <t>Kulamani Biswal</t>
  </si>
  <si>
    <t>Director, Finance</t>
  </si>
  <si>
    <t>kulamanbiswal@ntpc.co.in</t>
  </si>
  <si>
    <t>+91 (0)11 2436 0100</t>
  </si>
  <si>
    <t>New Delhi, India</t>
  </si>
  <si>
    <t>NTPC Bhawan, Scope Complex</t>
  </si>
  <si>
    <t>Institutional Area, Lodhi Road</t>
  </si>
  <si>
    <t>New Delhi</t>
  </si>
  <si>
    <t>110003</t>
  </si>
  <si>
    <t>+91 (0)11 2436 1018</t>
  </si>
  <si>
    <t>ntpccc@ntpc.co.in</t>
  </si>
  <si>
    <t>The company is rumored to be in talks regarding a potential acquisition for an undisclosed amount as on September 2, 2019. Previously, Government of India sold a 6.64% stake of the company (BOM: 532555) for INR 92 billion on August 31, 2017. The company is being actively tracked by PitchBook.</t>
  </si>
  <si>
    <t>Government of India, Government of Singapore Investment Corporation (GIC)</t>
  </si>
  <si>
    <t>Government of Singapore Investment Corporation (GIC)(www.gic.com.sg)</t>
  </si>
  <si>
    <t>A.K. Capital Services(Advisor: General), B.M. Chatrath(Auditor), Edelweiss Financial Services(Lead Manager or Arranger), ICICI Securities(Advisor: General), Kalani &amp; Co.(Auditor), M/S Dhawan &amp; Co.(Auditor), Nordic Investment Bank(Debt Financing), P. A. &amp; Associates(Auditor), PSD &amp; Associates(Auditor), S. K. Kapoor &amp; Co.(Auditor), Sagar &amp; Associates(Auditor), T R Chadha &amp; Co(Auditor)</t>
  </si>
  <si>
    <t>HDFC Bank(Underwriter), Yes Securities(Advisor: General)</t>
  </si>
  <si>
    <t>41908-24</t>
  </si>
  <si>
    <t>Scripps Networks Interactive</t>
  </si>
  <si>
    <t>SNI</t>
  </si>
  <si>
    <t>Scripps Networks Interactive, Inc.</t>
  </si>
  <si>
    <t>Feedburner, Newroo, Ftc Publications, Facebook, Media General</t>
  </si>
  <si>
    <t>Developer of online lifestyle media contents. The company's lifestyle media contents include programs based on home, food and travel categories which are published through online video, social media areas and e-commerce components on web sites, broadband vertical channels, television and the internet, enabling television, the internet and emerging platforms to stay updated and avail quality information based on lifestyle contents.</t>
  </si>
  <si>
    <t>Media and Information Services (B2B)</t>
  </si>
  <si>
    <t>Media and Information Services (B2B)*, Social/Platform Software</t>
  </si>
  <si>
    <t>lifestyle media, media content, media contents, online media, television content</t>
  </si>
  <si>
    <t>www.scrippsnetworksinteractive.com</t>
  </si>
  <si>
    <t>2008: 1900, 2009: 1800, 2010: 2000, 2011: 1800, 2012: 2100, 2013: 2200, 2014: 2100, 2015: 3500, 2016: 3600, 2017: 3600</t>
  </si>
  <si>
    <t>Knoxville, TN</t>
  </si>
  <si>
    <t>9721 Sherrill Boulevard</t>
  </si>
  <si>
    <t>Knoxville</t>
  </si>
  <si>
    <t>37932</t>
  </si>
  <si>
    <t>The company was acquired by Discovery (Mass Media) (NAS: DISCA) for $12.013 billion on March 6, 2018. The acquisition brings together Scripps' largely female audience of lifestyle channels such as HGTV, Travel Channel and Food Network with Discovery's Animal Planet and Discovery Channel, which primarily has male viewers. The company is no longer actively tracked by PitchBook.</t>
  </si>
  <si>
    <t>Discovery</t>
  </si>
  <si>
    <t>The E.W. Scripps</t>
  </si>
  <si>
    <t>The E.W. Scripps(www.scripps.com)</t>
  </si>
  <si>
    <t>M&amp;A Media Group(Advisor: General), Salem Partners(Advisor: General)</t>
  </si>
  <si>
    <t>Allen &amp; Company(Advisor: General), Deloitte(Accounting), Evercore Group(Advisor: General), J.P. Morgan Securities(Advisor: General), Rigrodsky &amp; Long(Legal Advisor), Weil, Gotshal &amp; Manges(Legal Advisor)</t>
  </si>
  <si>
    <t>10716-13</t>
  </si>
  <si>
    <t>John Hancock Financial Services</t>
  </si>
  <si>
    <t>John Hancock</t>
  </si>
  <si>
    <t>John Hancock Financial Services, Inc.</t>
  </si>
  <si>
    <t>Massmutual Kentucky - West Virginia, Massmutual St. Louis, Massmutual North Texas, Massmutual Central New York, Allianz Group, DoubleLine, Massmutual Northern California, Edward Jones Investments, Massmutual Pittsburgh, Transamerica Life Insurance Company, Luxembourg Financial Group, Ping An Russell Investment Management Shanghai</t>
  </si>
  <si>
    <t>Provider of insurance and investment products and services. The company is engaged in providing insurance, investment management, wealth management, retirement services, management of institutional accounts and financial advisory services to its clients in Boston, Massachusetts.</t>
  </si>
  <si>
    <t>institutional account, insurance product seller, investment management firm, investment product, retirement planning service, wealth management service</t>
  </si>
  <si>
    <t>www.johnhancock.com</t>
  </si>
  <si>
    <t>1999: 9700, 2000: 8503, 2001: 8355, 2002: 7962, 2003: 7974, 2017: 34000</t>
  </si>
  <si>
    <t>Manulife</t>
  </si>
  <si>
    <t>TTM 1Q2005</t>
  </si>
  <si>
    <t>87733-09P</t>
  </si>
  <si>
    <t>Martin Sheerin</t>
  </si>
  <si>
    <t>msheerin@jhancock.com</t>
  </si>
  <si>
    <t>+1 (416) 926-3000</t>
  </si>
  <si>
    <t>197 Clarendon Street</t>
  </si>
  <si>
    <t>02116-5010</t>
  </si>
  <si>
    <t>+1 (617) 663-2470</t>
  </si>
  <si>
    <t>investor_relations@manulife.com</t>
  </si>
  <si>
    <t>The company was acquired by Manulife Financial (TSE: MFC) for $12 billion on April 28, 2004. The addition of these businesses and the resources they bring will help the acquirer realize their vision to be the most professional life insurance company in the world.</t>
  </si>
  <si>
    <t>ABN AMRO Rothschild(Underwriter), Bank of America Merrill Lynch(Underwriter), BMO Nesbitt Burns(Underwriter), BNP Paribas Securities Services(Underwriter), Cerulli Associates(Advisor: General), Chatsworth Securities(Underwriter), Citigroup Global Markets(Underwriter), Clarity Consultants(Consulting), Cravath, Swaine &amp; Moore(Legal Advisor), Credit Suisse First Boston(Underwriter), Debevoise &amp; Plimpton(Legal Advisor), EY(Accounting), First Union National Bank(Underwriter), First Western Advisors(Advisor: General), Fox-Pitt Kelton Cochran Caronia Waller(Underwriter), J.P. Morgan(Underwriter), Janney(Underwriter), Lehman Brothers(Underwriter), Melvin &amp; Company(Underwriter), Morgan Stanley(Underwriter), Muriel Siebert &amp; Co.(Underwriter), Prudential Equity Group(Underwriter), Pryor, McClendon, Counts(Underwriter), Samuel A. Ramirez &amp; Company(Underwriter), Scotiabank Global Banking and Markets(Underwriter), Sullivan(Legal Advisor), The Goldman Sachs Group(Underwriter), Tucker Anthony Sutro(Underwriter), Utendahl Capital Partners(Underwriter), Wachovia Bank(Underwriter), Warburg Dillon Read(Underwriter), Womble Carlyle Sandridge &amp; Rice(Legal Advisor)</t>
  </si>
  <si>
    <t>ABN AMRO Rothschild(Underwriter), Bank of America Merrill Lynch(Underwriter), BMO Nesbitt Burns(Underwriter), BNP Paribas Securities Services(Underwriter), Chatsworth Securities(Underwriter), Citigroup Global Markets(Underwriter), Credit Suisse First Boston(Underwriter), Debevoise &amp; Plimpton(Legal Advisor), EY(Accounting), First Union National Bank(Underwriter), Fox-Pitt Kelton Cochran Caronia Waller(Underwriter), J.P. Morgan(Underwriter), Janney(Underwriter), Lehman Brothers(Underwriter), Melvin &amp; Company(Underwriter), Morgan Stanley(Underwriter), Muriel Siebert &amp; Co.(Underwriter), Prudential Equity Group(Underwriter), Pryor, McClendon, Counts(Underwriter), Samuel A. Ramirez &amp; Company(Underwriter), Scotiabank Global Banking and Markets(Underwriter), The Goldman Sachs Group(Underwriter), Tucker Anthony Sutro(Underwriter), Utendahl Capital Partners(Underwriter), Wachovia Bank(Underwriter), Warburg Dillon Read(Underwriter)</t>
  </si>
  <si>
    <t>51664-42</t>
  </si>
  <si>
    <t>Kite Pharma</t>
  </si>
  <si>
    <t>Kite</t>
  </si>
  <si>
    <t>Kite Pharma, Inc.</t>
  </si>
  <si>
    <t>Zymeworks, Gadeta, Rigontec, Carisma Therapeutics, NexImmune, Arrowhead Pharmaceuticals, Immatics, Noveome Biotherapeutics, Chemocentryx, NantKwest, Promethera Biosciences, Adimab, Ziopharm Oncology, Altor BioScience, Regulus Therapeutics, Ember Therapeutics, Seragon Pharmaceuticals, Intercept(Biotechnology), Immune Design, UCB, ImmuneXcite, TCR2 Therapeutics, MediGene, Spark Therapeutics, Inovio Pharmaceuticals, Dicerna Pharmaceuticals, Genkyotex, Corvidia Therapeutics, BioNTech, Celyad Oncology, United Therapeutics, BioAtla, Regeneron Pharmaceuticals, Jounce Therapeutics, Agenus, Affimed Therapeutics, Sangamo Therapeutics, Abivax, Juno Therapeutics, Bluebird Bio, Immunogen, ViroPharma, Amgen, SAGE Therapeutics</t>
  </si>
  <si>
    <t>Developer of active immunotherapies for cancer intended to cure cancer. The company is engaged in developing engineered cell therapies that express either a chimeric antigen receptor (CAR) or a T cell receptor (TCR), depending on the type of cancer. It's dual platform has the potential to change the paradigm of cancer therapy and address both hematological and solid tumor cancers.</t>
  </si>
  <si>
    <t>cancer immunotherapy, cancer therapy, cancer treatment, tumor treatment</t>
  </si>
  <si>
    <t>www.kitepharma.com</t>
  </si>
  <si>
    <t>2014: 72, 2015: 185, 2016: 447, 2017: 600, 2020: 300</t>
  </si>
  <si>
    <t>49447-09P</t>
  </si>
  <si>
    <t>Adrian Bot</t>
  </si>
  <si>
    <t>Vice President, Scietific Officer</t>
  </si>
  <si>
    <t>abot@kitepharma.com</t>
  </si>
  <si>
    <t>+1 (310) 824-9999</t>
  </si>
  <si>
    <t>Santa Monica, CA</t>
  </si>
  <si>
    <t>2400 Broadway</t>
  </si>
  <si>
    <t>Santa Monica</t>
  </si>
  <si>
    <t>90404</t>
  </si>
  <si>
    <t>info@kitepharma.com</t>
  </si>
  <si>
    <t>The company was acquired by Gilead Sciences (NASDAQ: GILD) for $12 billion on October 3, 2017. The transaction will enable Gilead Sciences to strengthen its position in oncology and cell therapy and Kite Pharma to accelerate its robust pipeline and next-generation research and manufacturing technologies for the benefit of patients around the world.</t>
  </si>
  <si>
    <t>Alta Partners, Arie Belldegrun, BB Biotech, Bellco Capital, Commercial Street Capital, Foresite Capital Management, InterWest Health Partners, Pontifax Venture Capital, Rage Capital, Sonostar Ventures, TPG, Two River Group, Vivo Capital</t>
  </si>
  <si>
    <t>Alta Partners(www.altapartners.com), BB Biotech(www.bbbiotech.ch), Bellco Capital(bellcocapital.com), Foresite Capital Management(www.foresitecapital.com), Pontifax Venture Capital(www.pontifax.com), Rage Capital(www.rage-capital.com), Sonostar Ventures(www.sonostarventures.com), TPG(www.tpg.com), Two River Group(www.tworiver.com), Vivo Capital(www.vivocapital.com)</t>
  </si>
  <si>
    <t>Barkawi Management Consultants(Consulting), Govig &amp; Associates(Consulting), Toft Group(Consulting)</t>
  </si>
  <si>
    <t>Centerview Partners(Advisor: General), Cooley(Legal Advisor), Cowen &amp; Company(Underwriter), Credit Suisse(Underwriter), Crowe(Accounting), Jefferies Financial Group(Underwriter), Lazard Middle Market(Advisor: General), Rigrodsky &amp; Long(Legal Advisor), Riverbank Capital Securities(Placement Agent), Stifel Financial(Underwriter), Sullivan &amp; Cromwell(Legal Advisor)</t>
  </si>
  <si>
    <t>52534-99</t>
  </si>
  <si>
    <t>MillerCoors</t>
  </si>
  <si>
    <t>MillerCoors LLC</t>
  </si>
  <si>
    <t>Monster Beverage, New Belgium Brewing, Fulton Street Brewery, Brouwerij Bosteels, Canal Street Brewing Co, Anchor Brewers &amp; Distillers, Brooklyn Brewery, Two Brothers Brewing Company, SABMiller</t>
  </si>
  <si>
    <t>Operator of a beer producer and distributor in the U.S. The company operates multiple breweries, bottling plants and a hops-production facility. It operates a portfolio that includes domestic, craft and international brands. The company also operates several hard-cider beverage brands.</t>
  </si>
  <si>
    <t>Beverages*, Distributors/Wholesale (B2C)</t>
  </si>
  <si>
    <t>alcoholic product, beer manufacturer, brewing service</t>
  </si>
  <si>
    <t>www.millercoors.com</t>
  </si>
  <si>
    <t>2015: 6405</t>
  </si>
  <si>
    <t>Molson Coors Beverage Company</t>
  </si>
  <si>
    <t>89498-08P</t>
  </si>
  <si>
    <t>Greg Tierney</t>
  </si>
  <si>
    <t>greg.tierney@millercoors.com</t>
  </si>
  <si>
    <t>+1 (414) 931-2000</t>
  </si>
  <si>
    <t>250 South Wacker Drive</t>
  </si>
  <si>
    <t>The company was acquired by Molson Coors Brewing Company (NYSE: TAP) for $12 billion on October 11, 2016.</t>
  </si>
  <si>
    <t>SABMiller(www.sabmiller.com)</t>
  </si>
  <si>
    <t>4iNNO(Consulting), Intercontinental Beverage Capital(Advisor: General), King &amp; Spalding(Legal Advisor), Radian (Tennessee)(Advisor: General), Velocity Resource Group(Consulting)</t>
  </si>
  <si>
    <t>Bank of America Merrill Lynch(Debt Financing), Citigroup Global Markets(Debt Financing), Cravath, Swaine &amp; Moore(Legal Advisor), UBS Group(Debt Financing)</t>
  </si>
  <si>
    <t>41218-48</t>
  </si>
  <si>
    <t>Mylan</t>
  </si>
  <si>
    <t>Milan Pharmaceuticals</t>
  </si>
  <si>
    <t>Mylan N.V.</t>
  </si>
  <si>
    <t>Mylan NV</t>
  </si>
  <si>
    <t>Upsher-Smith Laboratories, Janssen Global Services, Mankind Pharma, Bluefish Pharmaceuticals, Lannett Company, Ortho-McNeil Pharmaceuticals, The Zambon Group, Ascend Therapeutics (Besins Healthcare), Sagent Pharmaceuticals, Beximco Pharmaceuticals, Boehringer Ingelheim, Abbott India, The Harvard Drug Group, Representaciones e Investigaciones Médicas, Impax Laboratories, Strides Pharma Science, Cipla, Eagle Pharmaceuticals, Allergan, Zydus Cadila, Ajanta Pharma, Glenmark Pharmaceuticals, Intas Pharmaceuticals, AstraZeneca, Teva (Pharmaceutical Patent)</t>
  </si>
  <si>
    <t>Developer and manufacturer of generic pharmaceuticals products created to meet the growing demand of effective drugs.</t>
  </si>
  <si>
    <t>dermatological, drugs produce, generics pharmaceutical, pharmaceuticals</t>
  </si>
  <si>
    <t>www.mylan.com</t>
  </si>
  <si>
    <t>2015: 30000, 2018: 35000, 2020: 15000</t>
  </si>
  <si>
    <t>35413-30P</t>
  </si>
  <si>
    <t>Heather Bresch</t>
  </si>
  <si>
    <t>heather.bresch@mylan.com</t>
  </si>
  <si>
    <t>Hatfield, United Kingdom</t>
  </si>
  <si>
    <t>Building 4, Trident Place</t>
  </si>
  <si>
    <t>Mosquito Way</t>
  </si>
  <si>
    <t>Hatfield</t>
  </si>
  <si>
    <t>AL10 9UL</t>
  </si>
  <si>
    <t>The company was acquired by Pfizer (NYS: PFE) for $12 billion on November 16, 2020. Under the terms of the transaction, the company was combined with Pfizer's Upjohn Business to form Viatris Inc in an all-stock deal. Pfizer stockholders will hold approximately 57% of the outstanding shares of Viatris common stock, and the company's shareholders will hold the remaining 43%. The transaction will allow Pfizer to meaningfully expand the geographic reach of its existing broad product portfolio and future pipeline including significant investments that have been made across complex generics and biosimilars. The company is no longer actively tracked by PitchBook.</t>
  </si>
  <si>
    <t>Abbott, Piedmont Investment Advisors, Teva Pharmaceutical Industries, TPG</t>
  </si>
  <si>
    <t>Abbott(www.abbott.com), Piedmont Investment Advisors(www.piedmontinvestmentadvisors.com), Teva Pharmaceutical Industries(www.tevapharm.com), TPG(www.tpg.com)</t>
  </si>
  <si>
    <t>ABN AMRO Rothschild(Advisor: General), Alston &amp; Bird(Legal Advisor), Bank of America(Debt Financing), Bank of America Merrill Lynch(Advisor: General), BNY Mellon Capital Markets(Advisor: General), Citigroup(Advisor: General), Cravath, Swaine &amp; Moore(Legal Advisor), Gleason(Consulting), HSBC Holdings(Advisor: General), J.P. Morgan Securities(Advisor: General), MUFG Securities EMEA(Advisor: General), National City(Advisor: General), Osler, Hoskin &amp; Harcourt(Legal Advisor), Peterka &amp; Partners(Legal Advisor), PNC(Advisor: General), SunTrust Robinson Humphrey(Advisor: General), The Abernathy MacGregor Group(Advisor: Communications), Wilson Sonsini Goodrich &amp; Rosati(Legal Advisor), ZS Associates(Consulting)</t>
  </si>
  <si>
    <t>Centerview Partners(Advisor: General), Charles River Associates(Advisor: General), Cravath, Swaine &amp; Moore(Legal Advisor), De Brauw Blackstone Westbroek(Legal Advisor), Innisfree M&amp;A(Legal Advisor), Lazard(Advisor: General), Lazard Middle Market(Advisor: General), NautaDutilh(Legal Advisor), PJT Partners(Advisor: General), Portman Ridge Finance Corp(Debt Financing), Roland Berger(Advisor: General), Skadden, Arps, Slate, Meagher &amp; Flom(Legal Advisor), Stikeman Elliott(Legal Advisor), The Goldman Sachs Group(Advisor: General), Wakkie &amp; Perrick(Legal Advisor), Wilson Sonsini Goodrich &amp; Rosati(Legal Advisor)</t>
  </si>
  <si>
    <t>11818-54</t>
  </si>
  <si>
    <t>Post Properties</t>
  </si>
  <si>
    <t>Post Properties, Inc.</t>
  </si>
  <si>
    <t>Developer and operator of multifamily communities in the United States. The company owns 21,745 apartment units in 61 apartment communities and is engaged in developing condominiums for sale. It primarily operates in the metropolitan areas of Atlanta, Georgia; Dallas, Texas, Washington, D.C., and Tampa, Florida.</t>
  </si>
  <si>
    <t>Construction and Engineering, Other Commercial Products*, Real Estate Investment Trusts (REITs)</t>
  </si>
  <si>
    <t>community developer, community development, real estate developer</t>
  </si>
  <si>
    <t>www.postproperties.com</t>
  </si>
  <si>
    <t>1993: 900, 1994: 900, 1995: 900, 1996: 1100, 1997: 1600, 1998: 1860, 1999: 2035, 2000: 2036, 2001: 1235, 2002: 1050, 2003: 930, 2004: 859, 2005: 783, 2006: 790, 2007: 778, 2008: 659, 2009: 590, 2010: 597, 2011: 609, 2012: 625, 2013: 635, 2014: 594, 2015: 619, 2016: 600</t>
  </si>
  <si>
    <t>15264-10P</t>
  </si>
  <si>
    <t>David Stockert</t>
  </si>
  <si>
    <t>dstockert@postproperties.com</t>
  </si>
  <si>
    <t>4401 Northside Parkway</t>
  </si>
  <si>
    <t>Suite 800</t>
  </si>
  <si>
    <t>30327</t>
  </si>
  <si>
    <t>The company was acquired by Mid America Apartment Communities (NYSE: MAA) for $12 billion on December 1, 2016. Following the merger, former MAA equity holders will hold approximately 67.7 percent of the combined company's equity, and former post equity holders will hold approximately 32.3 percent. The company is no longer actively tracked by PitchBook.</t>
  </si>
  <si>
    <t>Mid-America Apartment Communities</t>
  </si>
  <si>
    <t>Cadim Realty Advisors, Pentwater Capital Management, Williams Realty Advisors</t>
  </si>
  <si>
    <t>Pentwater Capital Management(www.pwcm.com), Williams Realty Advisors(www.williamsrealtyadvisors.com)</t>
  </si>
  <si>
    <t>FBN Securities(Advisor: General)</t>
  </si>
  <si>
    <t>Bank of America Merrill Lynch(Advisor: General), J.P. Morgan(Advisor: General), JPMorgan Chase(Advisor: General), King &amp; Spalding(Legal Advisor), Skadden, Arps, Slate, Meagher &amp; Flom(Legal Advisor)</t>
  </si>
  <si>
    <t>10333-09</t>
  </si>
  <si>
    <t>PRA Health Sciences</t>
  </si>
  <si>
    <t>PRA International, Anti-Inflammatorry Drug Study Group</t>
  </si>
  <si>
    <t>PRA</t>
  </si>
  <si>
    <t>PRA Health Sciences, Inc.</t>
  </si>
  <si>
    <t>Syneos Health, Pharmaceutical Product Development, Bioanalytical Systems, Theorem Clinical Research, Optimapharm, CATO SMS, Icon, Quintiles, Synteract, PSI CRO, Covance, Genae, Atlant Clinical, Clinipace, Chiltern International, Parexel International, TFS International, ICON Government and Public Health Solutions, inVentiv Health, ClinTec International, Aragen, KinderPharm, Premier Research Group, ImageIQ, Quanticate, BioDuro, Trial Runners, Citoxlab, Patheon, MPI Research, QPS Holdings, Ora Clinical, Eurotrials, Novasyte, INC Research</t>
  </si>
  <si>
    <t>PRA Health Sciences is a global contract research organization that provides drug development and clinical trial services to pharmaceutical and biotechnology firms. Its services run from early- to late-stage clinical trial outsourcing with varying levels of support, including one-off specialized staffing services to strategic partnerships where PRA handles nearly all aspects of the trial. In 2017, PRA acquired Symphony Health, a healthcare data and analytics provider. PRA's competitor, Icon, announced it will acquire PRA for $12 billion, which is scheduled to close in third-quarter 2021.</t>
  </si>
  <si>
    <t>BPO/Outsource Services*, Drug Discovery, Pharmaceuticals</t>
  </si>
  <si>
    <t>biotech research, drug development system, healthcare intelligence, healthcare research, medical informatics, research contract</t>
  </si>
  <si>
    <t>www.prahs.com</t>
  </si>
  <si>
    <t>2001: 1200, 2004: 2700, 2005: 2500, 2006: 2700, 2007: 3300, 2012: 4800, 2013: 5300, 2014: 11000, 2015: 12000, 2016: 13000, 2017: 15800, 2018: 16400, 2019: 17500, 2020: 17500, 2021: 16400</t>
  </si>
  <si>
    <t>11839-24P</t>
  </si>
  <si>
    <t>Colin Shannon</t>
  </si>
  <si>
    <t>4130 Park Lake Avenue</t>
  </si>
  <si>
    <t>27612</t>
  </si>
  <si>
    <t>The company was acquired by Icon (NAS: ICLR) for $12 billion on July 1, 2021. The acquisition will allow Icon to enhance consulting, clinical and commercial services portfolio, geographic presence, therapeutic capabilities and data-powered healthcare technology of Icon. The company is no longer actively tracked by PitchBook.</t>
  </si>
  <si>
    <t>Icon</t>
  </si>
  <si>
    <t>Caisse de dépôt et placement du Québec, Capstone Investment Advisors, Genstar Capital, Global Leveraged Capital, Kohlberg Kravis Roberts, Neuberger Berman, The Carlyle Group, Virginia Capital Partners</t>
  </si>
  <si>
    <t>Caisse de dépôt et placement du Québec(www.cdpq.com), Capstone Investment Advisors(www.capstoneco.com), Genstar Capital(www.gencap.com), Global Leveraged Capital(www.glcllc.com), Kohlberg Kravis Roberts(www.kkr.com), Neuberger Berman(www.nb.com), The Carlyle Group(www.carlyle.com), Virginia Capital Partners(www.vacapital.com)</t>
  </si>
  <si>
    <t>Fennebresque &amp; Co.(Advisor: General), Peterka &amp; Partners(Legal Advisor), PNC(Debt Financing)</t>
  </si>
  <si>
    <t>Allied Irish Banks(Debt Financing), American Capital (ACAS)(Debt Financing), American Capital Senior Floating(Debt Financing), Andersen Global(Auditor), Arthur Cox(Legal Advisor), Bank of America(Advisor: General), Bear Stearns(Underwriter), BlackRock TCP Capital(Debt Financing), BNP Paribas(Debt Financing), Capital D'Amérique(Debt Financing), CIT Group(Debt Financing), Citigroup Global Markets(Underwriter), Citizens Commercial Banking(Debt Financing), Credit Suisse(Underwriter), Deloitte(Accounting), Deutsche Bank(Advisor: General), Dewey &amp; LeBoeuf(Legal Advisor), FS KKR Capital(Debt Financing), FS KKR Capital Corp. II(Debt Financing), GE Capital(Debt Financing), Global Leveraged Capital(Debt Financing), Heller Financial(Debt Financing), Jefferies Financial Group(Underwriter), Kohlberg Kravis Roberts(Underwriter), KPMG(Auditor), Latham &amp; Watkins(Legal Advisor), Mayer Brown(Legal Advisor), McGuireWoods(Legal Advisor), Morgan Stanley(Underwriter), Paul, Weiss, Rifkind, Wharton &amp; Garrison(Legal Advisor), PwC(Accounting), RBC Dain Rauscher.(Underwriter), Robert W. Baird &amp; Co(Underwriter), Salomon Brothers(Underwriter), Simpson Thacher &amp; Bartlett(Legal Advisor), Sullivan &amp; Cromwell(Legal Advisor), UBS Group(Underwriter), Wells Fargo(Underwriter), William Blair &amp; Company(Underwriter)</t>
  </si>
  <si>
    <t>97548-58</t>
  </si>
  <si>
    <t>Sinopec Marketing Company</t>
  </si>
  <si>
    <t>Sinopec Marketing Company Ltd.</t>
  </si>
  <si>
    <t>Distributor of petroleum products and food items. The company enables industries in constructing, designing of oil and gas service stations as well as providing LPG, natural gas to customers.</t>
  </si>
  <si>
    <t>Construction and Engineering</t>
  </si>
  <si>
    <t>Construction and Engineering*, Industrial Chemicals, Other Energy Services, Specialty Retail</t>
  </si>
  <si>
    <t>natural gas, petrochemical product</t>
  </si>
  <si>
    <t>Chaoyangmen North Street No.22</t>
  </si>
  <si>
    <t>Chaoyang</t>
  </si>
  <si>
    <t>+86 (0)10 5976 0219</t>
  </si>
  <si>
    <t>The company was planning to go public on the Hong Kong stock exchange on January 4, 2017. The expected offering amount was $12 billion. Subsequently, the offering failed. Previously, China Petroleum &amp; Chemical (SHG: 600028) sold a 30% stake in the company to Airmedia Group (NAS: AMCN), Harvest Funds Management, Hopu Investment Management, RRJ Capital, Tencent, and other undisclosed investors for 17.5 billion on September 12, 2014.</t>
  </si>
  <si>
    <t>AirNet Technology, Harvest Funds Management, Hopu Investment Management, RRJ Capital, Sinopec, Tencent Holdings</t>
  </si>
  <si>
    <t>AirNet Technology(ir.airnetgroup.cn), Harvest Funds Management(www.harvestfund.com), RRJ Capital(www.rrjcap.com), Sinopec(www.sinopec.com), Tencent Holdings(www.tencent.com/en-us/index.html)</t>
  </si>
  <si>
    <t>China International Capital Corporation(Underwriter), China Merchants Securities(Underwriter), CITIC Securities(Underwriter), Citigroup(Underwriter), Morgan Stanley(Underwriter), Sullivan &amp; Cromwell(Legal Advisor), The Goldman Sachs Group(Underwriter)</t>
  </si>
  <si>
    <t>41225-14</t>
  </si>
  <si>
    <t>Sears</t>
  </si>
  <si>
    <t>Sears, Roebuck &amp; Co</t>
  </si>
  <si>
    <t>Sears Brands, LLC.</t>
  </si>
  <si>
    <t>Provider of home merchandise, apparel and automotive products retail services. The company's products include cooking, refrigeration, dishwashers, laundry, and vacuums appliances; indoor and outdoor lighting products, enabling customer to get general merchandise, tools, home appliances at low cost.</t>
  </si>
  <si>
    <t>Department Stores*</t>
  </si>
  <si>
    <t>automotive parts, home merchandise, merchandise good</t>
  </si>
  <si>
    <t>www.sears.com</t>
  </si>
  <si>
    <t>1989: 500000, 1990: 498600, 1991: 292800, 1992: 285000, 1993: 360000, 1994: 265000, 1995: 275000, 1996: 335000, 1998: 334000, 2000: 326000, 2001: 310000, 2002: 289000, 2004: 249000, 2005: 247000</t>
  </si>
  <si>
    <t>FY 2004</t>
  </si>
  <si>
    <t>Hoffman Estates, IL</t>
  </si>
  <si>
    <t>3333 Beverly Road</t>
  </si>
  <si>
    <t>Hoffman Estates</t>
  </si>
  <si>
    <t>60179</t>
  </si>
  <si>
    <t>The company was acquired by Sears Holdings (NASDAQ: SHLD) for $11.9 billion on March 24, 2005. The company is no longer actively tracked by PitchBook.</t>
  </si>
  <si>
    <t>Transformco</t>
  </si>
  <si>
    <t>Bank of America(Debt Financing), Citibank(Debt Financing), Citigroup Global Markets(Debt Financing), Compass Partners(Advisor: General), Performance Capital Partners(Consulting), RCS Real Estate Advisors(Advisor: General), The Mentor Group(Advisor: General)</t>
  </si>
  <si>
    <t>54865-99</t>
  </si>
  <si>
    <t>Royal KPN (German Telecom Towers Business)</t>
  </si>
  <si>
    <t>Operator of a mobile and telecommunication company in Germany. The company also serves as a virtual mobile phone operator under the brand names BASE, Simyo, Vybemobile and Blau Mobilfunk.</t>
  </si>
  <si>
    <t>Electronics (B2C)*, Telecommunications Service Providers</t>
  </si>
  <si>
    <t>fixed line telephone, mobile operator, virtual mobile phone</t>
  </si>
  <si>
    <t>The E-Plus Germany Telecom Unit of Royal KPN was acquired by Telefonica for $11.87 billion on October 2, 2003. The company is no longer actively tracked by PitchBook.</t>
  </si>
  <si>
    <t>Telefónica</t>
  </si>
  <si>
    <t>Koninklijke KPN</t>
  </si>
  <si>
    <t>Bain Capital, EQT, Kohlberg Kravis Roberts, Macquarie Asset Management</t>
  </si>
  <si>
    <t>Koninklijke KPN(www.kpn.com)</t>
  </si>
  <si>
    <t>Bain Capital(www.baincapital.com), EQT(www.eqtgroup.com), Kohlberg Kravis Roberts(www.kkr.com), Macquarie Asset Management(www.macquarie.com/us/corporate/asset-management)</t>
  </si>
  <si>
    <t>63559-27</t>
  </si>
  <si>
    <t>Pfizer Nutrition</t>
  </si>
  <si>
    <t>Wyeth Nutrition</t>
  </si>
  <si>
    <t>Pfizer Nutrition Inc.</t>
  </si>
  <si>
    <t>Developer and provider of nutritional products. The company's products include a multivitamin/mineral supplement for infants, young children and pregnant mothers.</t>
  </si>
  <si>
    <t>nutritional product, pregnancy</t>
  </si>
  <si>
    <t>2012: 4500</t>
  </si>
  <si>
    <t>139861-81P</t>
  </si>
  <si>
    <t>Mike Russomano</t>
  </si>
  <si>
    <t>The company was acquired by Nestle SA (XSWX: NESN) for $11.85 billion on November 30, 2012. The company is no longer actively tracked by PitchBook.</t>
  </si>
  <si>
    <t>Nestlé</t>
  </si>
  <si>
    <t>Melara &amp; Asociados(Legal Advisor)</t>
  </si>
  <si>
    <t>437054-86</t>
  </si>
  <si>
    <t>CK Hutchison (24,600 Telecom Towers in Europe)</t>
  </si>
  <si>
    <t>Operator of wireless communication based in Europe.</t>
  </si>
  <si>
    <t>Buildings and Property*, Telecommunications Service Providers, Wireless Communications Equipment</t>
  </si>
  <si>
    <t>communication tower, mobile tower, tower business, wireless communication, wireless communication tower</t>
  </si>
  <si>
    <t>24,600 Telecom Towers in Europe of CK Hutchison Holdings (HKG: 0001) were acquired by Cellnex Telecom (BME: CLNX) for EUR 10 billion on November 13, 2020. The asset is no longer actively tracked by PitchBook.</t>
  </si>
  <si>
    <t>Cellnex Telecom</t>
  </si>
  <si>
    <t>CK Hutchison</t>
  </si>
  <si>
    <t>CK Hutchison(www.ckh.com.hk)</t>
  </si>
  <si>
    <t>40999-24</t>
  </si>
  <si>
    <t>Autonomy</t>
  </si>
  <si>
    <t>Autonomy Corporation PLC</t>
  </si>
  <si>
    <t>Exterro, Pentaho, Cloudera, Profisee, Salesforce.com, Reltio, Cambridge Semantics, Perforce Software, Graylog, SAS Institute, Digital Reasoning, Whetlab, Expert System, Inbenta, Precisely (New York), CommVault Systems, Synaptica (database software), Rapid7, Microsoft Visio, RedOwl Analytics, Informatica, Veeam, DataStax, Palantir Technologies, Neo4j, Couchbase</t>
  </si>
  <si>
    <t>Developer of infrastructure software for enterprises. The company provides products like Intelligent Data Operating Layer (IDOL), records management, legal and professional services, security and surveillance &amp; Web content management.</t>
  </si>
  <si>
    <t>Business/Productivity Software*</t>
  </si>
  <si>
    <t>big data product, information governance, infrastructure software, unstructured data, web content management</t>
  </si>
  <si>
    <t>www.autonomy.com</t>
  </si>
  <si>
    <t>2011: 1900, 2014: 1900</t>
  </si>
  <si>
    <t>Cambridge, United Kingdom</t>
  </si>
  <si>
    <t>Cambridge Business Park</t>
  </si>
  <si>
    <t>Cowley Road</t>
  </si>
  <si>
    <t>CB4 0WZ</t>
  </si>
  <si>
    <t>The company (OTC AUTNF) was acquired by Hewlett-Packard (NYSE:HPQ) for $11.7 billion on October 13, 2011. The company is no longer actively tracked by PitchBook.</t>
  </si>
  <si>
    <t>IQ Capital Partners</t>
  </si>
  <si>
    <t>IQ Capital Partners(www.iqcapital.vc)</t>
  </si>
  <si>
    <t>EY(Auditor), Firebrick Consulting(Consulting), Leadership Group Executive Search(Consulting), Sitrick and Company(Advisor: Communications)</t>
  </si>
  <si>
    <t>Citigroup(Advisor: General), J.P. Morgan(Advisor: General), Morgan Lewis(Legal Advisor), Qatalyst Partners(Advisor: General), Slaughter and May(Legal Advisor), The Goldman Sachs Group(Advisor: General), UBS Group(Advisor: General)</t>
  </si>
  <si>
    <t>42013-99</t>
  </si>
  <si>
    <t>China Unicom (Hong Kong) (HKG: 00762)</t>
  </si>
  <si>
    <t>China Unicom</t>
  </si>
  <si>
    <t>China Unicom (Hong Kong) Limited</t>
  </si>
  <si>
    <t>China Mobile, China Telecom, Hutchison Telecommunications Hong Kong Holdings, Deutsche Telekom, TPG Telecom, Telefonica Brasil, T-Mobile (US), Telefónica del Perú, Verizon Communications, Vodafone Group, Cricket Wireless, Telefonica Deutschland, Axiata, Telefónica, KDDI, Orange, Versatel Belgium, Colo ATL, Tata Docomo, Interoute Communications, StarHub, Companhia de Telecomunicacoes de Macau, Singtel, M1, Telefónica El Salvador, AT&amp;T</t>
  </si>
  <si>
    <t>China Unicom is the incumbent fixed-line operator in 10 northern Chinese provinces, as well as the third- largest wireless operator nationwide. At December 2020, it had 306 million billing wireless customers and 86 million broadband subscribers. China Unicom also has a growing ICT business. We estimate it has the second largest Internet data center business in China. It has its own 4G network and will be sharing the radio access function with China Telecom for its 5G network.</t>
  </si>
  <si>
    <t>information technology, network communication, telecom market</t>
  </si>
  <si>
    <t>www.chinaunicom.com.hk</t>
  </si>
  <si>
    <t>1999: 33088, 2000: 35431, 2001: 29973, 2002: 38250, 2003: 38728, 2004: 38728, 2005: 53070, 2006: 53387, 2007: 116909, 2008: 313821, 2009: 321772, 2010: 310030, 2011: 297210, 2012: 289015, 2013: 283596, 2014: 281403, 2015: 268887, 2016: 270484, 2017: 267590, 2018: 260964, 2019: 256385, 2020: 254702</t>
  </si>
  <si>
    <t>00762</t>
  </si>
  <si>
    <t>67575-97P</t>
  </si>
  <si>
    <t>Wang Xiaochu</t>
  </si>
  <si>
    <t>wang@chinaunicom.com.hk</t>
  </si>
  <si>
    <t>+852 2126 2018</t>
  </si>
  <si>
    <t>Hong Kong, Hong Kong</t>
  </si>
  <si>
    <t>75th Floor</t>
  </si>
  <si>
    <t>The Center, 99 Queen's Road Central</t>
  </si>
  <si>
    <t>+852 2126 2016</t>
  </si>
  <si>
    <t>info@chinaunicom.com.hk</t>
  </si>
  <si>
    <t>Existing shareholders sold 35.2% stake in the company (SHG: 600050) to China Life Insurance, Baidu, Tencent Holdings, JD.com and Alibaba Group Holding raising $9.35 billion in August 2017.</t>
  </si>
  <si>
    <t>Alibaba Group, Baidu, China Life Insurance, China Unicom, JD.com, SK Telecom, Tencent Holdings</t>
  </si>
  <si>
    <t>Kleiner Perkins, Telefónica</t>
  </si>
  <si>
    <t>Alibaba Group(www.alibabagroup.com), Baidu(ir.baidu.com), China Life Insurance(www.chinalife.com.cn), China Unicom(www.chinaunicom-a.com), JD.com(www.jd.com), SK Telecom(www.sktelecom.com), Tencent Holdings(www.tencent.com/en-us/index.html)</t>
  </si>
  <si>
    <t>Kleiner Perkins(www.kleinerperkins.com), Telefónica(www.telefonica.com)</t>
  </si>
  <si>
    <t>China International Capital Corporation(Advisor: General), Freshfields Bruckhaus Deringer(Legal Advisor), The Hina Group(Advisor: General)</t>
  </si>
  <si>
    <t>Bank of America Merrill Lynch(Advisor: General), China International Capital Corporation(Advisor: General), Freshfields Bruckhaus Deringer(Legal Advisor), Morgan Stanley(Underwriter)</t>
  </si>
  <si>
    <t>11738-98</t>
  </si>
  <si>
    <t>UST</t>
  </si>
  <si>
    <t>UST LLC</t>
  </si>
  <si>
    <t>Manufacturer of consumer products. The Company's segments include smokeless tobacco products and wine. The smokeless tobacco products segment manufactures and markets smokeless tobacco products. The wine segment produces and markets varietal and blended wines, and imports and distributes wines from Italy. The company was acquired by Altria Group, Inc.</t>
  </si>
  <si>
    <t>1989: 3337, 1990: 3337, 1991: 3569, 1992: 3651, 1993: 3724, 1994: 3817, 1995: 4082, 1996: 4467, 1997: 4677, 1998: 4924, 1999: 4765, 2000: 4855, 2001: 4691, 2002: 4911, 2003: 5212, 2004: 5100, 2005: 5111, 2006: 5008, 2007: 4610</t>
  </si>
  <si>
    <t>Greenwich, CT</t>
  </si>
  <si>
    <t>100 West Putnam Avenue</t>
  </si>
  <si>
    <t>Building A</t>
  </si>
  <si>
    <t>Greenwich</t>
  </si>
  <si>
    <t>06830</t>
  </si>
  <si>
    <t>+1 (203) 661-1100</t>
  </si>
  <si>
    <t>+1 (203) 661-1129</t>
  </si>
  <si>
    <t>The company was acquired by Altria Group for $ 10400 million on January 6, 2009.</t>
  </si>
  <si>
    <t>Altria Group</t>
  </si>
  <si>
    <t>Altria Group(www.altria.com)</t>
  </si>
  <si>
    <t>Croft &amp; Bender(Advisor: General), Perella Weinberg Partners(Advisor: General), Skadden, Arps, Slate, Meagher &amp; Flom(Legal Advisor)</t>
  </si>
  <si>
    <t>41604-13</t>
  </si>
  <si>
    <t>Viacom, Inc.</t>
  </si>
  <si>
    <t>ViacomCBS, AMC Networks, RTL Group, 21st Century Fox, EROS International Media, MGM Studios, Zodiak Media, The Walt Disney Company, ESPN, Mediaset, ITV, Fox Family Worldwide, Shemaroo Entertainment, LionsGate Entertainment, Disney/ABC Television Group, ErosSTX, Keshet International, Showtime Networks, Fox Entertainment Group, Entertainment One, Fremantle, Amazon Studios, WarnerMedia, DirecTV, Starz Entertainment, A&amp;E Television Networks, Hulu, Cable News Network, Sony Pictures Entertainment, Nova Televizia, Blumhouse Productions</t>
  </si>
  <si>
    <t>Viacom is a global media company with several leading cable network properties, including Nickelodeon, MTV, BET, Comedy Central, VH1, CMT, and Paramount. Viacom has also built several online properties on the strength of these brands. Viacom's Paramount Pictures produces original motion pictures and owns a library of 2,500 films, including the Godfather and Transformers series. Viacom was spun out of CBS at the end of 2005.</t>
  </si>
  <si>
    <t>Broadcasting, Radio and Television*, Movies, Music and Entertainment</t>
  </si>
  <si>
    <t>media conglomerate, television broadcasting channel, television cable</t>
  </si>
  <si>
    <t>www.viacom.com</t>
  </si>
  <si>
    <t>2004: 38350, 2005: 38350, 2006: 12800, 2007: 10800, 2008: 11500, 2009: 11470, 2010: 10900, 2011: 11470, 2012: 9880, 2013: 10350, 2014: 9900, 2015: 9200, 2016: 10000, 2017: 11650, 2018: 11360, 2019: 12100</t>
  </si>
  <si>
    <t>58476-97P</t>
  </si>
  <si>
    <t>Sumner Redstone</t>
  </si>
  <si>
    <t>1515 Broadway</t>
  </si>
  <si>
    <t>52nd Floor</t>
  </si>
  <si>
    <t>The company (NYSE: VIAB) was merged with CBS (NYSE: CBS) to form ViacomCBS (Nasdaq: VIACA) on December 4, 2019. The combined company will generate an annual revenue of about $28 billion. The company is no longer actively tracked by PitchBook.</t>
  </si>
  <si>
    <t>ViacomCBS</t>
  </si>
  <si>
    <t>National Amusements</t>
  </si>
  <si>
    <t>National Amusements(www.nationalamusements.com)</t>
  </si>
  <si>
    <t>Allen &amp; Company(Advisor: General), Baker &amp; McKenzie(Legal Advisor), Cravath, Swaine &amp; Moore(Legal Advisor), David N. Deutsch &amp; Company(Advisor: General), Debevoise &amp; Plimpton(Legal Advisor), Falcon Financial Advisors(Advisor: General), Friedman Kaplan Seiler &amp; Adelman(Legal Advisor), JPMorgan Chase(Lead Manager or Arranger), Kepper, Tupper and Company(Advisor: General), Mea Advisors(Advisor: General), Proskauer Rose(Legal Advisor), Telsey Advisory Group(Advisor: General), The Brownestone Group(Consulting), The Goldman Sachs Group(Advisor: General)</t>
  </si>
  <si>
    <t>Cravath, Swaine &amp; Moore(Legal Advisor), Shearman &amp; Sterling(Legal Advisor)</t>
  </si>
  <si>
    <t>41359-24</t>
  </si>
  <si>
    <t>Starwood Hotels &amp; Resorts Worldwide</t>
  </si>
  <si>
    <t>Starwood Lodging Starwood Hotel &amp; Resorts Worldwide</t>
  </si>
  <si>
    <t>Starwood</t>
  </si>
  <si>
    <t>Starwood Hotels and Resorts Worldwide, Inc.</t>
  </si>
  <si>
    <t>Omni Hotels &amp; Resorts, Tal Lanka Hotels, Huazhu Hotels Group, Millennium &amp; Copthorne, Xenia Hotels &amp; Resorts, The Lighthouse Hotel, Hilton Grand Vacations, Dalata Hotel Group, La Quinta Inn and Suites, Shangri-La Hotels (Thailand), Melco Resorts &amp; Entertainment, Bharat Hotels, Strategic Hotels &amp; Resorts, EIH Associated Hotels, Outrigger Hotels &amp; Resorts, Six Senses Hotels Resorts Spas, The Langham Melbourne, Tifco Hotel Group, Hyatt, Four Seasons Hotels and Resorts, Mandarin Oriental Hotel Group, Fairmont Hotels &amp; Resorts, G6 Hospitality, The Langham Sydney, Boca Raton Resort &amp; Club, Host Hotels &amp; Resorts, Kerzner International, CHAD Zografski</t>
  </si>
  <si>
    <t>Starwood Hotels &amp; Resorts Worldwide was an operator of a chain of hotels. The company-owned and operated hotels, resorts, spas, residences and vacation ownership properties in the United States. Starwood was founded in 1969 and was headquartered in Stamford, Connecticut. The company sought to expand its business portfolio through mergers and acquisitions. It was acquired by Marriott International (NASDAQ: MAR) on September 23, 2016.</t>
  </si>
  <si>
    <t>Hotels and Resorts</t>
  </si>
  <si>
    <t>Hotels and Resorts*, Leisure Facilities</t>
  </si>
  <si>
    <t>franchise luxury, hotel project, luxury hotel, resort operator</t>
  </si>
  <si>
    <t>www.starwoodhotels.com</t>
  </si>
  <si>
    <t>2006: 145000, 2007: 155000, 2008: 145000, 2009: 145000, 2010: 145000, 2011: 154000, 2012: 171000, 2013: 181400, 2014: 180400, 2015: 188000, 2016: 188000</t>
  </si>
  <si>
    <t>One StarPoint</t>
  </si>
  <si>
    <t>06902</t>
  </si>
  <si>
    <t>The company was acquired by Marriott International (NASDAQ: MAR) for $11.68 billion on September 23, 2016. The acquisition would expand Marriott International's global footprint in the luxury and convention and resort segment. The company is no longer actively tracked by PitchBook.</t>
  </si>
  <si>
    <t>Marriott International</t>
  </si>
  <si>
    <t>Noble Investment Group, Starwood Capital Group</t>
  </si>
  <si>
    <t>Anbang Insurance Group Company, China Investment Corporation, HNA Group, Hyatt, J.C. Flowers &amp; Co., Primavera Capital Group, Sculptor Capital Management, Shanghai Jin Jiang International Hotels (Group) Company, Travel + Leisure</t>
  </si>
  <si>
    <t>Noble Investment Group(www.nobleinvestment.com), Starwood Capital Group(www.starwoodcapital.com)</t>
  </si>
  <si>
    <t>Anbang Insurance Group Company(www.anbanggroup.com), China Investment Corporation(www.china-inv.cn), HNA Group(www.hnagroup.com), Hyatt(www.hyatt.com), J.C. Flowers &amp; Co.(www.jcfco.com), Primavera Capital Group(www.primavera-capital.com), Sculptor Capital Management(www.sculptor.com), Shanghai Jin Jiang International Hotels (Group) Company(www.jinjiang.com), Travel + Leisure(www.travelandleisureco.com)</t>
  </si>
  <si>
    <t>BlackArch Partners(Advisor: General), Brown Rudnick(Legal Advisor), Carpathia Summits(Consulting), ClearBridge Compensation Group(Consulting), Ellice Consulting Group(Consulting), FMG Leading(Consulting), Instinctif Partners(Advisor: Communications), Liquid Asset Partners(Valuation/Appraiser), Spectrum Gaming Capital(Advisor: General)</t>
  </si>
  <si>
    <t>Citigroup(Advisor: General), Cravath, Swaine &amp; Moore(Legal Advisor), Georgeson Shareholder Communications(Legal Advisor), Morris, Nichols, Arsht &amp; Tunnell(Legal Advisor), Philippi Prietocarrizosa Ferrero DU &amp; Uria(Legal Advisor), PJT Partners(Advisor: General), Skadden, Arps, Slate, Meagher &amp; Flom(Legal Advisor)</t>
  </si>
  <si>
    <t>42121-63</t>
  </si>
  <si>
    <t>BBVA USA Bancshares</t>
  </si>
  <si>
    <t>Central Bank &amp; Trust Company, BBVA Compass Bank</t>
  </si>
  <si>
    <t>BBVA USA, Banco Bilbao Vizcaya Argentaria USA</t>
  </si>
  <si>
    <t>BBVA USA Bancshares, Inc.</t>
  </si>
  <si>
    <t>Frost Bank, HSBC Holdings, Credit Agricole, Bank of Ireland, Regions Financial, PNC, Huntington National Bank, Banco Santander Peru, Fifth Third Bank, Pinnacle Financial Partners, CenterState Bank, Associated Bank, Truist, Standard Chartered Bank Kenya, State Bank of Arizona, Banco Santander, ING Group, First Columbia Bank of Florida, NatWest Group, Georgia Heritage Bank, Northeast Bank, MUFG Union Bank, Synovus Bank, Continental National Bank, El Dorado Savings Bank, Community Trust Bancorp, Bank of York, Sunshine Bank, Palmetto Heritage Bank &amp; Trust, Deutsche Bank, Grupo Financiero Banorte, U.S. Century Bank, Park Sterling Bank, Chemical Bank, Discover, Wells Fargo, Capital One Financial, Louisiana Bancorp, Southern States Bank, Amegy Bank of Texas, NexBank, BECU, California Business Bank, Gulfstream Bancshares, Optimumbank, Cornerstone Bancorp, Enterprise Bank &amp; Trust, Guaranty Bank &amp; Trust Company, Trustmark National Bank, Patriot Bank (Texas), First Republic Bank, Cañon National Bank, (CenterState Bank) Downtown Fort Pierce Branch, BMO Financial Group, First Connecticut Bancorp, Southern Commerce Bank, Canadian Imperial Bank of Commerce, First South Bank, First Nationwide Bank, First Midwest Bank, First Choice Bank, CaixaBank, LoweryBank, Mizuho Financial Group, SunTrust Bank, Radius Bank, Credit Suisse, Citigroup, First Busey, Piraeus Bank Bulgaria, Nanyang Commercial Bank, First National Bank of Durango, Seacoast Bank, Mediobanca, Westpac Banking, PBB Bancorp, Fentura Financial, FMB Banking, Westpac Vanuatu, U.S. Bancorp, UBS Group, BMO Harris Bank, East West Bancorp, KeyBank</t>
  </si>
  <si>
    <t>Provider of banking services. The company's banking services and has been recognized as one of the leading small business lenders by the Small Business Administration (SBA).</t>
  </si>
  <si>
    <t>bank holding company, banking operations, checking accounting facility, credit card services, investment services, lending service, saving accounting facility</t>
  </si>
  <si>
    <t>www.bbvausa.com</t>
  </si>
  <si>
    <t>1989: 2400, 1990: 2600, 1991: 3000, 1992: 3300, 1993: 3300, 1994: 3300, 1995: 4100, 1996: 4800, 1997: 5500, 1998: 5900, 1999: 6700, 2000: 6700, 2001: 7100, 2002: 7200, 2003: 7700, 2004: 7832, 2005: 8000, 2006: 8400, 2018: 10000, 2019: 11000</t>
  </si>
  <si>
    <t>39450-97P</t>
  </si>
  <si>
    <t>Matthew Sclafani</t>
  </si>
  <si>
    <t>Executive, Debt Capital Markets</t>
  </si>
  <si>
    <t>matthew.sclafani@bbvacompass.com</t>
  </si>
  <si>
    <t>+1 (646) 439-0297</t>
  </si>
  <si>
    <t>2200 Post Oak Boulevard</t>
  </si>
  <si>
    <t>Suite 1601</t>
  </si>
  <si>
    <t>+1 (205) 297-3000</t>
  </si>
  <si>
    <t>The company, a subsidiary of Banco Bilbao Vizcaya Argentaria (XMAD: BBVA), was acquired by PNC (NYS: PNC) for $11.6 billion on June 1, 2021. With the closing of the transaction, PNC will become the country's fifth-largest bank by assets.</t>
  </si>
  <si>
    <t>Banco Bilbao Vizcaya Argentaria</t>
  </si>
  <si>
    <t>Banco Bilbao Vizcaya Argentaria(www.bbva.com)</t>
  </si>
  <si>
    <t>Analistas Financieros Internacionales(Advisor: General), Burr &amp; Forman(Legal Advisor), Chiron Financial(Advisor: General), Smith, Anderson, Blount, Dorsett, Mitchell &amp; Jernigan(Legal Advisor), The Alta Group(Advisor: General), Tonex(Consulting)</t>
  </si>
  <si>
    <t>Balch &amp; Bingham(Legal Advisor), Sandler O'Neill + Partners(Advisor: General), Wachtell, Lipton, Rosen &amp; Katz(Legal Advisor)</t>
  </si>
  <si>
    <t>10395-64</t>
  </si>
  <si>
    <t>Donaldson, Lufkin &amp; Jenrette</t>
  </si>
  <si>
    <t>DLJ</t>
  </si>
  <si>
    <t>Donaldson, Lufkin &amp; Jenrette, Inc.</t>
  </si>
  <si>
    <t>Provider of integrated investment and merchant bank serving services. The company provides securities underwriting, sales and trading, investment and merchant banking, financial advisory services, investment research, venture capital and correspondent brokerage services to institutional, corporate, government and individual clients.</t>
  </si>
  <si>
    <t>Investment Banks*, Other Financial Services</t>
  </si>
  <si>
    <t>financial advisory service, investment research, merchant banking services</t>
  </si>
  <si>
    <t>www.dlj.com</t>
  </si>
  <si>
    <t>63735-76P</t>
  </si>
  <si>
    <t>Jonathon Rhodes</t>
  </si>
  <si>
    <t>277 Park Avenue</t>
  </si>
  <si>
    <t>10172</t>
  </si>
  <si>
    <t>The company was acquired by Credit Suisse (VTX: CSGN) for $11.6 billion on November 2, 2000. The company is no longer actively tracked by PitchBook.</t>
  </si>
  <si>
    <t>Credit Suisse</t>
  </si>
  <si>
    <t>AXA, AXA Financial, Competrol</t>
  </si>
  <si>
    <t>AXA(www.axa.com)</t>
  </si>
  <si>
    <t>Brock Capital Group(Advisor: General), J.V. Delaney &amp; Associates Advisory(Advisor: General)</t>
  </si>
  <si>
    <t>Credit Suisse(Underwriter)</t>
  </si>
  <si>
    <t>10552-33</t>
  </si>
  <si>
    <t>Freescale Semiconductor</t>
  </si>
  <si>
    <t>FreescaleSemiconductor</t>
  </si>
  <si>
    <t>Freescale Semiconductor, Inc.</t>
  </si>
  <si>
    <t>Intel, NXP Semiconductors, Atmel, Texas Instruments, Maxim Integrated Products, ARM</t>
  </si>
  <si>
    <t>Provider of embedded semiconductors for the wireless, networking, automotive, consumer and industrial markets. The company manufactures microprocessors, microcontrollers, sensors, analog integrated circuits and connectivity devices.</t>
  </si>
  <si>
    <t>Application Specific Semiconductors, General Purpose Semiconductors*, Production (Semiconductors)</t>
  </si>
  <si>
    <t>application semiconductor, connectivity device, embedded semiconductor, information technology, integrated circuit</t>
  </si>
  <si>
    <t>www.freescale.com</t>
  </si>
  <si>
    <t>2006: 24000, 2009: 22900, 2010: 22900, 2011: 18000, 2012: 16500, 2013: 16800, 2014: 17300, 2015: 18000</t>
  </si>
  <si>
    <t>46419-58P</t>
  </si>
  <si>
    <t>Peter Kelly</t>
  </si>
  <si>
    <t>peter.kelly@nxp.com</t>
  </si>
  <si>
    <t>+31 (0)40 272 9999</t>
  </si>
  <si>
    <t>6501 William Cannon Drive West</t>
  </si>
  <si>
    <t>78735</t>
  </si>
  <si>
    <t>The company (NYSE: FSL) was acquired by NXP Semiconductors (NASDAQ: NXPI) for $11.6 on December 4, 2015. Under the terms of transaction, the bidder will pay $6.25 in cash and 0.3521 NXP Semiconductors NV's common shares for every target share held. The acquisition will be funded through the bidder's cash on hand, new debt and approximately 115 million NXP Semiconductors NV ordinary shares. NXP Semiconductor on Thursday launched a $2.7 billion, five-year term loan B proposal to fund its previously announced merger with Freescale Semiconductor Ltd. as well as to refinance existing debt.</t>
  </si>
  <si>
    <t>Canada Pension Plan Investment Board</t>
  </si>
  <si>
    <t>NXP Semiconductors</t>
  </si>
  <si>
    <t>Ardian, Bank of Scotland, Battery Ventures, Golden Gate Capital, Hamilton Lane, HarbourVest Partners, Lexington Partners, Partners Group, Partners Group Global Opportunities, Permira, Sole Realisation Company, The Blackstone Group, The Carlyle Group, TPG, Wilshire Associates</t>
  </si>
  <si>
    <t>Canada Pension Plan Investment Board(www.cppinvestments.com)</t>
  </si>
  <si>
    <t>Ardian(www.ardian.com), Bank of Scotland(www.bankofscotland.co.uk), Battery Ventures(www.battery.com), Golden Gate Capital(www.goldengatecap.com), Hamilton Lane(www.hamiltonlane.com), HarbourVest Partners(www.harbourvest.com), Lexington Partners(www.lexingtonpartners.com), Partners Group(www.partnersgroup.com), Partners Group Global Opportunities(pggo.net), Permira(www.permira.com), Sole Realisation Company(www.svgcapital.com), The Blackstone Group(www.blackstone.com), The Carlyle Group(www.carlyle.com), TPG(www.tpg.com), Wilshire Associates(www.wilshire.com)</t>
  </si>
  <si>
    <t>Incentives Management Group(Advisor: General), KPMG(Advisor: General)</t>
  </si>
  <si>
    <t>AllianceBernstein(Underwriter), Barclays Investment Bank(Underwriter), Blaylock Van(Underwriter), Citigroup(Underwriter), Cleary Gottlieb(Legal Advisor), Conyers Dill &amp; Pearman(Legal Advisor), Credit Suisse(Underwriter), Deutsche Bank(Underwriter), Georgeson Shareholder Communications(Legal Advisor), Gleacher and Company(Underwriter), Houthoff(Legal Advisor), J.P. Morgan(Underwriter), KBCM Technology Group(Underwriter), Kekst CNC(Advisor: Communications), KPMG(Advisor: General), Latham &amp; Watkins(Legal Advisor), Lehman Brothers(Debt Financing), McCarthy Tétrault(Legal Advisor), Morgan Lewis(Legal Advisor), Morgan Stanley(Underwriter), Oppenheimer &amp; Company(Underwriter), Piper Sandler(Underwriter), RBC Capital Markets(Underwriter), Samuel A. Ramirez &amp; Company(Underwriter), Sard Verbinnen(Advisor: Communications), Simpson Thacher &amp; Bartlett(Legal Advisor), Skadden, Arps, Slate, Meagher &amp; Flom(Legal Advisor), Tallman Insights(Advisor: General), The Goldman Sachs Group(Underwriter), UBS Group(Underwriter), UBS Group(Debt Financing), Wilson Sonsini Goodrich &amp; Rosati(Legal Advisor)</t>
  </si>
  <si>
    <t>233037-28</t>
  </si>
  <si>
    <t>SABIC Innovative Plastics</t>
  </si>
  <si>
    <t>GE Plastics</t>
  </si>
  <si>
    <t>GE Plastics ABS B.V.</t>
  </si>
  <si>
    <t>Manufacturer and supplier of plastic products. The company provides polyolefins, Polyvinyl chloride (PVC) and polyester, deep into the markets for engineering thermoplastics.</t>
  </si>
  <si>
    <t>Plastic Containers and Packaging</t>
  </si>
  <si>
    <t>Industrial Supplies and Parts, Other Materials, Plastic Containers and Packaging*</t>
  </si>
  <si>
    <t>plastic piping</t>
  </si>
  <si>
    <t>2007: 10300</t>
  </si>
  <si>
    <t>194471-92P</t>
  </si>
  <si>
    <t>Lex Hoekstra</t>
  </si>
  <si>
    <t>Chairman &amp; Managing Director</t>
  </si>
  <si>
    <t>Cyprusweg 2</t>
  </si>
  <si>
    <t>1044 AA</t>
  </si>
  <si>
    <t>The company, a subsidiary of General Electric, was acquired by SABIC (SAU: 2010) for $11.6 billion on August 31, 2007. The company is no longer actively tracked by PitchBook.</t>
  </si>
  <si>
    <t>SABIC</t>
  </si>
  <si>
    <t>26033-41</t>
  </si>
  <si>
    <t>Union Carbide &amp; Carbon</t>
  </si>
  <si>
    <t>Producer of chemical and polymer products for food container industry, automotive and other industry in United States. The company's products include ethylene glycol, polyethylene and polypropylene and isopropanol.</t>
  </si>
  <si>
    <t>chemicals industry, ethylene oxide, polymer product producer</t>
  </si>
  <si>
    <t>www.unioncarbide.com</t>
  </si>
  <si>
    <t>1989: 45987, 1990: 37756, 1991: 16705, 1992: 15075, 1993: 13051, 1994: 12004, 1995: 11521, 1996: 11745, 1997: 11813, 1998: 11627, 1999: 11569, 2000: 11346, 2018: 2400</t>
  </si>
  <si>
    <t>189263-80P</t>
  </si>
  <si>
    <t>William Joyce</t>
  </si>
  <si>
    <t>william.joyce@unioncarbide.com</t>
  </si>
  <si>
    <t>39 Old Ridgebury Road</t>
  </si>
  <si>
    <t>06817</t>
  </si>
  <si>
    <t>The company was acquired by Dow (NYSE: DOW) for $11.6 Billion on March 1, 2001. The acquisition helped the acquirer to enhance their polyethylene, polypropylene, and copolymers capacity with plants in Seadrift, Texas; Taft,Louisiana; and Prentiss, Alberta.</t>
  </si>
  <si>
    <t>Dua Associates(Legal Advisor), The McLean Group(Advisor: General)</t>
  </si>
  <si>
    <t>169838-02</t>
  </si>
  <si>
    <t>Bioverativ Therapeutics</t>
  </si>
  <si>
    <t>Bioverativ</t>
  </si>
  <si>
    <t>Bioverativ Inc.</t>
  </si>
  <si>
    <t>Zikani Therapeutics, ArmaGen, BioCryst Pharmaceuticals, Harbour BioMed, Eloxx Pharmaceuticals, Adenium Biotech, Janssen Global Services, OpGen, Genentech, Otonomy, Prometheus Laboratories</t>
  </si>
  <si>
    <t>Provider of biotechnology services intended to address various issues related to the treatment of wide range of chronic blood disorders. The company's biotechnology services include offering therapies, clinical trails, research and development of treatment methods for the treatment of cold agglutinin disease, sickle cell disease and beta thalassemia, enabling medical institutions and patients to get a wide range of scientific treatment to fight with fatal blood diseases.</t>
  </si>
  <si>
    <t>biotechnology, blood disorder, hemophilia, hemophilia treatment</t>
  </si>
  <si>
    <t>www.bioverativ.com</t>
  </si>
  <si>
    <t>2015: 400, 2016: 350, 2017: 460, 2018: 480</t>
  </si>
  <si>
    <t>225 Second Avenue</t>
  </si>
  <si>
    <t>+1 (781) 663-4400</t>
  </si>
  <si>
    <t>The company was acquired by Sanofi (PAR: SAN) for EUR 9.35 billion on March 8, 2018. The company is no longer tracked by PitchBook.</t>
  </si>
  <si>
    <t>Biogen, Fidelity Equity Partners (Massachusetts), Jennison Associates</t>
  </si>
  <si>
    <t>Biogen(www.biogen.com), Fidelity Equity Partners (Massachusetts)(www.fidelityequitypartners.com), Jennison Associates(www.jennison.com)</t>
  </si>
  <si>
    <t>Perspective Group(Consulting), Rigrodsky &amp; Long(Legal Advisor)</t>
  </si>
  <si>
    <t>Guggenheim Securities(Advisor: General), J.P. Morgan(Advisor: General), Paul, Weiss, Rifkind, Wharton &amp; Garrison(Legal Advisor), PwC(Accounting)</t>
  </si>
  <si>
    <t>13263-58</t>
  </si>
  <si>
    <t>Fording Canadian Coal Trust</t>
  </si>
  <si>
    <t>Fording Arrangemen Inc., Fording Inc.</t>
  </si>
  <si>
    <t>FDG</t>
  </si>
  <si>
    <t>Fording Canadian Coal Trust, Inc.</t>
  </si>
  <si>
    <t>Provider of coal mining services. The company produces metallurgical coal and owns Elk Valley Coal plant.</t>
  </si>
  <si>
    <t>coal mining, coal production, metallurgical coal</t>
  </si>
  <si>
    <t>205 9th Avenue South East</t>
  </si>
  <si>
    <t>T2G 0R3</t>
  </si>
  <si>
    <t>The company was acquired by Teck Resources (NYSE: TCK) for CAD 13.5 billion on October 30, 2008. The company is no longer actively tracked by PitchBook.</t>
  </si>
  <si>
    <t>Teck Resources</t>
  </si>
  <si>
    <t>Ontario Teachers' Pension Plan, Scotiabank</t>
  </si>
  <si>
    <t>Ontario Teachers' Pension Plan(www.otpp.com), Scotiabank(www.scotiabank.com)</t>
  </si>
  <si>
    <t>CIBC Capital Markets(Advisor: General), Osler, Hoskin &amp; Harcourt(Legal Advisor), RBC Capital Markets(Advisor: General)</t>
  </si>
  <si>
    <t>11799-73</t>
  </si>
  <si>
    <t>Allied Waste Industries</t>
  </si>
  <si>
    <t>AWI, Allied Waste</t>
  </si>
  <si>
    <t>Allied Waste Industries, Inc.</t>
  </si>
  <si>
    <t>Owner and operator of solid waste collection businesses. The company provides non-hazardous waste collection, transfer, recycling and disposal services.</t>
  </si>
  <si>
    <t>Environmental Services (B2B)*</t>
  </si>
  <si>
    <t>trash hauling, waste management, waste recycling</t>
  </si>
  <si>
    <t>1991: 143, 1992: 401, 1993: 639, 1994: 639, 1995: 1440, 1996: 5000, 1997: 5400, 1998: 9500, 1999: 32500, 2000: 28000, 2001: 29000, 2002: 29000, 2003: 26000, 2004: 26000, 2005: 26000, 2006: 24200, 2007: 23300, 2009: 463</t>
  </si>
  <si>
    <t>15880 North Greenway-Hayden Loop</t>
  </si>
  <si>
    <t>85260</t>
  </si>
  <si>
    <t>+1 (480) 627-2700</t>
  </si>
  <si>
    <t>+1 (480) 423-9424</t>
  </si>
  <si>
    <t>The company was acquired by Republic Services for $11.5 billion on June 24, 2008. The company is no longer actively tracked by PitchBook.</t>
  </si>
  <si>
    <t>Republic Services</t>
  </si>
  <si>
    <t>Apollo Global Management, aPriori Capital Partners, GSC Group, Laidlaw Interiors Group, The Blackstone Group, TPG</t>
  </si>
  <si>
    <t>Apollo Global Management(www.apollo.com), aPriori Capital Partners(www.aprioricapital.com), Laidlaw Interiors Group(www.laidlaw.co.uk), The Blackstone Group(www.blackstone.com), TPG(www.tpg.com)</t>
  </si>
  <si>
    <t>M/Cap Advisors(Advisor: General), Performance Capital Partners(Consulting), The Poropat Group(Consulting)</t>
  </si>
  <si>
    <t>Mayer Brown(Legal Advisor), Moelis &amp; Company(Advisor: General), The Goldman Sachs Group(Underwriter), Trinity Capital Investment Bank(Advisor: General), UBS Group(Underwriter)</t>
  </si>
  <si>
    <t>125662-51</t>
  </si>
  <si>
    <t>Citigroup (Travelers Life &amp; Annuity)</t>
  </si>
  <si>
    <t>Provider of insurance products and services to its global customer base.</t>
  </si>
  <si>
    <t>Life and Health Insurance*</t>
  </si>
  <si>
    <t>annuity insurance policy, insurance business, life insurance, travelers annuity planning, travelers insurance</t>
  </si>
  <si>
    <t>388 Greenwich Street</t>
  </si>
  <si>
    <t>10013</t>
  </si>
  <si>
    <t>Travelers Life &amp; Annuity and international insurance businesses of Citigroup (NYSE: C) was acquired by MetLife (NYSE: MET) for $11.5 billion on January 31, 2005. The acquisition helps the acquirer to become the largest individual life insurer in North America based on sales and increases its retirement and savings general account assets by almost 60%. The company is no longer actively tracked by PitchBook.</t>
  </si>
  <si>
    <t>MetLife</t>
  </si>
  <si>
    <t>Citigroup</t>
  </si>
  <si>
    <t>Citigroup(www.citigroup.com/citi)</t>
  </si>
  <si>
    <t>112925-44</t>
  </si>
  <si>
    <t>Autoroutes du Sud de la France</t>
  </si>
  <si>
    <t>SAVR</t>
  </si>
  <si>
    <t>ASF</t>
  </si>
  <si>
    <t>Autoroutes du Sud de la France SA</t>
  </si>
  <si>
    <t>Operator of motorway networks. The company operates motorway networks and is engaged in the construction of streets and highways.</t>
  </si>
  <si>
    <t>Other Transportation</t>
  </si>
  <si>
    <t>Construction and Engineering, Other Commercial Services, Other Transportation*</t>
  </si>
  <si>
    <t>highway construction, motorway network operations, street construction</t>
  </si>
  <si>
    <t>www.asf.fr</t>
  </si>
  <si>
    <t>2008: 2891, 2009: 2811, 2010: 3952, 2011: 3870, 2013: 4466, 2014: 4223, 2015: 4085</t>
  </si>
  <si>
    <t>TTM 2Q2012</t>
  </si>
  <si>
    <t>100243-36P</t>
  </si>
  <si>
    <t>Jacques Tavernier</t>
  </si>
  <si>
    <t>Director General &amp; Chief Executive Officer</t>
  </si>
  <si>
    <t>100, Avenue de Suffren</t>
  </si>
  <si>
    <t>Cedex 15</t>
  </si>
  <si>
    <t>The company was acquired by VINCI (PAR: DG) for EUR 9.1 billion on November 3, 2006. The company is no longer actively tracked by PitchBook.</t>
  </si>
  <si>
    <t>Vinci</t>
  </si>
  <si>
    <t>Eiffage, Government of France</t>
  </si>
  <si>
    <t>Eiffage(www.eiffage.com), Government of France(www.gouvernement.fr)</t>
  </si>
  <si>
    <t>HSBC CCF Investment Bank France(Underwriter), Le Crédit Lyonnais(Underwriter), Rothschild &amp; Co(Advisor: General)</t>
  </si>
  <si>
    <t>42160-15</t>
  </si>
  <si>
    <t>ICE Mortgage technology</t>
  </si>
  <si>
    <t>Ellie Mae</t>
  </si>
  <si>
    <t>Ellie Mae, Inc.</t>
  </si>
  <si>
    <t>GCC Servicing Systems, RealKey, IMX, OpenClose, Mortgage Cadence, Black Knight (US), Buildium, Cloudvirga, Blend, Wave Financial, International Document Services, PCLender, Isgn, MortgageDashboard, Calyx Software, DocuTech, Shaw Systems Associates, Mortgage Builder Software, LoanSifter, Capsilon, ComplianceEase, Mint Payments, LoanLogics, MortgageFlex, Baker Hill Solutions, FreshBooks, ARMCO, StreamLoan, Xero, Maxwell (Thrifts and Mortgage Finance), Roostify, Envestnet Yodlee, Nymbus, Optimal Blue, Billtrust, Fiserv, Altisource Portfolio Solutions, Euronet Worldwide, Softgate Systems, Federal National Mortgage Association</t>
  </si>
  <si>
    <t>Developer of software products and services designed to be used by mortgage lenders to process mortgage applications. The company's cloud-based platform offers services that include customer relationship management, loan processing, underwriting, compliance and overall enterprise management to the residential mortgage industry, enabling banks, credit unions and mortgage lenders to originate and fund mortgages.</t>
  </si>
  <si>
    <t>Automation/Workflow Software, Business/Productivity Software*, Financial Software</t>
  </si>
  <si>
    <t>Mortgage Tech, Real Estate Technology, SaaS, TMT</t>
  </si>
  <si>
    <t>all-in-one platform, electronic mortgage, loans documentation, mortgage lender, mortgage lender software, mortgage management system, mortgage process, online mortgage, residential mortgage, software product</t>
  </si>
  <si>
    <t>www.icemortgagetechnology.com</t>
  </si>
  <si>
    <t>2010: 190, 2011: 270, 2012: 308, 2013: 407, 2014: 640, 2015: 857, 2016: 1069, 2017: 1480, 2018: 1570, 2019: 1000, 2020: 1700</t>
  </si>
  <si>
    <t>Intercontinental Exchange</t>
  </si>
  <si>
    <t>38432-08P</t>
  </si>
  <si>
    <t>Sigmund Anderman</t>
  </si>
  <si>
    <t>Co-Founder &amp; Executive Chairman</t>
  </si>
  <si>
    <t>Pleasanton, CA</t>
  </si>
  <si>
    <t>4420 Rosewood Drive</t>
  </si>
  <si>
    <t>Suite 500</t>
  </si>
  <si>
    <t>Pleasanton</t>
  </si>
  <si>
    <t>94588</t>
  </si>
  <si>
    <t>+1 (925) 227-7000</t>
  </si>
  <si>
    <t>+1 (925) 227-9030</t>
  </si>
  <si>
    <t>The company was acquired by Intercontinental Exchange (NYS: ICE) for $11.4 billion on September 4, 2020. The price includes $1.75 billion of newly issued stock of Intercontinental Exchange and $9.25 billion in cash.</t>
  </si>
  <si>
    <t>Alloy Ventures, Alta Partners, Amidzad Partners, Charter Venture Capital, H&amp;Q Asia Pacific, Industry Ventures, Plug and Play Tech Center, TDM Growth Partners, Thoma Bravo, W Capital Partners</t>
  </si>
  <si>
    <t>Alloy Ventures(www.alloyventures.com), Alta Partners(www.altapartners.com), Amidzad Partners(www.amidzad.com), Charter Venture Capital(www.charterventures.com), H&amp;Q Asia Pacific(www.hqap.com), Industry Ventures(www.industryventures.com), Plug and Play Tech Center(www.plugandplaytechcenter.com), TDM Growth Partners(www.tdmgrowthpartners.com), Thoma Bravo(www.thomabravo.com), W Capital Partners(www.wcapgroup.com)</t>
  </si>
  <si>
    <t>Grant Thornton(Accounting), Macquarie Group(Debt Financing), Morgan Stanley(Advisor: General), Oppenheimer &amp; Company(Advisor: General)</t>
  </si>
  <si>
    <t>Barclays Investment Bank(Underwriter), CapM(Advisor: General), Cooley(Legal Advisor), Financial Technology Partners(Underwriter), FT Advisors(Advisor: General), Grant Thornton(Accounting), J.P. Morgan(Underwriter), J.P. Morgan Securities(Advisor: General), Jefferies Finance(Debt Financing), Jefferies Group(Advisor: General), JMP Securities(Underwriter), Kahn Swick &amp; Foti(Legal Advisor), Kirkland &amp; Ellis(Legal Advisor), Latham &amp; Watkins(Legal Advisor), Macquarie Group(Debt Financing), Morgan Keegan(Underwriter), Morgan Stanley(Advisor: General), Needham &amp; Company(Underwriter), Nomura Securities(Debt Financing), Oaktree Strategic Income(Debt Financing), Oaktree Strategic Income II(Debt Financing), Oppenheimer &amp; Company(Advisor: General), Piper Sandler(Underwriter), Rigrodsky &amp; Long(Legal Advisor), ROTH Capital Partners(Underwriter), SRS Acquiom(Advisor: General), William Blair &amp; Company(Underwriter), Wilson Sonsini Goodrich &amp; Rosati(Legal Advisor)</t>
  </si>
  <si>
    <t>41472-91</t>
  </si>
  <si>
    <t>Array BioPharma</t>
  </si>
  <si>
    <t>Array</t>
  </si>
  <si>
    <t>Array BioPharma, Inc.</t>
  </si>
  <si>
    <t>Aileron Therapeutics, Exelixis, TScan Therapeutics, Morphotek, Inovio Pharmaceuticals, ImmunGene, CytImmune Sciences, NantKwest, Agios, OncoGenex Pharmaceuticals, NuvOx Pharma, Forma Therapeutics, Kesios, Immunomic Therapeutics, Jounce Therapeutics, Amal Therapeutics, Olema Oncology, Gilead Sciences, Sigilon Therapeutics, Tmunity, Dynavax Technologies, Immune Design, GeoVax, Essa Pharma, CNS Pharmaceuticals, Alexion, Genentech, Advaxis, Icosavax, Nektar Therapeutics, Ziopharm Oncology, Nohla Therapeutics, Sunesis, Kite Pharma, Northwest Biotherapeutics, Epizyme, ImmunityBio, Immunogen, Monopar Therapeutics, Agenus, Alios BioPharma, Dicerna Pharmaceuticals, VBI Vaccines(Rehovot), Xenetic Bioscience, BriaCell Therapeutics, Diffusion Pharmaceuticals, Chemocentryx, Mission Therapeutics, Brickell Biotech, Altor BioScience, Loxo Oncology, Circle Pharma, Allogene Therapeutics, Dermavant Sciences, Endocyte, Quanticel Pharmaceuticals, Tesaro, Viriom, Lundbeck, Amgen, Celgene, Boehringer Ingelheim, Illumina</t>
  </si>
  <si>
    <t>Array BioPharma Inc is a biopharmaceutical company focused on the discovery, development and commercialization of targeted small molecule drugs to treat patients afflicted with cancer. Its clinical stage drugs include Binimetinib, Encorafenib, Selumetinib, Tucatinib/ONT-380, ARRY-382, LOXO-292 and LOXO-195 among others. The company has geographical presence in North America, Europe and Asia Pacific.</t>
  </si>
  <si>
    <t>cancer cure treatment, cancer drug maker, cancer treatment, inflammatory disease treatment, targeted small molecule</t>
  </si>
  <si>
    <t>www.arraybiopharma.com</t>
  </si>
  <si>
    <t>2000: 124, 2001: 202, 2002: 245, 2003: 244, 2004: 250, 2005: 269, 2006: 276, 2007: 311, 2008: 386, 2009: 355, 2010: 340, 2011: 259, 2012: 250, 2013: 265, 2014: 198, 2015: 156, 2016: 177, 2017: 209, 2018: 298</t>
  </si>
  <si>
    <t>39550-51P</t>
  </si>
  <si>
    <t>Robert Conway</t>
  </si>
  <si>
    <t>+1 (303) 381-6600</t>
  </si>
  <si>
    <t>3200 Walnut Street</t>
  </si>
  <si>
    <t>info@arraybiopharma.com</t>
  </si>
  <si>
    <t>The company was acquired by Pfizer (NYS: PFE) for $11.4 billion on July 30, 2019. The acquisition strengthens Pfizer's innovative biopharmaceutical business and also beefs up its cancer portfolio.</t>
  </si>
  <si>
    <t>Deerfield Management, Ridgeback Capital, Synthesis Capital</t>
  </si>
  <si>
    <t>ARCH Venture Partners, Boulder Ventures, Falcon Technology Partners, Frazier Healthcare Partners, Mosaix Ventures, New Leaf Venture, Rovent Limited Partnership</t>
  </si>
  <si>
    <t>Deerfield Management(www.deerfield.com), Ridgeback Capital(www.ridgebackcap.com), Synthesis Capital(www.synthesiscapital.com)</t>
  </si>
  <si>
    <t>ARCH Venture Partners(www.archventure.com), Boulder Ventures(www.boulderventures.com), Frazier Healthcare Partners(www.frazierhealthcare.com), Mosaix Ventures(www.mosaixventures.com), New Leaf Venture(www.nlvpartners.com)</t>
  </si>
  <si>
    <t>Ballard Spahr(Legal Advisor), Cantor Fitzgerald(Advisor: General), Comerica Bank(Debt Financing), Cowen &amp; Company(Underwriter), Perella Weinberg Partners(Advisor: General), Perspective Group(Consulting), Silicon Valley Bank(Debt Financing), SVB Leerink(Advisor: General)</t>
  </si>
  <si>
    <t>Centerview Partners(Advisor: General), Chase Securities(Underwriter), Chatsworth Securities(Underwriter), Deerfield Management(Debt Financing), Deutsche Bank Securities(Underwriter), Dominick &amp; Dickerman(Underwriter), Edward Jones Investments(Underwriter), EY(Accounting), Fahnestock &amp; Co.(Underwriter), Gerard Klauer Mattison &amp; Co.(Underwriter), Hogan Lovells(Legal Advisor), ING Barings Private Equity(Underwriter), J.P. Morgan(Lead Manager or Arranger), Legg Mason(Underwriter), Lehman Brothers(Underwriter), Piper Sandler(Lead Manager or Arranger), PMG Capital(Underwriter), Prudential Equity Group(Underwriter), Raymond James Financial(Underwriter), SG Cowen Securities(Underwriter), Skadden, Arps, Slate, Meagher &amp; Flom(Legal Advisor), Stifel Financial(Lead Manager or Arranger), The Goldman Sachs Group(Lead Manager or Arranger), Thomas Weisel Partners Group(Underwriter), UBS Group(Underwriter)</t>
  </si>
  <si>
    <t>41093-11</t>
  </si>
  <si>
    <t>Forest City Realty Trust</t>
  </si>
  <si>
    <t>Forest City Enterprises</t>
  </si>
  <si>
    <t>Forest City</t>
  </si>
  <si>
    <t>Forest City Realty Trust, Inc.</t>
  </si>
  <si>
    <t>Hammond Residential Real Estate</t>
  </si>
  <si>
    <t>Operator of a publicly traded real estate company. The company's focus lies in owning, developing, managing and acquiring commercial and residential real estate portfolio, which include office, retail and apartment assets, as well as dynamic, mixed-use communities in markets across New York City, Washington, D.C. Boston, Dallas, Denver, Los Angeles and San Francisco.</t>
  </si>
  <si>
    <t>land management, property management, real estate developer, real estate investment, real estate investment firm</t>
  </si>
  <si>
    <t>www.forestcity.net</t>
  </si>
  <si>
    <t>1991: 2600, 1992: 3145, 1993: 3145, 1994: 2980, 1995: 2980, 1996: 3287, 1997: 2525, 1998: 2691, 1999: 2871, 2000: 3967, 2001: 4271, 2002: 4515, 2003: 4430, 2004: 4425, 2005: 4098, 2006: 4279, 2007: 4484, 2008: 3957, 2009: 3237, 2010: 3019, 2011: 2917, 2012: 2870, 2013: 2914, 2014: 2865, 2015: 2909, 2016: 2075, 2017: 1548, 2018: 400</t>
  </si>
  <si>
    <t>173278-27P</t>
  </si>
  <si>
    <t>Charles Obert</t>
  </si>
  <si>
    <t>Executive Vice President, Chief Accounting Officer &amp; Controller</t>
  </si>
  <si>
    <t>charlesobert@forestcity.net</t>
  </si>
  <si>
    <t>Cleveland, OH</t>
  </si>
  <si>
    <t>127 Public Square</t>
  </si>
  <si>
    <t>Suite 3100</t>
  </si>
  <si>
    <t>Cleveland</t>
  </si>
  <si>
    <t>44114</t>
  </si>
  <si>
    <t>The company (NYSE: FCE.A) was acquired by Brookfield Asset Management (TSE: BAM.PF.F) for $11.4 billion on December 7, 2018. The company is no longer actively tracked by PitchBook.</t>
  </si>
  <si>
    <t>Scopia Capital Management, Starboard Value</t>
  </si>
  <si>
    <t>Scopia Capital Management(www.scopia.com), Starboard Value(www.starboardvalue.com)</t>
  </si>
  <si>
    <t>BNY Mellon(Debt Financing), Citibank(Debt Financing), CL King &amp; Associates(Advisor: General), Goulston &amp; Storrs(Legal Advisor), Huntington National Bank(Debt Financing), KeyBank N.A.(Debt Financing), Mercury Capital Advisors(Placement Agent), PNC(Debt Financing), Province(Advisor: General), Thompson Hine(Legal Advisor), U.S. Bancorp(Debt Financing)</t>
  </si>
  <si>
    <t>Berkshire Global Advisors(Advisor: General), Evercore Group(Advisor: General), Goodwin(Legal Advisor), Kahn Swick &amp; Foti(Legal Advisor), Lazard Middle Market(Accounting), Sullivan &amp; Cromwell(Legal Advisor), The Goldman Sachs Group(Advisor: General), Wachtell, Lipton, Rosen &amp; Katz(Legal Advisor)</t>
  </si>
  <si>
    <t>110136-70</t>
  </si>
  <si>
    <t>Essent</t>
  </si>
  <si>
    <t>Essent N.V.</t>
  </si>
  <si>
    <t>Nuon, Eneco</t>
  </si>
  <si>
    <t>Operator of a sustainable energy development company. The company' services include energy generation, trading, transmitting and other related services using natural gas and residual gases, enabling the customers to get electricity and gas at an affordable price.</t>
  </si>
  <si>
    <t>Electric Utilities*, Multi-Utilities</t>
  </si>
  <si>
    <t>electricity supplier, electricity supply, energy generation, gas producer, gas supply</t>
  </si>
  <si>
    <t>www.essent.nl</t>
  </si>
  <si>
    <t>2015: 3600, 2016: 2870</t>
  </si>
  <si>
    <t>RWE</t>
  </si>
  <si>
    <t>102670-03P</t>
  </si>
  <si>
    <t>Patrick Lammers</t>
  </si>
  <si>
    <t>patrick.lammers@essent.nl</t>
  </si>
  <si>
    <t>+31 (0)88 851 1000</t>
  </si>
  <si>
    <t>Hertogenbosch, Netherlands</t>
  </si>
  <si>
    <t>Willemsplein 4</t>
  </si>
  <si>
    <t>Hertogenbosch</t>
  </si>
  <si>
    <t>5211 AK</t>
  </si>
  <si>
    <t>The company was acquired by RWE (ETR: RWE) for EUR 7.79 billion on September 30, 2009.</t>
  </si>
  <si>
    <t>Jents International(Consulting)</t>
  </si>
  <si>
    <t>97684-57</t>
  </si>
  <si>
    <t>Autostrade per l'Italia</t>
  </si>
  <si>
    <t>ASPI</t>
  </si>
  <si>
    <t>Autostrade per l'Italia SpA</t>
  </si>
  <si>
    <t>Operator of toll highways based in Rome, Italy. The company specializes in the construction and management of toll highways, with its nearby highway network located in Italy, Brasil, Chile, India and Poland.</t>
  </si>
  <si>
    <t>Construction and Engineering*, Other Commercial Services</t>
  </si>
  <si>
    <t>highway maintenance, highway maintenance service, motorway construction, toll, toll operator</t>
  </si>
  <si>
    <t>www.autostrade.it</t>
  </si>
  <si>
    <t>226428-85P</t>
  </si>
  <si>
    <t>Alberto Milvio</t>
  </si>
  <si>
    <t>amilvio@autostrade.it</t>
  </si>
  <si>
    <t>+39 07 5169 1100 0</t>
  </si>
  <si>
    <t>Rome, Italy</t>
  </si>
  <si>
    <t>Via Bergamini 50</t>
  </si>
  <si>
    <t>Rome</t>
  </si>
  <si>
    <t>00159</t>
  </si>
  <si>
    <t>info@autostrade.it</t>
  </si>
  <si>
    <t>The company entered into a definitive agreement to be acquired by Cassa Depositi e Prestiti, The Blackstone Group and Macquarie Asset Management through a EUR 9.3 billion LBO on June 11, 2021. The transaction values the company at EUR 10.56 billion. The company is being actively tracked by PitchBook.</t>
  </si>
  <si>
    <t>Allianz Capital Partners, Atlantia, DIF, EDF Invest, Silk Road Fund Company</t>
  </si>
  <si>
    <t>Cassa Depositi e Prestiti, Macquarie Asset Management, The Blackstone Group</t>
  </si>
  <si>
    <t>Allianz Capital Partners(www.allianzcapitalpartners.com), Atlantia(www.atlantia.it), DIF(www.dif.eu), EDF Invest(www.edfinvest.com), Silk Road Fund Company(www.silkroadfund.com.cn)</t>
  </si>
  <si>
    <t>Cassa Depositi e Prestiti(en.cdp.it), Macquarie Asset Management(www.macquarie.com/us/corporate/asset-management), The Blackstone Group(www.blackstone.com)</t>
  </si>
  <si>
    <t>Banca Nazionale del Lavoro(Debt Financing), Banco BPM(Debt Financing), Bank Of New York Mellon Trust Company(Advisor: General), BNP Paribas(Debt Financing), Cassa Depositi e Prestiti(Debt Financing), Crédit Agricole Corporate &amp; Investment Bank(Debt Financing), Deutsche Bank(Debt Financing), European Investment Bank(Debt Financing), IMI Corporate &amp; Investment Banking(Debt Financing), Intesa Sanpaolo(Debt Financing), JPMorgan Chase(Advisor: General), Mediobanca(Debt Financing), Natixis(Debt Financing), UniCredit(Debt Financing)</t>
  </si>
  <si>
    <t>10331-02</t>
  </si>
  <si>
    <t>GKN Group</t>
  </si>
  <si>
    <t>Dowlais Iron Co, Guest, Keen and Nettlefolds</t>
  </si>
  <si>
    <t>GKN</t>
  </si>
  <si>
    <t>GKN plc</t>
  </si>
  <si>
    <t>Federal-Mogul Holdings, ZF Friedrichshafen, Cross Manufacturing Company (1938) Ltd, American Axle &amp; Manufacturing, Noranco, Mahle, Magna International, The NORDAM Group, B/E Aerospace, Valeo, BorgWarner, Chevrolet, Meritor, Kansas Aviation of Independence, Satair, OHB, Esterline Technologies, StandardAero, Advanced Integration Technology, Zodiac Aerospace, Airbus, Nova-Tech Engineering, Safran Group, Pratt &amp; Whitney, SpectraSensors, Klann, Castolin Eutectic, Gulfstream Aerospace, Philips Power Solutions, Precision Castparts, Rolls-Royce, Orbital ATK, GECO Avionics, Northrop Grumman</t>
  </si>
  <si>
    <t>Manufacturer and designer of services systems and components. The company's services systems and components include airframe and engine structures, landing gear, electrical interconnection systems, sideshafts, propshafts, couplings, power transfer units, rear drive modules, electric axles, transmissions and motors, bearings and filters, metal injection moulded components and powders, enabling aircraft, vehicle and machinery manufacturers to avail quality components for manufacturing aircraft, vehicle and machinery.</t>
  </si>
  <si>
    <t>Aerospace and Defense, Automotive, Construction and Engineering*</t>
  </si>
  <si>
    <t>aerospace components, aerospace parts, car components, car parts, engine structure, power transfer unit, sideshafts</t>
  </si>
  <si>
    <t>www.gkn.com</t>
  </si>
  <si>
    <t>1985: 51961, 1986: 44914, 1987: 39385, 1988: 37122, 1989: 36737, 1990: 33904, 1991: 31372, 1992: 29495, 1993: 27487, 1994: 32520, 1995: 32861, 1996: 29502, 1997: 32664, 1998: 35503, 1999: 39772, 2000: 42962, 2001: 39999, 2002: 36032, 2003: 35470, 2004: 36597, 2005: 37043, 2006: 36115, 2007: 37730, 2008: 38142, 2009: 35310, 2010: 35091, 2011: 36920, 2013: 49700, 2015: 50000, 2016: 17000, 2018: 60000</t>
  </si>
  <si>
    <t>Melrose Industries</t>
  </si>
  <si>
    <t>103151-17P</t>
  </si>
  <si>
    <t>Kevin Cummings</t>
  </si>
  <si>
    <t>Chief Executive &amp; Board Member</t>
  </si>
  <si>
    <t>kevin.cummings@gkn.com</t>
  </si>
  <si>
    <t>+44 (0)15 2751 7715</t>
  </si>
  <si>
    <t>Redditch, United Kingdom</t>
  </si>
  <si>
    <t>PO Box 55</t>
  </si>
  <si>
    <t>Ipsley House, Ipsley Church Lane</t>
  </si>
  <si>
    <t>Redditch</t>
  </si>
  <si>
    <t>B98 0TL</t>
  </si>
  <si>
    <t>+44 (0)15 2751 7700</t>
  </si>
  <si>
    <t>enquiries@gkn.com</t>
  </si>
  <si>
    <t>The company was acquired by Melrose Industries (LON: MRO) for GBP 8.1 billion on March 1, 2018.</t>
  </si>
  <si>
    <t>BlackRock, Elliott Management, Government of Singapore Investment Corporation (GIC)</t>
  </si>
  <si>
    <t>Dana (Automotive)</t>
  </si>
  <si>
    <t>BlackRock(www.blackrock.com), Elliott Management(www.elliottmgmt.com), Government of Singapore Investment Corporation (GIC)(www.gic.com.sg)</t>
  </si>
  <si>
    <t>Dana (Automotive)(www.dana.com)</t>
  </si>
  <si>
    <t>Mesirow Financial(Advisor: General)</t>
  </si>
  <si>
    <t>FTI Consulting(Advisor: General), Gleacher Shacklock(Advisor: General), JP Morgan Cazenove(Advisor: General), Norton Rose Fulbright(Legal Advisor), UBS Group(Advisor: General), White &amp; Case(Legal Advisor)</t>
  </si>
  <si>
    <t>61433-74</t>
  </si>
  <si>
    <t>Siemens VDO Automotive</t>
  </si>
  <si>
    <t>Siemens Automotive Corp</t>
  </si>
  <si>
    <t>Siemens VDO Automotive AG</t>
  </si>
  <si>
    <t>Manufacturer of fuel system components and electronic control components for automotives. The company's products include displays, ammeters, voltmeters, ohmmeters, pressure gauges, tachometers, speedometers, temperature gauges and fuel gauges.</t>
  </si>
  <si>
    <t>Industrial Supplies and Parts*</t>
  </si>
  <si>
    <t>commercial product, electronic control, security product</t>
  </si>
  <si>
    <t>2004: 48100, 2005: 50800, 2007: 50800</t>
  </si>
  <si>
    <t>61177-24P</t>
  </si>
  <si>
    <t>John Sanderson</t>
  </si>
  <si>
    <t>+1 (248) 253-1000</t>
  </si>
  <si>
    <t>Auburn Hills, MI</t>
  </si>
  <si>
    <t>2400 Executive Hills Drive</t>
  </si>
  <si>
    <t>Auburn Hills</t>
  </si>
  <si>
    <t>48326</t>
  </si>
  <si>
    <t>+1 (248) 209-4040</t>
  </si>
  <si>
    <t>The company was acquired by Continental for EUR 11.29 billion on December 3, 2007. The company is no longer actively tracked by PitchBook.</t>
  </si>
  <si>
    <t>Continental</t>
  </si>
  <si>
    <t>Siemens</t>
  </si>
  <si>
    <t>Siemens(new.siemens.com)</t>
  </si>
  <si>
    <t>42853-51</t>
  </si>
  <si>
    <t>Cole Real Estate Investments</t>
  </si>
  <si>
    <t>Cole Real Estate Investments, Inc.</t>
  </si>
  <si>
    <t>Operator of a real estate investment trust. The company acquires and operates a diversified portfolio of core commercial real estate investments.</t>
  </si>
  <si>
    <t>Other Commercial Services, Other Financial Services, Real Estate Investment Trusts (REITs)*</t>
  </si>
  <si>
    <t>investment services, property investor, real estate investment trust, reit</t>
  </si>
  <si>
    <t>colereit.com</t>
  </si>
  <si>
    <t>2013: 353</t>
  </si>
  <si>
    <t>2555 East Camelback Road</t>
  </si>
  <si>
    <t>85016</t>
  </si>
  <si>
    <t>The company was acquired by American Realty Capital Properties (NASDAQ: ARCP) for $11.2 billion on February 7, 2014. The company is no longer actively tracked by PitchBook.</t>
  </si>
  <si>
    <t>VEREIT</t>
  </si>
  <si>
    <t>CCL Search(Consulting)</t>
  </si>
  <si>
    <t>Lazard Middle Market(Advisor: General), Morris Manning &amp; Martin(Legal Advisor), Sullivan &amp; Cromwell(Legal Advisor), The Goldman Sachs Group(Advisor: General), Venable(Legal Advisor)</t>
  </si>
  <si>
    <t>111171-88</t>
  </si>
  <si>
    <t>Companhia de Bebidas das Americas</t>
  </si>
  <si>
    <t>ABV, AmBev</t>
  </si>
  <si>
    <t>Ambev S.A.</t>
  </si>
  <si>
    <t>Kirin Holdings Company, Concha Y Toro Winery, Carlsberg, Gruppo Campari, United Breweries, Asahi Group Holdings, Constellation Brands, Sapporo Holdings, Royal Unibrew, Treasury Wine Estates, Bacardi-Martini</t>
  </si>
  <si>
    <t>Ambev is the largest brewer in Latin America by volume and the fourth- largest beer producer in the world. It produces, distributes, and sells beer and PepsiCo products in Brazil and other Latin American countries. It also owns Argentina's largest brewer, Quinsa. Ambev was formed in 1999 through the merger of Brazil's two largest beverage firms, Brahma and Antarctica. In 2004, Ambev combined with Canadian brewer Labatt, giving Interbrew (now Anheuser-Busch InBev) a controlling interest.</t>
  </si>
  <si>
    <t>alcoholic beverages, brewery company</t>
  </si>
  <si>
    <t>www.ambev.com.br</t>
  </si>
  <si>
    <t>1997: 10955, 1998: 10708, 1999: 9416, 2000: 17500, 2001: 18136, 2002: 18570, 2003: 18890, 2005: 28567, 2006: 35090, 2007: 35593, 2008: 39301, 2009: 40787, 2010: 44924, 2011: 46503, 2012: 51437, 2013: 52964, 2014: 52192, 2015: 52738, 2016: 53250, 2017: 51432, 2018: 49617, 2019: 51352, 2020: 50479</t>
  </si>
  <si>
    <t>99314-38P</t>
  </si>
  <si>
    <t>Bernardo Paiva</t>
  </si>
  <si>
    <t>pinto@ambev.com.br</t>
  </si>
  <si>
    <t>Rua Dr. Renato Paes de Barros</t>
  </si>
  <si>
    <t>1017 - 4 andar</t>
  </si>
  <si>
    <t>04530</t>
  </si>
  <si>
    <t>The company was acquired by Interbrew for $11.2 billion on August 27, 2004. The company is no longer actively tracked by PitchBook.</t>
  </si>
  <si>
    <t>Apsis Consultoria Empresarial(Consulting), Integration Consulting(Consulting)</t>
  </si>
  <si>
    <t>Cravath, Swaine &amp; Moore(Legal Advisor), Groton Partners(Advisor: General)</t>
  </si>
  <si>
    <t>12751-21</t>
  </si>
  <si>
    <t>Fraser &amp; Neave</t>
  </si>
  <si>
    <t>The Singapore and Straits Aerated Water Company</t>
  </si>
  <si>
    <t>F&amp;N</t>
  </si>
  <si>
    <t>Fraser and Neave Ltd.</t>
  </si>
  <si>
    <t>Fraser and Neave is a Singapore-based company that operates through four segments: dairies, beverages, publishing and printing industries, and others. The dairies segment generates the majority of total revenue by manufacturing, marketing, and selling dairy products. The beverages segment is the second- largest contributor to total revenue through the production and selling of soft drinks and alcoholic beverages. The publishing and printing business operates through a network of offices, printing plants, and distributors. The company mainly operates in East and Southeast Asia, with the majority of revenue generated in Southeast Asian countries, including Thailand, Malaysia, and Singapore.</t>
  </si>
  <si>
    <t>Beverages, Food Products, Holding Companies*</t>
  </si>
  <si>
    <t>beverages, food product, holding company, magazine printing, retailing of books</t>
  </si>
  <si>
    <t>www.fraserandneave.com</t>
  </si>
  <si>
    <t>2014: 8500, 2015: 7890, 2016: 6813, 2017: 7600, 2018: 7700, 2019: 7700, 2020: 7700</t>
  </si>
  <si>
    <t>TCC Assets</t>
  </si>
  <si>
    <t>156202-39P</t>
  </si>
  <si>
    <t>Hui Kit</t>
  </si>
  <si>
    <t>Chief Financial Officer &amp; Company Secretary</t>
  </si>
  <si>
    <t>+65 6318 9393</t>
  </si>
  <si>
    <t>Singapore, Singapore</t>
  </si>
  <si>
    <t>438 Alexandra Road</t>
  </si>
  <si>
    <t>Suite 20-00 Alexandra Point</t>
  </si>
  <si>
    <t>Singapore</t>
  </si>
  <si>
    <t>119958</t>
  </si>
  <si>
    <t>+65 6271 0811</t>
  </si>
  <si>
    <t>Southeast Asia</t>
  </si>
  <si>
    <t>The company was acquired by TCC Assets for $11.2 billion on February 1, 2013.</t>
  </si>
  <si>
    <t>Davidson Kempner Capital Management, Kirin Brewery Company, OUE, Thai Beverage</t>
  </si>
  <si>
    <t>Kirin Holdings Company, Temasek Holdings</t>
  </si>
  <si>
    <t>Davidson Kempner Capital Management(www.davidsonkempner.com), Kirin Brewery Company(www.kirin.co.jp), OUE(www.oue.com.sg), Thai Beverage(www.thaibev.com)</t>
  </si>
  <si>
    <t>Kirin Holdings Company(www.kirinholdings.co.jp), Temasek Holdings(www.temasek.com.sg)</t>
  </si>
  <si>
    <t>Deacons(Legal Advisor), Thanathip &amp; Partners(Legal Advisor)</t>
  </si>
  <si>
    <t>Bank of America Merrill Lynch(Advisor: General), CIMB Group Holdings(Advisor: General), Credit Suisse(Advisor: General)</t>
  </si>
  <si>
    <t>41584-06</t>
  </si>
  <si>
    <t>Pharmasset</t>
  </si>
  <si>
    <t>Pharmasset, Inc</t>
  </si>
  <si>
    <t>Developer of novel drugs to treat viral infections. The company is developing oral therapeutics for the treatment of the hepatitis C virus and an investigational antiretroviral drug for the treatment of HIV, enabling physicians to treat patients against Hepatitis C and HIV.</t>
  </si>
  <si>
    <t>Drug Discovery*, Pharmaceuticals</t>
  </si>
  <si>
    <t>antiretroviral drugs, antiviral drugs, chronic hepatitis, novel drugs, pharmaceutical company</t>
  </si>
  <si>
    <t>Clinical Trials - Phase 2</t>
  </si>
  <si>
    <t>www.pharmasset.com</t>
  </si>
  <si>
    <t>2005: 32, 2006: 32, 2007: 36, 2008: 67, 2009: 65, 2010: 62, 2011: 82</t>
  </si>
  <si>
    <t>303-A College Road. East</t>
  </si>
  <si>
    <t>+1 (609) 613-4100</t>
  </si>
  <si>
    <t>+1 (609) 613-4150</t>
  </si>
  <si>
    <t>The company was acquired by Gilead Sciences (NASDAQ: GILD) for $11.2 billion on November 21, 2011. The company is no longer actively tracked by PitchBook.</t>
  </si>
  <si>
    <t>Burrill &amp; Co, CDIB BioScience Venture Management, Horizon Technology Finance, Lumira Ventures, MDS Capital, MPM Capital, MSD Capital, Novartis Venture Fund, Roche Venture Fund, TVM Capital Life Science</t>
  </si>
  <si>
    <t>Burrill &amp; Co(www.burrillandco.com), CDIB BioScience Venture Management(www.cdibbiosciencevc.com), Horizon Technology Finance(www.horizontechfinance.com), Lumira Ventures(www.lumiraventures.com), MDS Capital(www.mdscapital.com), MPM Capital(www.mpmcapital.com), MSD Capital(www.msdcapital.com), Novartis Venture Fund(www.nvfund.com), TVM Capital Life Science(www.tvm-lifescience.com)</t>
  </si>
  <si>
    <t>Bank of America(Underwriter), Grant Thornton(Auditor), Horizon Technology Finance(Debt Financing), Shearman &amp; Sterling(Legal Advisor), Sullivan &amp; Cromwell(Legal Advisor), SVB Leerink(Advisor: General), UBS Group(Underwriter)</t>
  </si>
  <si>
    <t>Series D</t>
  </si>
  <si>
    <t>12854-98</t>
  </si>
  <si>
    <t>Chicago Board of Trade</t>
  </si>
  <si>
    <t>CBOT</t>
  </si>
  <si>
    <t>CBOT Holdings, Inc.</t>
  </si>
  <si>
    <t>Chicago Stock Exchange</t>
  </si>
  <si>
    <t>Operator of futures and futures-options exchange created to provide contract markets for its members and customers and to oversee the integrity and cultivation of those markets. The company's exchange provides prices that result from trading in open auction or electronic platforms enabling traders and broker to buy and sell securities, forward, future and swap contracts and financial instruments such as U.S. treasury bonds, stock indexes and commodities.</t>
  </si>
  <si>
    <t>Brokerage*, Other Capital Markets/Institutions</t>
  </si>
  <si>
    <t>financial instruments, futures options, stock exchange, treasury bonds</t>
  </si>
  <si>
    <t>www.cbot.com</t>
  </si>
  <si>
    <t>2005: 750, 2006: 684</t>
  </si>
  <si>
    <t>85906-18P</t>
  </si>
  <si>
    <t>Bernard Dan</t>
  </si>
  <si>
    <t>141 West Jackson Boulevard</t>
  </si>
  <si>
    <t>The company was acquired by CME Group (NAS: CME) on for $11.19 billion on July 12, 2007. The company is no longer actively tracked by PitchBook.</t>
  </si>
  <si>
    <t>CME Group</t>
  </si>
  <si>
    <t>Caledonia Private Capital, Vernon &amp; Park Capital</t>
  </si>
  <si>
    <t>Caledonia Private Capital(www.caledoniaprivatecapital.com), Vernon &amp; Park Capital(www.vernonpark.com)</t>
  </si>
  <si>
    <t>Intercontinental Exchange(www.intercontinentalexchange.com)</t>
  </si>
  <si>
    <t>Cypress Associates(Advisor: General), Sandler O'Neill + Partners(Lead Manager or Arranger), Strategic Business Intelligence(Consulting)</t>
  </si>
  <si>
    <t>Citigroup(Underwriter), Credit Suisse First Boston(Underwriter), Deloitte(Advisor: General), Jenner &amp; Block(Legal Advisor), JPMorgan Chase(Underwriter), Keefe, Bruyette &amp; Woods(Underwriter), Loop Capital Markets(Underwriter), Mackenzie Partners(Advisor: General), Melvin &amp; Company(Underwriter), Sandler O'Neill + Partners(Lead Manager or Arranger), The Williams Capital Group(Underwriter)</t>
  </si>
  <si>
    <t>12097-90</t>
  </si>
  <si>
    <t>Shoppers Drug Mart</t>
  </si>
  <si>
    <t>Koffler Stores</t>
  </si>
  <si>
    <t>Retailer of pharmaceutical drugs. The company offers over-the-counter medications, including supplements and natural health products, analgesics and cough and cold products; health and beauty aids, such as oral hygiene, hair care, deodorants, skin care, feminine hygiene, men's grooming, baby needs, and other toiletries; and cosmetics and fragrances, which comprise color cosmetics, skin treatment, fragrances, hair color, cosmetic accessories and leg wear.</t>
  </si>
  <si>
    <t>Specialty Retail*</t>
  </si>
  <si>
    <t>analgesic, drugs, hair care, health produce, medicine, oral hygiene, skin treatment, skincare, supplements</t>
  </si>
  <si>
    <t>2001: 31920, 2002: 32000, 2003: 32000, 2004: 970, 2005: 970, 2006: 1040, 2007: 1051, 2008: 46650, 2010: 52140, 2011: 52778, 2012: 53367, 2014: 8141</t>
  </si>
  <si>
    <t>Loblaw Companies</t>
  </si>
  <si>
    <t>34066-36P</t>
  </si>
  <si>
    <t>Shelley Rozenwald</t>
  </si>
  <si>
    <t>President of New Concept Store</t>
  </si>
  <si>
    <t>srozenwald@shoppersdrugmart.ca</t>
  </si>
  <si>
    <t>+1 (416) 490-2891</t>
  </si>
  <si>
    <t>243 Consumers Road</t>
  </si>
  <si>
    <t>M2J 4W8</t>
  </si>
  <si>
    <t>+1 (416) 490-2771</t>
  </si>
  <si>
    <t>The company (TSE:SC) was acquired by Loblaw Companies (TSE:L) for CAD 12.4 billion on March 28, 2014.</t>
  </si>
  <si>
    <t>aPriori Capital Partners, Avista Capital Partners, Bain Capital, British American Tobacco, Charlesbank Capital Partners, CIBC Capital Partners, Donaldson, Lufkin &amp; Jenrette, Kohlberg Kravis Roberts, Ontario Teachers' Pension Plan, TD Capital Mezzanine Partners</t>
  </si>
  <si>
    <t>aPriori Capital Partners(www.aprioricapital.com), Avista Capital Partners(www.avistacap.com), Bain Capital(www.baincapital.com), British American Tobacco(www.bat.com), Charlesbank Capital Partners(www.charlesbank.com), Donaldson, Lufkin &amp; Jenrette(www.dlj.com), Kohlberg Kravis Roberts(www.kkr.com), Ontario Teachers' Pension Plan(www.otpp.com), TD Capital Mezzanine Partners(www.tdcapital.com)</t>
  </si>
  <si>
    <t>Deloitte(Advisor: General), Kohlberg Kravis Roberts(Debt Financing)</t>
  </si>
  <si>
    <t>Bank of America Merrill Lynch(Underwriter), CIBC Capital Markets(Advisor: General), Credit Suisse(Underwriter), Glass Lewis(Advisor: General), Institutional Shareholder Services(Advisor: General), Osler, Hoskin &amp; Harcourt(Legal Advisor), RBC Capital Markets(Advisor: General), RBC Dominion Securities(Advisor: General), Scotiabank Global Banking and Markets(Underwriter), UBS Group(Advisor: General), Weil, Gotshal &amp; Manges(Legal Advisor)</t>
  </si>
  <si>
    <t>54843-13</t>
  </si>
  <si>
    <t>Cogeco (TSE: CGO)</t>
  </si>
  <si>
    <t>Cogeco, Inc.</t>
  </si>
  <si>
    <t>Le Groupe Vidéotron, Time Warner Cable, Cablevision, Sparklight, AT&amp;T, OneConnect Services, WideOpenWest, Towerstream, EastLink (telecommunications), Altice, Comcast, RCN Telecom Services, Frontier Communications, NuLink, Hawaiian Telcom Holdco, Consolidated Communications, FairPoint Communications, T-Mobile Netherlands, Tait Communications, Dish Network, Canquest Communications (Canada), Charter Communications, DirecTV, Lightower Fiber Networks, BCE, TekSavvy Solutions</t>
  </si>
  <si>
    <t>Cogeco Inc is a telecommunications company. The company has two reportable operating segments namely Communications and Other. The company generates maximum revenue from the Communications segment. The communication technologies segment provides colocation, network connectivity, managed hosting, and cloud services to corporate and small to medium businesses in Canada, the United States, and Europe.</t>
  </si>
  <si>
    <t>broadband network, cable distribution, cable distribution services</t>
  </si>
  <si>
    <t>Failed Transaction (M&amp;A)</t>
  </si>
  <si>
    <t>corpo.cogeco.com</t>
  </si>
  <si>
    <t>1997: 490, 1998: 1075, 1999: 1241, 2000: 1459, 2001: 1459, 2002: 1300, 2003: 1300, 2004: 1300, 2005: 573, 2006: 2415, 2007: 2415, 2008: 2052, 2009: 2209, 2010: 2339, 2011: 3036, 2012: 3290, 2013: 4555, 2014: 4900, 2015: 4500, 2016: 4740, 2017: 4736, 2018: 5199, 2019: 3151, 2020: 3740, 2021: 3750</t>
  </si>
  <si>
    <t>CGO</t>
  </si>
  <si>
    <t>35235-19P</t>
  </si>
  <si>
    <t>Patrice Ouimet</t>
  </si>
  <si>
    <t>patrice.ouimet@corpo.cogeco.com</t>
  </si>
  <si>
    <t>+1 (514) 764-4600</t>
  </si>
  <si>
    <t>1, Place Ville-Marie</t>
  </si>
  <si>
    <t>Office 3301</t>
  </si>
  <si>
    <t>H3B 3N2</t>
  </si>
  <si>
    <t>The company (TSE: CGO) was in talks to be acquired by Altice USA (NYS: ATUS) on September 2, 2020. On October 18, 2020, Altice and Rogers submitted a revised non-binding proposal to Gestion Audem, the majority shareholders of the company. Under the new offer, Altice would pay $11.1 billion in cash, up from $10.3 billion, to buy all the shares in the company. Gestion Audem has already indicated that it does not intend to sell its shares and will not support the revised proposal. Subsequently, the deal was canceled on November 18, 2020.</t>
  </si>
  <si>
    <t>Gestion Audem, Rogers Communications</t>
  </si>
  <si>
    <t>Caisse de dépôt et placement du Québec</t>
  </si>
  <si>
    <t>Altice USA</t>
  </si>
  <si>
    <t>Caisse de dépôt et placement du Québec(www.cdpq.com)</t>
  </si>
  <si>
    <t>Altice USA(www.alticeusa.com)</t>
  </si>
  <si>
    <t>Deloitte(Auditor), McCarthy Tétrault(Legal Advisor), Stikeman Elliott(Legal Advisor), Tonex(Consulting)</t>
  </si>
  <si>
    <t>97532-20</t>
  </si>
  <si>
    <t>GE Transportation</t>
  </si>
  <si>
    <t>GE Rail</t>
  </si>
  <si>
    <t>GE, GE (locomotive business)</t>
  </si>
  <si>
    <t>Electro-Motive Diesel</t>
  </si>
  <si>
    <t>Provider of digital transportation services. The company's services include creating digital-rail ecosystem, shipper, receiver, ports, intermodal terminals, mainline locomotives and railcars.</t>
  </si>
  <si>
    <t>Rail*</t>
  </si>
  <si>
    <t>Industrials, TMT</t>
  </si>
  <si>
    <t>digital locomotive service, drilling, railway operations center, stationary power service, train yards</t>
  </si>
  <si>
    <t>www.getransportation.com</t>
  </si>
  <si>
    <t>2017: 10000, 2018: 9000, 2019: 9000, 2020: 10000</t>
  </si>
  <si>
    <t>30 Isabella Street</t>
  </si>
  <si>
    <t>15212</t>
  </si>
  <si>
    <t>The company, a subsidiary of General Electric (NYSE: GE) was acquired by Wabtec (NYS: WAB) for $11.1 billion on February 25, 2019. The consideration includes $2.9 billion up-front payment in cash and its shareholders will own 50.1 percent of the combined company, while Wabtec shareholders will own the rest. This acquisition establishes Wabtec as a Fortune 500, global transportation and logistics leader by combining Wabtec's broad range of freight, transit and electronics products with the division's best-in-class equipment, services and digital solutions in the locomotive, mining, marine, stationary power and drilling industries. The company is no longer actively tracked by PitchBook.</t>
  </si>
  <si>
    <t>Wabtec</t>
  </si>
  <si>
    <t>Arnold &amp; Porter Kaye Scholer(Legal Advisor)</t>
  </si>
  <si>
    <t>115087-69</t>
  </si>
  <si>
    <t>E-Plus</t>
  </si>
  <si>
    <t>E-Plus Mobilfunk GmbH</t>
  </si>
  <si>
    <t>Provider of mobile and fixed line services to residential and business customers. The company offers mobile telecommunications, on-site support and post-paid and prepaid mobile telecom products.</t>
  </si>
  <si>
    <t>mobile telecommunication service, onsite support service</t>
  </si>
  <si>
    <t>www.eplus-gruppe.de</t>
  </si>
  <si>
    <t>2015: 1001</t>
  </si>
  <si>
    <t>Telefonica Deutschland</t>
  </si>
  <si>
    <t>54155-80P</t>
  </si>
  <si>
    <t>Horst Lennertz</t>
  </si>
  <si>
    <t>Supervisory Board Member</t>
  </si>
  <si>
    <t>+1 (617) 406-1600</t>
  </si>
  <si>
    <t>E-Plus-Straße 1</t>
  </si>
  <si>
    <t>Sitz der Gesellschaft, Amtsgericht Düsseldorf</t>
  </si>
  <si>
    <t>74152</t>
  </si>
  <si>
    <t>+49 (0)21 1448 0</t>
  </si>
  <si>
    <t>+49 (0)21 1448 2222</t>
  </si>
  <si>
    <t>kundenservice@eplus.de</t>
  </si>
  <si>
    <t>The company was acquired by Telefónica Deutschland (BER: O2D) for EUR 8.6 billion on October 1, 2014. The acquisition consideration was paid as EUR 5 million plus 17.6% of KPN's shares.</t>
  </si>
  <si>
    <t>América Móvil, Iris Capital, Koninklijke KPN</t>
  </si>
  <si>
    <t>Iris Capital(www.iriscapital.com), Koninklijke KPN(www.kpn.com)</t>
  </si>
  <si>
    <t>97165-09</t>
  </si>
  <si>
    <t>Boeing's 100 737 MAX jetliner</t>
  </si>
  <si>
    <t>100 Boeing 737 MAX jetliners. The portfolio consists jet planes of high-density version offering 200-seat per plane and providing fuel savings of 3.5 percent per seat.</t>
  </si>
  <si>
    <t>Air, Buildings and Property*</t>
  </si>
  <si>
    <t>aircraft service, jet plane, jetliner</t>
  </si>
  <si>
    <t>Ryanair (DUB: RY4B) acquired 100 737 MAX jetliners of Boeing (NYSE: BA) for $11 billion on September 5, 2014. The assets are no longer actively tracked by PitchBook.</t>
  </si>
  <si>
    <t>Ryanair</t>
  </si>
  <si>
    <t>Boeing</t>
  </si>
  <si>
    <t>Boeing(www.boeing.com)</t>
  </si>
  <si>
    <t>Davy Corporate Finance(Advisor: General)</t>
  </si>
  <si>
    <t>13372-39</t>
  </si>
  <si>
    <t>New York Stock Exchange</t>
  </si>
  <si>
    <t>NYSE</t>
  </si>
  <si>
    <t>The New York Stock Exchange, LLC</t>
  </si>
  <si>
    <t>Euronext, BSE, Cboe Global Markets, Borsa Italiana, NASDAQ, Deutsche Börse Group, CSC Commodities</t>
  </si>
  <si>
    <t>New York Stock Exchange is an operator of a stock exchange in the United States. The company facilitates companies to raise the capital and offers securities listing, market data products and enables trading of exchange-traded funds, listed securities and equity derivatives.</t>
  </si>
  <si>
    <t>exchange traded fund, secondary market, security listings, shares market, stock exchange, stock market</t>
  </si>
  <si>
    <t>www.nyse.com</t>
  </si>
  <si>
    <t>2003: 232, 2004: 234, 2005: 1975, 2006: 2578, 2007: 3083, 2008: 3757, 2009: 3538, 2010: 2968, 2011: 3077, 2012: 3079, 2013: 2993</t>
  </si>
  <si>
    <t>News (New) , News (New) , News (New) , News (New) , News (New) , News (New) , News (New) , News (New) , News (New) , News (New) , News (New) , News (New) , News (New) , News (New) , 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</si>
  <si>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</si>
  <si>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156984-49P</t>
  </si>
  <si>
    <t>Stacey Cunningham</t>
  </si>
  <si>
    <t>stacey.cunningham@nyse.com</t>
  </si>
  <si>
    <t>+1 (212) 656-5165</t>
  </si>
  <si>
    <t>No. 20 Broad Street</t>
  </si>
  <si>
    <t>10005</t>
  </si>
  <si>
    <t>info@nyse.com</t>
  </si>
  <si>
    <t>The company (NYSE: NYX) was acquired by Intercontinental Exchange (NYSE: ICE) through a $11 billion public-to-private transaction on November 12, 2013. ICE was backed by Goldman Sachs Capital Partners. The proceeds consisted of around 75 percent shares and 25 percent cash.</t>
  </si>
  <si>
    <t>Archipelago Exchange</t>
  </si>
  <si>
    <t>Claridge, General Atlantic, Vernon &amp; Park Capital</t>
  </si>
  <si>
    <t>Deutsche Börse Group</t>
  </si>
  <si>
    <t>Archipelago Exchange(www.archipelago.com)</t>
  </si>
  <si>
    <t>Claridge(www.claridgeinc.com), General Atlantic(www.generalatlantic.com), Vernon &amp; Park Capital(www.vernonpark.com)</t>
  </si>
  <si>
    <t>Deutsche Börse Group(www.deutsche-boerse.com)</t>
  </si>
  <si>
    <t>Montfort Communications(Advisor: General), RBB Business Advisors(Accounting), Sard Verbinnen(Advisor: Communications)</t>
  </si>
  <si>
    <t>BNP Paribas(Advisor: General), Citigroup(Advisor: General), Marlin &amp; Associates(Advisor: General), Moelis &amp; Company(Advisor: General), Perella Weinberg Partners(Advisor: General), Richards Layton &amp; Finger(Legal Advisor), Slaughter and May(Legal Advisor), Stibbe(Legal Advisor), The Blackstone Group(Advisor: General), The Goldman Sachs Group(Advisor: General), Wachtell, Lipton, Rosen &amp; Katz(Legal Advisor)</t>
  </si>
  <si>
    <t>12049-84</t>
  </si>
  <si>
    <t>Solectron</t>
  </si>
  <si>
    <t>Solectron Corporation</t>
  </si>
  <si>
    <t>Manufacturer of circuit boards designed for original equipment manufacturers. The company offers electronics manufacturing services to original equipment manufacturers (OEMs) who design and sell networking equipment, mobile and land-based telecommunications equipment, computing equipment, workstations,
notebooks, desktops and peripherals and other electronic equipment</t>
  </si>
  <si>
    <t>Electrical Equipment</t>
  </si>
  <si>
    <t>Electrical Equipment*</t>
  </si>
  <si>
    <t>circuit board, electronic manufacturer, electronic product</t>
  </si>
  <si>
    <t>1990: 2000, 1991: 2131, 1992: 2979, 1993: 4545, 1994: 4545, 1995: 11049, 1996: 10781, 1997: 18215, 1998: 24857, 1999: 24857, 2000: 24857, 2001: 14057, 2002: 73000, 2003: 66000, 2004: 57000, 2005: 53000, 2006: 59000, 2009: 59000</t>
  </si>
  <si>
    <t>188344-27P</t>
  </si>
  <si>
    <t>Koichi Nishimura</t>
  </si>
  <si>
    <t>847 Gibraltar Drive</t>
  </si>
  <si>
    <t>The company was acquired by Flextronics International (NASDAQ: FLEX) for $11 billion on October 1, 2007. The company is no longer actively tracked by PitchBook.</t>
  </si>
  <si>
    <t>Norwest Equity Partners</t>
  </si>
  <si>
    <t>Flex (Electronics )</t>
  </si>
  <si>
    <t>Norwest Equity Partners(www.nep.com)</t>
  </si>
  <si>
    <t>ABN AMRO Bank(Debt Financing), Bank of America Merrill Lynch(Lead Manager or Arranger), Citigroup(Debt Financing), J.P. Morgan Securities(Lead Manager or Arranger), Landmark Ventures(Advisor: General), NatWest Group(Debt Financing), Scotiabank(Debt Financing)</t>
  </si>
  <si>
    <t>41027-59</t>
  </si>
  <si>
    <t>The May Department Stores Company</t>
  </si>
  <si>
    <t>The May Department Stores Co.</t>
  </si>
  <si>
    <t>Operator of a holding company in Missouri, United States. The company's services include managing, acquiring and developing the departmental stores that it owns.</t>
  </si>
  <si>
    <t>Department Stores, Holding Companies*</t>
  </si>
  <si>
    <t>departmental store chain, departmental stores owner, holding company, holding firm, holding firm operator</t>
  </si>
  <si>
    <t>www.maycompany.com</t>
  </si>
  <si>
    <t>1990: 115000, 1991: 116000, 1992: 115000, 1993: 115000, 1994: 113000, 1995: 119000, 1996: 61000, 1997: 53000, 1998: 56000, 1999: 60000, 2000: 134000, 2001: 137000, 2002: 127000, 2003: 116000, 2004: 110000, 2005: 132000, 2013: 132000</t>
  </si>
  <si>
    <t>178906-06P</t>
  </si>
  <si>
    <t>Eugene Kahn</t>
  </si>
  <si>
    <t>+1 (314) 342-6300</t>
  </si>
  <si>
    <t>611 Olive Street</t>
  </si>
  <si>
    <t>63101</t>
  </si>
  <si>
    <t>The company was acquired by Macy's (NYS: M) for 11 billion on August 30, 2005. The acquisition creates a stronger, more resourceful company with more stores nationwide. The company is no longer actively tracked by PitchBook.</t>
  </si>
  <si>
    <t>Macy's</t>
  </si>
  <si>
    <t>PJ SOLOMON(Advisor: General)</t>
  </si>
  <si>
    <t>11616-94</t>
  </si>
  <si>
    <t>US Airways</t>
  </si>
  <si>
    <t>USAir, All American Aviation</t>
  </si>
  <si>
    <t>US Airways Group</t>
  </si>
  <si>
    <t>US Airways, Inc.</t>
  </si>
  <si>
    <t>Southwest Airlines, American Airlines</t>
  </si>
  <si>
    <t>Provider of air transportation services. The company's air transportation services is managed through a fleet of 343 mainline aircraft as well as 278 regional jet and turbo-prop aircraft, enabling customers to avail quality services.</t>
  </si>
  <si>
    <t>Air*</t>
  </si>
  <si>
    <t>air transportation, airline aircraft, airline flight, airways shuttle, aviation</t>
  </si>
  <si>
    <t>www.usairways.com</t>
  </si>
  <si>
    <t>1989: 53700, 1990: 53000, 1991: 48700, 1992: 48900, 1993: 45400, 1994: 45400, 1995: 45400, 1996: 43500, 1997: 42500, 1998: 42625, 1999: 46300, 2000: 48100, 2001: 35800, 2002: 37100, 2003: 31700, 2004: 29500, 2005: 36600, 2006: 37000, 2007: 34400, 2008: 37500, 2009: 32393, 2010: 35800, 2011: 36800, 2012: 31467, 2013: 37400</t>
  </si>
  <si>
    <t>4000 East Sky Harbor Boulevard</t>
  </si>
  <si>
    <t>85034</t>
  </si>
  <si>
    <t>The company was acquired by American Airlines (NAS: AAL) for $11 billion on December 9, 2013. The company is no longer actively tracked by PitchBook.</t>
  </si>
  <si>
    <t>American Airlines</t>
  </si>
  <si>
    <t>TPG</t>
  </si>
  <si>
    <t>TPG(www.tpg.com)</t>
  </si>
  <si>
    <t>Callan Associates(LP Consultant: General), Compass Partners(Advisor: General), Creel, García-Cuéllar, Aiza y Enríquez(Legal Advisor), Houlihan Capital(Valuation/Appraiser), Mayer Hoffman McCann(Auditor), Waterman Consultants(Consulting), Wells Fargo(Auditor), WNG Capital(Advisor: General)</t>
  </si>
  <si>
    <t>Barclays(Advisor: General), Cadwalader, Wickersham &amp; Taft(Legal Advisor), Dechert(Legal Advisor), Duane Morris(Legal Advisor), Invesco(Debt Financing), Latham &amp; Watkins(Legal Advisor), Millstein &amp; Co.(Advisor: General), O'Melveny &amp; Myers(Legal Advisor)</t>
  </si>
  <si>
    <t>51735-97</t>
  </si>
  <si>
    <t>VEREIT (NYS: VER)</t>
  </si>
  <si>
    <t>American Realty Capital Properties</t>
  </si>
  <si>
    <t>VEREIT, Inc.</t>
  </si>
  <si>
    <t>Agree Realty Corporation, General Growth Properties, Pennsylvania Real Estate Investment Trust, CBL Properties, Retail Properties of America, Federal Realty Investment Trust, Mack Cali Realty, Realty Income, Vornado Realty Trust, National Retail Properties, Service Properties Trust, Acadia Realty Trust, Prologis, Chimera Investment, Macerich, Regency Centers, Kilroy Realty, Simon Property Group, Parkway, Kimco Realty, Brixmor Property Group, Weingarten Realty, Kite Realty Group Trust</t>
  </si>
  <si>
    <t>VEREIT Inc is a real estate investment trust primarily involved in the ownership of property located in the U.S. and Canada. VEREIT organizes its operations through the Real Estate Investment segment and the investment management segment. The company derives the vast majority of its income from its Real Estate Investment division in the form of rental income from long-term leases. This business unit owns and manages a real estate portfolio that is fairly evenly diversified between retail, restaurant, office, and industrial properties. A sizable amount of the company's total rental income is derived from customers in the casual dining restaurant and manufacturing industries.</t>
  </si>
  <si>
    <t>portfolio management, real estate investment company operator, realty investment, realty trust, reit company, reit management</t>
  </si>
  <si>
    <t>2013: 400, 2014: 400, 2015: 350, 2016: 350, 2017: 330, 2018: 180, 2019: 160, 2020: 160</t>
  </si>
  <si>
    <t>VER</t>
  </si>
  <si>
    <t>42720-13P</t>
  </si>
  <si>
    <t>Glenn Rufrano</t>
  </si>
  <si>
    <t>grufrano@vereit.com</t>
  </si>
  <si>
    <t>+1 (602) 778-6000</t>
  </si>
  <si>
    <t>2325 East Camelback Road</t>
  </si>
  <si>
    <t>9th Floor</t>
  </si>
  <si>
    <t>The company reached a definitive agreement to be acquired by Realty Income (NYS: O) for $11 billion on April 29, 2021. The company's shareholders will receive 0.705 shares of Realty Income stock and will own 30% of the combined company, while Realty Income shareholders will own 70%. The acquisition will help Realty Income add meaningful diversification that further enables new growth avenues, strengthen cash flow durability and provide significant financial synergies, particularly through accretive debt refinancing opportunities. The company is being actively tracked by PitchBook.</t>
  </si>
  <si>
    <t>Luxor Capital Group</t>
  </si>
  <si>
    <t>Realty Income</t>
  </si>
  <si>
    <t>Luxor Capital Group(www.luxorcap.com)</t>
  </si>
  <si>
    <t>Realty Income(www.realtyincome.com)</t>
  </si>
  <si>
    <t>BNY Mellon Capital Markets(Advisor: General), BofA Securities(Debt Financing), Comerica Securities(Advisor: General), First Horizon National(Debt Financing), Janney(Advisor: General), Joele Frank(Advisor: Communications), KeyBanc Capital Markets(Advisor: General), Lowenstein Sandler(Legal Advisor), Milbank(Legal Advisor), Mizuho Securities(Advisor: General), Morgan Stanley(Advisor: General), Regions Securities(Advisor: General), SMBC Nikko Securities(Advisor: General), U.S. Bancorp(Debt Financing), Wells Fargo Securities(Advisor: General)</t>
  </si>
  <si>
    <t>Barclays Investment Bank(Underwriter), Citigroup(Underwriter), Goodwin(Legal Advisor), Grant Thornton(Accounting), J.P. Morgan Securities(Advisor: General), JMP Securities(Advisor: General), Ladenburg Thalmann Financial Services(Advisor: General), Luxor Capital Group(Advisor: General), Proskauer Rose(Legal Advisor), Realty Capital Securities(Advisor: General), The Goldman Sachs Group(Underwriter), Venable(Legal Advisor), Wachtell, Lipton, Rosen &amp; Katz(Legal Advisor)</t>
  </si>
  <si>
    <t>10254-79</t>
  </si>
  <si>
    <t>Pinnacle Foods</t>
  </si>
  <si>
    <t>Armour and Company, Vlasic Foods International</t>
  </si>
  <si>
    <t>Pinnacle</t>
  </si>
  <si>
    <t>Pinnacle Foods, Inc.</t>
  </si>
  <si>
    <t>Bellisio Foods, AdvancePierre Foods, Adelie Foods Group, McCain Foods, A.K. Stoddart, 2 Sisters Food Group, Michael Foods, Veeba, Duke Food Productions, Ben E. Keith, Hearthside Food Solutions, Quaker Oats, Vosges Haut-Chocolat, Johnsonville, Fauji Foods, J&amp;J Snack Foods, Greencore Group, Sherwood Food Distributors, Pretzels, Lipari Foods, Shearer's Snacks, Ghirardelli Chocolate, Mondelēz International, WhiteWave Foods, The C.F. Sauer Company, Heck Food, Post Holdings</t>
  </si>
  <si>
    <t>Producer and supplier of packaged consumer food products specializing in shelf-stable and frozen foods. The company's products include pre-cooked, frozen, refrigerated and shelf-stable food, enabling the consumers to serve complete home-cooked meals in minutes.</t>
  </si>
  <si>
    <t>cooked meals, frozen food, home cooked meal, package consumer food, shelf-stable meals</t>
  </si>
  <si>
    <t>www.pinnaclefoods.com</t>
  </si>
  <si>
    <t>2012: 3700, 2013: 3700, 2014: 4000, 2015: 4300, 2016: 5100, 2017: 4900, 2018: 5500</t>
  </si>
  <si>
    <t>399 Jefferson Road</t>
  </si>
  <si>
    <t>The company (NYSE: PF) was acquired by Conagra Brands (NYSE: CAG) for $10.9 billion on October 26, 2018. The transaction will enhance Conagra Brands' multi-year transformation plan and expand its presence and capabilities in its most strategic categories, including frozen foods and snacks. The company is no longer actively tracked by PitchBook.</t>
  </si>
  <si>
    <t>Conagra Brands</t>
  </si>
  <si>
    <t>Campbell Soup Company, Capital Research and Management Company, CCMP Capital Advisors, Citadel (Hedge Fund), FIS Holdings, HM Capital Partners, JP Morgan Asset Management, Kainos Capital, Lexington Partners, Metropoulos &amp; Company, Prospect Hill Growth Partners, The Blackstone Group</t>
  </si>
  <si>
    <t>Hillshire Brands</t>
  </si>
  <si>
    <t>Campbell Soup Company(www.campbellsoupcompany.com), CCMP Capital Advisors(www.ccmpcapital.com), Citadel (Hedge Fund)(www.citadel.com), FIS Holdings(www.fis-holdings.com), HM Capital Partners(www.hmcapital.com), JP Morgan Asset Management(am.jpmorgan.com), Kainos Capital(www.kainoscapital.com), Lexington Partners(www.lexingtonpartners.com), Metropoulos &amp; Company(www.metropoulos.com), Prospect Hill Growth Partners(www.prospecthillgrowth.com), The Blackstone Group(www.blackstone.com)</t>
  </si>
  <si>
    <t>WeissLaw(Legal Advisor)</t>
  </si>
  <si>
    <t>Bank of America Merrill Lynch(Underwriter), Barclays(Lead Manager or Arranger), Barclays Investment Bank(Underwriter), BMO Capital Markets(Underwriter), Brown Gibbons Lang &amp; Company(Advisor: General), CL King &amp; Associates(Underwriter), Corporate Capital Trust(Debt Financing), Cravath, Swaine &amp; Moore(Legal Advisor), Credit Suisse(Underwriter), Credit Suisse Securities (USA)(Underwriter), Deloitte(Advisor: General), Deutsche Bank Securities(Underwriter), Evercore Group(Advisor: General), Gladstone Capital(Debt Financing), HSBC Holdings(Lead Manager or Arranger), Janney(Underwriter), Kahn Swick &amp; Foti(Legal Advisor), Latham &amp; Watkins(Legal Advisor), Lehman Brothers(Advisor: General), Macquarie Group(Underwriter), McCarthy Tétrault(Legal Advisor), Morgan Stanley(Underwriter), Piper Sandler(Underwriter), Portman Ridge Finance Corp(Debt Financing), PwC(Accounting), Rigrodsky &amp; Long(Legal Advisor), Rothschild &amp; Co(Advisor: General), Simpson Thacher &amp; Bartlett(Legal Advisor), Stephens(Advisor: General), Stifel Financial(Underwriter), The Blackstone Group(Underwriter), The Goldman Sachs Group(Underwriter), UBS Securities (China)(Underwriter), Vinson &amp; Elkins(Legal Advisor)</t>
  </si>
  <si>
    <t>62210-08</t>
  </si>
  <si>
    <t>Apollo Tyres (BOM: 500877)</t>
  </si>
  <si>
    <t>Premier Tyres</t>
  </si>
  <si>
    <t>Apollo</t>
  </si>
  <si>
    <t>Apollo Tyres Ltd</t>
  </si>
  <si>
    <t>TVS Srichakra, JK Tyre &amp; Industries, CEAT, Nokian Tyres, Bridgestone India, Continental, American Axle &amp; Manufacturing, Hankook Tire &amp; Technology, Magna International, Kumho Tire, Goodyear Tire &amp; Rubber, Birla Tyres, Firestone Tire and Rubber Company, Wabco, Groupe Michelin, Bridgestone Europe, Hyundai Mobis, ContiTech, MRF</t>
  </si>
  <si>
    <t>Apollo Tyres Ltd manufactures and sells tires. The company's geographical segments are the Asia Pacific, the Middle East, and Africa, Europe, and Others. The firm's two key brands are Apollo and Vredestein. The product portfolio comprises tires for passenger, commercial, off-highway vehicles, and two-wheelers.</t>
  </si>
  <si>
    <t>Automotive, Industrial Supplies and Parts*</t>
  </si>
  <si>
    <t>automotive tyres, car tyres, truck tyres, truck tyres center, vehicle tyres</t>
  </si>
  <si>
    <t>www.apollotyres.com</t>
  </si>
  <si>
    <t>2013: 16000, 2014: 9713, 2015: 14587, 2016: 12853, 2017: 13013, 2018: 7663, 2019: 7691, 2020: 14170, 2021: 18734</t>
  </si>
  <si>
    <t>500877</t>
  </si>
  <si>
    <t>192488-50P</t>
  </si>
  <si>
    <t>Gaurav Kumar</t>
  </si>
  <si>
    <t>gaurav.kumar@apollotyres.com</t>
  </si>
  <si>
    <t>+91 (0)12 4272 1000</t>
  </si>
  <si>
    <t>Gurgaon, India</t>
  </si>
  <si>
    <t>Apollo House, 7 Institutional Area</t>
  </si>
  <si>
    <t>Sector 32</t>
  </si>
  <si>
    <t>Gurgaon</t>
  </si>
  <si>
    <t>122001</t>
  </si>
  <si>
    <t>The company (BOM: 500877) sold a 9.93% stake to Emerald Sage Investment for $10.8 billion on December 7, 2020 through a private placement. Previously, the company (BOM:500877) received $150 million of development capital from Warburg Pincus in February 2020 through a private placement.</t>
  </si>
  <si>
    <t>Corporate Professional(Advisor: General)</t>
  </si>
  <si>
    <t>JM Financial(Advisor: General), Kotak Mahindra Capital(Advisor: General), UBS Securities (China)(Advisor: General)</t>
  </si>
  <si>
    <t>25316-83</t>
  </si>
  <si>
    <t>UBS Financial Services</t>
  </si>
  <si>
    <t>UBS PaineWebber</t>
  </si>
  <si>
    <t>UBS</t>
  </si>
  <si>
    <t>UBS Financial Services Inc.</t>
  </si>
  <si>
    <t>UBS Financial Services registered with the U.S. Securities and Exchange Commission as a broker-dealer and investment advisor and offers securities, trading, brokerage and related products and services. As a firm providing wealth management services to clients, UBS offers brokerage and investment advisory services. Advisory services and brokerage services are separate and distinct, differ in material ways and are governed by different laws and separate arrangements. For more information, please review the PDF document at ubs.com/workingwithus. It is not a bank, and its securities accounts provide access to banking services and products through arrangements with affiliated banks and other third-party banks.</t>
  </si>
  <si>
    <t>Asset Management, Brokerage, Consulting Services (B2B)*</t>
  </si>
  <si>
    <t>employee retirement, institutional consulting service, wealth management firm</t>
  </si>
  <si>
    <t>financialservicesinc.ubs.com</t>
  </si>
  <si>
    <t>UBS Group</t>
  </si>
  <si>
    <t>73725-94P</t>
  </si>
  <si>
    <t>Terry Cook</t>
  </si>
  <si>
    <t>Managing Director, Investments</t>
  </si>
  <si>
    <t>terry.cook@ubs.com</t>
  </si>
  <si>
    <t>1285 Avenue Of The Americas</t>
  </si>
  <si>
    <t>+1 (212) 713-4944</t>
  </si>
  <si>
    <t>+1 (212) 969-7722</t>
  </si>
  <si>
    <t>The company was acquired by UBS AG (UBSG:SWX) for $10.8 billion on October 24, 2000. The company is no longer actively tracked by PitchBook.</t>
  </si>
  <si>
    <t>KLS Associates(Consulting), Maynard Cooper &amp; Gale(Legal Advisor), Wollmuth Maher &amp; Deutsch(Legal Advisor)</t>
  </si>
  <si>
    <t>277804-72</t>
  </si>
  <si>
    <t>Symantec (Enterprise Business)</t>
  </si>
  <si>
    <t>Provider of enterprise cybersecurity services based in Mountain View, California.</t>
  </si>
  <si>
    <t>Network Management Software, Systems and Information Management*</t>
  </si>
  <si>
    <t>Cybersecurity, Mobility Tech</t>
  </si>
  <si>
    <t>cybersecurity, cybersecurity services, enterprise security, enterprise security solutions, enterprise security system, mobility tech</t>
  </si>
  <si>
    <t>2019: 700</t>
  </si>
  <si>
    <t>350 Ellis Street</t>
  </si>
  <si>
    <t>94043</t>
  </si>
  <si>
    <t>The business unit, a subsidiary of Symantec (NAS: SYMC), was acquired by Broadcom (NAS: AVGO) for $10.7 billion on November 4, 2019. The sale will provide Symantec with some ready cash and breathing room and stems from a need to diversify itself as its main computer chip business. The business unit is no longer actively tracked by PitchBook.</t>
  </si>
  <si>
    <t>NortonLifeLock</t>
  </si>
  <si>
    <t>NortonLifeLock(www.nortonlifelock.com)</t>
  </si>
  <si>
    <t>Bank of America(Advisor: General)</t>
  </si>
  <si>
    <t>Cooley(Legal Advisor)</t>
  </si>
  <si>
    <t>162036-37</t>
  </si>
  <si>
    <t>Goleman International</t>
  </si>
  <si>
    <t>Goleman International Ltd.</t>
  </si>
  <si>
    <t>Owner of seven plots of land spread across an aggregate area of 1,925,057 square meters. The company provide investment services and owns property that intends to be developed into a mixed residential and commercial complex comprising commercial spaces of approximately 150,000 square meters, residential units of approximately 119,000 square meters, and hotel of approximately 8,000 square meters.</t>
  </si>
  <si>
    <t>Buildings and Property*, Real Estate Services (B2C)</t>
  </si>
  <si>
    <t>commercial property, property land, residential property</t>
  </si>
  <si>
    <t>Foshan, China</t>
  </si>
  <si>
    <t>Ninety-nine Gang</t>
  </si>
  <si>
    <t>Dushu Gang Villager Committee</t>
  </si>
  <si>
    <t>Foshan</t>
  </si>
  <si>
    <t>The company was acquired by Hsin Chong Construction for $10.625 billion on January 8, 2015. The company is no longer actively tracked by PitchBook.</t>
  </si>
  <si>
    <t>Hsin Chong Group Holdings</t>
  </si>
  <si>
    <t>154631-98</t>
  </si>
  <si>
    <t>American Express (Costco Credit Card Portfolio)</t>
  </si>
  <si>
    <t>A Costco's U.S. co-brand credit card portfolio. The portfolio comprised in excess of $10.5 billion of credit card receivables.</t>
  </si>
  <si>
    <t>Buildings and Property*, Consumer Finance</t>
  </si>
  <si>
    <t>credit card, credit card portfolio, credit card receivables</t>
  </si>
  <si>
    <t>World Financial Center</t>
  </si>
  <si>
    <t>200 Vesey Street</t>
  </si>
  <si>
    <t>The Costco Credit Card Portfolio of American Express (NYS: AXP) was acquired by Citigroup (NYS: C) for $10.6 billion on June 17, 2016. The assets are no longer actively tracked by PitchBook.</t>
  </si>
  <si>
    <t>American Express</t>
  </si>
  <si>
    <t>American Express(www.americanexpress.com)</t>
  </si>
  <si>
    <t>25122-61</t>
  </si>
  <si>
    <t>KLA (NAS: KLAC)</t>
  </si>
  <si>
    <t>KLA Instruments, Tencor Instruments</t>
  </si>
  <si>
    <t>KLAC</t>
  </si>
  <si>
    <t>KLA Corporation</t>
  </si>
  <si>
    <t>Analog Devices, Cypress Semiconductor, Ambiq, Lattice Semiconductor, Diodes, QuickLogic, Reno (General Purpose Semiconductors), Texas Instruments, Monolithic Power Systems, Atmel, Nanometrics, GlobalFoundries U.S., MACOM Technology Solutions, InvenSense, Power Integrations, Mattson Technology, Intel, MagnaChip Semiconductor, Microsemi, Maxim Integrated Products, ASML Holding</t>
  </si>
  <si>
    <t>KLA designs and manufactures yield-management and process-monitoring diagnostic and control systems for the semiconductor industry. The systems are used to analyze the manufacturing process at various steps in a product's development. The firm's laser-scanning products are used for wafer qualification, process monitoring, and equipment monitoring. KLA also provides inspection tools and systems for optical metrology and e-beam metrology.</t>
  </si>
  <si>
    <t>Manufacturing, Nanotechnology, TMT</t>
  </si>
  <si>
    <t>microelectronics, nanotechnology based, nanotechnology product, semiconductor capital equipment, semiconductor process control</t>
  </si>
  <si>
    <t>www.kla-tencor.com</t>
  </si>
  <si>
    <t>1990: 861, 1991: 1100, 1992: 1120, 1993: 1000, 1994: 1135, 1995: 1654, 1996: 2500, 1997: 3600, 1998: 4500, 1999: 4200, 2000: 5800, 2001: 6400, 2002: 5700, 2003: 4900, 2004: 5200, 2005: 5500, 2006: 5900, 2007: 6000, 2008: 6000, 2009: 4900, 2010: 5000, 2011: 5500, 2012: 5710, 2013: 5820, 2014: 6060, 2015: 5880, 2016: 5580, 2017: 5990, 2018: 6550, 2019: 10020, 2020: 10600</t>
  </si>
  <si>
    <t>83639-98P</t>
  </si>
  <si>
    <t>Bren Higgins</t>
  </si>
  <si>
    <t>bhiggins@kla-tencor.com</t>
  </si>
  <si>
    <t>+1 (408) 875-3000</t>
  </si>
  <si>
    <t>Three Technology Drive</t>
  </si>
  <si>
    <t>+1 (408) 875-4875</t>
  </si>
  <si>
    <t>info@kla-tencor.com</t>
  </si>
  <si>
    <t>The company (NASDAQ: KLAC) was in talks to be acquired by Lam Research (NASDAQ: LRCX) for $10.6 billion on October 21, 2015. Subsequently the deal was cancelled on October 5, 2016. Previously, the company raised an undisclosed amount in its initial public offering on the NASDAQ stock exchange under the ticker symbol of KLAC on October 8, 1980.</t>
  </si>
  <si>
    <t>Crosslink Capital, Sigma Partners</t>
  </si>
  <si>
    <t>Lam Research</t>
  </si>
  <si>
    <t>Crosslink Capital(www.crosslinkcapital.com), Sigma Partners(www.sigmapartners.com)</t>
  </si>
  <si>
    <t>Lam Research(www.lamresearch.com)</t>
  </si>
  <si>
    <t>CRW Executive Search Consultants(Consulting), Decision Analytics(Advisor: General), Duff &amp; Phelps, A Kroll Business(Advisor: General), Goldman Sachs Specialty Lending Group(Debt Financing), Infortal Worldwide(Advisor: General), ON Partners(Consulting), Wood Warren(Advisor: General)</t>
  </si>
  <si>
    <t>Davis Polk(Legal Advisor), Qatalyst Partners(Advisor: General), The Abernathy MacGregor Group(Advisor: Communications), The Goldman Sachs Group(Advisor: General), Wilson Sonsini Goodrich &amp; Rosati(Legal Advisor)</t>
  </si>
  <si>
    <t>433935-01</t>
  </si>
  <si>
    <t>Tesco (Supermarket Businesses in Asia)</t>
  </si>
  <si>
    <t>Operator of retail stores based in Thailand and Malaysia. The company's supermarket businesses help serve millions of customers every week, in stores and online.</t>
  </si>
  <si>
    <t>Department Stores*, Internet Retail</t>
  </si>
  <si>
    <t>retail stores, retail stores firm, retail stores owner</t>
  </si>
  <si>
    <t>The Supermarket Businesses in Asia of Tesco (LON: TSCO) was acquired by Charoen Pokphand Group for $10.60 billion on March 9, 2020. The business division is no longer actively tracked by PitchBook.</t>
  </si>
  <si>
    <t>Charoen Pokphand Group</t>
  </si>
  <si>
    <t>Tesco (UK)</t>
  </si>
  <si>
    <t>Tesco (UK)(www.tescoplc.com)</t>
  </si>
  <si>
    <t>99637-39</t>
  </si>
  <si>
    <t>Tesco Lotus</t>
  </si>
  <si>
    <t>Tesco Thailand</t>
  </si>
  <si>
    <t>Tesco Stores (Thailand) Limited</t>
  </si>
  <si>
    <t>Operator of grocery stores in Thailand. The company engages in selling of apparel, grocery items, household products, and non food products.</t>
  </si>
  <si>
    <t>Food Products, General Merchandise Stores*</t>
  </si>
  <si>
    <t>convienience stores, food store chain, grocery store chain</t>
  </si>
  <si>
    <t>www.tescolotus.com</t>
  </si>
  <si>
    <t>2019: 60000, 2020: 60000</t>
  </si>
  <si>
    <t>224737-75P</t>
  </si>
  <si>
    <t>Garrett Sharp</t>
  </si>
  <si>
    <t>gsharp@tescolotus.com</t>
  </si>
  <si>
    <t>Bangkok, Thailand</t>
  </si>
  <si>
    <t>629/1 Nawamin Road</t>
  </si>
  <si>
    <t>Nuanchan Subdistrict, Bueng Kum District</t>
  </si>
  <si>
    <t>Bangkok</t>
  </si>
  <si>
    <t>10230</t>
  </si>
  <si>
    <t>Thailand</t>
  </si>
  <si>
    <t>The company was acquired by Charoen Pokphand Group for $10.6 billion on December 22, 2020. The disposal will further de-risk the Tesco business by reducing indebtedness through a GBP 2.5 billion pension contribution that, along with other measures, is expected to eliminate the current funding deficit and significantly reduce the prospect of having to make further pension deficit contributions in the future.</t>
  </si>
  <si>
    <t>Allen &amp; Overy(Legal Advisor)</t>
  </si>
  <si>
    <t>234197-74</t>
  </si>
  <si>
    <t>The Walt Disney Company (21 Regional Sports Networks and Fox College Sports)</t>
  </si>
  <si>
    <t>A portfolio of 22 sports channels.</t>
  </si>
  <si>
    <t>Broadcasting, Radio and Television, Buildings and Property*, Movies, Music and Entertainment</t>
  </si>
  <si>
    <t>regional sports channel operator, sports channel broadcasting, sports channel operator</t>
  </si>
  <si>
    <t>Lake Buena Vista, FL</t>
  </si>
  <si>
    <t>P.O. Box 10,000</t>
  </si>
  <si>
    <t>Lake Buena Vista</t>
  </si>
  <si>
    <t>32830</t>
  </si>
  <si>
    <t>The 21 Regional Sports Networks and Fox College Sports of The Walt Disney Company (NYS: DIS), was acquired by Sinclair Broadcast Group (NASDAQ: SBGI) for $9.6 billion on August 23, 2019. This acquisition is an extraordinary opportunity to diversify Sinclair's content sources and revenue streams with high-quality assets that are driving live viewing. The assets are no longer actively tracked by PitchBook.</t>
  </si>
  <si>
    <t>Sinclair Broadcast Group</t>
  </si>
  <si>
    <t>21st Century Fox, The Walt Disney Company</t>
  </si>
  <si>
    <t>21st Century Fox(www.21cf.com), The Walt Disney Company(www.thewaltdisneycompany.com)</t>
  </si>
  <si>
    <t>Cravath, Swaine &amp; Moore(Legal Advisor)</t>
  </si>
  <si>
    <t>Loan - $1.83B (Senior); Loan - $3.50B (Senior)</t>
  </si>
  <si>
    <t>105787-81</t>
  </si>
  <si>
    <t>Citic International Financial Holdings</t>
  </si>
  <si>
    <t>CITIC International Financial Holdings Limited</t>
  </si>
  <si>
    <t>Provider of commercial banking services. The company provides retail banking, savings and investments, loans, credit card, insurance and business banking services.</t>
  </si>
  <si>
    <t>commercial banking, credit card, retail banking</t>
  </si>
  <si>
    <t>2007: 1615</t>
  </si>
  <si>
    <t>China CITIC Bank</t>
  </si>
  <si>
    <t>88396-84P</t>
  </si>
  <si>
    <t>Dou Jianzhong</t>
  </si>
  <si>
    <t>+852 3607 3000</t>
  </si>
  <si>
    <t>Suites 2701-9, 27th Floor CITIC Tower</t>
  </si>
  <si>
    <t>1 Tim Mei Avenue, Central</t>
  </si>
  <si>
    <t>+852 2525 3303</t>
  </si>
  <si>
    <t>Banco Bilbao Vizcaya Argentaria sold a 29.68% stake in the company to China Citic Bank (HKG: 0998), a subsidiary of CITIC (HKG: 0267) for HKD$ 8.16 billion on August 27, 2015. The company is no longer actively tracked by PitchBook.</t>
  </si>
  <si>
    <t>Reed Smith(Legal Advisor)</t>
  </si>
  <si>
    <t>435605-41</t>
  </si>
  <si>
    <t>BHP Billiton (U.S. onshore unconventional assets )</t>
  </si>
  <si>
    <t>Oil and gas production assets situated in United States. The asset provides oil and gas production of 190,000 boed and 4.6 Bboe of discovered resources in the liquids-rich regions of the Permian and Eagle Ford basins in Texas and in the Haynesville natural gas basin, in East Texas and Louisiana.</t>
  </si>
  <si>
    <t>Buildings and Property*, Energy Exploration, Energy Production</t>
  </si>
  <si>
    <t>gas production, oil and gas equipment, oil and gas production, oil production</t>
  </si>
  <si>
    <t>The US unconventional assets of BHP Group were acquired by BP for $10.5 billion on October 31, 2018. The deal will significantly upgrade BP's U.S. onshore oil and gas portfolio and help drive long-term growth. The asset is no longer actively tracked by PitchBook.</t>
  </si>
  <si>
    <t>BHP Group</t>
  </si>
  <si>
    <t>BHP Group(www.bhp.com)</t>
  </si>
  <si>
    <t>185744-62</t>
  </si>
  <si>
    <t>BHP Billiton (U.S. shale oil and gas business)</t>
  </si>
  <si>
    <t>Operator of onshore oil and gas facilities.</t>
  </si>
  <si>
    <t>Buildings and Property, Energy Infrastructure, Other Energy*</t>
  </si>
  <si>
    <t>gas fuel, natural gas, oil and gas shale, onshore oil</t>
  </si>
  <si>
    <t>BHP Billiton (LON: BLT) sold the U.S. shale oil and gas business asset to BP (LON: BP) for $10.5 billion on October 31, 2018. The company will receive a contingent payout of $5.2 billion upon the completion of future performance terms. The asset is no longer actively tracked by PitchBook.</t>
  </si>
  <si>
    <t>Apollo Global Management, Chevron, Royal Dutch Shell, The Blackstone Group</t>
  </si>
  <si>
    <t>Apollo Global Management(www.apollo.com), Chevron(www.chevron.com), Royal Dutch Shell(www.shell.com), The Blackstone Group(www.blackstone.com)</t>
  </si>
  <si>
    <t>Herbert Smith Freehills(Legal Advisor)</t>
  </si>
  <si>
    <t>41596-12</t>
  </si>
  <si>
    <t>Williams Partners</t>
  </si>
  <si>
    <t>Williams Partners L.P.</t>
  </si>
  <si>
    <t>EagleClaw Midstream Ventures, Magellan Midstream Partners, MPLX, Enable Midstream Partners, Spectra Energy, Pembina Pipeline, ONEOK, Enterprise Products Partners, The Williams Companies, Kinder Morgan, Tristream Energy, BlueRacer Midstream, Keyera, EnLink Midstream, Caiman Energy</t>
  </si>
  <si>
    <t>Operator of large-cap natural gas infrastructure master limited partnership. The company's natural gas infrastructure master limited partnership has operations across the natural gas value chain including gathering, processing and interstate transportation of natural gas and natural gas liquids, enabling its customers across several industries avail natural gas for clean-power generation, heating and industrial use.</t>
  </si>
  <si>
    <t>Energy Infrastructure, Energy Storage*</t>
  </si>
  <si>
    <t>clean power generation, clean-power energy, energy infrastructure, natural gas transportation, oil transportation service</t>
  </si>
  <si>
    <t>investor.williams.com</t>
  </si>
  <si>
    <t>2009: 304, 2010: 285, 2011: 445, 2012: 1255, 2013: 1411, 2014: 6742, 2015: 6578, 2016: 5604, 2017: 5425</t>
  </si>
  <si>
    <t>44858-17P</t>
  </si>
  <si>
    <t>Alan Armstrong</t>
  </si>
  <si>
    <t>Chairman of the Board and Chief Executive Officer</t>
  </si>
  <si>
    <t>alan.armstrong@williams.com</t>
  </si>
  <si>
    <t>Existing shareholders sold 256,000,000 shares of the company's (NYSE: WP) common stock at $0.04 per share to The Williams Companies (NYSE: WMB), raising $10.5 billion on August 13, 2018. On completion of the transaction, Williams Partners has become a fully-owned subsidiary of Williams Companies. The company's common units will no longer be publicly traded on the New York Stock Exchange. The company is no longer actively tracked by PitchBook.</t>
  </si>
  <si>
    <t>The Williams Companies</t>
  </si>
  <si>
    <t>BlackRock, Camelot Portfolios, Société Générale, The Goldman Sachs Group, Tower Research Capital</t>
  </si>
  <si>
    <t>BlackRock(www.blackrock.com), Camelot Portfolios(www.camelotportfolios.com), Société Générale(www.societegenerale.com), The Goldman Sachs Group(www.goldmansachs.com), Tower Research Capital(www.tower-research.com)</t>
  </si>
  <si>
    <t>Andrews Kurth Kenyon(Legal Advisor), Baker Botts(Legal Advisor), Bank of America Merrill Lynch(Advisor: General), Barclays Investment Bank(Advisor: General), BBVA Securities(Underwriter), BMO Capital Markets(Underwriter), BNP Paribas(Underwriter), Citigroup Global Markets(Underwriter), Comerica Securities(Underwriter), Credit Agricole(Underwriter), Credit Suisse(Underwriter), Deutsche Bank Securities(Underwriter), Evercore Group(Advisor: General), Gibson, Dunn &amp; Crutcher(Legal Advisor), Holland &amp; Hart(Legal Advisor), ING Financial Markets(Underwriter), J.P. Morgan Securities(Underwriter), Jefferies Hoare Govett(Advisor: General), Lehman Brothers(Underwriter), Mackenzie Partners(Advisor: General), Mitsubishi UFJ Securities Holdings(Underwriter), Morgan Stanley(Underwriter), Morris, Nichols, Arsht &amp; Tunnell(Legal Advisor), NatWest Group(Underwriter), Piper Sandler(Underwriter), PwC(Auditor), Raymond James Financial(Underwriter), RBC Capital Markets(Underwriter), Robert W. Baird &amp; Co(Advisor: General), Scotia Waterous(Advisor: General), Scotiabank Global Banking and Markets(Underwriter), Stifel Financial(Underwriter), SunTrust Robinson Humphrey(Underwriter), TD Securities(Underwriter), The Goldman Sachs Group(Underwriter), UBS Group(Underwriter), Vinson &amp; Elkins(Legal Advisor), Wachovia Bank(Underwriter), Wells Fargo Securities(Underwriter)</t>
  </si>
  <si>
    <t>50973-31</t>
  </si>
  <si>
    <t>Nestlé Purina PetCare</t>
  </si>
  <si>
    <t>Robinson-Danforth Commission, Ralston Purina</t>
  </si>
  <si>
    <t>Purina</t>
  </si>
  <si>
    <t>Nestlé Purina PetCare Company</t>
  </si>
  <si>
    <t>Merrick Pet Care, Nulo Pet Food, Sojos, Wild Calling Pet Foods, WellPet, Arthur Dogswell, TruDog, Ainsworth Pet Nutrition, Freshpet, Cambrian Pet Foods, Blue Buffalo, The Animal Company, Alphia, I and love and you</t>
  </si>
  <si>
    <t>Producer of animal feed products. The company is engaged in the production and processing of healthy pet food products.</t>
  </si>
  <si>
    <t>AgTech, TMT</t>
  </si>
  <si>
    <t>animal food product, food ingredients, pet feed</t>
  </si>
  <si>
    <t>www.purina.com</t>
  </si>
  <si>
    <t>2016: 6109, 2017: 8000, 2020: 18000, 2021: 18000</t>
  </si>
  <si>
    <t>137323-09P</t>
  </si>
  <si>
    <t>Steve Degnan</t>
  </si>
  <si>
    <t>Chief Human Resources Officer North America</t>
  </si>
  <si>
    <t>sdegnan@purina.com</t>
  </si>
  <si>
    <t>Neenah, WI</t>
  </si>
  <si>
    <t>PO Box 340</t>
  </si>
  <si>
    <t>Neenah</t>
  </si>
  <si>
    <t>54957</t>
  </si>
  <si>
    <t>The company was acquired by Nestlé (VTX: NESN) for $10.479 billion on December 12, 2001.</t>
  </si>
  <si>
    <t>4iNNO(Advisor: General), Bushkin Associates(Advisor: General), Lenovys(Consulting), Spectrum Gaming Capital(Advisor: General), Sprim(Consulting), The Audible Group(Consulting)</t>
  </si>
  <si>
    <t>Bryan Cave(Legal Advisor), Davies Ward Phillips &amp; Vineberg(Legal Advisor), Dresdner Kleinwort Wasserstein(Advisor: General), Wachtell, Lipton, Rosen &amp; Katz(Legal Advisor)</t>
  </si>
  <si>
    <t>62052-94</t>
  </si>
  <si>
    <t>Christian Dior (PAR: CDI)</t>
  </si>
  <si>
    <t>Dior</t>
  </si>
  <si>
    <t>Christian Dior SE</t>
  </si>
  <si>
    <t>Balmain Paris, Kate Spade, Diane Von Furstenberg, Citi Trends, Roberto Cavalli, Corneliani, Capri Holdings, J.W. Anderson, Hermes International, Nasty Gal, Topshop, Gianni Versace, BCBG Max Azria Group, Saks, La Senza, Chanel, Ann Taylor (Ohio), Calvin Klein, Dillard's, Bottega Veneta, Givenchy, RTW Retailwinds, The J.Jill Group, Ralph Lauren Corporation, Chico's FAS, Victoria's Secret, Soft Surroundings, Bebe Studio, J.Crew Group, Guccio Gucci, Costume National, Bare Necessities (Specialty Retail)</t>
  </si>
  <si>
    <t>Christian Dior is a holding company with full ownership of Christian Dior Couture and a controlling interest in LVMH. Christian Dior Couture sells apparel, leather goods, jewellery, and accessories under various Dior brands. Most sales are through its own retail stores. Through LVMH, the company operates the following business groups: wines and spirits, fashion and leather goods, watches and jewellery, perfumes and cosmetics, and selective retailing. LVMH has dozens of well-known brands throughout its businesses, including Dom Perignon, Hennessy, Louis Vuitton, Fendi, TAG Heuer, and Sephora. The company's revenue is distributed throughout Europe, Asia, and the United States.</t>
  </si>
  <si>
    <t>Clothing</t>
  </si>
  <si>
    <t>Accessories, Clothing*, Footwear</t>
  </si>
  <si>
    <t>accessories, accessories designer, apparel and accessories, apparel designer, fashion accessories, fashion apparel, haute couture, jewelry design, leather goods, perfumes</t>
  </si>
  <si>
    <t>www.dior.com</t>
  </si>
  <si>
    <t>2008: 72619, 2009: 80510, 2010: 86818, 2011: 101154, 2012: 100755, 2013: 108837, 2014: 117806, 2015: 122736, 2016: 139838, 2017: 145247, 2018: 156088, 2019: 163309, 2020: 150479</t>
  </si>
  <si>
    <t>CDI</t>
  </si>
  <si>
    <t>51232-06P</t>
  </si>
  <si>
    <t>Florian Ollivier</t>
  </si>
  <si>
    <t>+33 (0)1 44 13 22 22</t>
  </si>
  <si>
    <t>30, Avenue Montaigne</t>
  </si>
  <si>
    <t>75008</t>
  </si>
  <si>
    <t>+33 (0)1 40 73 73 73</t>
  </si>
  <si>
    <t>+33 (0)1 44 13 27 86</t>
  </si>
  <si>
    <t>info@dior.com</t>
  </si>
  <si>
    <t>Existing shareholders sold their shares of the company's (PAR: CDI) common stock to Groupe Arnault for EUR 12.1 billion in July 2017.</t>
  </si>
  <si>
    <t>Groupe Arnault</t>
  </si>
  <si>
    <t>Accuracy(Advisor: Commercial Due Diligence), Barack Ferrazzano(Legal Advisor), Bredin Prat(Legal Advisor), Bukhash Brothers(Consulting), Montfort Communications(Advisor: General), Sprim(Consulting), Traub(Consulting), Washington Search Partners(Consulting)</t>
  </si>
  <si>
    <t>10729-45</t>
  </si>
  <si>
    <t>Quintiles</t>
  </si>
  <si>
    <t>Quintiles Inc.</t>
  </si>
  <si>
    <t>BioDuro, Icon, PRA Health Sciences, Genae, Covance, Theorem Clinical Research, Parexel International, WuXi AppTec, ICON Government and Public Health Solutions, Trial Runners, IQVIA, inVentiv Health</t>
  </si>
  <si>
    <t>Provider of biopharmaceutical services. The company offers clinical data management, clinical trial execution services, pharmaceuticals, drug development, financial partnering and commercialization expertise to companies in the biotechnology, pharmaceutical and healthcare sectors.</t>
  </si>
  <si>
    <t>Drug Discovery, Other Pharmaceuticals and Biotechnology, Pharmaceuticals*</t>
  </si>
  <si>
    <t>biotechnology consulting, healthcare consulting, medical device</t>
  </si>
  <si>
    <t>www.quintiles.com</t>
  </si>
  <si>
    <t>1993: 900, 1994: 900, 1995: 900, 1996: 7375, 1997: 10900, 1998: 15520, 1999: 20453, 2000: 18219, 2001: 17224, 2002: 15548, 2003: 15801, 2004: 16986, 2005: 16000, 2006: 18000, 2007: 20000, 2010: 22000, 2011: 20000, 2013: 15548, 2015: 23330, 2016: 50000</t>
  </si>
  <si>
    <t>134385-13P</t>
  </si>
  <si>
    <t>Charles Newberry</t>
  </si>
  <si>
    <t>Vice President &amp; Chief Information Security Officer</t>
  </si>
  <si>
    <t>+1 (919) 998-2000</t>
  </si>
  <si>
    <t>Durham, NC</t>
  </si>
  <si>
    <t>Plaza Building</t>
  </si>
  <si>
    <t>4820 Emperor Boulevard</t>
  </si>
  <si>
    <t>Durham</t>
  </si>
  <si>
    <t>27703</t>
  </si>
  <si>
    <t>+1 (866) 267-4479</t>
  </si>
  <si>
    <t>The company was acquired by IQVIA (NYS: IQV) for $10.4 billion on October 3, 2016. Under the terms, IQVIA shareholders will now own 51.4% of the merged company and Quintiles shareholders will own 48.6% stake. IQVIA shareholders will receive fixed exchange ratio of 0.384 shares of the company's common stock for each share of IQVIA stock. Post transaction, IQVIA will be renamed as Quintiles IMS Holdings, Inc and will trade on the New York Stock Exchange under the ticker symbol Q. The combined enterprise value of both the companies is $23 billion. The company is no longer actively tracked by PitchBook.</t>
  </si>
  <si>
    <t>IQVIA</t>
  </si>
  <si>
    <t>3i Group, Aisling Capital, Bain Capital, Morgan Stanley Expansion Capital, Noble Rock Advisors, Temasek Holdings, Thompson Clive Venture Capital, TPG, Wellington Management</t>
  </si>
  <si>
    <t>One Equity Partners</t>
  </si>
  <si>
    <t>3i Group(www.3i.com), Aisling Capital(www.aislingcapital.com), Bain Capital(www.baincapital.com), Noble Rock Advisors(www.noblerockadvisors.com), Temasek Holdings(www.temasek.com.sg), Thompson Clive Venture Capital(www.tcvc.com), TPG(www.tpg.com), Wellington Management(www.wellington.com)</t>
  </si>
  <si>
    <t>One Equity Partners(www.oneequity.com)</t>
  </si>
  <si>
    <t>Boyanov &amp; Company(Legal Advisor), CMG Consulting(Consulting), Vaco(Consulting)</t>
  </si>
  <si>
    <t>Allied Irish Banks(Debt Financing), American Capital (ACAS)(Debt Financing), Bank of America Merrill Lynch(Advisor: General), Barclays Bank UK(Underwriter), Barclays Investment Bank(Underwriter), Bryan Cave(Legal Advisor), Citigroup(Advisor: General), Citigroup Global Markets(Underwriter), Deutsche Bank(Underwriter), Deutsche Bank Securities(Underwriter), Guggenheim Partners(Underwriter), J.P. Morgan(Underwriter), J.P. Morgan Securities(Underwriter), Jefferies Financial Group(Underwriter), Merrill Lynch Pierce Fenner &amp; Smith(Underwriter), Morgan Lewis(Legal Advisor), Morgan Stanley(Advisor: General), NatWest Group(Debt Financing), Piper Sandler(Underwriter), PNC(Debt Financing), PwC(Auditor), Raymond James Financial(Underwriter), RBC Capital Markets(Underwriter), Robert W. Baird &amp; Co(Underwriter), Simpson Thacher &amp; Bartlett(Legal Advisor), Smith, Anderson, Blount, Dorsett, Mitchell &amp; Jernigan(Legal Advisor), The Goldman Sachs Group(Underwriter), UBS Group(Underwriter), UBS Securities (China)(Underwriter), Wells Fargo(Lead Manager or Arranger), Wells Fargo Securities(Underwriter), William Blair &amp; Company(Underwriter), Willkie Farr &amp; Gallagher(Legal Advisor)</t>
  </si>
  <si>
    <t>99026-65</t>
  </si>
  <si>
    <t>Silvinit</t>
  </si>
  <si>
    <t>JSC Silvinit</t>
  </si>
  <si>
    <t>Silvinit is a Russian mining-industrial complex producing the potash fertilizers and various salts. The Company develops Verkhnekamsky deposit of potassium and magnesium salts.</t>
  </si>
  <si>
    <t>Agricultural Chemicals*</t>
  </si>
  <si>
    <t>mineral fertilizer, potash fertilizer</t>
  </si>
  <si>
    <t>www.silvinit.ru</t>
  </si>
  <si>
    <t>Solikamsk, Russia</t>
  </si>
  <si>
    <t>Perm, st. World 14</t>
  </si>
  <si>
    <t>Solikamsk</t>
  </si>
  <si>
    <t>618540</t>
  </si>
  <si>
    <t>The company was acquired by JSC Uralkali (LON: URKA) for RUB 292.3 billion on June 16, 2011. The company is no longer actively tracked by PitchBook.</t>
  </si>
  <si>
    <t>Uralkali</t>
  </si>
  <si>
    <t>Fenguard, Forman Commercial, Madura, Otkritie Bank</t>
  </si>
  <si>
    <t>Otkritie Bank(www.open.ru)</t>
  </si>
  <si>
    <t>Bank of America Merrill Lynch(Advisor: General), Linklaters(Legal Advisor)</t>
  </si>
  <si>
    <t>179899-30</t>
  </si>
  <si>
    <t>Nouryon Chemicals Holding</t>
  </si>
  <si>
    <t>AkzoNobel Specialty Chemicals</t>
  </si>
  <si>
    <t>Nouryon</t>
  </si>
  <si>
    <t>Nouryon Chemicals Holding B.V.</t>
  </si>
  <si>
    <t>Manufacturer and supplier of specialty chemicals for the agricultural, pulp, paper, electronics and food sectors in the Netherlands. The company manufactures bleaching chemicals, specialty oxidants, polymer additives, organic peroxides and metal alkyls.</t>
  </si>
  <si>
    <t>Agricultural Chemicals, Industrial Chemicals, Multi-line Chemicals*</t>
  </si>
  <si>
    <t>chemical manufacturer, ploysulfides, polysulfides, specialty chemical distribution, sulfur derivatives, sulfur product</t>
  </si>
  <si>
    <t>www.nouryon.com</t>
  </si>
  <si>
    <t>2018: 10000, 2020: 10000, 2021: 7900</t>
  </si>
  <si>
    <t>119300-68P</t>
  </si>
  <si>
    <t>Renier Vree</t>
  </si>
  <si>
    <t>renier.vree@nouryon.com</t>
  </si>
  <si>
    <t>+31 (0)88 984 1000</t>
  </si>
  <si>
    <t>Haaksbergweg 88</t>
  </si>
  <si>
    <t>De Oliphant Building, Floor 14 and 15</t>
  </si>
  <si>
    <t>1101 BZ</t>
  </si>
  <si>
    <t>The company, a subsidiary of AkzoNobel (AMS: AKZA) was acquired by The Carlyle Group, HarbourVest Partners and the Government of Singapore Investment Corporation (GIC) through an estimated EUR 8.9 billion LBO on October 1, 2018.</t>
  </si>
  <si>
    <t>Government of Singapore Investment Corporation (GIC), HarbourVest Partners, The Carlyle Group</t>
  </si>
  <si>
    <t>Advent International, Apollo Global Management, Bain Capital, LANXESS Deutschland</t>
  </si>
  <si>
    <t>Government of Singapore Investment Corporation (GIC)(www.gic.com.sg), HarbourVest Partners(www.harbourvest.com), The Carlyle Group(www.carlyle.com)</t>
  </si>
  <si>
    <t>Advent International(www.adventinternational.com), Apollo Global Management(www.apollo.com), Bain Capital(www.baincapital.com), LANXESS Deutschland(www.lanxess.com)</t>
  </si>
  <si>
    <t>JP O'FARRELL ABOGADOS(Legal Advisor)</t>
  </si>
  <si>
    <t>ABN AMRO Bank(Debt Financing), Allied Irish Banks(Debt Financing), Bank of China(Debt Financing), Barclays Bank UK(Debt Financing), BNP Paribas Fortis(Debt Financing), Citigroup(Debt Financing), Commerzbank(Debt Financing), Credit Suisse(Debt Financing), Crédit Agricole Corporate &amp; Investment Bank(Debt Financing), Deutsche Bank(Debt Financing), HSBC Holdings(Advisor: General), HSBC Private Bank(Advisor: General), ING Bank(Debt Financing), J.P. Morgan(Advisor: General), Loyens &amp; Loeff(Legal Advisor), MUFG Bank(Debt Financing), NatWest Markets(Debt Financing), Royal Bank of Canada(Debt Financing), Skandinaviska Enskilda Banken(Debt Financing), Société Générale(Debt Financing), Standard Chartered(Debt Financing), UBS Group(Debt Financing)</t>
  </si>
  <si>
    <t>Loan - $8.51B</t>
  </si>
  <si>
    <t>43055-74</t>
  </si>
  <si>
    <t>Delhaize Group</t>
  </si>
  <si>
    <t>The Lion Establishment, Delhaize Brothers &amp; Co</t>
  </si>
  <si>
    <t>Ets Delhaize Freres et cie le Lion</t>
  </si>
  <si>
    <t>Delhaize Group SA</t>
  </si>
  <si>
    <t>Harris Teeter Supermarkets, Lidl, Fred Meyer, Louis Delhaize</t>
  </si>
  <si>
    <t>Operator of a food-retail group. The company is a Belgian international food retailer serving customers in seven countries on three continents.</t>
  </si>
  <si>
    <t>General Merchandise Stores, Specialty Retail*</t>
  </si>
  <si>
    <t>beauty care, dairy product, personal product</t>
  </si>
  <si>
    <t>www.delhaizegroup.com</t>
  </si>
  <si>
    <t>2000: 152000, 2001: 147000, 2002: 144000, 2003: 142000, 2004: 137900, 2005: 138000, 2006: 142500, 2007: 140545, 2008: 141000, 2009: 138000, 2010: 138600, 2011: 160000, 2012: 158000, 2013: 161000, 2014: 160000, 2015: 154000, 2016: 154000</t>
  </si>
  <si>
    <t>Square Marie Curie 40</t>
  </si>
  <si>
    <t>1080</t>
  </si>
  <si>
    <t>The company (BRU: DELB) was acquired by Royal Ahold (AMS: AH) for EUR 9.32 billion on July 23, 2016. The combined entity will be named Ahold Delhaize and will be listed on Amsterdam Stock Exchange and the Brussels Stock Exchange. The company is no longer actively tracked by PitchBook.</t>
  </si>
  <si>
    <t>Koninklijke Ahold Delhaize</t>
  </si>
  <si>
    <t>Silchester International Investors</t>
  </si>
  <si>
    <t>Silchester International Investors(www.silchester.com)</t>
  </si>
  <si>
    <t>Herbert Mines Associates(Placement Agent), Miebach Consulting(Consulting), RCS Real Estate Advisors(Advisor: General), Simon-Kucher &amp; Partners(Consulting), Tonex(Consulting)</t>
  </si>
  <si>
    <t>Bank of America Merrill Lynch(Advisor: General), BDO Belgium(Advisor: General), CMS Cameron McKenna(Legal Advisor), Cravath, Swaine &amp; Moore(Legal Advisor), Deutsche Bank(Advisor: General), Lazard Middle Market(Advisor: General), Linklaters(Legal Advisor)</t>
  </si>
  <si>
    <t>226292-50</t>
  </si>
  <si>
    <t>BHP Billiton (Permian Oil Assets)</t>
  </si>
  <si>
    <t>An oil and gas asset located in Permian Basin.</t>
  </si>
  <si>
    <t>Buildings and Property, Energy Production, Other Energy*</t>
  </si>
  <si>
    <t>gas assets</t>
  </si>
  <si>
    <t>TX</t>
  </si>
  <si>
    <t>Permian Basin</t>
  </si>
  <si>
    <t>The Permian Oil Assets of BHP Billiton were acquired by BP (LON: BP) for $10.3 billion on October 31, 2018. The assets are no longer actively tracked by PitchBook.</t>
  </si>
  <si>
    <t>12899-26</t>
  </si>
  <si>
    <t>Petrohawk Energy</t>
  </si>
  <si>
    <t>Beta Oil and Gas</t>
  </si>
  <si>
    <t>Petrohawk</t>
  </si>
  <si>
    <t>PetroHawk Energy Corporation</t>
  </si>
  <si>
    <t>Provider of oil and gas exploration services in United States. The company's services include acquisition, mining and development of oil and gas shale assets in the Haynesville or Lower Bossier shales of Northwest Louisiana and East Texas, the Eagle Ford Shale of South Texas and various Permian Basin shales in West Texas.</t>
  </si>
  <si>
    <t>gas exploration, gas explorer, gas mining, oil developer, oil exploration</t>
  </si>
  <si>
    <t>www.petrohawk.com</t>
  </si>
  <si>
    <t>1998: 500, 1999: 7, 2000: 17, 2001: 19, 2002: 15, 2003: 12, 2004: 43, 2005: 154, 2006: 318, 2007: 262, 2008: 378, 2009: 469, 2010: 598, 2011: 862</t>
  </si>
  <si>
    <t>1000 Louisiana, Suite 5600</t>
  </si>
  <si>
    <t>The company was acquired by BP (LON: BP.) for $10.302 billion on October 31, 2018. The acquisition will bring BP extensive oil and gas production and resources in the liquids-rich regions of the Permian and Eagle Ford basins in Texas and in the Haynesville gas basin in Texas and Louisiana. The company is no longer actively tracked by PitchBook.</t>
  </si>
  <si>
    <t>BHP Group, EnCap Investments, Liberty Mutual Insurance Company</t>
  </si>
  <si>
    <t>BHP Group(www.bhp.com), EnCap Investments(www.encapinvestments.com), Liberty Mutual Insurance Company(www.libertymutual.com)</t>
  </si>
  <si>
    <t>BMO Capital Markets(Advisor: General)</t>
  </si>
  <si>
    <t>Baker Botts(Legal Advisor), Hein &amp; Associates(Accounting), Lockett + Horwitz(Legal Advisor), Simpson Thacher &amp; Bartlett(Legal Advisor), The Goldman Sachs Group(Advisor: General)</t>
  </si>
  <si>
    <t>466505-11</t>
  </si>
  <si>
    <t>Resolution Life</t>
  </si>
  <si>
    <t>Resolution Asset Management</t>
  </si>
  <si>
    <t>Resolution plc</t>
  </si>
  <si>
    <t>Provider of life insurance products and services based in London, United Kingdom.</t>
  </si>
  <si>
    <t>financial services, genreal insurance, insurance business, insurance services, life insurance</t>
  </si>
  <si>
    <t>The company was acquired by Phoenix Group Holdings (LON: PHNX) for $10.3 billion in May 2008. The company is no longer actively tracked by PitchBook.</t>
  </si>
  <si>
    <t>Britannic Commercial Group P.L.C</t>
  </si>
  <si>
    <t>Phoenix Group Holdings</t>
  </si>
  <si>
    <t>41146-39</t>
  </si>
  <si>
    <t>Sterling National Bank (NYS: STL)</t>
  </si>
  <si>
    <t>Provident Bank New York</t>
  </si>
  <si>
    <t>Sterling</t>
  </si>
  <si>
    <t>Sterling Bancorp.</t>
  </si>
  <si>
    <t>United Community Bank, First Midwest Bank, Home Capital Group, Truist, Canadian Imperial Bank of Commerce, Citizens Bank, Astoria Financial, WSFS Financial, Grand Bank, Nanyang Commercial Bank, Independent Bank, Heritage Bank of Nevada, Citywide Banks</t>
  </si>
  <si>
    <t>Sterling Bancorp is a financial and bank holding company that operates primarily through its wholly owned subsidiary, Sterling National Bank. Sterling National Bank is a full-service regional bank that primarily delivers products and services to small and middle market commercial businesses and affluent consumers. Those products and services include deposit, lending, and wealth management products. The bank's strategy emphasizes growth, efficiency, and relationship building with its niche target market. It primarily operates in the New York metropolitan and suburban markets. Nearly all of its loan portfolio is in commercial loans, a plurality of which is in commercial real estate, followed by traditional commercial and industrial loans.</t>
  </si>
  <si>
    <t>National Banks*, Other Commercial Banks, Thrifts and Mortgage Finance</t>
  </si>
  <si>
    <t>banking and finance, banking service, commercial bank, consumer banking, corporate banking</t>
  </si>
  <si>
    <t>www.snb.com</t>
  </si>
  <si>
    <t>1999: 249, 2000: 235, 2001: 219, 2002: 292, 2003: 332, 2004: 452, 2005: 567, 2006: 565, 2007: 584, 2008: 593, 2009: 578, 2010: 603, 2011: 550, 2012: 522, 2013: 543, 2014: 836, 2015: 1196, 2016: 1078, 2017: 2076, 2018: 2037, 2019: 1855, 2020: 1619, 2021: 1457</t>
  </si>
  <si>
    <t>STL</t>
  </si>
  <si>
    <t>News (New) , News (New) , News (New) , News (New) , News (New) , News (New) , News (New) , News (New) , News (New) , News (New) , News (New) , News (New) , News (New) , News (New) , News (New) , News (New)</t>
  </si>
  <si>
    <t>32914-90P</t>
  </si>
  <si>
    <t>James Gelwicks</t>
  </si>
  <si>
    <t>Senior Managing Director and Head of Syndication</t>
  </si>
  <si>
    <t>jgelwicks@snb.com</t>
  </si>
  <si>
    <t>+1 (212) 785-8520</t>
  </si>
  <si>
    <t>Pearl River, NY</t>
  </si>
  <si>
    <t>P.O Box 1729</t>
  </si>
  <si>
    <t>Two Blue Hill Plaza</t>
  </si>
  <si>
    <t>Pearl River</t>
  </si>
  <si>
    <t>10965</t>
  </si>
  <si>
    <t>+1 (845) 369-8040</t>
  </si>
  <si>
    <t>The company reached a definitive agreement to be acquired by Webster Financial (NYS: WBS) for $10.3 billion on April 19, 2021. The acquisition brings together two high-performing organizations with strong cultural and business model alignment to create a powerhouse Northeast bank. Previously, the company raised $79.61 million in its second public offering on the New York stock exchange under the ticker symbol of STL on November 18, 2016. The company is being actively tracked by PitchBook.</t>
  </si>
  <si>
    <t>Castine Capital Management, Endicott Group</t>
  </si>
  <si>
    <t>Jacobs Asset Management, Patriot Financial Partners</t>
  </si>
  <si>
    <t>Webster Financial</t>
  </si>
  <si>
    <t>Endicott Group(endicottgp.com)</t>
  </si>
  <si>
    <t>Jacobs Asset Management(www.jampartners.com), Patriot Financial Partners(www.patriotfp.com)</t>
  </si>
  <si>
    <t>Webster Financial(public.websteronline.com/personal)</t>
  </si>
  <si>
    <t>Citigroup Global Markets(Advisor: General), Credit Suisse(Underwriter), Crowe(Auditor), J.P. Morgan(Advisor: General), Keefe, Bruyette &amp; Woods(Advisor: General), Squire Patton Boggs(Legal Advisor), Sullivan &amp; Cromwell(Legal Advisor), UBS Group(Underwriter)</t>
  </si>
  <si>
    <t>88678-09</t>
  </si>
  <si>
    <t>USA Networks</t>
  </si>
  <si>
    <t>USA Networks, Inc.</t>
  </si>
  <si>
    <t>Fox Entertainment Group, A&amp;E Television Networks, Disney/ABC Television Group, Axs Tv, TLC (TV network), DirecTV, Cable News Network, LionsGate Entertainment, One America News Network, Hulu, Channel Four Television, Paramount Pictures, Viacom, 21st Century Fox, The CW Television Network, Turner Broadcasting System, ViacomCBS, Starz Entertainment, Entertainment One</t>
  </si>
  <si>
    <t>Operator of TV shows production house. The company is a basic cable and satellite television channel, engaged in producing TV shows and made-for-TV movies.</t>
  </si>
  <si>
    <t>satellite television channel, television channel network, television production house, tv show production</t>
  </si>
  <si>
    <t>www.usanetwork.com</t>
  </si>
  <si>
    <t>30 Rockefeller Plaza</t>
  </si>
  <si>
    <t>10112</t>
  </si>
  <si>
    <t>The company was acquired by Vivendi for $10.3 billion on December 17, 2001.</t>
  </si>
  <si>
    <t>Liberty Media</t>
  </si>
  <si>
    <t>Liberty Media(www.libertymedia.com)</t>
  </si>
  <si>
    <t>Brock Capital Group(Advisor: General), Winthrop Group(Consulting)</t>
  </si>
  <si>
    <t>Mackenzie Partners(Advisor: General), Winthrop Group(Consulting)</t>
  </si>
  <si>
    <t>160987-78</t>
  </si>
  <si>
    <t>Nexxo</t>
  </si>
  <si>
    <t>Nexxo SA</t>
  </si>
  <si>
    <t>Provider of industrial services intended for applied engineering. The company's industrial services include chemical cleaning, flushing, industrial maintenance, mechanical decoking of furnaces and electric testing enabling the clients from the mining petrochemical, thermoelectric and cellulose industries to work efficiently.</t>
  </si>
  <si>
    <t>chemicals cleaning, flush, furnace maintenance, industrial maintenance, mechanical decoking</t>
  </si>
  <si>
    <t>www.nexxo.cl</t>
  </si>
  <si>
    <t>Echeverria Izquierdo</t>
  </si>
  <si>
    <t>165844-54P</t>
  </si>
  <si>
    <t>Horst Müller</t>
  </si>
  <si>
    <t>hmuller@nexxo.cl</t>
  </si>
  <si>
    <t>+56 (0) 32 213 3200</t>
  </si>
  <si>
    <t>Concón, Chile</t>
  </si>
  <si>
    <t>Parque Industrial Gulmué</t>
  </si>
  <si>
    <t>Lote 3A, Camino Internacional</t>
  </si>
  <si>
    <t>Concón</t>
  </si>
  <si>
    <t>Chile</t>
  </si>
  <si>
    <t>+56 (0) 32 213 3222</t>
  </si>
  <si>
    <t>info@nexxo.cl</t>
  </si>
  <si>
    <t>The company was acquired by Echeverria Izquierdo (SGO: EISA) for $10.25 million on October 30, 2013.</t>
  </si>
  <si>
    <t>228057-67</t>
  </si>
  <si>
    <t>A plot of land in Seoul</t>
  </si>
  <si>
    <t>A 854,030 square foot piece of land located in Seoul.</t>
  </si>
  <si>
    <t>land parcel, land plot</t>
  </si>
  <si>
    <t>A plot of land in Seoul was acquired by Hyundai Motor (LON: HYUO) for KRW 10.55 trillion on September 20, 2014. The asset is no longer actively tracked by PitchBook.</t>
  </si>
  <si>
    <t>Hyundai Motor</t>
  </si>
  <si>
    <t>53844-49</t>
  </si>
  <si>
    <t>Aéroports de Paris (PAR: ADP)</t>
  </si>
  <si>
    <t>Paris Aéroport</t>
  </si>
  <si>
    <t>Aéroports de Paris SA</t>
  </si>
  <si>
    <t>ADP is a French airport operator. The group owns the three major commercial airports in Paris (Charles de Gaulle, Orly and Paris-Le Bourget) and has stakes in several international airports, including a portfolio of Turkish Airports, through its holding of TAV Airports, and a 31% indirect stake in Indian airports New Delhi and Hyderabad through its recent acquisition of GMR Airports. The group generates regulated and nonregulated revenue. Regulated revenue includes fees collected from takeoff and landing, passenger fees and security, whereas nonregulated revenue stems from commercial activities such as retail, food and beverage and advertising sales. In 2019, the group catered to 108 million passengers through its Parisian airport network.</t>
  </si>
  <si>
    <t>aeronautical activities, airport design, airport operator, airport terminal services</t>
  </si>
  <si>
    <t>www.parisaeroport.fr</t>
  </si>
  <si>
    <t>2005: 10668, 2008: 11789, 2009: 12096, 2010: 12218, 2011: 12218, 2012: 9035, 2013: 9162, 2014: 9234, 2015: 8996, 2016: 9089, 2017: 17422, 2018: 26367, 2019: 26122, 2020: 24447</t>
  </si>
  <si>
    <t>ADP</t>
  </si>
  <si>
    <t>113209-03P</t>
  </si>
  <si>
    <t>Augustin de Romanet</t>
  </si>
  <si>
    <t>President &amp; Chairman f the Board of Directors</t>
  </si>
  <si>
    <t>augustin.deromanet@adp.fr</t>
  </si>
  <si>
    <t>+33 (0)1 70 36 39 50</t>
  </si>
  <si>
    <t>Tremblay-en-France, France</t>
  </si>
  <si>
    <t>1 rue de France</t>
  </si>
  <si>
    <t>Tremblay-en-France</t>
  </si>
  <si>
    <t>93290</t>
  </si>
  <si>
    <t>The company (PAR: ADP) is in talks to be acquired by Global Infrastructure Partners, Vinci (PAR: DG) and IFM Investors through a $10.20 billion LBO on December 12, 2017. Atlantia (MIL: ATL) has also been considering taking part in the company's auction at the helm of a fourth consortium. Subsequently, the deal was canceled. Previously, Government of France and Fonds Strategique d'Investissement sold a 9.5% stake in the company to Predica-Prevoyance Dialogue du Credit Agricole and Vinci for EUR 738.1 million in July 2013. The company is being actively tracked by PitchBook.</t>
  </si>
  <si>
    <t>Fonds Strategique d'Investissement, Government of France, Predica-Prevoyance Dialogue du Credit Agricole, Vinci</t>
  </si>
  <si>
    <t>Fonds Strategique d'Investissement(www.fonds-fsi.fr), Government of France(www.gouvernement.fr), Vinci(www.vinci.com)</t>
  </si>
  <si>
    <t>C Corporate Finance(Advisor: General), Deloitte(Auditor), EY(Auditor)</t>
  </si>
  <si>
    <t>Bank of America Merrill Lynch(Advisor: General), BDGS Associes(Advisor: General), BNP Paribas(Advisor: General), Caylon Securities(Underwriter), Citigroup(Advisor: General), HSBC Continental Europe(Underwriter), Lazard Middle Market(Advisor: General), Morgan Stanley(Advisor: General), Nomura Securities(Advisor: General), Société Générale(Advisor: General)</t>
  </si>
  <si>
    <t>118465-66</t>
  </si>
  <si>
    <t>Columbia Pipeline Group</t>
  </si>
  <si>
    <t>CPGX, CPG</t>
  </si>
  <si>
    <t>Columbia Pipeline Group, Inc.</t>
  </si>
  <si>
    <t>Kinder Morgan, Blue Roads Solutions, BlueRacer Midstream, EagleClaw Midstream Ventures, Oneok Partners, Open Grid Europe, Markwest Energy Partners, Magellan Midstream Partners, SemGroup, Keyera, Tallgrass Energy Partners, Pembina Pipeline, TC Energy, Plains All American Pipeline, International Matex Tank and Terminal, Spectra Energy, ONEOK, Enable Midstream Partners, Williams Partners, Enbridge, Caiman Energy, The Williams Companies, Enterprise Products Partners, Energy Transfer, Thigpen Energy, Santa Fe Midstream, Canadian Natural Resources, Dakota Plains Holdings, Teekay, Buckeye Partners</t>
  </si>
  <si>
    <t>Operator of natural gas pipelines designed to supply natural gas throughout North America. The company's natural gas pipelines help in transporting and distributing natural gas, enabling local gas distribution companies and high-volume users of natural gas to avail the required gas supply.</t>
  </si>
  <si>
    <t>Energy Infrastructure, Energy Storage*, Energy Transportation</t>
  </si>
  <si>
    <t>gas supplier, gas wells, natural gas distribution, natural gas storage</t>
  </si>
  <si>
    <t>www.cpg.com</t>
  </si>
  <si>
    <t>2015: 1968, 2016: 1782</t>
  </si>
  <si>
    <t>80420-23P</t>
  </si>
  <si>
    <t>Glen Kettering</t>
  </si>
  <si>
    <t>glen_kettering@transcanada.com</t>
  </si>
  <si>
    <t>The company (NYSE: CPGX) was acquired by TransCanada (NYSE: TRP) for $13 billion approximately on July 1, 2016. The company is no longer actively tracked by PitchBook.</t>
  </si>
  <si>
    <t>Akin Gump Strauss Hauer &amp; Feld(Legal Advisor), Bennett Jones(Legal Advisor), Jefferies Financial Group(Advisor: General), Lazard Middle Market(Advisor: General), Potter Anderson &amp; Corroon(Legal Advisor), Robbins Geller Rudman &amp; Dowd(Legal Advisor), Sullivan &amp; Cromwell(Legal Advisor), The Goldman Sachs Group(Advisor: General), Tigress Financial Partners(Underwriter)</t>
  </si>
  <si>
    <t>12106-36</t>
  </si>
  <si>
    <t>RealPage</t>
  </si>
  <si>
    <t>RealPage Communications, Rent Roll</t>
  </si>
  <si>
    <t>RealPage, Inc.</t>
  </si>
  <si>
    <t>PropertyBoss Solutions, Building Engines, Property Vista, MRI Software, AppFolio, ProLease Software, Entrata, FM:Systems, Buildium, Bixby, Tenant File, SAP, Tenantcloud, Rent Manager, Propertybase, AMTdirect, Accruent, iOFFICE, ClinchPad, Qube Global Software, Top Producer Systems, Applied Predictive Technologies, InfoTycoon, IDeaS (Defense), ResMan (Property Management Software), HappyCo, Zego (Powered by PayLease), Aareon, Funnel Leasing, Lasso Data Systems, Spark CRM, Rainmaker Group, BrightDoor Systems, Propertybase (Acquired/Merged), CINC, ServusConnect, CML Software, Conservice, SmartZip, Urbanise.com, VTS, G5 Search Marketing, Yardi Systems, LeaseAccelerator, Intalytics, Sparta Systems, Salesforce.com, Horizon Software International, Clockworks Analytics, Ocius, TurboTenant, HAB, Aptexx, Alteryx, YapStone, Cozy, FieldiD, DocSend, RateGain Technology, WiredScore</t>
  </si>
  <si>
    <t>RealPage Inc is a provider of on-demand software and software-enabled solutions for the rental housing industry. Its customers include single family, multifamily, and vacation rental units, and large property management companies. Its solutions include marketing, pricing, leasing, accounting, purchasing, and other property operation capabilities. The RealPage platform hosts applications that enable property owners and managers to improve pricing methodologies, improve collections, and integrate business processes. The company derives revenue from on-demand and on-premises software solutions and professional services. All of the firm's revenue is generated in the United States.</t>
  </si>
  <si>
    <t>Business/Productivity Software*, IT Consulting and Outsourcing</t>
  </si>
  <si>
    <t>Real Estate Technology, SaaS, TMT</t>
  </si>
  <si>
    <t>business process analysis, data analytics platform, property management, property management software</t>
  </si>
  <si>
    <t>www.realpage.com</t>
  </si>
  <si>
    <t>2009: 1260, 2010: 1759, 2011: 2273, 2012: 2893, 2013: 3396, 2014: 3875, 2015: 4100, 2016: 4700, 2017: 5400, 2018: 6200, 2019: 7000, 2020: 7600, 2021: 6691</t>
  </si>
  <si>
    <t>228662-29P</t>
  </si>
  <si>
    <t>Brian Shelton</t>
  </si>
  <si>
    <t>Executive Vice President, Chief Financial Officer &amp; Treasurer</t>
  </si>
  <si>
    <t>brian.shelton@realpage.com</t>
  </si>
  <si>
    <t>+1 (877) 325-7243</t>
  </si>
  <si>
    <t>Richardson, TX</t>
  </si>
  <si>
    <t>2201 Lakeside Boulevard</t>
  </si>
  <si>
    <t>Richardson</t>
  </si>
  <si>
    <t>75082</t>
  </si>
  <si>
    <t>+1 (972) 820-3036</t>
  </si>
  <si>
    <t>The company (NASDAQ:RP) was acquired by Thoma Bravo through a $10.2 billion public-to-private LBO on April 22, 2021. The company's shareholders were paid $88.75 in cash per share, representing a 30.8% premium to the company's closing share price of $67.83 on December 18, 2020, and a premium of 36.5% over RealPage's 30-day volume-weighted average share price through December 18, 2020.</t>
  </si>
  <si>
    <t>Thoma Bravo</t>
  </si>
  <si>
    <t>Advance Capital Partners, Apax Partners, Battery Ventures, Camden Partners, Leeds Equity Partners, Richmont Holdings, Serent Capital, Vista Equity Partners, Volition Capital</t>
  </si>
  <si>
    <t>Thoma Bravo(www.thomabravo.com)</t>
  </si>
  <si>
    <t>Advance Capital Partners(www.advancellc.com), Apax Partners(www.apax.com), Battery Ventures(www.battery.com), Camden Partners(www.camdenpartners.com), Leeds Equity Partners(www.leedsequity.com), Richmont Holdings(www.richmont.net), Serent Capital(www.serentcapital.com), Vista Equity Partners(www.vistaequitypartners.com), Volition Capital(www.volitioncapital.com)</t>
  </si>
  <si>
    <t>EY(Accounting), Haynes and Boone(Legal Advisor), Simpson Thacher &amp; Bartlett(Legal Advisor)</t>
  </si>
  <si>
    <t>Apollo Global Management(Debt Financing), Ares Capital(Debt Financing), Baker Botts(Legal Advisor), Bank of America Merrill Lynch(Underwriter), Barclays(Debt Financing), Benefit Street Partners(Debt Financing), BMO Financial Group(Underwriter), BMO Harris Bank(Debt Financing), Centaur Partners(Advisor: General), Credit Suisse(Underwriter), Deutsche Bank(Debt Financing), Deutsche Bank(Underwriter), Diameter Capital Partners(Debt Financing), EY(Accounting), Haynes and Boone(Legal Advisor), Jefferies Finance(Debt Financing), JMP Securities(Underwriter), KBCM Technology Group(Underwriter), Keefe, Bruyette &amp; Woods(Underwriter), KeyBanc Capital Markets(Underwriter), Kohlberg Kravis Roberts(Debt Financing), Lazard Capital Markets(Underwriter), New Mountain Finance(Debt Financing), Nomura Securities(Debt Financing), Oak Hill Advisors(Debt Financing), Owl Rock Capital Corporation(Debt Financing), PSP Investments Credit USA(Debt Financing), RBC Capital Markets(Underwriter), Roberts &amp; Ryan Investments(Underwriter), Royal Bank of Canada(Debt Financing), Stephens(Underwriter), Stone Point Capital(Debt Financing), T. Rowe Price(Debt Financing), The Goldman Sachs Group(Advisor: General), Truist(Debt Financing), UBS Group(Debt Financing), Wachtell, Lipton, Rosen &amp; Katz(Legal Advisor), Wells Fargo(Debt Financing), Wells Fargo(Underwriter), William Blair &amp; Company(Underwriter), Wilson Sonsini Goodrich &amp; Rosati(Legal Advisor)</t>
  </si>
  <si>
    <t>Loan - $1.00B (Second Lien Term Loan); Loan - $2.75B (First Lien Term Loan); Revolving Credit Line - $250.00M</t>
  </si>
  <si>
    <t>54439-66</t>
  </si>
  <si>
    <t>Stemcentrx</t>
  </si>
  <si>
    <t>Stemcentrx, Inc</t>
  </si>
  <si>
    <t>CytImmune Sciences, Amal Therapeutics, Aura Biosciences, Aileron Therapeutics, TScan Therapeutics, Gadeta, Ariad Pharmaceuticals, Kbp Biosciences, NexImmune, Carisma Therapeutics, Corvus Pharmaceuticals, Arvinas, Crinetics Pharmaceuticals, Rigontec, Agios, OncoGenex Pharmaceuticals, Apeptico Forschung und Entwicklung, Aduro Biotech, Apexigen, Abide Therapeutics, CytomX Therapeutics, Agalimmune, Neon Therapeutics, Array BioPharma, Forge Therapeutics, Cedilla Therapeutics, Jounce Therapeutics, Immune Design, Perthera, Encycle Therapeutics, Tmunity, Spero Therapeutics, Millendo Therapeutics, Aldeyra Therapeutics, Immatics, Forma Therapeutics, Janpix, Versartis, OrphoMed, Oncorus, Inovio Pharmaceuticals, Kite Pharma, Vividion Therapeutics, Kymera Therapeutics, Rhythm Pharmaceuticals, Amyndas Pharmaceuticals, Synergy Pharmaceuticals, ADC Therapeutics, Quanticel Pharmaceuticals, Apellis, Viriom, Ensemble Therapeutics, Sucampo Pharmaceuticals, Ritter Pharmaceuticals, Circle Pharma, Advanced Proteome Therapeutics, Bicycle Therapeutics, Phathom Pharmaceuticals, Regulus Therapeutics, ImmuNext, IOmet Pharma, BioNTech, Ziopharm Oncology, Saniona, Dynavax Technologies, Medivation, Alios BioPharma, Protagonist Therapeutics, Sevion Therapeutics, Gilead Sciences, Achaogen, Loxo Oncology, Agenus, Genentech, Vical, Sagimet Biosciences, VBI Vaccines(Rehovot), Chronix Biomedical, Merrimack Pharmaceuticals, Aridis Pharmaceuticals, XBiotech, ADC Biotechnology, Moderna Therapeutics, OncBioMune</t>
  </si>
  <si>
    <t>Provider of cancer research and drug-development services designed to find a new approach to treat cancer. The company's services provide therapies to eliminate cancer stem cells, which initiate and perpetuate tumors, enabling healthcare providers to cure cancer of their patients and improve their lives.</t>
  </si>
  <si>
    <t>cancer care, cancer therapy, cancer tumors, oncology treatment, stem cell treatment</t>
  </si>
  <si>
    <t>Clinical Trials - Phase 1</t>
  </si>
  <si>
    <t>www.stemcentrx.com</t>
  </si>
  <si>
    <t>2015: 142, 2016: 147</t>
  </si>
  <si>
    <t>45948-16P</t>
  </si>
  <si>
    <t>Brian Slingerland</t>
  </si>
  <si>
    <t>brian.slingerland@stemcentrx.com</t>
  </si>
  <si>
    <t>+1 (650) 491-0120</t>
  </si>
  <si>
    <t>450 East Jamie Court</t>
  </si>
  <si>
    <t>info@stemcentrx.com</t>
  </si>
  <si>
    <t>The company was acquired by AbbVie (NYS: ABBV) for $10.2 billion on June 1, 2016. Previously, the company raised $250 million of Series G venture funding in a deal led by Fidelity Investments on August 14, 2015, putting the company's pre-money valuation at $4770 million. Cowles Company, Founders Fund, Oakhouse Partners, Bennu Venture Group, ARTIS Ventures and American Funds Insurance Series also participated in the round. The company is no longer actively tracked by PitchBook.</t>
  </si>
  <si>
    <t>AME Cloud Ventures, American Funds Insurance Series, ARTIS Ventures, Bennu Venture Group, Columbia Pacific Advisors, Cowles Company, Fidelity Investments, Founders Fund, James Hong, Michael Ovitz, Next Play Capital, Peter Thiel, Samir Kaji, Sequoia Capital, Western Technology Investment</t>
  </si>
  <si>
    <t>AME Cloud Ventures(www.amecloudventures.com), American Funds Insurance Series(www.americanfunds.com), ARTIS Ventures(www.av.co), Bennu Venture Group(www.bennuvc.com), Columbia Pacific Advisors(www.columbiapacific.com), Cowles Company(www.cowlescompany.com), Fidelity Investments(www.fidelity.com), Founders Fund(www.foundersfund.com), Michael Ovitz(www.michaelovitz.com), Next Play Capital(www.nextplaycapital.com), Sequoia Capital(www.sequoiacap.com), Western Technology Investment(www.westerntech.com)</t>
  </si>
  <si>
    <t>Cooley(Legal Advisor), Heller Ehrman(Legal Advisor)</t>
  </si>
  <si>
    <t>Cooley(Legal Advisor), Morgan Stanley(Advisor: General), Sullivan &amp; Cromwell(Legal Advisor), Western Technology Investment(Debt Financing)</t>
  </si>
  <si>
    <t>58737-16</t>
  </si>
  <si>
    <t>RSA Insurance Group</t>
  </si>
  <si>
    <t>Royal &amp; Sun Alliance Insurance Group</t>
  </si>
  <si>
    <t>RSA</t>
  </si>
  <si>
    <t>RSA Insurance Group plc</t>
  </si>
  <si>
    <t>CNA Financial, Marsh &amp; Mclennan Companies, The Hartford Financial Services Group, Selective Insurance Group</t>
  </si>
  <si>
    <t>RSA Insurance Group Ltd is a property and casualty insurance company providing offerings across the globe. The company's different types of coverage include personal insurance, commercial insurance, and global specialty services. The personal insurance line includes protection for homes, vehicles, pets, and valuables. The commercial insurance line is geared toward business owners, while global specialty places emphasis on highly specialized or multinational businesses. The vast majority of RSA Insurance's premiums are distributed directly to customers.</t>
  </si>
  <si>
    <t>Automotive Insurance, Insurance Brokers, Multi-line Insurance*, Other Commercial Services</t>
  </si>
  <si>
    <t>commercial insurance service, financial advisory service, insurance brokerage service, specialty insurance provider, specialty insurance service</t>
  </si>
  <si>
    <t>www.rsagroup.com</t>
  </si>
  <si>
    <t>1995: 47011, 1996: 45263, 1997: 43480, 1998: 44489, 1999: 46479, 2000: 51720, 2001: 50910, 2002: 50467, 2003: 39144, 2004: 28355, 2005: 25292, 2006: 23177, 2007: 22553, 2008: 22464, 2009: 22686, 2010: 22078, 2011: 23240, 2012: 23824, 2013: 23872, 2014: 19546, 2015: 15433, 2016: 14200, 2017: 12600, 2018: 6316, 2019: 12554, 2020: 12960</t>
  </si>
  <si>
    <t>108248-14P</t>
  </si>
  <si>
    <t>Steve Lewis</t>
  </si>
  <si>
    <t>Chief Executive, UK &amp; International</t>
  </si>
  <si>
    <t>steve.lewis@rsagroup.com</t>
  </si>
  <si>
    <t>+44 (0)14 0323 2323</t>
  </si>
  <si>
    <t>20 Fenchurch Street</t>
  </si>
  <si>
    <t>EC3M 3AU</t>
  </si>
  <si>
    <t>The company was acquired by Intact Financial (TSE: IFC) and Tryg (CSE: TRYG) for GBP 7.2 billion on June 1, 2021. Under the proposal, Intact would pay GBP 3 billion and will take the company's British and international operations and obligations while Tryg would pay GBP 4.2 billion and will take the company's operations in Sweden and Norway. Intact Financial and Tryg would co-own operations in Denmark. With the Acquisition, Intact is taking a significant step to accelerate its strategy and drive significant value creation. The acquisition will also strengthen Tryg's position as a non-life insurer in Scandinavia, Sweden and Norway.</t>
  </si>
  <si>
    <t>Intact Financial, Tryg</t>
  </si>
  <si>
    <t>Zurich Insurance Group</t>
  </si>
  <si>
    <t>Intact Financial(www.intactfc.com), Tryg(www.tryg.com)</t>
  </si>
  <si>
    <t>Zurich Insurance Group(www.zurich.com)</t>
  </si>
  <si>
    <t>Keystone Law(Legal Advisor), KPMG(Auditor), Peterka &amp; Partners(Legal Advisor), Quantit(Valuation/Appraiser), REL Consultancy(Consulting), Stephenson Harwood(Legal Advisor), Tribridge(Consulting)</t>
  </si>
  <si>
    <t>Bank of America Merrill Lynch(Advisor: General), Clifford Chance(Legal Advisor), JP Morgan Cazenove(Advisor: General), Morgan Stanley(Advisor: General), Robey Warshaw(Advisor: General), Slaughter and May(Legal Advisor), The Goldman Sachs Group(Advisor: General)</t>
  </si>
  <si>
    <t>62847-19</t>
  </si>
  <si>
    <t>Alstom (Power &amp; Grid)</t>
  </si>
  <si>
    <t>Operator of thermal, renewable and grid business. The business division runs gas and steam turbine-making operations.</t>
  </si>
  <si>
    <t>Energy Infrastructure, Energy Production*</t>
  </si>
  <si>
    <t>electrical grid, power transmission, renewable power, thermal</t>
  </si>
  <si>
    <t>2015: 65000</t>
  </si>
  <si>
    <t>Baden, Switzerland</t>
  </si>
  <si>
    <t>Brown Boveri Stasse 7</t>
  </si>
  <si>
    <t>Baden</t>
  </si>
  <si>
    <t>5401</t>
  </si>
  <si>
    <t>+41 (0)58 505 7733</t>
  </si>
  <si>
    <t>The Power and Grid unit of Alstom (EPA: ALO) was acquired by General Electric (NYSE: GE) for $10.13 billion on November 2, 2015. The company is no longer actively tracked by PitchBook.</t>
  </si>
  <si>
    <t>Alstom</t>
  </si>
  <si>
    <t>Mitsubishi Heavy Industries, Siemens</t>
  </si>
  <si>
    <t>Alstom(www.alstom.com)</t>
  </si>
  <si>
    <t>Mitsubishi Heavy Industries(www.mhi.co.jp), Siemens(new.siemens.com)</t>
  </si>
  <si>
    <t>Mazars USA(Advisor: General)</t>
  </si>
  <si>
    <t>40402-63</t>
  </si>
  <si>
    <t>Syngenta</t>
  </si>
  <si>
    <t>Zeneca Agrochemicals</t>
  </si>
  <si>
    <t>Syngenta International AG</t>
  </si>
  <si>
    <t>Operator of an agribusiness company. The company develops a range of products to optimize crop yields and combat plant diseases and pests, through insecticides, fungicides and herbicides (including bio-based) and plants engineered to withstand environmental stresses.</t>
  </si>
  <si>
    <t>Agricultural Chemicals*, Biotechnology, Other Agriculture</t>
  </si>
  <si>
    <t>agricultural chemicals, crop pest removal, crop yield, insecticides, plant disease</t>
  </si>
  <si>
    <t>In IPO Registration</t>
  </si>
  <si>
    <t>www.syngenta.com</t>
  </si>
  <si>
    <t>2000: 24921, 2001: 20000, 2002: 20000, 2003: 15500, 2004: 19500, 2005: 19300, 2006: 19300, 2007: 21200, 2008: 19500, 2009: 25900, 2010: 25000, 2015: 28000, 2017: 28000, 2019: 28000, 2020: 49000, 2021: 48000</t>
  </si>
  <si>
    <t>China National Chemical</t>
  </si>
  <si>
    <t>78749-02P</t>
  </si>
  <si>
    <t>Chen Lichtenstein</t>
  </si>
  <si>
    <t>chen.lichtenstein@syngenta.com</t>
  </si>
  <si>
    <t>+41 (0)61 323 1111</t>
  </si>
  <si>
    <t>Post Office Box</t>
  </si>
  <si>
    <t>4002</t>
  </si>
  <si>
    <t>+41 (0)61 323 5461</t>
  </si>
  <si>
    <t>The company sold its Global R&amp;D center in Stein/ Sisseln in a 30 year sale and leaseback transaction to Schroders on January 10, 2020. The site has an area of 180'000 sqm.</t>
  </si>
  <si>
    <t>AstraZeneca (Biotechnology Research), Novartis (agrochemicals and seeds businesses), Paulson &amp; Co., The Capital Group Companies</t>
  </si>
  <si>
    <t>BASF, Dow, Monsanto</t>
  </si>
  <si>
    <t>Paulson &amp; Co.(www.paulsonco.com), The Capital Group Companies(www.capitalgroup.com)</t>
  </si>
  <si>
    <t>BASF(www.basf.com), Dow(www.dow.com), Monsanto(www.monsanto.com)</t>
  </si>
  <si>
    <t>CET(Advisor: General), HighQuest Group(Consulting), Infomineo(Consulting), Joele Frank(Advisor: Communications), JP O'FARRELL ABOGADOS(Legal Advisor), Kean Miller(Legal Advisor), KPMG(Auditor), Lenovys(Consulting), Lion's Head Global Partners(Advisor: General), Miebach Consulting(Consulting), Pavia e Ansaldo(Legal Advisor), PwC(Auditor), RooneyPartners(Advisor: General), Sprim(Consulting), The TaxBack Group(Advisor: General), ZS Associates(Consulting)</t>
  </si>
  <si>
    <t>Alantra Partners(Advisor: General), Bär &amp; Karrer(Legal Advisor), Davis Polk(Legal Advisor), EY(Advisor: General), Gonzalez Calvillo(Legal Advisor), Gordon Dyal &amp; Co. Advisory Group(Advisor: General), J.P. Morgan(Advisor: General), Schroders(Debt Financing), The Goldman Sachs Group(Advisor: General), UBS Group(Advisor: General)</t>
  </si>
  <si>
    <t>265535-38</t>
  </si>
  <si>
    <t>Abu Dhabi National Oil Co. (Pipeline Unit)</t>
  </si>
  <si>
    <t>ADCOP</t>
  </si>
  <si>
    <t>Abu Dhabi Crude Oil Pipeline LLC</t>
  </si>
  <si>
    <t>406 kilometer pipeline infrastructure assets in Abu Dhabi, United Arab Emirates. The pipelines have an average throughput of approximately 615 thousand barrels per day.</t>
  </si>
  <si>
    <t>Buildings and Property, Energy Transportation, Other Energy*</t>
  </si>
  <si>
    <t>oil asset portfoilo, oil pipeline, oil pipeline asset, oil transportation, pipeline asset portfolio</t>
  </si>
  <si>
    <t>Abu Dhabi National Oil</t>
  </si>
  <si>
    <t>Abu Dhabi National Oil sold a 49% stake in the company to Snam, NH Investment &amp; Securities, Brookfield Asset Management, Ontario Teachers' Pension Plan, Government of Singapore Investment Corporation (GIC) and Global Infrastructure Partners for $10.1 billion on July 15, 2020.</t>
  </si>
  <si>
    <t>Abu Dhabi National Oil, BlackRock, Brookfield Asset Management, Global Infrastructure Partners, Government of Singapore Investment Corporation (GIC), Kohlberg Kravis Roberts, NH Investment &amp; Securities, Ontario Teachers' Pension Plan, Snam</t>
  </si>
  <si>
    <t>IFM Investors</t>
  </si>
  <si>
    <t>Abu Dhabi National Oil(www.adnoc.ae), BlackRock(www.blackrock.com), Brookfield Asset Management(www.brookfield.com), Global Infrastructure Partners(www.global-infra.com), Government of Singapore Investment Corporation (GIC)(www.gic.com.sg), Kohlberg Kravis Roberts(www.kkr.com), NH Investment &amp; Securities(www.nhqv.com), Ontario Teachers' Pension Plan(www.otpp.com), Snam(www.snam.it)</t>
  </si>
  <si>
    <t>IFM Investors(www.ifminvestors.com)</t>
  </si>
  <si>
    <t>Bank of America(Advisor: General), First Abu Dhabi Bank(Advisor: General), Mizuho Securities(Advisor: General), Moelis &amp; Company(Advisor: General), White &amp; Case(Legal Advisor)</t>
  </si>
  <si>
    <t>52813-45</t>
  </si>
  <si>
    <t>Proofpoint (NAS: PFPT)</t>
  </si>
  <si>
    <t>Proofpoint, Inc.</t>
  </si>
  <si>
    <t>Splunk, Zscaler, Okta, Tenable, SailPoint Technologies, CrowdStrike, Qualys, Boldon James, Sophos, NortonLifeLock, Akamai Technologies, Radware, Ziften, Sealpath, CipherCloud, Gemalto, Alert Logic, AppRiver, Netsweeper, Securonix, LogicHub, Dell EMC, Imperva, Hitachi Vantara, NICE Systems, Delphix, Acronis, Rubrik, Optiv Security, Proficio (US), Zix, Arista Networks, Datto, Secure Thingz, Fidelis Cybersecurity, Devicelock, Code42, D2iQ, FishNet Security, CloudVelox, Resilience (Network Security), Arxan Technologies, LogRhythm, Intertrust Technologies, Mimecast, G Data Software, WatchGuard Technologies, ZeroNorth, Zimperium, Veritas Technologies, Forcepoint, Actifio, GFI Software, Dimension Data, Netskope, Nyotron Information Security, Veracode, McAfee, OneLogin, Flying Cloud, AdaptiveMobile Security, Smoothwall, NSS Labs, NetApp, Genetec, Lancope, Saviynt, Digital Guardian, Bluebox, GoSecure, OverWatchID, SonicWall, Aerohive Networks, Nasuni, eSentire, Barricade Security Systems, ThreatConnect, Aruba Networks, Unitrends, iboss, Arctic Wolf (Network Management Software), Bloxx, Micro Focus International, Attenda, Agari, Skyhigh Networks, FireEye, Norse, Webroot, GoSecure (Acquired), Impulse (Tampa), Citrix Systems, Nagios, Druva, Protegrity (US), Palo Alto Networks, Kaspersky Lab, Centrify, Censornet, Avira Operations, Elevate Security, Oracle, GuardSquare, Secunia, Tanium, GWAVA, Verint Systems, Cybriant, Ensono, DeliverySlip, Cadre Computer Resources, F5 Networks, Global Relay, EnSilo, Aptean, Cobalt, ForeScout Technologies, SecureAuth, Zoho Corporation, APCON (US), EdgeWave, Oracle NetSuite, Ahsay Systems Corporation, Trend Micro, Appthority, Echoworx, Cloudflare, AppViewX, VMware, StarForce Technologies, Cisco Systems, Red Hat, Nutanix, Tonbeller, Verodin, Entrust Datacard, ContentKeeper, NEC Corporation of America, Kaymera, Auth0, Sqrrl, Smarsh, Prolexic Technologies, Safend, Amazon Web Services, Igneous, Infor Global Solutions, Endgame, OpenDNS, StorageCraft Technology, Postini, Seaweed File System, Exabeam, OpenVPN, GreatHorn, ESET, Samsung SDS Company, BitDefender, Extreme Networks, Opswat, Cohesity, Riverbed Technology, Avi Networks, Cylance, KEMP Technologies, Check Point Software Technologies, Catalogic Software, Epicor Software, Quick Heal Technologies, Hortonworks, Damballa, Fujitsu, Wandera, Triumfant, Genesys, Salesforce.com, Lookout, WorkFusion, CommVault Systems, Anaplan, Corrata, Mettle Networks, Odoo, MX, Quicken, Cyberbit, Pluribus Networks, Nihon Unisys, Reflexion Networks</t>
  </si>
  <si>
    <t>Proofpoint Inc. is a provider of cloud-based security solutions to large- and mid-sized organizations in a wide range of industries. The firm's solutions are delivered through its security-as-a-service platform, which hosts an integrated set of on-demand data protection applications. These solutions include threat protection, incident response, regulatory compliance, archiving, governance, and secure communication capabilities. The company derives revenue from subscription fees and hardware, training, and professional services fees. A majority of the firm's revenue is generated in the United States.</t>
  </si>
  <si>
    <t>Network Management Software</t>
  </si>
  <si>
    <t>Network Management Software*, Systems and Information Management</t>
  </si>
  <si>
    <t>Cybersecurity, SaaS, TMT</t>
  </si>
  <si>
    <t>compliance software, email archiving, network management platform, network management software, network management system, network management toolkit</t>
  </si>
  <si>
    <t>www.proofpoint.com</t>
  </si>
  <si>
    <t>2011: 376, 2012: 449, 2013: 680, 2014: 859, 2015: 1203, 2016: 1573, 2017: 2047, 2018: 2613, 2019: 3368, 2020: 3658</t>
  </si>
  <si>
    <t>PFPT</t>
  </si>
  <si>
    <t>39432-70P</t>
  </si>
  <si>
    <t>Gary Steele</t>
  </si>
  <si>
    <t>Founder, Chief Executive Officer and Chairman of the Board</t>
  </si>
  <si>
    <t>+1 (408) 517-4710</t>
  </si>
  <si>
    <t>925 West Maude Avenue</t>
  </si>
  <si>
    <t>+1 (408) 517-4711</t>
  </si>
  <si>
    <t>The company entered into a definitive agreement to be acquired by Thoma Bravo through an estimated $ 10.1 billion public-to-private LBO on April 26, 2021. Debt financing for the transaction is being provided by The Goldman Sachs Group. The transaction values the company at approximately $12.3 billion. On completion of the acquisition, the company will be delisted. The company is being actively tracked by PitchBook.</t>
  </si>
  <si>
    <t>Benchmark (San Francisco), Bridgescale, DAG Ventures, Dominion Capital, Eric Hahn, Firsthand Capital Management, Greenspring Associates, Icon Ventures, Inventures Group, KG Investments, Labrador Ventures, Lighthouse Capital Partners, Meritech Capital Partners, Mohr Davidow Ventures, Northgate Capital, RRE Ventures, Stanford Management Company, Ventures West Capital</t>
  </si>
  <si>
    <t>Benchmark (San Francisco)(www.benchmark.com), Bridgescale(www.bridgescale.com), DAG Ventures(www.dagventures.com), Dominion Capital(www.domcapllc.com), Firsthand Capital Management(www.firsthandcapital.com), Greenspring Associates(www.greenspringassociates.com), Icon Ventures(www.iconventures.com), Inventures Group(www.ingroup.com), KG Investments(www.kginvest.net), Labrador Ventures(www.labrador.com), Lighthouse Capital Partners(lcpartners.com), Meritech Capital Partners(www.meritechcapital.com), Mohr Davidow Ventures(www.mdv.com), Northgate Capital(www.northgate.com), RRE Ventures(www.rre.com), Stanford Management Company(smc.stanford.edu), Ventures West Capital(www.ventureswest.com)</t>
  </si>
  <si>
    <t>JMP Securities(Advisor: General), Northland Securities(Advisor: General), ON Partners(Consulting)</t>
  </si>
  <si>
    <t>Credit Suisse(Underwriter), Deutsche Bank(Underwriter), Fenwick &amp; West(Legal Advisor), First Analysis(Underwriter), KBCM Technology Group(Underwriter), Morgan Stanley(Advisor: General), PwC(Auditor), RBC Capital Markets(Underwriter), Skadden, Arps, Slate, Meagher &amp; Flom(Legal Advisor), Stephens(Advisor: General), The Goldman Sachs Group(Debt Financing), William Blair &amp; Company(Advisor: General)</t>
  </si>
  <si>
    <t>51504-76</t>
  </si>
  <si>
    <t>BetFair Group</t>
  </si>
  <si>
    <t>BetFair, Paddy Power Betfair</t>
  </si>
  <si>
    <t>Betfair Group Ltd</t>
  </si>
  <si>
    <t>Flutter Entertainment, Expekt Nordics, Playtech, Entain, bwin.party Digital Entertainment, SBTech, Betfred, Tipico Group, Superbet Interactive, bet-at-home.com, Oryx Gaming, SPS Betting, Bet365, Smarkets</t>
  </si>
  <si>
    <t>Betfair International is a provider of online gambling services intended for betting and gaming. The company's services include a variety of gaming products including online casino, poker, bingo and sportsbook, enabling the customers to bet on the outcome of discrete events.</t>
  </si>
  <si>
    <t>Casinos and Gaming</t>
  </si>
  <si>
    <t>Casinos and Gaming*, Entertainment Software</t>
  </si>
  <si>
    <t>exchange games betting, online arcade betting, online betting, online games betting, online poker betting, sports betting</t>
  </si>
  <si>
    <t>www.betfair.com</t>
  </si>
  <si>
    <t>2008: 1134, 2009: 1293, 2010: 1668, 2011: 2028, 2012: 2214, 2013: 1692, 2014: 1728, 2015: 2056, 2016: 7000</t>
  </si>
  <si>
    <t>Flutter Entertainment</t>
  </si>
  <si>
    <t>Hammersmith Embankment</t>
  </si>
  <si>
    <t>Chancellors Road</t>
  </si>
  <si>
    <t>W6 9HP</t>
  </si>
  <si>
    <t>+44 (0)20 8834 8000</t>
  </si>
  <si>
    <t>The company was acquired by Paddy Power (DUB: PLSA) for GBP 7 billion on February 1, 2016. Under the terms of the transaction, the shareholders of Betfair Group Plc will receive 0.4254 new bidder share for every Betfair Group Plc share held. As a part of the deal, the company was delisted from LON stock exchange and Paddy Power changed its name to Paddy Power Betfair.</t>
  </si>
  <si>
    <t>Aegon Asset Management, Archimedia, Balderton Capital, Chase Capital Partners, Deutsche Bank, Episode 1 Ventures, Index Ventures, Janus Henderson Investors, Piton Capital, Samos Investments, SoftBank Group</t>
  </si>
  <si>
    <t>Aegon Asset Management(www.aegonam.com), Archimedia(www.archimedia.com), Balderton Capital(www.balderton.com), Deutsche Bank(www.db.com), Episode 1 Ventures(www.episode1.com), Index Ventures(www.indexventures.com), Janus Henderson Investors(www.janushenderson.com), Piton Capital(www.pitoncap.com), Samos Investments(samos.vc), SoftBank Group(www.softbank.jp)</t>
  </si>
  <si>
    <t>Innovify(Consulting), Neil Fink Associates(Consulting), Propel London(Consulting)</t>
  </si>
  <si>
    <t>Barclays Investment Bank(Underwriter), Freshfields Bruckhaus Deringer(Legal Advisor), Morgan Stanley(Underwriter), Numis Securities(Underwriter), Powerscourt(Advisor: General), Spectrum Gaming Capital(Advisor: General), The Goldman Sachs Group(Underwriter)</t>
  </si>
  <si>
    <t>10358-65</t>
  </si>
  <si>
    <t>International Power</t>
  </si>
  <si>
    <t>International Power Plc</t>
  </si>
  <si>
    <t>Operator of power generation company. The company generates electricity from various sources such as gas, wind, coal, pumped storage, oil and water. It also involves downstream LNG, gas distribution, retail and desalination.</t>
  </si>
  <si>
    <t>Electric Utilities*, Gas Utilities</t>
  </si>
  <si>
    <t>electricity generation, gas distribution, power generation</t>
  </si>
  <si>
    <t>1990: 16977, 1991: 15699, 1992: 13263, 1993: 9919, 1994: 6940, 1995: 5431, 1996: 4835, 1997: 4460, 1998: 4335, 1999: 4432, 2000: 5488, 2001: 2323, 2002: 2117, 2003: 2408, 2004: 2739, 2005: 3569, 2006: 3660, 2007: 3710, 2008: 3901, 2009: 3924</t>
  </si>
  <si>
    <t>Senator House</t>
  </si>
  <si>
    <t>85 Queen Victoria Street</t>
  </si>
  <si>
    <t>EC4V 4DP</t>
  </si>
  <si>
    <t>A 30% stake in the company was acquired by Engie for GBP 6.44 billion on June 29, 2012. The company was acquired by GDF Suez (PAR: GSZ) for GBP 5.14 billion on August 10, 2010. After the transaction, Engie has 100% ownership in the company. The company is no longer actively tracked by PitchBook.</t>
  </si>
  <si>
    <t>Engie</t>
  </si>
  <si>
    <t>National Power (Australia)</t>
  </si>
  <si>
    <t>National Power (Australia)(www.nppower.net)</t>
  </si>
  <si>
    <t>Green Park(Advisor: General), Lakatos, Köves and Partners(Legal Advisor)</t>
  </si>
  <si>
    <t>Barclays(Advisor: General), Clifford Chance(Legal Advisor), JP Morgan Cazenove(Advisor: General), Lazard Middle Market(Advisor: General), Morgan Stanley(Advisor: General), Nomura International(Advisor: General)</t>
  </si>
  <si>
    <t>59620-96</t>
  </si>
  <si>
    <t>Chugai Pharmaceutical (TKS: 4519)</t>
  </si>
  <si>
    <t>Chugai Shinyaku Shokai</t>
  </si>
  <si>
    <t>Chugai</t>
  </si>
  <si>
    <t>Chugai Pharmaceutical Co., Ltd.</t>
  </si>
  <si>
    <t>Novartis, Dr. Reddy's Laboratories</t>
  </si>
  <si>
    <t>Chugai Pharmaceutical is a Japanese drug developer and subsidiary of Roche Holding Ltd, which owns roughly 60% of the company. Founded in 1925, Chugai deals primarily in the Japanese market, where it generates roughly half of its revenue. It has been the leader in Japan's oncology market for the past decade, largely due to drugs licensed from its parent's portfolio. The company also develops its own innovative medicines, primarily focused on oncology, renal diseases, and bone and joint diseases. It is an industry leader in antibody technology with several notable therapies, including Hemlibra for hemophilia patients and Actemra for rheumatoid arthritis.</t>
  </si>
  <si>
    <t>drug developer, drug discovery, pharmaceutical company, pharmaceutical importer, pharmaceutical manufacturer</t>
  </si>
  <si>
    <t>www.chugai-pharm.co.jp</t>
  </si>
  <si>
    <t>2008: 6383, 2009: 6485, 2010: 6709, 2011: 6818, 2012: 6836, 2013: 6872, 2014: 7023, 2015: 7169, 2016: 7245, 2017: 7372, 2018: 7432, 2019: 7394, 2020: 7555</t>
  </si>
  <si>
    <t>4519</t>
  </si>
  <si>
    <t>194632-03P</t>
  </si>
  <si>
    <t>Osamu Okuda</t>
  </si>
  <si>
    <t>okudaosamu@chugai-pharm.co.jp</t>
  </si>
  <si>
    <t>+81 (0)33 281 6611</t>
  </si>
  <si>
    <t>1-1 Nihonbashi-Muromachi 2-Chome</t>
  </si>
  <si>
    <t>Nihonbashi Mitsui Tower (Reception 15F) Chuo-ku</t>
  </si>
  <si>
    <t>103-8324</t>
  </si>
  <si>
    <t>+81 (0)33 281 2828</t>
  </si>
  <si>
    <t>An undisclosed investor had been in talks to sell a 38.25% stake in the company to Roche Holding for $10 billion. Subsequently, the deal was cancelled. Roche instead opted to focus on its $8.3 billion acquisition of InterMune Inc.</t>
  </si>
  <si>
    <t>Destum Partners(Advisor: General), KPMG(Auditor)</t>
  </si>
  <si>
    <t>Capital Nomura Securities(Advisor: General), Hughes Hubbard &amp; Reed(Legal Advisor)</t>
  </si>
  <si>
    <t>10637-83</t>
  </si>
  <si>
    <t>Cypress Semiconductor</t>
  </si>
  <si>
    <t>Cypress</t>
  </si>
  <si>
    <t>Cypress Semiconductor Corporation</t>
  </si>
  <si>
    <t>Lattice Semiconductor, Diodes, Giantec Semiconductor, Linear Technology, Analog Devices, Ambiq, QuickLogic, Luxtera, GSI Technology, Texas Instruments, KLA, Atmel, Microchip Technology, NeoMagic, Intersil, Rambus, Power Integrations, Micron Technology Italia, MACOM Technology Solutions, Altera, Aurrion, Monolithic Power Systems, Maxim Integrated Products, Mobiveil, Integrated Silicon Solution, Broadcom, HiSilicon, Intel, Cirrus Logic, Xilinx, NXP Semiconductors, InvenSense, Renesas Electronics, Solomon Systech, ON Semiconductor, Skorpios Technologies, Lantiq Deutschland, Dialog Semiconductor, United Microelectronics Corporation, Microsemi, Silicon Image, Integrated Device Technology, Silicon Labs, Nordic Semiconductor, Marvell International, Melexis, Infineon Technologies, STMicroelectronics</t>
  </si>
  <si>
    <t>Developer and manufacturer of semiconductor products intended to offer mixed-signal and programmable technology. The company provides advanced embedded systems to a variety of markets, including industrial, consumer, data communications and automotive.</t>
  </si>
  <si>
    <t>data communication, mixed signal, programmable product, touchscreens</t>
  </si>
  <si>
    <t>www.cypress.com</t>
  </si>
  <si>
    <t>1989: 1388, 1990: 1595, 1991: 1945, 1992: 1529, 1993: 1262, 1994: 1423, 1995: 1859, 1996: 2171, 1997: 2770, 1998: 2901, 1999: 3810, 2000: 4435, 2001: 4160, 2002: 4101, 2003: 4033, 2005: 5100, 2006: 5800, 2007: 7900, 2008: 4100, 2010: 3600, 2011: 3500, 2012: 3600, 2013: 3400, 2014: 3350, 2016: 6279, 2017: 6546, 2018: 5846, 2019: 5871</t>
  </si>
  <si>
    <t>Infineon Technologies</t>
  </si>
  <si>
    <t>69981-76P</t>
  </si>
  <si>
    <t>Thad Trent</t>
  </si>
  <si>
    <t>thad.trent@onsemi.com</t>
  </si>
  <si>
    <t>+1 (408) 943-2600</t>
  </si>
  <si>
    <t>198 Champion Court</t>
  </si>
  <si>
    <t>info@cypress.com</t>
  </si>
  <si>
    <t>The company (NAS: CY) was acquired by Infineon Technologies (ETR: IFX) for $10 billion on April 16, 2020. Infineon further strengthen its focus on structural growth drivers and on a broader range of applications. Infineon Technologies (ETR: IFX) raised an undisclosed amount of bridge financing to partially fund the acquisition.</t>
  </si>
  <si>
    <t>Adams Street Partners, Benhamou Global Ventures, Berkeley VC International, Crosslink Capital, Crown Advisors International, Glynn Capital, J.H. Whitney Capital Partners, Kleiner Perkins, Mayfield (Private Equity), Rho Ventures, Selby Ventures, Sequoia Capital, Sevin Rosen Funds, TeleSoft Partners</t>
  </si>
  <si>
    <t>Adams Street Partners(www.adamsstreetpartners.com), Benhamou Global Ventures(www.benhamouglobalventures.com), Berkeley VC International(www.berkeleyvc.com), Crosslink Capital(www.crosslinkcapital.com), Crown Advisors International(www.crownadvisors.com), Glynn Capital(www.glynncapital.com), J.H. Whitney Capital Partners(www.whitney.com), Kleiner Perkins(www.kleinerperkins.com), Mayfield (Private Equity)(www.mayfield.com), Rho Ventures(www.rhoventures.com), Selby Ventures(www.selbyventures.com), Sequoia Capital(www.sequoiacap.com), Sevin Rosen Funds(www.srfundstest.com), TeleSoft Partners(www.telesoftvc.com)</t>
  </si>
  <si>
    <t>Calibre One(Consulting), Decision Analytics(Advisor: General), Fish &amp; Richardson(Legal Advisor), Hayden Bergman, Professional Corporation(Legal Advisor), Infortal Worldwide(Advisor: General), Morrison &amp; Foerster(Legal Advisor), Network Control(Consulting), ON Partners(Consulting), Rigrodsky &amp; Long(Legal Advisor)</t>
  </si>
  <si>
    <t>Calibre One(Consulting), Kahn Swick &amp; Foti(Legal Advisor), Morgan Stanley(Debt Financing), Simpson Thacher &amp; Bartlett(Legal Advisor)</t>
  </si>
  <si>
    <t>54805-51</t>
  </si>
  <si>
    <t>Discord</t>
  </si>
  <si>
    <t>Phoenix Guild, Hammer &amp; Chisel</t>
  </si>
  <si>
    <t>Discord Inc.</t>
  </si>
  <si>
    <t>Telegram, Plays.tv, Kamcord, Xfire, Forge, Mobcrush, Bigo, Open Props, Raptr, Hitbox, Discourse, Guilded, FunPlus, Skype, Plexchat, Caffeine, Reddit, Amino, Slack, Mumble</t>
  </si>
  <si>
    <t>Developer of an instant messaging and digital distribution platform designed to offer VoIP and texting services among friends or as part of gaming communities. The company's platform offers secure voice and text chat which works on both desktops and phones, helping to talk regularly with the people they care about, enabling gamers to chat while playing without affecting the gaming performance.</t>
  </si>
  <si>
    <t>Application Software, Communication Software*, Social/Platform Software</t>
  </si>
  <si>
    <t>CloudTech &amp; DevOps, eSports, Mobile, SaaS, TMT</t>
  </si>
  <si>
    <t>chat application software, games chat server, online gaming chat, online gaming chat server, voice communication application</t>
  </si>
  <si>
    <t>Venture Capital-Backed</t>
  </si>
  <si>
    <t>www.discord.com</t>
  </si>
  <si>
    <t>2014: 11, 2015: 13, 2016: 20, 2017: 70, 2019: 165, 2020: 250, 2021: 350</t>
  </si>
  <si>
    <t>35659-09P</t>
  </si>
  <si>
    <t>Jason Citron</t>
  </si>
  <si>
    <t>jason@discordapp.com</t>
  </si>
  <si>
    <t>+1 (888) 594-0085</t>
  </si>
  <si>
    <t>444 De Haro Street</t>
  </si>
  <si>
    <t>Suite 200</t>
  </si>
  <si>
    <t>The company was in talks to be acquired by Microsoft for $10 billion on an undisclosed date. Subsequently, the deal was canceled. Previously, the company raised $100.05 million of Series H venture funding in a deal led by Bessemer Venture Partners, Greenoaks Capital Partners on December 17, 2020, putting the company's pre-money valuation at $6.9 billion. Index Ventures, Ben Jen Holdings, Chris Farmer, Mitch Liu, Josh Elman, Tiger Global Management, IVP, Northstar.VC and other undisclosed investors also participated in the round. The funds will be used for continued feature development on its platform both for free and paid subscribers.</t>
  </si>
  <si>
    <t>Accel, Babak Hamadani, Ben Jen Holdings, Benchmark (San Francisco), Bessemer Venture Partners, Cascade Investment Fund, Christopher Farmer, FirstMark Capital, General Catalyst, Gil Penchina, Greenoaks Capital Partners, Greylock Partners, Griffin Gaming Partners, Index Ventures, IVP, Josh Elman, Kai Huang, Mitch Lasky, Mitch Liu, Northstar.VC, Ridge Ventures, Shenzhen Tencent Computer Systems, Sivaramakichenane Somasegar, Spark Capital, Specialized Types, Technology Opportunity Partners, Tencent Holdings, Tiger Global Management, Toy Ventures, Tyler He, WarnerMedia Investments, YouWeb Incubator</t>
  </si>
  <si>
    <t>Accel(www.accel.com), Ben Jen Holdings(www.benjenholdings.com), Benchmark (San Francisco)(www.benchmark.com), Bessemer Venture Partners(www.bvp.com), Cascade Investment Fund(ifcascade.com), FirstMark Capital(www.firstmarkcap.com), General Catalyst(www.generalcatalyst.com), Greenoaks Capital Partners(www.greenoakscap.com), Greylock Partners(www.greylock.com), Griffin Gaming Partners(www.griffingp.com), Index Ventures(www.indexventures.com), IVP(www.ivp.com), Northstar.VC(www.northstar.vc), Ridge Ventures(www.ridge.vc), Spark Capital(www.sparkcapital.com), Specialized Types(www.specializedtypes.com), Technology Opportunity Partners(www.topartnerslp.com), Tencent Holdings(www.tencent.com/en-us/index.html), Tiger Global Management(www.tigerglobal.com), Toy Ventures(www.toyventures.co), WarnerMedia Investments(www.timewarnerinvestments.com), YouWeb Incubator(www.youwebinc.com)</t>
  </si>
  <si>
    <t>DKC(Advisor: Communications), FutureEngine(Consulting), Wilson Sonsini Goodrich &amp; Rosati(Legal Advisor)</t>
  </si>
  <si>
    <t>Latham &amp; Watkins(Legal Advisor), Qatalyst Partners(Advisor: General), Wilson Sonsini Goodrich &amp; Rosati(Legal Advisor)</t>
  </si>
  <si>
    <t>170863-39</t>
  </si>
  <si>
    <t>DXC Technology (NYS: DXC)</t>
  </si>
  <si>
    <t>DXC</t>
  </si>
  <si>
    <t>DXC Technology Company</t>
  </si>
  <si>
    <t>DXC Technology Co is a vendor-independent IT services provider that started trading in April 2017. DXC was created via the amalgamation of Computer Sciences Corporation, or CSC, and Hewlett Packard Enterprise's Services business. The combined company has enviable global scale, with annual revenue of around $20 billion, over 130,000 employees, operations across 70 countries, and broad industry exposure. In addition, the firm has roughly 6,000 clients, of which over 200 are within the Fortune 500.</t>
  </si>
  <si>
    <t>IT Consulting and Outsourcing*, Systems and Information Management</t>
  </si>
  <si>
    <t>Cybersecurity, TMT</t>
  </si>
  <si>
    <t>application service, business processing services, cloud services, data analytics, information technology consulting, information technology security, system management service</t>
  </si>
  <si>
    <t>www.dxc.technology</t>
  </si>
  <si>
    <t>1990: 20000, 1991: 23000, 1992: 26500, 1993: 26000, 1994: 29000, 1995: 26000, 1996: 33850, 1997: 42200, 1998: 45000, 1999: 50000, 2000: 58000, 2001: 68000, 2002: 67000, 2003: 90000, 2004: 90000, 2005: 79000, 2006: 79000, 2007: 79000, 2008: 89000, 2009: 92000, 2010: 94000, 2011: 91000, 2012: 98000, 2013: 90000, 2014: 79000, 2015: 70000, 2016: 59000, 2018: 150000, 2019: 130000, 2020: 138000, 2021: 134000</t>
  </si>
  <si>
    <t>250056-10P</t>
  </si>
  <si>
    <t>Kenneth Sharp</t>
  </si>
  <si>
    <t>ksharp@dxc.com</t>
  </si>
  <si>
    <t>+1 (703) 245-9700</t>
  </si>
  <si>
    <t>Tysons, VA</t>
  </si>
  <si>
    <t>1775 Tysons Boulevard</t>
  </si>
  <si>
    <t>Tysons</t>
  </si>
  <si>
    <t>22102</t>
  </si>
  <si>
    <t>info@dxc.technology</t>
  </si>
  <si>
    <t>The company was in talks to be acquired by Atos (EPA: ATO) for $10 billion on January 7, 2021. The acquisition would have increased Atos' presence in the United States. Subsequently, the deal was canceled on February 2, 2021. Previously, existing shareholders sold stake in the company (NYS: DXC) for an undisclosed amount on June 30, 2018.</t>
  </si>
  <si>
    <t>BlackRock Fund Advisors, Computer Sciences</t>
  </si>
  <si>
    <t>Advisory Services Network, Amundi Asset Management US, Glenview Capital Management, Harbor Funds, Lazard, Loring Wolcott &amp; Coolidge Office, Neuberger Berman, Oppenheimer &amp; Company, PineBridge Investments, Westside Investment Management</t>
  </si>
  <si>
    <t>Computer Sciences(www.csc.com)</t>
  </si>
  <si>
    <t>Advisory Services Network(advservnet.com), Glenview Capital Management(www.glenviewcapital.com), Harbor Funds(www.harborfunds.com), Lazard(www.lazard.com), Loring Wolcott &amp; Coolidge Office(www.lwcotrust.com), Neuberger Berman(www.nb.com), Oppenheimer &amp; Company(www.oppenheimer.com), PineBridge Investments(www.pinebridge.com), Westside Investment Management(www.westsideim.com)</t>
  </si>
  <si>
    <t>Allen &amp; Overy(Legal Advisor), Aprea &amp; Micheli(Consulting), Aranca(Consulting), Davis Polk(Legal Advisor), Kahn Swick &amp; Foti(Legal Advisor), KP Tech Corporate Finance(Advisor: General), Lansons Communications(Consulting), Synergetics(Advisor: General)</t>
  </si>
  <si>
    <t>Borden Ladner Gervais(Legal Advisor), Gibson, Dunn &amp; Crutcher(Legal Advisor), Penev(Legal Advisor), Skadden, Arps, Slate, Meagher &amp; Flom(Legal Advisor), Sullivan &amp; Cromwell(Legal Advisor), The Goldman Sachs Group(Advisor: General), White &amp; Case(Legal Advisor)</t>
  </si>
  <si>
    <t>11198-08</t>
  </si>
  <si>
    <t>General Mills (NYS: GIS)</t>
  </si>
  <si>
    <t>General Mills Inc.</t>
  </si>
  <si>
    <t>Kellogg's, Hormel Foods, Tyson Foods, Lamb Weston Holdings, J&amp;J Snack Foods, Natra, Dean Foods, Unilever Pakistan Foods, McCain Foods, Conagra Brands, Mondelēz International, Engro Foods, Lindt &amp; Sprüngli, Saputo Dairy UK, FrieslandCampina, Maple Leaf Foods, The C.F. Sauer Company, Pioneer Food Group, Doehler Group, Golden State Foods, Lamb Weston/Meijer, Snyder's-Lance, Treehouse Foods, WhiteWave Foods, Ornua, Ultima Foods, Barry Callebaut, Michael Foods, Ferrara Candy Company, Grupo Turin, Vosges Haut-Chocolat, Smithfield Foods, Kerry Group, Danone Nutricia India, Sugarfina, Keystone Foods, WM Wrigley Jr, Grupo Bimbo, Ventura Foods, Urban Fresh Foods, Cadbury, Tate &amp; Lyle, Meadow Foods, Ghirardelli Chocolate, Revlon, Chobani, Russell Stover Candies, Danone, Post Holdings</t>
  </si>
  <si>
    <t>General Mills is a leading global packaged food company that produces snacks, cereal, convenient meals, yogurt, dough, baking mixes and ingredients, pet food, and superpremium ice cream. Its largest brands are Nature Valley, Cheerios, Old El Paso, Yoplait, Pillsbury, Betty Crocker, BLUE, and Haagen-Dazs. In fiscal 2021, 75% of its revenue was derived from the United States, although the company also operates in Canada, Europe, Australia, Asia, and Latin America. While most of General Mills' products are sold through retail stores to consumers, the company also sells products into the food-service channel and the commercial baking industry.</t>
  </si>
  <si>
    <t>cereals, food product supplier, natural food, organic consumer food, organic food, snacks</t>
  </si>
  <si>
    <t>www.generalmills.com</t>
  </si>
  <si>
    <t>1990: 1000, 1991: 108000, 1992: 108100, 1993: 121290, 1994: 121290, 1995: 9882, 1996: 9800, 1997: 10200, 1998: 10200, 1999: 10660, 2000: 11077, 2001: 11001, 2002: 29859, 2003: 27300, 2004: 27580, 2005: 27800, 2006: 28100, 2007: 28580, 2008: 29500, 2009: 30000, 2010: 33000, 2011: 35000, 2012: 35000, 2013: 41000, 2014: 43000, 2015: 42000, 2016: 39000, 2017: 38000, 2018: 40000, 2019: 40000, 2020: 35000, 2021: 35000</t>
  </si>
  <si>
    <t>GIS</t>
  </si>
  <si>
    <t>News (New) , News (New) , News (New) , News (New) , News (New) , News (New) , News (New) , News (New) , News (New) , News (New) , News (New) , News (New) , News (New) , News (New) , News (New)</t>
  </si>
  <si>
    <t>157269-70P</t>
  </si>
  <si>
    <t>Jacqueline Williams-Roll</t>
  </si>
  <si>
    <t>jacqueline.williamsroll@generalmills.com</t>
  </si>
  <si>
    <t>+1 (763) 764-7600</t>
  </si>
  <si>
    <t>Minneapolis, MN</t>
  </si>
  <si>
    <t>P.O. Box 1113</t>
  </si>
  <si>
    <t>Minneapolis</t>
  </si>
  <si>
    <t>55440</t>
  </si>
  <si>
    <t>The company (NYS: GIS) was in talks to be acquired by 3G Capital through a $10 billion public-to-private LBO on December 13, 2016. Subsequently the deal was cancelled. (Fidelity National Financial sold its stake in the company (NYS: GIS) for $62.23 million on February 3, 2017 through an open market transaction.) The company is no longer actively tracked by PitchBook.</t>
  </si>
  <si>
    <t>Fidelity National Financial</t>
  </si>
  <si>
    <t>Fidelity National Financial(www.fnf.com)</t>
  </si>
  <si>
    <t>4iNNO(Consulting), Caslano(Advisor: General), Fifty Gazelles(Consulting), Fried, Frank, Harris, Shriver &amp; Jacobson(Legal Advisor), India Brook Partners(Advisor: General), Konomi(Advisor: General), KPMG(Auditor), Mattson(Consulting), Sprim(Consulting), Thanathip &amp; Partners(Legal Advisor)</t>
  </si>
  <si>
    <t>52120-09</t>
  </si>
  <si>
    <t>Goldcorp</t>
  </si>
  <si>
    <t>Goldcorp Inc.</t>
  </si>
  <si>
    <t>Acacia Mining, Alamos Gold, Yamana Gold, Alacer Gold, Beadell Resources, Core Gold, Lincoln Gold Mining, New Gold, Wesdome Gold Mines, Sabina Gold &amp; Silver, B2Gold, WestKam Gold, Iamgold, Continental Gold, Premier Gold Mines, Shasta Gold, Eastmain Resources, Dalradian Gold, Centerra Gold, Mineros, Newmont, Japan Gold, Gran Colombia Gold, Probe Metals, Opawica Explorations, Semafo, Emgold Mining, Endeavour Mining, Richmond Minerals, Anglo Asian Mining, Orca Gold, Corvus Gold, Lumina Gold, BonTerra Resources, McEwen Mining, Agnico Eagle Mines, Sage Gold, Newrange Gold, Richmont Mines, Galane Gold, Rambler Metals &amp; Mining, Northern Vertex Mining, Detour Gold, IMPACT Silver, Anaconda Mining, Imperial Metals, Golden Minerals, Brixton Metals, Red Pine Exploration, Pan American Silver, Saudi Arabian Mining, Tahoe Resources, GoldQuest Mining, Rand Refinery, Hecla Mining</t>
  </si>
  <si>
    <t>Operator of a gold mining company based in Canada The company produced roughly 2.3 million ounces of gold and is focused on stable mining jurisdictions in North and South America while targeting rapid production growth through internal development and acquisitions.</t>
  </si>
  <si>
    <t>Gold Mining</t>
  </si>
  <si>
    <t>Gold Mining*</t>
  </si>
  <si>
    <t>gold exploraton, gold mining, gold mining firm, gold production, gold resources</t>
  </si>
  <si>
    <t>www.goldcorp.com</t>
  </si>
  <si>
    <t>1997: 570, 1998: 523, 1999: 913, 2000: 289, 2001: 289, 2002: 289, 2003: 289, 2004: 289, 2005: 4337, 2006: 3509, 2007: 5304, 2008: 6052, 2009: 6807, 2010: 6847, 2011: 7413, 2012: 8537, 2013: 9290, 2014: 10652, 2015: 9796, 2016: 8712, 2017: 7079, 2018: 7980</t>
  </si>
  <si>
    <t>Vancouver, Canada</t>
  </si>
  <si>
    <t>Park Place</t>
  </si>
  <si>
    <t>Suite 3400-666 Burrard Street</t>
  </si>
  <si>
    <t>Vancouver</t>
  </si>
  <si>
    <t>V6C 2X8</t>
  </si>
  <si>
    <t>The company was acquired by Newmont Mining (NYS: NEM) for $10 billion on April 18, 2019. The acquisition will combine two gold industry leaders into Newmont Goldcorp, becoming the world's largest gold company. The company is no longer actively tracked by PitchBook.</t>
  </si>
  <si>
    <t>Newmont</t>
  </si>
  <si>
    <t>Bank of America(Debt Financing), Bank of America Merrill Lynch(Advisor: General), Bedford Group(Consulting), BMO Capital Markets(Debt Financing), BMO Capital Markets(Advisor: General), BNP Paribas(Debt Financing), Canadian Imperial Bank of Commerce(Debt Financing), Cassels Brock &amp; Blackwell(Legal Advisor), Citibank(Debt Financing), Cleary Gottlieb(Legal Advisor), Cormark Securities(Advisor: General), Credit Suisse(Debt Financing), Deloitte(Auditor), Dorsey &amp; Whitney(Legal Advisor), Export Development Canada(Debt Financing), Fort Capital(Advisor: General), Goldman Sachs Specialty Lending Group(Debt Financing), Goodmans(Legal Advisor), HSBC USA(Debt Financing), ING Capital(Debt Financing), Mizuho Bank(Debt Financing), Morgan Stanley(Debt Financing), MUFG Bank(Debt Financing), Neal, Gerber &amp; Eisenberg(Legal Advisor), Osler, Hoskin &amp; Harcourt(Legal Advisor), Royal Bank of Canada(Debt Financing), Scotiabank(Debt Financing), Sumitomo Mitsui Banking(Debt Financing), TD Bank(Debt Financing), TD Securities(Advisor: General), The Goldman Sachs Group(Advisor: General), Wachtell, Lipton, Rosen &amp; Katz(Legal Advisor), White &amp; Case(Legal Advisor)</t>
  </si>
  <si>
    <t>Bank of America(Debt Financing), Bank of America Merrill Lynch(Advisor: General), BMO Capital Markets(Debt Financing), BNP Paribas(Debt Financing), Canadian Imperial Bank of Commerce(Debt Financing), Cassels Brock &amp; Blackwell(Legal Advisor), Citibank(Debt Financing), Credit Suisse(Debt Financing), Dorsey &amp; Whitney(Legal Advisor), Export Development Canada(Debt Financing), Fort Capital(Advisor: General), Goldman Sachs Specialty Lending Group(Debt Financing), HSBC USA(Debt Financing), ING Capital(Debt Financing), Mizuho Bank(Debt Financing), Morgan Stanley(Debt Financing), MUFG Bank(Debt Financing), Neal, Gerber &amp; Eisenberg(Legal Advisor), Osler, Hoskin &amp; Harcourt(Legal Advisor), Royal Bank of Canada(Debt Financing), Scotiabank(Debt Financing), Sumitomo Mitsui Banking(Debt Financing), TD Bank(Debt Financing), TD Securities(Advisor: General)</t>
  </si>
  <si>
    <t>Revolving Credit Line - $3.00B (Floating)</t>
  </si>
  <si>
    <t>41036-14</t>
  </si>
  <si>
    <t>HRG Group</t>
  </si>
  <si>
    <t>Harbinger Group, Zapata</t>
  </si>
  <si>
    <t>HRG Group, Inc.</t>
  </si>
  <si>
    <t>Operator of a holding company. The company's services include acquiring controlling and other equity stakes in businesses across a diversified range of industries. Its principal operations are conducted through companies that offer life insurance and annuity products, branded consumer products, provide asset-backed loans and own energy assets.</t>
  </si>
  <si>
    <t>Holding Companies*</t>
  </si>
  <si>
    <t>holding company, holding company opertor, holding firm, holding firm operator</t>
  </si>
  <si>
    <t>www.hrggroup.com</t>
  </si>
  <si>
    <t>2013: 20</t>
  </si>
  <si>
    <t>450 Park Avenue</t>
  </si>
  <si>
    <t>The company was acquired by Spectrum Brands (NYSE: SPB) for $10 billion on July 13, 2018. The company is no longer actively tracked by PitchBook.</t>
  </si>
  <si>
    <t>Spectrum Brands</t>
  </si>
  <si>
    <t>DDJ Capital Management, Fortress Investment Group, Harbinger Capital Partners, Jefferies Group, JHL Capital Group, Luxor Capital Group, Providence Equity Partners, Wilton Re</t>
  </si>
  <si>
    <t>DDJ Capital Management(www.ddjcap.com), Fortress Investment Group(www.fortress.com), Harbinger Capital Partners(www.harbingercapital.com), JHL Capital Group(www.jhlcapitalgroup.com), Luxor Capital Group(www.luxorcap.com), Providence Equity Partners(www.provequity.com), Wilton Re(www.wiltonre.com)</t>
  </si>
  <si>
    <t>Chilmark Partners(Advisor: General), Cravath, Swaine &amp; Moore(Legal Advisor)</t>
  </si>
  <si>
    <t>Cantor Fitzgerald(Legal Advisor), Davis Polk(Legal Advisor), J.P. Morgan Securities(Advisor: General), Jefferies Financial Group(Lead Manager or Arranger), Paul, Weiss, Rifkind, Wharton &amp; Garrison(Legal Advisor)</t>
  </si>
  <si>
    <t>265659-22</t>
  </si>
  <si>
    <t>Huajin Aramco Petrocemical</t>
  </si>
  <si>
    <t>Huajin Aramco Petrocemical Co. Ltd.</t>
  </si>
  <si>
    <t>Operator of a refinery intended to serve the industrial sector in China. The company's refinery will be used to transform and refine crude oil into more useful products such as petroleum naphtha, gasoline and other products, enabling clients to avail petroleum based products in a reasonable price.</t>
  </si>
  <si>
    <t>Energy Refining*, Other Energy Services</t>
  </si>
  <si>
    <t>crude oil, gasoline, oil refinery, petroleum, refinery</t>
  </si>
  <si>
    <t>Startup</t>
  </si>
  <si>
    <t>The company was formed as a joint venture between Saudi Aramco, Norinco International Cooperation and Panjin Sincen for $10 billion on February 22, 2019.</t>
  </si>
  <si>
    <t>Norinco International Cooperation, Saudi Aramco</t>
  </si>
  <si>
    <t>Norinco International Cooperation(www.norinco-intl.com), Saudi Aramco(www.aramco.com)</t>
  </si>
  <si>
    <t>43084-90</t>
  </si>
  <si>
    <t>Inphi</t>
  </si>
  <si>
    <t>Inphi Corp</t>
  </si>
  <si>
    <t>Inphi Corporation</t>
  </si>
  <si>
    <t>GigPeak, Nuvotronics, Achronix Data Acceleration, Omiino, Microsemi, HiSilicon, ON Semiconductor, NeoPhotonics, Montage Technology, Intersil, Infineon Technologies, GeneSiC Semiconductor, Maxlinear, Renesas Electronics, Smarter Micro, Qorvo, 3D Glass Solutions, MACOM Technology Solutions, Monolithic Power Systems, Nordic Semiconductor, Aeponyx, ViXS Systems, ams, Future Communications, Broadcom, Lattice Semiconductor, Ranovus, Linear Technology, Cypress Semiconductor, Intel, KLA, Pericom Semiconductor, Atmel, NXP Semiconductors, Diodes, UnitedSiC, Nvidia, Marvell International, Applied Optoelectronics, Texas Instruments, Maxim Integrated Products, Skyworks Solutions, Netlist, II-VI, Silicon Labs, Acacia Communications</t>
  </si>
  <si>
    <t>Inphi Corp. is a provider of high-speed analog and mixed signal semiconductor solutions for the communications, data center, and computing markets. The company's semiconductor solutions are designed to address bandwidth bottlenecks in networks, maximize throughput, and minimize latency in computing environments. For peak performance, Inphi works with system vendors to develop proprietary component, channel, and system simulation models. These models are used to predict system performance prior to fabricating the semiconductor.</t>
  </si>
  <si>
    <t>Application Specific Semiconductors</t>
  </si>
  <si>
    <t>Application Specific Semiconductors*, Other Semiconductors</t>
  </si>
  <si>
    <t>communication dsp coherent, communication dsp pam4, high speed analog semiconductor, high speed mixed signal semiconductor, measurement equipment, semiconductor equipment, semiconductor process, semiconductor solution</t>
  </si>
  <si>
    <t>www.inphi.com</t>
  </si>
  <si>
    <t>2010: 166, 2011: 165, 2012: 192, 2013: 229, 2014: 446, 2015: 472, 2016: 586, 2017: 616, 2018: 580, 2019: 685, 2020: 1086</t>
  </si>
  <si>
    <t>Departure (New) Ford Tamer, Chief Executive Officer &amp; Board Member</t>
  </si>
  <si>
    <t>35594-56P</t>
  </si>
  <si>
    <t>John Edmunds</t>
  </si>
  <si>
    <t>110 Rio Robles</t>
  </si>
  <si>
    <t>The company was acquired by Marvell International (NAS: MRVL) for $10 billion on April 20, 2021. This acquisition will fuel Marvell's leadership in the cloud and extend its 5G position over the next decade. The company is no longer actively tracked by PitchBook.</t>
  </si>
  <si>
    <t>Marvell International</t>
  </si>
  <si>
    <t>Cadence Design Systems, Flex (Electronics ), Hook Partners, ICCP SBI Venture Partners, Keynote Ventures, KTB Ventures, Mayfield (Private Equity), Morgenthaler Ventures, Samsung Venture Investment, Tallwood Venture Capital, Telos Venture Partners, Walden International, Western Technology Investment</t>
  </si>
  <si>
    <t>Cadence Design Systems(www.cadence.com), Flex (Electronics )(www.flex.com), Hook Partners(www.hookpartners.com), ICCP SBI Venture Partners(www.iccpventurepartners.com), Keynote Ventures(www.keynoteventures.com), KTB Ventures(www.ktbvc.com), Mayfield (Private Equity)(www.mayfield.com), Morgenthaler Ventures(www.morgenthaler.com), Samsung Venture Investment(www.samsungventures.com), Tallwood Venture Capital(www.tallwoodvc.com), Telos Venture Partners(www.telosvp.com), Walden International(www.waldenintl.com), Western Technology Investment(www.westerntech.com)</t>
  </si>
  <si>
    <t>Craig-Hallum Capital Group(Lead Manager or Arranger), Davis Polk(Legal Advisor), PwC(Accounting), ROTH Capital Partners(Advisor: General), Thomas Weisel Partners Group(Underwriter)</t>
  </si>
  <si>
    <t>Deutsche Bank(Underwriter), J.P. Morgan Securities(Advisor: General), Jefferies Financial Group(Underwriter), Morgan Stanley(Underwriter), Needham &amp; Company(Underwriter), Oppenheimer &amp; Company(Underwriter), Pillsbury Winthrop Shaw Pittman(Legal Advisor), PwC(Accounting), Qatalyst Partners(Advisor: General), RBC Capital Markets(Underwriter), Stifel Financial(Underwriter), Western Technology Investment(Debt Financing)</t>
  </si>
  <si>
    <t>60580-27</t>
  </si>
  <si>
    <t>Juno Therapeutics</t>
  </si>
  <si>
    <t>FC Therapeutics</t>
  </si>
  <si>
    <t>Juno</t>
  </si>
  <si>
    <t>Juno Therapeutics Inc.</t>
  </si>
  <si>
    <t>PNP Therapeutics, Allogene Therapeutics, Cellectis, NexImmune, Agenus, Sorrento Therapeutics, Aileron Therapeutics, Critical Diagnostics, Kite Pharma, Gadeta, Carisma Therapeutics, Immune Design, Oncorus, Promethera Biosciences, Altor BioScience, Neon Therapeutics, Xenetic Bioscience, Aro Biotherapeutics, Spark Therapeutics, Dimension Therapeutics, Renova Therapeutics, Novartis Gene Therapies, Bluebird Bio, Adimab, Seagen, Black Diamond Therapeutics, Corvidia Therapeutics, uniQure, Regenxbio, ImmuneXcite, Sangamo Therapeutics, Zymeworks, Array BioPharma, Meditope Biosciences, DalCor Pharmaceuticals, Affimed Therapeutics, OncoMed Pharmaceuticals, TCR2 Therapeutics, Loxo Oncology, Ultragenyx Pharmaceutical, Panbela Therapeutics, Ambys Medicines, Northwest Biotherapeutics, MediGene, RetroSense Therapeutics, SAGE Therapeutics</t>
  </si>
  <si>
    <t>Developer of cell-based novel immunotherapies intended to change the way cancer and other serious diseases are treated. The company offers to programing of T cells to recognize and attack cancer cells, enabling its clients to treat various types of cancer.</t>
  </si>
  <si>
    <t>Biotechnology*, Other Healthcare Technology Systems, Therapeutic Devices</t>
  </si>
  <si>
    <t>Life Sciences, Oncology, TMT</t>
  </si>
  <si>
    <t>cancer center, cancer therapy, cell therapy, immune system, immunotherapy technology, novel immunotherapy</t>
  </si>
  <si>
    <t>www.junotherapeutics.com</t>
  </si>
  <si>
    <t>2014: 70, 2017: 663, 2020: 500</t>
  </si>
  <si>
    <t>400 Dexter Avenue North</t>
  </si>
  <si>
    <t>Suite 1200</t>
  </si>
  <si>
    <t>98109</t>
  </si>
  <si>
    <t>The company (NASDAQ: JUNO) was acquired by Celgene (NASDAQ: CELG) for $10 billion on March 6, 2018. Celgene expects to fund the transaction for $87 in cash per share or a total of $9.616 billion and new debt. The acquisition builds on Celgene's shared vision to discover and develop transformative medicines for patients with incurable blood cancers. The shares of Juno will no longer be trading on the NASDAQ. The company is no longer actively tracked by PitchBook.</t>
  </si>
  <si>
    <t>Alaska Permanent Fund, ARCH Venture Partners, BB Biotech, Bezos Expeditions, Biomark Capital, CL Alaska L.P. and JT Line Partners, Crestline Investors, Fidelity Investments, Foresite Capital Management, Fred Hutchinson Cancer Research Center, Memorial Sloan Kettering Cancer Center, Omega Funds, RA Capital Management, Seattle Children's Hospital, Venrock, Vulcan Capital, WRF Capital, WuXi Healthcare Ventures</t>
  </si>
  <si>
    <t>Alaska Permanent Fund(www.apfc.org), ARCH Venture Partners(www.archventure.com), BB Biotech(www.bbbiotech.ch), Bezos Expeditions(www.bezosexpeditions.com), Biomark Capital(www.biomarkcapital.com), Crestline Investors(www.crestlineinvestors.com), Fidelity Investments(www.fidelity.com), Foresite Capital Management(www.foresitecapital.com), Fred Hutchinson Cancer Research Center(www.fredhutch.org/en.html), Memorial Sloan Kettering Cancer Center(www.mskcc.org), Omega Funds(www.omegafunds.com), RA Capital Management(www.racap.com), Seattle Children's Hospital(www.seattlechildrens.org), Venrock(www.venrock.com), Vulcan Capital(capital.vulcan.com), WRF Capital(wrfseattle.org/startup-investments), WuXi Healthcare Ventures(www.wuxiventures.com)</t>
  </si>
  <si>
    <t>Rigrodsky &amp; Long(Legal Advisor), Seed Intellectual Property Law Group(Legal Advisor), Wilson Sonsini Goodrich &amp; Rosati(Legal Advisor)</t>
  </si>
  <si>
    <t>EY(Accounting), Geller Biopharm(Advisor: General), J.P. Morgan(Underwriter), Morgan Stanley(Underwriter), Skadden, Arps, Slate, Meagher &amp; Flom(Legal Advisor), SVB Leerink(Underwriter), The Goldman Sachs Group(Underwriter), Wilson Sonsini Goodrich &amp; Rosati(Legal Advisor)</t>
  </si>
  <si>
    <t>Series A1</t>
  </si>
  <si>
    <t>41384-17</t>
  </si>
  <si>
    <t>Salix Pharmaceuticals</t>
  </si>
  <si>
    <t>Salix Holdings</t>
  </si>
  <si>
    <t>Salix Pharma</t>
  </si>
  <si>
    <t>Salix Pharmaceuticals, Inc.</t>
  </si>
  <si>
    <t>Representaciones e Investigaciones Médicas, Lannett Company, Incyte, Allergan, Sagent Pharmaceuticals, Alvogen Group, Impax Laboratories, UCB, Upsher-Smith Laboratories, Genentech, Mallinckrodt, InvaGen Pharmaceuticals, AstraZeneca, Boehringer Ingelheim, Grunenthal, Rising Pharmaceuticals, Taro Pharmaceutical Industries, Sandoz</t>
  </si>
  <si>
    <t>Provider of specialty pharmaceuticals. The company is focused on acquiring, developing and commercializing prescription drugs used in the treatment of gastrointestinal (GI) disorders</t>
  </si>
  <si>
    <t>colorectal, gastrointestinal, hematologists, surgeons</t>
  </si>
  <si>
    <t>www.salix.com</t>
  </si>
  <si>
    <t>1997: 13, 1999: 11, 2000: 55, 2001: 110, 2002: 135, 2003: 132, 2004: 150, 2005: 215, 2006: 240, 2007: 270, 2008: 280, 2009: 395, 2010: 390, 2011: 490, 2012: 525, 2013: 887, 2014: 1000</t>
  </si>
  <si>
    <t>49747-60P</t>
  </si>
  <si>
    <t>Jeffrey Gray</t>
  </si>
  <si>
    <t>Manager, Digital Marketing</t>
  </si>
  <si>
    <t>+1 (908) 927-1700</t>
  </si>
  <si>
    <t>Bridgewater, NJ</t>
  </si>
  <si>
    <t>400 Somerset Corporate Boulevard</t>
  </si>
  <si>
    <t>Bridgewater</t>
  </si>
  <si>
    <t>08807</t>
  </si>
  <si>
    <t>+1 (866) 246-8245</t>
  </si>
  <si>
    <t>The company was in talks to be acquired by Takeda Pharmaceutical (TKS: 4502) for $10 billion on November 1, 2016. Subsequently, the deal was cancelled in December, 2016. The company (NASDAQ: SLXP) was acquired by Valeant Pharmaceuticals (NYSE: VRX) for $15.8 billion on April 1, 2015. This company is no longer actively tracked by PitchBook.</t>
  </si>
  <si>
    <t>EW Healthcare Partners, Oxford Bioscience Partners</t>
  </si>
  <si>
    <t>Endo Pharmaceuticals</t>
  </si>
  <si>
    <t>EW Healthcare Partners(www.ewhealthcare.com), Oxford Bioscience Partners(www.oxbio.com)</t>
  </si>
  <si>
    <t>Endo Pharmaceuticals(www.endo.com)</t>
  </si>
  <si>
    <t>BrandStar(Advisor: Communications), Cicero Group(Advisor: General), Rigrodsky &amp; Long(Lease Financing)</t>
  </si>
  <si>
    <t>Apollo Investment(Debt Financing), Cadwalader, Wickersham &amp; Taft(Legal Advisor), Centerview Partners(Advisor: General), Citizens Bank(Lead Manager or Arranger), Covington &amp; Burling(Legal Advisor), Deutsche Bank Securities(Debt Financing), DNB Bank(Debt Financing), Export Development Canada(Debt Financing), Fifth Third Bank(Debt Financing), HSBC Holdings(Advisor: General), J.P. Morgan(Advisor: General), Jefferies Financial Group(Debt Financing), MUFG Securities EMEA(Debt Financing), Natixis(Lead Manager or Arranger), PNC(Debt Financing), Sumitomo Mitsui Banking(Debt Financing), SunTrust Bank(Debt Financing), SunTrust Robinson Humphrey(Debt Financing)</t>
  </si>
  <si>
    <t>41485-51</t>
  </si>
  <si>
    <t>Kinder Morgan Management</t>
  </si>
  <si>
    <t>Kinder Morgan Management, LLC</t>
  </si>
  <si>
    <t>Operator of pipeline transportation and energy storage. The company provides natural gas pipelines, transportation of redefined petroleum products and produces and transports carbon dioxide.</t>
  </si>
  <si>
    <t>Energy Marketing, Energy Storage, Energy Transportation*</t>
  </si>
  <si>
    <t>carbon dioxide, energy storage, midstream</t>
  </si>
  <si>
    <t>2011: 11000</t>
  </si>
  <si>
    <t>14942-08P</t>
  </si>
  <si>
    <t>Richard Kinder</t>
  </si>
  <si>
    <t>Executive Chairman and Co-founder</t>
  </si>
  <si>
    <t>+1 (713) 369-9000</t>
  </si>
  <si>
    <t>+1 (713) 495-2817</t>
  </si>
  <si>
    <t>km_ir@kindermorgan.com</t>
  </si>
  <si>
    <t>The company was acquired by Kinder Morgan for $9.987 billion on November 26, 2014. The company is no longer actively tracked by PitchBook.</t>
  </si>
  <si>
    <t>Kayne Anderson Capital Advisors</t>
  </si>
  <si>
    <t>Kayne Anderson Capital Advisors(www.kaynecapital.com)</t>
  </si>
  <si>
    <t>Jefferies Financial Group(Advisor: General), Morris, Nichols, Arsht &amp; Tunnell(Legal Advisor)</t>
  </si>
  <si>
    <t>51131-35</t>
  </si>
  <si>
    <t>PeopleSoft</t>
  </si>
  <si>
    <t>PeopleSoft Inc</t>
  </si>
  <si>
    <t>Salesforce.com, Workday</t>
  </si>
  <si>
    <t>Developer of Customer Relationship Management Services. The company provides Human Resource Management Systems, Financial Management Solutions (FMS), Supply Chain (SCM) and customer relationship management (CRM), Enterprise Performance Management software (EPM), as well as software solutions for manufacturing, enterprise performance management and student administration to large corporations, governments and organizations.</t>
  </si>
  <si>
    <t>Business/Productivity Software*, Financial Software, Vertical Market Software</t>
  </si>
  <si>
    <t>Marketing Tech, TMT</t>
  </si>
  <si>
    <t>performance management, relationship management, supply chain</t>
  </si>
  <si>
    <t>www.peoplesoft.com</t>
  </si>
  <si>
    <t>1990: 173, 1991: 173, 1992: 188, 1993: 362, 1994: 651, 1995: 1341, 1996: 2490, 1997: 4452, 1998: 7032, 1999: 6929, 2000: 8019, 2001: 8436, 2002: 8293, 2003: 12000</t>
  </si>
  <si>
    <t>Oracle</t>
  </si>
  <si>
    <t>194533-66P</t>
  </si>
  <si>
    <t>Jan Coetzee</t>
  </si>
  <si>
    <t>4460 Hacienda Drive</t>
  </si>
  <si>
    <t>The company was acquired by Oracle Corp (NASDAQ:ORCL) for $9957 million on January 7, 2005. The company is no longer actively tracked by PitchBook.</t>
  </si>
  <si>
    <t>Norwest Venture Partners</t>
  </si>
  <si>
    <t>Norwest Venture Partners(www.nvp.com)</t>
  </si>
  <si>
    <t>Aspen Worldwide(Consulting), C. G. Consulting Group(Consulting), Firebrick Consulting(Consulting), N2Growth(Consulting)</t>
  </si>
  <si>
    <t>Citigroup Global Markets(Advisor: General), Gibson, Dunn &amp; Crutcher(Legal Advisor), KPMG(Auditor), Linklaters(Legal Advisor), Mackenzie Partners(Advisor: General), Momentum Cyber(Advisor: General), The Goldman Sachs Group(Advisor: General)</t>
  </si>
  <si>
    <t>51469-12</t>
  </si>
  <si>
    <t>Rock Oil</t>
  </si>
  <si>
    <t>Blue Stone Oil &amp; Gas</t>
  </si>
  <si>
    <t>Rock Oil Company, LLC</t>
  </si>
  <si>
    <t>Pardus Oil &amp; Gas, Red Mountain Resources, Rangeford Resources, Esenjay Petroleum, Apache</t>
  </si>
  <si>
    <t>Provider of oil and gas exploration and production solutions. The company is focused on the Eagle Ford Shale play in South Texas.</t>
  </si>
  <si>
    <t>gas production, hydrocarbon exploration, natural resources</t>
  </si>
  <si>
    <t>www.rockoilcompany.com</t>
  </si>
  <si>
    <t>SM Energy</t>
  </si>
  <si>
    <t>18066-25P</t>
  </si>
  <si>
    <t>Julien Smythe</t>
  </si>
  <si>
    <t>Vice President, Finance</t>
  </si>
  <si>
    <t>jsmythe@rockoil.co.uk</t>
  </si>
  <si>
    <t>+1 (713) 840-1439</t>
  </si>
  <si>
    <t>1200 17th Street</t>
  </si>
  <si>
    <t>Suite 640</t>
  </si>
  <si>
    <t>+1 (303) 292-0949</t>
  </si>
  <si>
    <t>+1 (303) 898-6505</t>
  </si>
  <si>
    <t>info@rockoilcompany.com</t>
  </si>
  <si>
    <t>The company was acquired by SM Energy Company (NYSE: SM) for $991 million on October 5, 2016.</t>
  </si>
  <si>
    <t>BNP Paribas, Energy Trust Partners, Hexagon (Denver), Riverstone Energy, Riverstone Holdings, Wells Fargo</t>
  </si>
  <si>
    <t>BNP Paribas(www.group.bnpparibas), Energy Trust Partners(www.energytrustpartners.com), Hexagon (Denver)(www.hexagoninc.com), Riverstone Energy(www.riverstonerel.com), Riverstone Holdings(www.riverstonellc.com)</t>
  </si>
  <si>
    <t>DLA Piper(Legal Advisor), Jefferies Financial Group(Advisor: General), Latham &amp; Watkins(Legal Advisor), Petrie Partners(Advisor: General), Rivington Holdings(Advisor: General)</t>
  </si>
  <si>
    <t>40641-94</t>
  </si>
  <si>
    <t>Meda</t>
  </si>
  <si>
    <t>MedPointe</t>
  </si>
  <si>
    <t>Meda Aktiebolag</t>
  </si>
  <si>
    <t>Meda AB</t>
  </si>
  <si>
    <t>Moberg Pharma, Mirren, iNova Pharmaceuticals, Wellspring Pharmaceutical, Cormedix, Vetter Pharma, Ferrer Internacional, Arbor Pharmaceuticals, Janssen Global Services, Regeneron Pharmaceuticals, Tris Pharma, Otsuka Holdings, Alkem Laboratories, Aytu Biopharma, Mylan, Allergan, Perrigo Company, Alkermes, Abbott India, Corden Pharma, Skyepharma, Boehringer Ingelheim, Actelion Pharmaceuticals, Vicore Pharma Holding, Cipla, GlaxoSmithKline, Taro Pharmaceutical Industries, Trulieve Cannabis, Navamedic, Trimb Healthcare, SynCore Biotechnology Company, Pnp Pharmaceuticals Ltd., Novavax, ViroPharma, Ortho-McNeil Pharmaceuticals, Almirall, AstraZeneca, Pharmaust, Biocon, Teva Pharmaceutical Industries, Catalent, axicorp, Sunovion Pharmaceuticals, Lundbeck, Zoetis, Loxo Oncology, Genentech, UnimedicPharma, Ipsen Bioinnovation, Pharmaceutics International, Baxalta, Novartis, Aenova Holding, Johnson &amp; Johnson, Recipharm, Sandoz, Alcami, Dalton Pharma Services, Abbott, Sanofi-Aventis Pakistan</t>
  </si>
  <si>
    <t>Developer of pharmaceutical products. The company produces and markets medicines. It primarily develops nasal sprays and skin care products.</t>
  </si>
  <si>
    <t>clinical development, nasal spray, skincare</t>
  </si>
  <si>
    <t>www.meda.se</t>
  </si>
  <si>
    <t>2006: 1666, 2008: 2715, 2009: 2601, 2010: 2715, 2011: 2623, 2013: 3066, 2014: 4675, 2015: 4156, 2016: 4500</t>
  </si>
  <si>
    <t>Solna, Sweden</t>
  </si>
  <si>
    <t>Pipers Väg 2A</t>
  </si>
  <si>
    <t>Solna</t>
  </si>
  <si>
    <t>170 09</t>
  </si>
  <si>
    <t>Sweden</t>
  </si>
  <si>
    <t>The company was acquired by Mylan (NASDAQ: MYL) for $9.9 billion on August 5, 2016. Under the terms of agreement, Mylan paid additional $2.7 billion as assumed liabilities. The consideration is subject to proration of 80% cash and 20% stock.</t>
  </si>
  <si>
    <t>Ferrer Freeman &amp; Company</t>
  </si>
  <si>
    <t>Fidim, Nordic Capital, Priveq Investment, Stena Investment</t>
  </si>
  <si>
    <t>Banana Boat</t>
  </si>
  <si>
    <t>Ferrer Freeman &amp; Company(www.ffandco.com)</t>
  </si>
  <si>
    <t>Nordic Capital(www.nordiccapital.com), Priveq Investment(www.priveq.se)</t>
  </si>
  <si>
    <t>Banana Boat(www.bananaboat.com)</t>
  </si>
  <si>
    <t>ABG Sundal Collier(Lead Manager or Arranger), Carnegie Investment Bank(Advisor: General), KPMG Corporate Finance(Advisor: General), Wiggin and Dana(Legal Advisor)</t>
  </si>
  <si>
    <t>Deutsche Bank Securities(Debt Financing), PwC(Auditor), Rothschild &amp; Co(Advisor: General), Skandinaviska Enskilda Banken(Advisor: General), The Goldman Sachs Group(Debt Financing)</t>
  </si>
  <si>
    <t>41066-38</t>
  </si>
  <si>
    <t>Smith International</t>
  </si>
  <si>
    <t>H.C. Smith Manufacturing Company</t>
  </si>
  <si>
    <t>Smith</t>
  </si>
  <si>
    <t>Smith International Inc</t>
  </si>
  <si>
    <t>Supplier of products and services to the oil and gas industry.The company provides a line of products and engineering services, including drilling and completion fluid systems, solids-control equipment, waste-management services, production chemicals, three-cone and fixed cutter drill bits, turbines, fishing services, drilling tools and casing exit and multilateral systems.</t>
  </si>
  <si>
    <t>Industrial Supplies and Parts*, Oil and Gas Equipment, Specialty Chemicals</t>
  </si>
  <si>
    <t>drill bits, drilling equipment, drilling fluid</t>
  </si>
  <si>
    <t>1989: 2900, 1990: 3280, 1991: 2600, 1992: 1800, 1993: 1750, 1994: 1750, 1995: 4700, 1996: 5975, 1997: 7342, 1998: 7641, 1999: 7524, 2000: 9892, 2001: 11494, 2002: 11165, 2003: 11971, 2004: 13235, 2005: 14697, 2006: 17377, 2007: 19865, 2008: 25709, 2009: 21931, 2015: 23000</t>
  </si>
  <si>
    <t>TTM 2Q2010</t>
  </si>
  <si>
    <t>144509-59P</t>
  </si>
  <si>
    <t>Roger Brown</t>
  </si>
  <si>
    <t>P.O. Box 60068</t>
  </si>
  <si>
    <t>77205</t>
  </si>
  <si>
    <t>The company was acquired by Schlumberger (NYSE: SLB) for $9.83 billion on August 27, 2010. The company is no longer actively tracked by PitchBook.</t>
  </si>
  <si>
    <t>Castlewood Advisors(Advisor: General), Dr. Pauline Serice &amp; Associates(Consulting)</t>
  </si>
  <si>
    <t>Blake, Cassels &amp; Graydon(Legal Advisor), Howrey(Legal Advisor), O'Melveny &amp; Myers(Legal Advisor), UBS Group(General Insurance), Vinson &amp; Elkins(Legal Advisor), Wachtell, Lipton, Rosen &amp; Katz(Legal Advisor)</t>
  </si>
  <si>
    <t>50956-75</t>
  </si>
  <si>
    <t>Netscape Communications</t>
  </si>
  <si>
    <t>Mosaic Communications</t>
  </si>
  <si>
    <t>Netscape</t>
  </si>
  <si>
    <t>netscape communications corporation</t>
  </si>
  <si>
    <t>Provider of online platform to enable people and companies to exchange information and conduct commerce over the Internet and other global networks. The company provides a web browser called Netscape Navigator which is also credited with developing the Secure Sockets Layer Protocol (SSL) for securing online communication as well as JavaScript, the client-side scripting of web pages.</t>
  </si>
  <si>
    <t>Communication Software*</t>
  </si>
  <si>
    <t>clients side scripting, internet commerce, internet communication, online communication, web browser</t>
  </si>
  <si>
    <t>www.isp.netscape.com</t>
  </si>
  <si>
    <t>Verizon Media Group</t>
  </si>
  <si>
    <t>501 East Middlefleld Road</t>
  </si>
  <si>
    <t>+1 (650) 254-1900</t>
  </si>
  <si>
    <t>+1 (650) 528-4124</t>
  </si>
  <si>
    <t>The company was acquired by AOL(NYSE:AOL) for $9.8 billion on March 17, 1999. The company is no longer actively tracked by PitchBook.</t>
  </si>
  <si>
    <t>Adobe Ventures, Daniel Gutenberg, Hearst Ventures, IDG Ventures Vietnam, James Sha, Kleiner Perkins, Knight Ridder, Noble Rock Advisors, Rustic Canyon Partners, TCI Technology Ventures, TCV, Tribune Ventures, Valhalla Partners</t>
  </si>
  <si>
    <t>Daniel Gutenberg(www.gutenberg.ch), IDG Ventures Vietnam(www.idgvv.com.vn), Kleiner Perkins(www.kleinerperkins.com), Noble Rock Advisors(www.noblerockadvisors.com), Rustic Canyon Partners(www.rusticcanyon.com), TCV(www.tcv.com), Valhalla Partners(www.valhallapartners.com)</t>
  </si>
  <si>
    <t>Aspen Worldwide(Consulting), Forsyth Group(Advisor: General)</t>
  </si>
  <si>
    <t>Adams Harkness &amp; Hill Financial(Underwriter), Alex Brown Realty(Underwriter), Dain Rauscher Wessels(Underwriter), Deutsche Morgan Grenfell Group(Underwriter), Montgomery Securities(Underwriter), Morgan Stanley(Lead Manager or Arranger), Needham &amp; Company(Underwriter), Robertson Stephens (Out of Business in 2017)(Underwriter), Tekla Capital Management(Underwriter), The Goldman Sachs Group(Underwriter), UBS Group(Underwriter), Wells Fargo Advisors(Underwriter), Wilson Sonsini Goodrich &amp; Rosati(Legal Advisor)</t>
  </si>
  <si>
    <t>109277-38</t>
  </si>
  <si>
    <t>Ocwen Financial (residential servicing rights on loans)</t>
  </si>
  <si>
    <t>Provider of services to the loan industry. The company is engaged in the serving and origination of mortgage loans.</t>
  </si>
  <si>
    <t>mortgage due diligence, origination processing, residential mortgage</t>
  </si>
  <si>
    <t>2002 Summit Boulevard</t>
  </si>
  <si>
    <t>6th Floor</t>
  </si>
  <si>
    <t>30319</t>
  </si>
  <si>
    <t>The residential mortgage servicing rights of Ocwen Financial (NYS: OCN) were acquired by Nationstar Mortgage Holdings (NYS: NSM) for $9.8 billion on February 23, 2015. Nationstar Mortgage Holdings is backed by Fortress Investment Group. The assets are no longer actively tracked by PitchBook.</t>
  </si>
  <si>
    <t>Mr. Cooper</t>
  </si>
  <si>
    <t>Ocwen Financial</t>
  </si>
  <si>
    <t>Ocwen Financial(www.ocwen.com)</t>
  </si>
  <si>
    <t>61649-74</t>
  </si>
  <si>
    <t>Spectra Energy (US Transmission Storage &amp; Liquid Business)</t>
  </si>
  <si>
    <t>Provider of natural gas and oil transportation and storage services. The company offers transmission storage and liquids business in the United States.</t>
  </si>
  <si>
    <t>natural gas storage, oil transportation, storage services</t>
  </si>
  <si>
    <t>The company was acquired by Spectra Energy Partners (NYSE: SEP) for $9800 million on November 1, 2013. The company is no longer actively tracked by PitchBook.</t>
  </si>
  <si>
    <t>Spectra Energy Partners</t>
  </si>
  <si>
    <t>Spectra Energy(www.spectraenergy.com)</t>
  </si>
  <si>
    <t>10867-69</t>
  </si>
  <si>
    <t>ONO (Telecommunications Service Providers)</t>
  </si>
  <si>
    <t>Grupo Corporativo ONO</t>
  </si>
  <si>
    <t>VODAFONE ONO SAU</t>
  </si>
  <si>
    <t>Google Fiber</t>
  </si>
  <si>
    <t>Provider of telecom, internet, and cable television services in Spain. The company operates cable television and telecommunications networks offering high-speed and reliable internet connection, low-cost mobile tariffs and a wide range of television channels and smart television features.</t>
  </si>
  <si>
    <t>Cable Service Providers, Internet Service Providers, Telecommunications Service Providers*</t>
  </si>
  <si>
    <t>4g services, cable operator, cable tv, internet provider, internet service provider, television channel</t>
  </si>
  <si>
    <t>www.ono.es</t>
  </si>
  <si>
    <t>30376-27P</t>
  </si>
  <si>
    <t>Rosalia Portela de Pablo</t>
  </si>
  <si>
    <t>Co-Chief Executive Officer &amp; Executive Director</t>
  </si>
  <si>
    <t>rdepablo@ono.es</t>
  </si>
  <si>
    <t>+34 90 087 8441</t>
  </si>
  <si>
    <t>Avenida de América, 115</t>
  </si>
  <si>
    <t>28042</t>
  </si>
  <si>
    <t>ono@ono.es</t>
  </si>
  <si>
    <t>The company was acquired by Vodafone Group (LON: VOD) for EUR 7.2 billion on July 24, 2014.</t>
  </si>
  <si>
    <t>ATP Private Equity Partners, Banco Santander, Bank of America, Caisse de dépôt et placement du Québec, Canada Pension Plan Investment Board, CCMP Capital Advisors, Ferrovial, GE Capital, Graycliff Partners, J.P. Morgan, Multitel, Ontario Teachers' Pension Plan, Orkos Capital, Providence Equity Partners, Quadrangle Group, Stockwell Capital, Thomas H. Lee Partners, VAL Telecomunicaciones</t>
  </si>
  <si>
    <t>ATP Private Equity Partners(www.atp-pep.com), Banco Santander(www.bancosantander.es), Bank of America(www.bankofamerica.com), Caisse de dépôt et placement du Québec(www.cdpq.com), Canada Pension Plan Investment Board(www.cppinvestments.com), CCMP Capital Advisors(www.ccmpcapital.com), Ferrovial(www.ferrovial.com), GE Capital(www.gecapital.com), Graycliff Partners(www.graycliffpartners.com), J.P. Morgan(www.jpmorgan.com), Multitel(multitel.com), Ontario Teachers' Pension Plan(www.otpp.com), Orkos Capital(www.orkoscapital.com), Providence Equity Partners(www.provequity.com), Quadrangle Group(www.quadranglegroup.com), Stockwell Capital(www.stockwellcapital.com), Thomas H. Lee Partners(www.thl.com)</t>
  </si>
  <si>
    <t>Akerton Partners(Advisor: General), Foley &amp; Lardner(Legal Advisor), PwC(Auditor)</t>
  </si>
  <si>
    <t>ABN AMRO Bank(Debt Financing), Banco de Sabadell(Debt Financing), Banco Español de Crédito(Debt Financing), Banco Santander(Debt Financing), Bank of Scotland(Debt Financing), BBVA USA Bancshares(Debt Financing), BNP Paribas(Debt Financing), BNP Paribas Fortis(Debt Financing), Caixa Catalunya(Debt Financing), Calyon Financial(Debt Financing), Deutsche Bank(Underwriter), EY(Advisor: General), Grupo Ahorro Corporación(Debt Financing), Instituto de Crédito Oficial(Debt Financing), J&amp;A Garrigues(Legal Advisor), J.P. Morgan(Underwriter), La Caixa Banking Foundation(Debt Financing), NatWest Group(Debt Financing), Portigon AG(Debt Financing), Rabobank Group(Lead Manager or Arranger), Société Générale(Debt Financing), The Goldman Sachs Group(Advisor: General)</t>
  </si>
  <si>
    <t>151797-16</t>
  </si>
  <si>
    <t>CSRA</t>
  </si>
  <si>
    <t>CSGov</t>
  </si>
  <si>
    <t>CSRA Inc.</t>
  </si>
  <si>
    <t>FireEye, CA Technologies, Traction on Demand, TalkingData, OGSystems, HII Technical Solutions, Netrepid, GoodData, Corsec Security, Palo Alto Networks, Sutherland Global Services, MacAulay-Brown, Rapid7, Decisive Analytics, SAS Institute, Extreme Networks, NIC, Hitachi Vantara, CACI</t>
  </si>
  <si>
    <t>Provider of technology consulting services intended to offer comprehensive services through next-generation thinking. The company's technology consulting services include cyber security, data analytics, enterprise business services and business processing, enabling civil, defense, health, intelligence and media companies to get a wide range of information technology services leveraging innovative technology and intelligence.</t>
  </si>
  <si>
    <t>Application Software, Consulting Services (B2B)*</t>
  </si>
  <si>
    <t>Cybersecurity, Industrials, SaaS, TMT</t>
  </si>
  <si>
    <t>cyber security, data analytics, it consultancy, platform software</t>
  </si>
  <si>
    <t>www.csra.com</t>
  </si>
  <si>
    <t>2015: 19000, 2016: 18000, 2017: 19000, 2018: 19000, 2021: 30000</t>
  </si>
  <si>
    <t>143012-98P</t>
  </si>
  <si>
    <t>John Dancy</t>
  </si>
  <si>
    <t>john.dancy@csra.com</t>
  </si>
  <si>
    <t>Falls Church, VA</t>
  </si>
  <si>
    <t>3170 Fairview Park Drive</t>
  </si>
  <si>
    <t>Falls Church</t>
  </si>
  <si>
    <t>22042</t>
  </si>
  <si>
    <t>The company was acquired by General Dynamics (NYS: GD) for $9.749 billion on April 3, 2018. The transaction is valued at $9.7 billion which includes assumed liabilites $2.8 billion. The acquisition will enable the acquirer to expand its information technology capabilities and customer base. The company is no longer actively tracked by PitchBook.</t>
  </si>
  <si>
    <t>General Dynamics</t>
  </si>
  <si>
    <t>Computer Sciences</t>
  </si>
  <si>
    <t>CACI International</t>
  </si>
  <si>
    <t>Tidewater Group(Advisor: General)</t>
  </si>
  <si>
    <t>Evercore Group(Advisor: General), Macquarie Group(Advisor: General), Paul, Weiss, Rifkind, Wharton &amp; Garrison(Legal Advisor)</t>
  </si>
  <si>
    <t>119653-84</t>
  </si>
  <si>
    <t>Brasilcel</t>
  </si>
  <si>
    <t>Brasilcel N.V.</t>
  </si>
  <si>
    <t>Provider of mobile telecommunications services. The company offers voicemail notification, call forwarding, caller identification, broadband Internet access and instant messaging services.</t>
  </si>
  <si>
    <t>Internet Service Providers, Other Communications and Networking, Telecommunications Service Providers*</t>
  </si>
  <si>
    <t>calling forwarding services, instant messaging service, telecom service, voicemail service</t>
  </si>
  <si>
    <t>Strawinskylaan 3105</t>
  </si>
  <si>
    <t>1077 ZX</t>
  </si>
  <si>
    <t>The company was acquired by Telefonica (MCE: TEF) for EUR 7.5 billion on September 27, 2010. The company is no longer actively tracked by PitchBook.</t>
  </si>
  <si>
    <t>Pharol SGPS</t>
  </si>
  <si>
    <t>Pharol SGPS(www.pharol.pt)</t>
  </si>
  <si>
    <t>41240-26</t>
  </si>
  <si>
    <t>Onyx Pharmaceuticals</t>
  </si>
  <si>
    <t>Onyx</t>
  </si>
  <si>
    <t>Onyx Pharmaceuticals, Inc.</t>
  </si>
  <si>
    <t>Actelion Pharmaceuticals, Regeneron Pharmaceuticals, Prometheus Laboratories, Sevion Therapeutics, ADC Therapeutics, Loxo Oncology, BioMarin Pharmaceutical, ViroPharma, Juno Therapeutics, Portola Pharmaceuticals, Ardelyx, Intercept(Biotechnology), Celgene, Regulus Therapeutics, Gilead Sciences, Molecular Partners, Anthera Pharmaceuticals</t>
  </si>
  <si>
    <t>Developer of drugs to treat cancer. The company is engaged in the development and commercialization of innovative therapies for improving the lives of people with cancer.</t>
  </si>
  <si>
    <t>Drug Delivery, Pharmaceuticals*, Therapeutic Devices</t>
  </si>
  <si>
    <t>biopharmaceutical, cancer cure therapy, drugs design, pharmaceuticals</t>
  </si>
  <si>
    <t>onyx-pharm.com</t>
  </si>
  <si>
    <t>1996: 109, 1997: 128, 1998: 128, 1999: 120, 2000: 135, 2001: 85, 2002: 89, 2003: 16, 2004: 30, 2005: 100, 2006: 125, 2007: 153, 2008: 197, 2009: 271, 2010: 299, 2011: 420, 2012: 741, 2013: 1416</t>
  </si>
  <si>
    <t>249 East Grand Avenue</t>
  </si>
  <si>
    <t>The company was acquired by Amgen for $9.71 Billion on October 1, 2013. The company is no longer actively tracked by PitchBook.</t>
  </si>
  <si>
    <t>Alta Partners, Avalon Ventures, Bayer Pharma, BB Biotech, Chase Capital Partners, Chiron, Domain Associates, Federated Kaufmann Fund, Forward Ventures, iNetworks Advisors, International Biotechnology Trust, IVP, J.H. Whitney Capital Partners, Kleiner Perkins, New Leaf Venture, OrbiMed, Perceptive Advisors, Ridgeback Capital, Robertson Stephens &amp; Co., Sequoia Capital, Sierra Ventures, Sprout Group, TriplePoint Capital, Warner-Lambert Company</t>
  </si>
  <si>
    <t>Alta Partners(www.altapartners.com), Avalon Ventures(www.avalon-ventures.com), Bayer Pharma(www.pharma.bayer.com), BB Biotech(www.bbbiotech.ch), Domain Associates(www.domainvc.com), Forward Ventures(www.forwardventures.com), iNetworks Advisors(www.inetworkspe.com), International Biotechnology Trust(www.ibtplc.com), IVP(www.ivp.com), J.H. Whitney Capital Partners(www.whitney.com), Kleiner Perkins(www.kleinerperkins.com), New Leaf Venture(www.nlvpartners.com), OrbiMed(www.orbimed.com), Perceptive Advisors(www.perceptivelife.com), Ridgeback Capital(www.ridgebackcap.com), Sequoia Capital(www.sequoiacap.com), Sierra Ventures(www.sierraventures.com), Sprout Group(www.sproutgroup.com), TriplePoint Capital(www.triplepointcapital.com), Warner-Lambert Company(www.warner-lambert.com)</t>
  </si>
  <si>
    <t>Acqua Capital(Advisor: General)</t>
  </si>
  <si>
    <t>Bank of America Merrill Lynch(Advisor: General), Centerview Partners(Advisor: General), Conyers Dill &amp; Pearman(Legal Advisor), Cooley(Legal Advisor), EY(Advisor: General), Goodwin(Legal Advisor), Montgomery Securities(Underwriter), Reedland Capital Partners(Placement Agent), Sullivan &amp; Cromwell(Legal Advisor), UBS Group(Underwriter)</t>
  </si>
  <si>
    <t>98031-52</t>
  </si>
  <si>
    <t>Anbang Insurance Group Company</t>
  </si>
  <si>
    <t>Anbang Insurance Group Co., Ltd.</t>
  </si>
  <si>
    <t>Massmutual Pittsburgh, Bare Agency, Allianz Group, Massmutual Southern New England, Primerica (US), Massmutual Long Island Metro, Suncorp Group, Prudential Life Assurance Zambia, Sun Life Financial, AIG Sigorta Financial Services, The Great-West Life Assurance Company, Northwestern Mutual, Prudential Assurance Company Singapore, Massmutual Louisiana, AIG Korea, Protective Life, Travelers Companies, Prudential Assurance Malaysia, AIA Group, MassMutual Life Insurance Company, Unum Group, Aflac, MassMutual Financial Group, China Pacific Insurance, Prudential Insurance (Nepal), AIG Greece, AMP</t>
  </si>
  <si>
    <t>Provider of financial services intended to help people get required money at the time of crisis. The company's life, health and general insurance services include property and casualty insurance, life insurance, health insurance, pension services as well as asset management and financial leasing services, enabling people to get insurance with highest interests.</t>
  </si>
  <si>
    <t>Asset Management, Multi-line Insurance*, Other Financial Services</t>
  </si>
  <si>
    <t>FinTech, InsurTech, TMT</t>
  </si>
  <si>
    <t>banking and insurance, banking services, casualty insurance, financial firm, financial services, general insurance</t>
  </si>
  <si>
    <t>www.anbanggroup.com</t>
  </si>
  <si>
    <t>2018: 30000</t>
  </si>
  <si>
    <t>Anbang Tower, Number 6</t>
  </si>
  <si>
    <t>Jianguomenwai Avenue</t>
  </si>
  <si>
    <t>Chaoyang District</t>
  </si>
  <si>
    <t>100022</t>
  </si>
  <si>
    <t>The company was acquired by Government of China for an undisclosed amount in February 2018. The company is no longer actively tracked by PitchBook.</t>
  </si>
  <si>
    <t>Government of China</t>
  </si>
  <si>
    <t>10119-25</t>
  </si>
  <si>
    <t>Nortel Networks</t>
  </si>
  <si>
    <t>Northern Telecom</t>
  </si>
  <si>
    <t>Nortel</t>
  </si>
  <si>
    <t>Nortel Networks Corporation</t>
  </si>
  <si>
    <t>Manufacturer of networking products in Mississauga, Canada. The company is a manufacturer of equipment for telecommunications and data networking.</t>
  </si>
  <si>
    <t>Cable Service Providers*, Telecommunications Service Providers, Wireless Communications Equipment</t>
  </si>
  <si>
    <t>cable operator, networking equipment</t>
  </si>
  <si>
    <t>Bankruptcy: Admin/Reorg</t>
  </si>
  <si>
    <t>Out of Business</t>
  </si>
  <si>
    <t>www.nortel-canada.com</t>
  </si>
  <si>
    <t>1990: 49039, 1991: 57059, 1992: 57955, 1993: 60293, 1994: 57054, 1995: 63715, 1996: 67584, 1997: 72896, 1998: 71300, 1999: 76712, 2000: 94500, 2001: 52600, 2002: 36960, 2003: 35160, 2004: 34150, 2005: 35370, 2006: 33760, 2007: 32550, 2008: 30307, 2009: 30000, 2010: 30300, 2011: 30300, 2014: 32000, 2017: 93000</t>
  </si>
  <si>
    <t>Mississauga, Canada</t>
  </si>
  <si>
    <t>5945 Airport Road</t>
  </si>
  <si>
    <t>Suite 152</t>
  </si>
  <si>
    <t>Mississauga</t>
  </si>
  <si>
    <t>L4V 1R9</t>
  </si>
  <si>
    <t>The company filed for Chapter 11 bankruptcy on January 14, 2009.</t>
  </si>
  <si>
    <t>MassVentures, STMicroelectronics</t>
  </si>
  <si>
    <t>MassVentures(www.mass-ventures.com), STMicroelectronics(www.st.com)</t>
  </si>
  <si>
    <t>AJAssociés(Legal Advisor), AmbroseAdvisors(Advisor: General), Atlas Advisors(Advisor: General), Bernstein Shur Sawyer &amp; Nelson(Legal Advisor), Broadspan Capital(Valuation/Appraiser), Bushkin Associates(Advisor: General), CDG Group(Advisor: General), Chilmark Partners(Advisor: General), Eureka Capital Partners(Advisor: General), Hughes Hubbard &amp; Reed(Legal Advisor), Oppenheimer &amp; Company(Advisor: General), Relevant C Business Group(Advisor: General), RightStoryGroup(Advisor: Communications), Tannenbaum Helpern Syracuse &amp; Hirschtritt(Legal Advisor), Texas Consilium(Consulting), The Black Box Institute(Advisor: General)</t>
  </si>
  <si>
    <t>EY Law(Legal Advisor), Omni Management Group(Consulting), Osler, Hoskin &amp; Harcourt(Legal Advisor), Western Technology Investment(Debt Financing), Young Conaway(Legal Advisor)</t>
  </si>
  <si>
    <t>Bankruptcy</t>
  </si>
  <si>
    <t>99147-97</t>
  </si>
  <si>
    <t>Aldevron</t>
  </si>
  <si>
    <t>Aldevron LLC</t>
  </si>
  <si>
    <t>Brammer Bio, Principia Biopharma, GlycoMimetics, Renova Therapeutics, Anaeropharma Science, Paragon Bioservices, BeiGene, Immatics, Cristal Therapeutics, Dimension Therapeutics, Sangamo Therapeutics, Boston Biomedical, ADC Therapeutics, ImmuneXcite, Adimab, Immunome, CytomX Therapeutics, Igenica Biotherapeutics, True North Therapeutics, Calimmune, Cytovance Biologics, Intercept(Biotechnology), Blueprint Medicines, Lysogene, Peloton Therapeutics, ImmunGene, Prevail Therapeutics, ProFactor Pharma, Dauntless Pharmaceuticals, PHD Biosciences, Strongbridge Biopharma, Apexian Pharmaceuticals, ScienCell Research Laboratories, MaxCyte, OncoResponse, Rigel Pharmaceuticals, Qrons, Mattek, Immunophotonics, Versartis, Voyager Therapeutics, AllCells, Cellerant Therapeutics, Spark Therapeutics, Array BioPharma, Selecta Biosciences, Ultragenyx Pharmaceutical, Akouos, BioAtla, Recombinetics, Pharmatek Laboratories, Origene, Modus Therapeutics, Batavia Biosciences, Tilos Therapeutics, ReproCELL, IDT Biologika, Ziopharm Oncology, Bluebird Bio, Imara, Agilis Biotherapeutics, Sitka Biopharma, Affimed Therapeutics, Eurogentec, StemCell Technologies, Blue Sky Biotech, FUJIFILM Cellular Dynamics, Promega</t>
  </si>
  <si>
    <t>Developer of biological products and provider of scientific services intended for research, clinical and diagnostic applications. The company engages in custom production of biological products, which include plasmid DNA, nucleic acids, proteins, antibodies and other related products which are used extensively in the fields of gene therapy and gene editing, thereby enabling academic and research institutions, pharmaceutical and biotechnology companies to manufacture novel treatments for a wide range of indications, including cancer, infectious disease, pediatric disorders and rare diseases.</t>
  </si>
  <si>
    <t>biological product, crispr gene editing, gene and cell therapy, gmp manufacturing, plasmid dna, precision medicine</t>
  </si>
  <si>
    <t>www.aldevron.com</t>
  </si>
  <si>
    <t>2014: 100, 2018: 150, 2019: 500, 2020: 600, 2021: 600</t>
  </si>
  <si>
    <t>236431-63P</t>
  </si>
  <si>
    <t>Shawn McCormick</t>
  </si>
  <si>
    <t>shawn.mccormick@aldevron.com</t>
  </si>
  <si>
    <t>+1 (701) 297-9256</t>
  </si>
  <si>
    <t>Fargo, ND</t>
  </si>
  <si>
    <t>4055 41st Avenue South</t>
  </si>
  <si>
    <t>Fargo</t>
  </si>
  <si>
    <t>North Dakota</t>
  </si>
  <si>
    <t>58104</t>
  </si>
  <si>
    <t>+1 (701) 280-1642</t>
  </si>
  <si>
    <t>infosec@aldevron.com</t>
  </si>
  <si>
    <t>The company reached a definitive agreement to be acquired by Danaher (NYS: DHR) for $9.6 billion on June 17, 2021. Previously, the company completed a $40 million debt refinancing round on on January 28, 2021. Morgan Stanley Senior Funding provided a First Lien Term Loan Facility in support of the transaction. The company is being actively tracked by PitchBook.</t>
  </si>
  <si>
    <t>EQT, National Institutes of Health, TA Associates Management, United States Department of Defense</t>
  </si>
  <si>
    <t>EQT(www.eqtgroup.com), National Institutes of Health(www.nih.gov), TA Associates Management(www.ta.com), United States Department of Defense(www.defense.gov)</t>
  </si>
  <si>
    <t>Alliance Partners(Debt Financing), Anchorage Capital Group(Debt Financing), Antares Capital(Debt Financing), Bell Bank(Debt Financing), Business Development Corporation of America(Debt Financing), FF Fisher Sales &amp; Leasing(Debt Financing), Goldman Sachs Asset Management(Debt Financing), Morgan Stanley(Advisor: General), Morgan Stanley Senior Funding(Debt Financing), Neuberger Berman(Debt Financing), Oaktree Specialty Lending(Debt Financing), Oaktree Strategic Income(Debt Financing), Oaktree Strategic Income II(Debt Financing), Octagon Capital(Debt Financing), Parthenon Capital Partners(Debt Financing), Simpson Thacher &amp; Bartlett(Legal Advisor), Starion Bank(Debt Financing), The Carlyle Group(Debt Financing), The Goldman Sachs Group(Advisor: General), Vogel Heerma Waitz(Legal Advisor)</t>
  </si>
  <si>
    <t>Grant</t>
  </si>
  <si>
    <t>40744-45</t>
  </si>
  <si>
    <t>The Medicines Company</t>
  </si>
  <si>
    <t>MDCO</t>
  </si>
  <si>
    <t>The Medicines Co</t>
  </si>
  <si>
    <t>Faraday Pharmaceuticals, EyePoint Pharmaceuticals, Lyric Pharmaceuticals, Juventas Therapeutics, The Zambon Group, Novelion Therapeutics, Biosplice Therapeutics, Arbor Pharmaceuticals, Strongbridge Biopharma, Intas Pharmaceuticals, Synlogic, Principia Biopharma, Akari Therapeutics, Medicure, Boehringer Ingelheim, Apeptico Forschung und Entwicklung, Genentech, Amunix Pharmaceuticals, Kymab, Kbp Biosciences, Ensemble Therapeutics, Alnylam Pharmaceuticals, Enterprise Therapeutics, Ascend Therapeutics (Besins Healthcare), Theravance Biopharma, Agile Therapeutics, Nimbus Therapeutics, Pfenex, Alexion, Ortho-McNeil Pharmaceuticals, Bicycle Therapeutics, Actelion Pharmaceuticals, Crescendo Biologics, Gilead Sciences, Ra Pharmaceuticals, Peloton Therapeutics, Melinta Therapeutics, OPKO Health, Portola Pharmaceuticals, Genfit, Intarcia, Jounce Therapeutics, Crinetics Pharmaceuticals, Valneva, Regulus Therapeutics, Light Chain Bioscience, CytomX Therapeutics, AcelRx Pharmaceuticals, Astellas Pharma, Ariad Pharmaceuticals, NexImmune, OncoMed Pharmaceuticals, Arrowhead Pharmaceuticals, Novo Nordisk, GlobeImmune, Moderna Therapeutics, Spear Pharmaceuticals, Biogen, Aclaris Therapeutics, Jnana Therapeutics, Teva Pharmaceutical Industries, Catabasis Pharmaceuticals, Protagonist Therapeutics, Pulmagen Therapeutics, Circle Pharma, Fresenius Kabi, Encycle Therapeutics, Zealand Pharma, Mallinckrodt, Shire, Akorn, ImmuNext, Novartis, Eagle Pharmaceuticals, Abbott India, Ambrx, Allergan</t>
  </si>
  <si>
    <t>The Medicines Company is a pharmaceutical firm that provides products to the U.S. hospital market. The company's primary commercial product, Angiomax, is an anticoagulant drug used in conjunction with aspirin for patients undergoing angioplasty. Medicines recently commercialized a new drug, Cleviprex, which is designed to control blood pressure in intensive-care settings.</t>
  </si>
  <si>
    <t>critical care, intensive care, intensive care hospital</t>
  </si>
  <si>
    <t>www.themedicinescompany.com</t>
  </si>
  <si>
    <t>1999: 44, 2000: 74, 2001: 153, 2002: 147, 2003: 190, 2004: 220, 2005: 275, 2006: 289, 2007: 305, 2008: 453, 2009: 462, 2010: 420, 2011: 421, 2012: 538, 2013: 571, 2014: 727, 2015: 614, 2016: 410, 2017: 170, 2018: 62, 2019: 60</t>
  </si>
  <si>
    <t>222206-32P</t>
  </si>
  <si>
    <t>Paul Antinori</t>
  </si>
  <si>
    <t>8 Sylvan Way</t>
  </si>
  <si>
    <t>The company, a subsidiary of Mallinckrodt (NYS: MNK) was acquired by Novartis (SWX: NOVN) for $9.6 billion on January 6, 2020. This acquisition enables Novartis to develop treatment for the world's leading cause of mortality and disability with a vaccine-like approach. The company is no longer actively tracked by PitchBook.</t>
  </si>
  <si>
    <t>Alta Partners, BB Biotech, Dean Witter Reynolds, Eshelman Ventures, Foresite Capital Management, Hanseatic Corporation, Mallinckrodt, Moore Capital Management, Morgan Stanley Expansion Capital, Panorama Capital, PointState Capital, Quintiles PharmaBio, Ridgeback Capital, Thomas McNerney &amp; Partners, Warburg Pincus, Woori Bank</t>
  </si>
  <si>
    <t>Alta Partners(www.altapartners.com), BB Biotech(www.bbbiotech.ch), Eshelman Ventures(www.eshelmanventures.com), Foresite Capital Management(www.foresitecapital.com), Mallinckrodt(www.mallinckrodt.com), Moore Capital Management(www.moorecap.com), Panorama Capital(www.panoramacapital.com), PointState Capital(www.pointstate.com), Ridgeback Capital(www.ridgebackcap.com), Thomas McNerney &amp; Partners(www.tm-partners.com), Warburg Pincus(www.warburgpincus.com), Woori Bank(spot.wooribank.com)</t>
  </si>
  <si>
    <t>Cello Health BioConsulting(Consulting), RIM Advisors(Placement Agent), TPP Healthcare(Advisor: General)</t>
  </si>
  <si>
    <t>American Stock Transfer &amp; Trust Company(Advisor: General), Bank am Bellevue(Underwriter), CIBC Capital Markets(Underwriter), Debevoise &amp; Plimpton(Legal Advisor), EY(Accounting), Hale and Dorr(Legal Advisor), J.P. Morgan(Underwriter), J.P. Morgan Securities(Advisor: Financial Due Diligence), Jackson Securities(Underwriter), Needham &amp; Company(Underwriter), Pacific Growth Equities(Underwriter), Paul, Weiss, Rifkind, Wharton &amp; Garrison(Legal Advisor), Robertson Stephens (Out of Business in 2017)(Underwriter), The Goldman Sachs Group(Advisor: Financial Due Diligence), U.S. Bancorp(Underwriter), WilmerHale(Legal Advisor)</t>
  </si>
  <si>
    <t>41126-41</t>
  </si>
  <si>
    <t>Trane</t>
  </si>
  <si>
    <t>American Standard Companies</t>
  </si>
  <si>
    <t>Trane US, Inc.</t>
  </si>
  <si>
    <t>AboveAir Technologies, ICOR International, Aaon, EVAPCO, Coolerado, Rockwell Automation, Greenheck, Distech Controls, Schneider Electric, Yokogawa Electric, ProAir, Stryten Manufacturing, Datalogic, Reydel Automotive, AEC, Alstom, Azbil, Sick Stegmann, Northrop Grumman, Signify Saudi Arabia, Danfoss, Acuity Brands</t>
  </si>
  <si>
    <t>Manufacturer of heating and air conditioning systems. The comapny engages in designing, manufacturing and marketing of heating, ventilating and air conditioning systems and offers building management systems throughout United States.</t>
  </si>
  <si>
    <t>Other Commercial Products*</t>
  </si>
  <si>
    <t>cleaning product, conditioning systems, energy conservation, investor relations</t>
  </si>
  <si>
    <t>www.trane.com</t>
  </si>
  <si>
    <t>2006: 62200, 2007: 29600</t>
  </si>
  <si>
    <t>Trane Technologies</t>
  </si>
  <si>
    <t>TTM 1Q2008</t>
  </si>
  <si>
    <t>174782-71P</t>
  </si>
  <si>
    <t>Donny Simmons</t>
  </si>
  <si>
    <t>President, Commercial HVAC business of Ingersoll Rand</t>
  </si>
  <si>
    <t>Swords, Ireland</t>
  </si>
  <si>
    <t>170/175 Lakeview Drive</t>
  </si>
  <si>
    <t>Airside Business Park</t>
  </si>
  <si>
    <t>Swords</t>
  </si>
  <si>
    <t>K67 EW96</t>
  </si>
  <si>
    <t>The company was acquired by Ingersoll-Rand Company (NYSE: IR) for $9.6 billion on June 5, 2008. The acquisition would allow Ingersoll-Rand Company to expand its business portfolio in heating and air conditioning system sector.</t>
  </si>
  <si>
    <t>Incentives Management Group(Advisor: General), Sales Talent Agency(Consulting), Seale &amp; Associates(Advisor: General), TPI(The Woodlands)(Advisor: General)</t>
  </si>
  <si>
    <t>Davis Polk(Legal Advisor), Lazard Middle Market(Advisor: General), Skadden, Arps, Slate, Meagher &amp; Flom(Legal Advisor)</t>
  </si>
  <si>
    <t>461787-40</t>
  </si>
  <si>
    <t>Monte Dei Paschi (NPLs)</t>
  </si>
  <si>
    <t>A portfolio of non-performing loans. The portfolio package is valued at 8.15 billion euros with gross bad loans worth 4.8 billion euros and unlikely-to-pay loans worth 3.3 billion euros.</t>
  </si>
  <si>
    <t>bad loan porfolio, non performing asset, non performing portfolio, unlikely-to-pay loans</t>
  </si>
  <si>
    <t>Siena, Italy</t>
  </si>
  <si>
    <t>Siena</t>
  </si>
  <si>
    <t>The non-performing loans portfolio of Banca Monte dei Paschi di Siena (Italy) was acquired by AMCO Asset Management Company for €8.15 billion on October 4, 2020. The transaction was supported by EUR 4.2 billion of debt financing in the form of EUR of 3.2 billion bridge financing and EUR 1 billion secured debt from J.P. Morgan and UBS.</t>
  </si>
  <si>
    <t>AMCO Asset Management Company</t>
  </si>
  <si>
    <t>AMCO Asset Management Company(www.amco.it)</t>
  </si>
  <si>
    <t>Banca Monte dei Paschi di Siena(www.mps.it)</t>
  </si>
  <si>
    <t>J.P. Morgan(Debt Financing), UBS Group(Debt Financing)</t>
  </si>
  <si>
    <t>Bridge - $3.77B; Loan - $1.18B (Secured)</t>
  </si>
  <si>
    <t>55738-54</t>
  </si>
  <si>
    <t>Amersham (UK)</t>
  </si>
  <si>
    <t>Nycomed Amersham</t>
  </si>
  <si>
    <t>Amersham plc</t>
  </si>
  <si>
    <t>Developer of transformational medical technologies and services. The company's transformational medical technologies and services provide medical diagnostics, protein separations and discovery systems including diagnostic imaging agents and radiopharmaceuticals, chromatography purification systems, membrane products and reagents and instruments, reagents and software used for drug discovery, research and development.</t>
  </si>
  <si>
    <t>Diagnostic Equipment*, Other Devices and Supplies</t>
  </si>
  <si>
    <t>chromatography purification system, transformational medical technology</t>
  </si>
  <si>
    <t>www.amersham.com</t>
  </si>
  <si>
    <t>2004: 10000</t>
  </si>
  <si>
    <t>50157-01P</t>
  </si>
  <si>
    <t>Giles Kerr</t>
  </si>
  <si>
    <t>+44 (0)18 6527 0150</t>
  </si>
  <si>
    <t>Chalfont St Giles, United Kingdom</t>
  </si>
  <si>
    <t>Pollards Wood</t>
  </si>
  <si>
    <t>Nightingales Lane</t>
  </si>
  <si>
    <t>Chalfont St Giles</t>
  </si>
  <si>
    <t>HP8 4SP</t>
  </si>
  <si>
    <t>The company was acquired by RLS (USA) for $3 million on June 15, 2020.</t>
  </si>
  <si>
    <t>51155-65</t>
  </si>
  <si>
    <t>Aspect Development</t>
  </si>
  <si>
    <t>Aspect Development, Inc.</t>
  </si>
  <si>
    <t>Operator of a software, data content and services company. The company provides component and supplier management (CSM) technology to manufacturers. The company's applications and supplier-information databases are focused on improving the product-development cycle. Its CSM technology targets the design and procurement processes of the manufacturing enterprise, providing design engineers and procurement personnel the ability to rapidly search, compare and select optimal designs, components and suppliers.</t>
  </si>
  <si>
    <t>Business/Productivity Software*, Database Software, Media and Information Services (B2B)</t>
  </si>
  <si>
    <t>csm, data content, enterprise solutions, supplier database</t>
  </si>
  <si>
    <t>1995: 197, 1996: 217, 1997: 536, 1998: 659, 1999: 837</t>
  </si>
  <si>
    <t>1395 Charleston Road</t>
  </si>
  <si>
    <t>+1 (650) 428-2700</t>
  </si>
  <si>
    <t>+1 (650) 968-4335</t>
  </si>
  <si>
    <t>info@aspectdv.com</t>
  </si>
  <si>
    <t>The company was acquired by i2 Technologies (NASDAQ: ITWO) for $9.5 billion on June 12, 2000. The company is no longer actively tracked by PitchBook.</t>
  </si>
  <si>
    <t>i2 Technologies</t>
  </si>
  <si>
    <t>Bain Capital, Information Capital, Sand Hill Group, S-Cubed Capital, Sequoia Capital</t>
  </si>
  <si>
    <t>Bain Capital(www.baincapital.com), Information Capital(www.informationcapital.com), Sand Hill Group(www.sandhill.com), S-Cubed Capital(www.scubedcap.com), Sequoia Capital(www.sequoiacap.com)</t>
  </si>
  <si>
    <t>175623-31</t>
  </si>
  <si>
    <t>Western Power Distribution</t>
  </si>
  <si>
    <t>South West Electricity Board</t>
  </si>
  <si>
    <t>Western Power Distribution Plc</t>
  </si>
  <si>
    <t>Click Energy</t>
  </si>
  <si>
    <t>Provider of electric utility services in Bristol, United Kingdom. The company offers electricity supply in the Midlands region of England.</t>
  </si>
  <si>
    <t>business information service, content distribution service, electricity distribution network, electricity distribution service, electricity energy power, heat energy distribution, new electricity generation, power energy distribution, power generation company</t>
  </si>
  <si>
    <t>www.westernpower.co.uk</t>
  </si>
  <si>
    <t>2018: 6500, 2020: 6500, 2021: 6500</t>
  </si>
  <si>
    <t>238758-40P</t>
  </si>
  <si>
    <t>Ian Williams</t>
  </si>
  <si>
    <t>Group Finance Director</t>
  </si>
  <si>
    <t>iwilliams@westernpower.co.uk</t>
  </si>
  <si>
    <t>Avonbank Feeder Road</t>
  </si>
  <si>
    <t>BS2 0TB</t>
  </si>
  <si>
    <t>The company, a subsidiary of PPL (NYS: PPL), was acquired by National Grid (LON: NG.) for EUR 7.8 billion on June 14, 2021. The transactions will pivot National Grid's portfolio in the UK towards electricity and increase the group's assets in electricity and enhances its role in energy transition and drive long-term shareholder value.</t>
  </si>
  <si>
    <t>Mirant, PPL</t>
  </si>
  <si>
    <t>PPL(www.pplweb.com)</t>
  </si>
  <si>
    <t>Key Pacific Advisory Partners(Advisor: General)</t>
  </si>
  <si>
    <t>41510-62</t>
  </si>
  <si>
    <t>Scor (PAR: SCR)</t>
  </si>
  <si>
    <t>Société Commerciale de Réassurance</t>
  </si>
  <si>
    <t>Scor SE</t>
  </si>
  <si>
    <t>PartnerRe, Hannover Re, XL Group, Allied World, Odyssey Re Holdings, The Hanover Insurance Group, TransRe, Munich Re, Aviva (Life and Health Insurance), Korean Reinsurance Company, Sun Life Financial, Zurich American Insurance Company, Swiss Re Group, Travelers Companies, Capsicum Re, Aspen Insurance Holdings, The Hartford Financial Services Group, Prudential Life Insurance Company of Korea, Validus Group, Royal &amp; Sun Alliance Insurance (Hong Kong and Singapore Operations), Unum Group, Kenya Reinsurance Corporation, RenaissanceRe Holdings, IRB-Brasil Resseguros, AIG Sigorta Financial Services, American International Group, QBE Indonesia, Great American Insurance Group, MetLife</t>
  </si>
  <si>
    <t>Scor is a reinsurance company that covers reinsurance markets worldwide. It writes nonlife and life reinsurance, and is larger in life reinsurance, unlike most of its peers.</t>
  </si>
  <si>
    <t>Multi-line Insurance, Re-Insurance*</t>
  </si>
  <si>
    <t>facultative reinsurance, health and medical insurance, non-life reinsurance, non-life reinsurance services, reinsurance, treaty reinsurance</t>
  </si>
  <si>
    <t>www.scor.com</t>
  </si>
  <si>
    <t>1996: 1164, 1997: 1182, 1998: 1176, 1999: 1150, 2000: 1196, 2001: 1345, 2002: 1256, 2003: 1162, 2004: 1038, 2005: 994, 2009: 503, 2010: 1822, 2011: 2184, 2012: 2284, 2013: 2450, 2014: 2555, 2015: 2581, 2016: 2802, 2017: 2955, 2018: 2887, 2019: 3028, 2020: 3123</t>
  </si>
  <si>
    <t>SCR</t>
  </si>
  <si>
    <t>212620-33P</t>
  </si>
  <si>
    <t>Ian Kelly</t>
  </si>
  <si>
    <t>ikelly@scor.com</t>
  </si>
  <si>
    <t>+33 (0)1 58 44 70 00</t>
  </si>
  <si>
    <t>5 Avenue Kléber</t>
  </si>
  <si>
    <t>Cedex 16</t>
  </si>
  <si>
    <t>75795</t>
  </si>
  <si>
    <t>info@scor.com</t>
  </si>
  <si>
    <t>The company was in talks to be acquired by Covéa Finance, a subsidiary of Covéa Coopérations, for EUR 8.21 billion on September 4, 2018. Subsequently, the deal was cancelled. Previously, existing shareholders sold 600 shares to undisclosed investor for EUR 21,000 on June 16, 2017.</t>
  </si>
  <si>
    <t>Caledonia Private Capital, Covea, Patinex, Sompo Japan Nipponkoa Insurance</t>
  </si>
  <si>
    <t>Caledonia Private Capital(www.caledoniaprivatecapital.com), Covea(www.covea-finance.fr), Sompo Japan Nipponkoa Insurance(sompo-japan.co.jp)</t>
  </si>
  <si>
    <t>Aon Securities(Advisor: General), Compass Partners(Advisor: General), EY(Auditor), FinCo Capital(Advisor: General), KPMG(Auditor), Mazars UK(Auditor), Merger &amp; Acquisition Services(Advisor: General)</t>
  </si>
  <si>
    <t>41947-12</t>
  </si>
  <si>
    <t>Elan</t>
  </si>
  <si>
    <t>Elan Corporation Plc</t>
  </si>
  <si>
    <t>Operator of a neuroscience-based biotechnology company. The company is organized into two business units, BioNeurology and Elan Drug Technologies enabling it to develop and manufacture innovative pharmaceuticals for neurodegenerative diseases, such as Alzheimer's disease and Parkinson's disease and autoimmune diseases, including multiple sclerosis and Crohn's disease.</t>
  </si>
  <si>
    <t>autoimmune disease, biotechnology, biotechnology based, biotechnology firm, neuroscience, neuroscience-based biotechnology</t>
  </si>
  <si>
    <t>www.elan.com</t>
  </si>
  <si>
    <t>1992: 631, 1993: 775, 1994: 814, 1995: 943, 1996: 1383, 1997: 1600, 1998: 2400, 1999: 2646, 2000: 4472, 2001: 4617, 2002: 3623, 2003: 2159, 2004: 1899, 2005: 1729, 2006: 1734, 2007: 1610, 2008: 1687, 2009: 1321, 2010: 1219, 2011: 412, 2012: 245, 2013: 245, 2018: 1500</t>
  </si>
  <si>
    <t>Lincoln House, Lincoln Place</t>
  </si>
  <si>
    <t>The company was acquired by Perrigo (NYSE: PRGO) for $9.4 billion on July 30, 2013. The company is no longer actively tracked by PitchBook.</t>
  </si>
  <si>
    <t>Perrigo Company</t>
  </si>
  <si>
    <t>Atheneum Capital, Vertex Holdings</t>
  </si>
  <si>
    <t>Forest Laboratories, Royalty Pharma</t>
  </si>
  <si>
    <t>Atheneum Capital(www.atheneumcapital.com), Vertex Holdings(www.vertexholdings.com)</t>
  </si>
  <si>
    <t>Royalty Pharma(www.royaltypharma.com)</t>
  </si>
  <si>
    <t>Cohen Tauber Spievack &amp; Wagner(Legal Advisor), Continental Capital Partners(Advisor: General), Matheson(Legal Advisor), TouchStone Executive Consultants(Consulting)</t>
  </si>
  <si>
    <t>A&amp;L Goodbody(Legal Advisor), Davy Corporate Finance(Advisor: General), Mason Hayes &amp; Curran(Legal Advisor), Matheson(Legal Advisor), Reitler Kailas &amp; Rosenblatt(Legal Advisor)</t>
  </si>
  <si>
    <t>10328-68</t>
  </si>
  <si>
    <t>Energy Future Holdings</t>
  </si>
  <si>
    <t>TXU Energy, Texas Utilities</t>
  </si>
  <si>
    <t>EFH, Energy Future</t>
  </si>
  <si>
    <t>Energy Future Holdings Corp.</t>
  </si>
  <si>
    <t>Duke Energy, Vectren, NRG Energy, Dynegy, Algonquin Power &amp; Utilities, Invenergy, AES</t>
  </si>
  <si>
    <t>Holding company of Oncor Electric Delivery, which provides utility services to residential and commercial customers in Texas. The company's subsidiary provides electricity, power generation, natural gas and wholesale power marketing and delivery services.</t>
  </si>
  <si>
    <t>Electric Utilities*, Energy Production, Holding Companies</t>
  </si>
  <si>
    <t>Oil &amp; Gas, Supply Chain Tech</t>
  </si>
  <si>
    <t>electric power supply, nuclear power, retail electricity</t>
  </si>
  <si>
    <t>www.txu.com</t>
  </si>
  <si>
    <t>1989: 15248, 1990: 15216, 1991: 15262, 1992: 15200, 1993: 10859, 1994: 10798, 1995: 10798, 1996: 11451, 1997: 14751, 1998: 22055, 1999: 22055, 2000: 16540, 2001: 18000, 2002: 14600, 2003: 14235, 2004: 7900, 2005: 7615, 2006: 7262, 2007: 7600, 2008: 8150, 2009: 9030, 2010: 9200, 2011: 9300, 2012: 9100, 2013: 9000, 2015: 5001</t>
  </si>
  <si>
    <t>Sempra Energy</t>
  </si>
  <si>
    <t>12331-27P</t>
  </si>
  <si>
    <t>Paul Keglevic</t>
  </si>
  <si>
    <t>Chief Executive Officer and Chief Restructuring Officer</t>
  </si>
  <si>
    <t>paul.keglevic@energyfutureholdings.com</t>
  </si>
  <si>
    <t>Energy Plaza</t>
  </si>
  <si>
    <t>1601 Bryan Street</t>
  </si>
  <si>
    <t>The company was acquired by Sempra Energy (NYSE: SRE) for $9.45 billion on March 9, 2018. The transaction also includes an indirect acquisition of 80% ownership interest in Oncor Electric Delivery Company as well. Under the terms of the transaction, Sempra Energy financed the acquisition consideration convertible Preferred Stock offering and the related sale of shares of its common stock, issuance of its debt securities, the commercial paper supported by its revolving credit facilities and borrowings under its revolving credit facilities.</t>
  </si>
  <si>
    <t>AlpInvest Partners, Avista Capital Partners, Black Canyon Capital, Canada Pension Plan Investment Board, Citigroup, Energy Capital Partners, Goldman Sachs Merchant Banking Division, Kohlberg Kravis Roberts, Morgan Stanley, Neuberger Berman, Quintana Capital Group, Stockwell Capital, The Family Office Company, TPG</t>
  </si>
  <si>
    <t>Anchorage Capital Group, Arrowgrass Capital Partners, Avenue Capital Group, Berkshire Hathaway, Berkshire Hathaway Energy, BlackRock Private Equity Partners, Blackstone Credit, Centerbridge Partners, CenterPoint Energy, Elliott Management, Fidelity Investments, Hunt Consolidated, Iberdrola, NextEra Energy, Teacher Retirement System of Texas</t>
  </si>
  <si>
    <t>AlpInvest Partners(www.alpinvest.com), Avista Capital Partners(www.avistacap.com), Black Canyon Capital(www.blackcanyoncapital.com), Canada Pension Plan Investment Board(www.cppinvestments.com), Citigroup(www.citigroup.com/citi), Energy Capital Partners(ecpgp.com), Kohlberg Kravis Roberts(www.kkr.com), Morgan Stanley(www.morganstanley.com), Neuberger Berman(www.nb.com), Quintana Capital Group(www.qeplp.com), Stockwell Capital(www.stockwellcapital.com), The Family Office Company(www.tfoco.com), TPG(www.tpg.com)</t>
  </si>
  <si>
    <t>Anchorage Capital Group(www.anchoragecap.com), Arrowgrass Capital Partners(www.arrowgrass.com), Avenue Capital Group(www.avenuecapital.com), Berkshire Hathaway(www.berkshirehathaway.com), Berkshire Hathaway Energy(www.berkshirehathawayenergyco.com), Blackstone Credit(www.gsocap.com), Centerbridge Partners(www.centerbridge.com), CenterPoint Energy(www.CenterPointEnergy.com), Elliott Management(www.elliottmgmt.com), Fidelity Investments(www.fidelity.com), Hunt Consolidated(www.huntconsolidated.com), Iberdrola(www.iberdrola.com), NextEra Energy(www.nexteraenergy.com), Teacher Retirement System of Texas(www.trs.texas.gov)</t>
  </si>
  <si>
    <t>Chadbourne &amp; Parke(Advisor: General), Deloitte(Auditor), Deutsche Bank Securities(Advisor: General), Gibson, Dunn &amp; Crutcher(Legal Advisor), Goldin Associates(Advisor: General), Invesco(Debt Financing), Jones Day(Legal Advisor), Pachulski Stang Ziehl &amp; Jones(Legal Advisor), Paul, Weiss, Rifkind, Wharton &amp; Garrison(Legal Advisor), Province(Advisor: General), Rebound Capital(Advisor: General), Scotiabank Global Banking and Markets(Advisor: General), Simpson Thacher &amp; Bartlett(Legal Advisor), TPI(The Woodlands)(Advisor: General), Zolfo Cooper(Advisor: General)</t>
  </si>
  <si>
    <t>Akin Gump Strauss Hauer &amp; Feld(Legal Advisor), Alvarez &amp; Marsal(Advisor: General), Angelo, Gordon &amp; Company(Debt Financing), Apollo Global Management(Debt Financing), Aurelius Growth Investments(Debt Financing), Bank of America(Debt Financing), Bank of America Merrill Lynch(Debt Financing), Barclays(Debt Financing), Berkshire Hathaway(Debt Financing), Blackstone Credit(Debt Financing), Brown Rudnick(Legal Advisor), Cadwalader, Wickersham &amp; Taft(Legal Advisor), Capstone(Advisor: General), Centerbridge Partners(Debt Financing), Centerview Partners(Advisor: General), Citigroup(Debt Financing), Cravath, Swaine &amp; Moore(Legal Advisor), Credit Suisse(Debt Financing), Debevoise &amp; Plimpton(Legal Advisor), Deloitte(Auditor), Deutsche Bank(Debt Financing), Evercore Group(Advisor: General), J.P. Morgan(Debt Financing), Jones Day(Legal Advisor), Kirkland &amp; Ellis(Legal Advisor), Lazard Middle Market(Advisor: General), Lehman Brothers(Advisor: General), Loop Capital Markets(Debt Financing), McElroy Deutsch Mulvaney &amp; Carpenter(Legal Advisor), Milbank(Legal Advisor), Miller Buckfire &amp; Co.(Advisor: General), Millstein &amp; Co.(Advisor: General), Morgan Stanley(Advisor: General), Morrison &amp; Foerster(Legal Advisor), Munger, Tolles &amp; Olson(Legal Advisor), Oaktree Capital Management(Debt Financing), Otterbourg(Legal Advisor), Pacific Investment Management Company(Advisor: General), Patterson Belknap Webb &amp; Tyler(Legal Advisor), Perella Weinberg Partners(Advisor: General), Proskauer Rose(Legal Advisor), RBC Capital Markets(Debt Financing), Richards Layton &amp; Finger(Legal Advisor), Ropes &amp; Gray(Legal Advisor), Shearman &amp; Sterling(Legal Advisor), Sierra Income(Debt Financing), Simpson Thacher &amp; Bartlett(Legal Advisor), SOLIC Capital(Advisor: General), Sullivan &amp; Cromwell(Legal Advisor), Sumitomo Mitsui Banking(Debt Financing), The Blackstone Group(Advisor: General), The Goldman Sachs Group(Debt Financing), Torys(Legal Advisor), TPI(The Woodlands)(Advisor: General), White &amp; Case(Legal Advisor), York Capital Management(Debt Financing)</t>
  </si>
  <si>
    <t>86695-93</t>
  </si>
  <si>
    <t>Mojang</t>
  </si>
  <si>
    <t>Mojang AB</t>
  </si>
  <si>
    <t>Square Enix Europe, Gameloft, TellTale</t>
  </si>
  <si>
    <t>Developer of games. The company develops games such as Cobalt, Minecraft and Scrolls which are available on PC, Mac, iOS, Android, Xbox and PlayStation platforms.</t>
  </si>
  <si>
    <t>Publishing</t>
  </si>
  <si>
    <t>Entertainment Software, Movies, Music and Entertainment, Publishing*</t>
  </si>
  <si>
    <t>Gaming, Mobile, TMT</t>
  </si>
  <si>
    <t>cobalt, minecraft</t>
  </si>
  <si>
    <t>www.mojang.com</t>
  </si>
  <si>
    <t>2011: 9, 2012: 23, 2013: 28, 2014: 40, 2015: 35, 2016: 38</t>
  </si>
  <si>
    <t>78435-82P</t>
  </si>
  <si>
    <t>Vu Bui</t>
  </si>
  <si>
    <t>vu@mojang.com</t>
  </si>
  <si>
    <t>Stockholm, Sweden</t>
  </si>
  <si>
    <t>Maria Skolgata 83 BV</t>
  </si>
  <si>
    <t>Stockholm</t>
  </si>
  <si>
    <t>118 53</t>
  </si>
  <si>
    <t>The company wad acquired by Microsoft (NASDAQ: MSFT) for $9.44 billion on November 6, 2014. The company is no longer actively tracked by PitchBook.</t>
  </si>
  <si>
    <t>Mannheimer Swartling(Legal Advisor)</t>
  </si>
  <si>
    <t>11727-19</t>
  </si>
  <si>
    <t>NYMEX</t>
  </si>
  <si>
    <t>Butter, Cheese and Egg Exchange of the City of New York</t>
  </si>
  <si>
    <t>New York Mercantile Exchange</t>
  </si>
  <si>
    <t>New York Mercantile Exchange, Inc.</t>
  </si>
  <si>
    <t>Provider of a marketplace for trading energy futures and options in the crude oil, natural gas, heating oil and unleaded gasoline markets. The company offers facilities to buy, sell, and clear energy, precious and base metals, and soft commodities for future delivery. It also offers soft commodities futures contracts for coffee, sugar, cocoa, cotton and orange juice, as well as provides physical facilities for open outcry auction markets.</t>
  </si>
  <si>
    <t>Other Capital Markets/Institutions, Other Financial Services*</t>
  </si>
  <si>
    <t>FinTech, Oil &amp; Gas, TMT</t>
  </si>
  <si>
    <t>natural resources, online trading, trading floor</t>
  </si>
  <si>
    <t>www.nymex.com</t>
  </si>
  <si>
    <t>1995: 372, 1996: 372, 1997: 372, 1998: 372, 1999: 625, 2000: 544, 2001: 478, 2002: 489, 2003: 481, 2004: 497, 2005: 533, 2006: 500, 2007: 400, 2008: 625, 2009: 625, 2010: 625</t>
  </si>
  <si>
    <t>83652-85P</t>
  </si>
  <si>
    <t>Jerry Bailey</t>
  </si>
  <si>
    <t>+1 (212) 299-2000</t>
  </si>
  <si>
    <t>World Financial Center One North End Avenue</t>
  </si>
  <si>
    <t>10282</t>
  </si>
  <si>
    <t>+1 (212) 301-4623</t>
  </si>
  <si>
    <t>exchangeinfo@nymex.com</t>
  </si>
  <si>
    <t>The company was acquired by CME Group (NYSE: CME) for $9.43 billion on August 22, 2008. The company is no longer actively tracked by PitchBook.</t>
  </si>
  <si>
    <t>General Atlantic, Vernon &amp; Park Capital</t>
  </si>
  <si>
    <t>Battery Ventures, Hellman &amp; Friedman, Parthenon Capital Partners, The Blackstone Group</t>
  </si>
  <si>
    <t>General Atlantic(www.generalatlantic.com), Vernon &amp; Park Capital(www.vernonpark.com)</t>
  </si>
  <si>
    <t>Battery Ventures(www.battery.com), Hellman &amp; Friedman(www.hf.com), Parthenon Capital Partners(www.parthenoncapital.com), The Blackstone Group(www.blackstone.com)</t>
  </si>
  <si>
    <t>Bank of America Merrill Lynch(Underwriter), Bear Stearns(Underwriter), Citigroup(Underwriter), Deutsche Bank(Underwriter), Fox-Pitt Kelton Cochran Caronia Waller(Underwriter), J.P. Morgan(Underwriter), Jefferies Financial Group(Underwriter), Keefe, Bruyette &amp; Woods(Underwriter), KPMG(Accounting), Lehman Brothers(Underwriter), Merrill Lynch Pierce Fenner &amp; Smith(Underwriter), Morgan Stanley(Underwriter), Sandler O'Neill + Partners(Underwriter), Sidley Austin(Legal Advisor), Skadden, Arps, Slate, Meagher &amp; Flom(Legal Advisor)</t>
  </si>
  <si>
    <t>175863-88</t>
  </si>
  <si>
    <t>Royal Dutch Shell (Athabasca Oil Sands Project)</t>
  </si>
  <si>
    <t>AOSP</t>
  </si>
  <si>
    <t>An oil sands mining and upgrading project in Alberta, Canada. The asset includes Muskeg River and Jackpine mines and the Scotford Upgrader and has a production capacity of 255,000 barrels of oil a day (b/d) of synthetic crude. It also produces bitumen from oil sands deposits in the Athabasca region utilizing mining techniques and upgrades the bitumen to synthetic crude oils and vacuum gas oil.</t>
  </si>
  <si>
    <t>Buildings and Property, Energy Exploration, Energy Production, Other Energy*</t>
  </si>
  <si>
    <t>bitumen, oil deposits, oil mining, oil producer, upgrading project, vacuum gas</t>
  </si>
  <si>
    <t>The Athabasca Oil Sands Project of Royal Dutch Shell (LON: RDSA) was acquired by Canadian Natural Resources (TSE: CNQ) for CAD 12.74 billion on May 31, 2017. The asset is no longer actively tracked by PitchBook.</t>
  </si>
  <si>
    <t>Chevron Canada, Royal Dutch Shell</t>
  </si>
  <si>
    <t>Canadian Natural Resources</t>
  </si>
  <si>
    <t>Marathon Oil</t>
  </si>
  <si>
    <t>Chevron Canada(www.chevron.ca), Royal Dutch Shell(www.shell.com)</t>
  </si>
  <si>
    <t>J.P. Morgan(Debt Financing), Scotiabank(Debt Financing), TD Securities(Debt Financing)</t>
  </si>
  <si>
    <t>41514-76</t>
  </si>
  <si>
    <t>Fibria Celulose</t>
  </si>
  <si>
    <t>Votorantim Celulose e Papel</t>
  </si>
  <si>
    <t>Fibria</t>
  </si>
  <si>
    <t>Fibria Celulose SA</t>
  </si>
  <si>
    <t>Empresas CMPC, Sappi, Klabin, Nordic Paper Holding</t>
  </si>
  <si>
    <t>Producer of eucalyptus pulp created to address the growing demand for products from planted forests. The company primarily offers bleached eucalyptus kraft pulp used in the manufacture of tissue, coated and uncoated printing and writing paper and coated packaging boards among others, providing businesses with the raw materials to undertake further production.</t>
  </si>
  <si>
    <t>Forestry Processing*, Other Commercial Products, Paper/Soft Products</t>
  </si>
  <si>
    <t>eucalyptus pulp, hardwood pulp, paper product, paper pulp product, pulp production</t>
  </si>
  <si>
    <t>www.fibria.com.br</t>
  </si>
  <si>
    <t>1999: 3682, 2000: 3981, 2001: 3767, 2002: 3848, 2003: 3702, 2004: 3624, 2005: 3620, 2006: 3498, 2007: 2855, 2008: 3010, 2009: 5045, 2010: 5028, 2011: 4301, 2012: 4136, 2013: 4192, 2014: 4294, 2015: 4197, 2016: 4493, 2017: 5268</t>
  </si>
  <si>
    <t>Rua Fidêncio Ramos, Number 302</t>
  </si>
  <si>
    <t>Torre B, 3º andar, Torre B, Vila Olímpia</t>
  </si>
  <si>
    <t>SP</t>
  </si>
  <si>
    <t>04551</t>
  </si>
  <si>
    <t>+55 11 2138 4000</t>
  </si>
  <si>
    <t>The company (BSP: FIBR3) was acquired by Suzano Papel E Celulose (BSP: SUZB3) for BRL 35.8 billion on January 14, 2019. Suzano Papel E Celulose is getting finance of $ 9.2 Billion from JPMorgan Chase &amp; Co, BNP Paribas, Mizuho Bank Ltd and Rabobank NA. The acquisition will enable the acquirer to expand its paper pulp manufacturing business. The company is no longer actively tracked by PitchBook.</t>
  </si>
  <si>
    <t>Suzano Papel E Celulose</t>
  </si>
  <si>
    <t>BNDESpar, Gávea Investimentos, Votorantim (Brazil)</t>
  </si>
  <si>
    <t>Paper Excellence Canada</t>
  </si>
  <si>
    <t>Gávea Investimentos(www.gaveainvest.com), Votorantim (Brazil)(www.votorantim.com.br)</t>
  </si>
  <si>
    <t>Paper Excellence Canada(www.paperexcellence.com)</t>
  </si>
  <si>
    <t>Integration Consulting(Consulting)</t>
  </si>
  <si>
    <t>Bank of America Merrill Lynch(Advisor: General), Freshfields Bruckhaus Deringer(Legal Advisor), Riza Capital(Advisor: General)</t>
  </si>
  <si>
    <t>60822-55</t>
  </si>
  <si>
    <t>APA Group (ASX: APA)</t>
  </si>
  <si>
    <t>Australia Pipeline Trust</t>
  </si>
  <si>
    <t>APA</t>
  </si>
  <si>
    <t>APA Group S.P.A.</t>
  </si>
  <si>
    <t>APA Group is Australia's largest gas infrastructure company with an extensive portfolio of transmission pipelines, distribution networks, and storage facilities. It is internally managed and has direct operational control over all assets. It owns minority stakes in a few smaller gas infrastructure companies and manages operations for most of these. The stapled securities comprise a unit in Australian Pipeline Trust and in APT Investment Trust.</t>
  </si>
  <si>
    <t>Energy Infrastructure*, Gas Utilities</t>
  </si>
  <si>
    <t>energy infrastructure development, energy infrastructure plant, gas infrastructure, gas storage facility owner, gas transmission network, gas-fired power plant, natural gas infrastructure, wind farming operator</t>
  </si>
  <si>
    <t>www.apa.com.au</t>
  </si>
  <si>
    <t>2001: 14, 2002: 14, 2003: 14, 2004: 17, 2005: 31, 2006: 23, 2007: 216, 2015: 1600, 2016: 1600, 2017: 1600, 2018: 16000</t>
  </si>
  <si>
    <t>151143-31P</t>
  </si>
  <si>
    <t>Adam Watson</t>
  </si>
  <si>
    <t>awatson@transurban.com</t>
  </si>
  <si>
    <t>+61 (0)3 8656 8900</t>
  </si>
  <si>
    <t>Level 25</t>
  </si>
  <si>
    <t>580 George Street</t>
  </si>
  <si>
    <t>1225</t>
  </si>
  <si>
    <t>+61 (0)2 9693 0000</t>
  </si>
  <si>
    <t>+61 (0)2 9693 0093</t>
  </si>
  <si>
    <t>info@apa.com.au</t>
  </si>
  <si>
    <t>The company entered into a definitive agreement to be acquired by Cheung Kong Infrastructure Holdings (HKG: 01038), CK Asset Holdings and Power Assets Holdings (0006: HK) for AUD 12.98 billion on June 13, 2018. Subsequently, the deal was canceled on November 22, 2018. Previously, UniSuper has acquired a 9.2% stake in the company for an undisclosed amount on January 23, 2015.</t>
  </si>
  <si>
    <t>UniSuper Management</t>
  </si>
  <si>
    <t>CK Asset Holdings, CK Infrastructure Holdings, Power Assets Holdings</t>
  </si>
  <si>
    <t>UniSuper Management(www.unisuper.com.au)</t>
  </si>
  <si>
    <t>CK Asset Holdings(www.ckah.com), CK Infrastructure Holdings(www.cki.com.hk), Power Assets Holdings(www.powerassets.com)</t>
  </si>
  <si>
    <t>Citigroup(Placement Agent), Macquarie Group(Advisor: General), TD Securities(Placement Agent)</t>
  </si>
  <si>
    <t>13177-99</t>
  </si>
  <si>
    <t>Oneok Partners</t>
  </si>
  <si>
    <t>OKS</t>
  </si>
  <si>
    <t>Oneok Partners, L.P.</t>
  </si>
  <si>
    <t>Blue Roads Solutions, Markwest Energy Partners, ONEOK, Plains All American Pipeline, BlueRacer Midstream, Kinder Morgan, Open Grid Europe, EagleClaw Midstream Ventures, EnLink Midstream, Regency Energy Partners, Tristream Energy, Pembina Pipeline, Enterprise Products Partners, Magellan Midstream Partners, Enbridge, Midcoast Energy Partners, Thigpen Energy, Enable Midstream Partners, Energy Transfer, Copano Energy, Teekay</t>
  </si>
  <si>
    <t>Provider of energy midstream services intended to connect prolific supply basics with key market centers. The company specializes in natural gas liquids (NGL) systems and gathering, processing, storage, and transportation of natural gas to the natural gas gathering, processing, pipelines and liquids industries.</t>
  </si>
  <si>
    <t>Energy Traders and Brokers</t>
  </si>
  <si>
    <t>Energy Storage, Energy Traders and Brokers*, Energy Transportation</t>
  </si>
  <si>
    <t>gas gathering, gas processing, natural gas gathering, natural gas processing, natural gas producer, pipeline services</t>
  </si>
  <si>
    <t>www.oneokpartners.com</t>
  </si>
  <si>
    <t>1993: 4, 1994: 170, 1995: 170, 1996: 170, 1997: 170, 1998: 170, 1999: 170, 2000: 170, 2001: 170, 2002: 135, 2003: 135, 2004: 130, 2005: 461, 2006: 1219, 2007: 1136, 2008: 1232, 2009: 1273, 2010: 1275, 2011: 4795, 2012: 4859, 2013: 1927, 2014: 2269, 2015: 2364, 2016: 2384</t>
  </si>
  <si>
    <t>ONEOK</t>
  </si>
  <si>
    <t>100 West Fifth Street</t>
  </si>
  <si>
    <t>74103</t>
  </si>
  <si>
    <t>The company was acquired by ONEOK (NYSE: OKE) for $9.3 billion on June 30, 2017.</t>
  </si>
  <si>
    <t>CCMP Capital Advisors</t>
  </si>
  <si>
    <t>CCMP Capital Advisors(www.ccmpcapital.com)</t>
  </si>
  <si>
    <t>Global Hunter Securities(Advisor: General), Mizuho Bank(Debt Financing), Robert W. Baird &amp; Co(Advisor: General)</t>
  </si>
  <si>
    <t>Andrews Kurth Kenyon(Legal Advisor), Bank of America(Debt Financing), Barclays(Debt Financing), Citibank(Debt Financing), Citigroup(Underwriter), Dain Rauscher Wessels(Underwriter), First Union National Bank(Underwriter), J.P. Morgan(Underwriter), JPMorgan Chase(Debt Financing), Lehman Brothers(Advisor: General), Morgan Stanley(Debt Financing), Morrow Sodali(Advisor: Communications), NatWest Group(Debt Financing), RBC Capital Markets(Underwriter), Salomon Brothers(Underwriter), Sumitomo Mitsui Banking(Debt Financing), UBS Group(Debt Financing), UBS Group(Advisor: General), Wells Fargo(Debt Financing), Wells Fargo Advisors(Underwriter)</t>
  </si>
  <si>
    <t>188081-38</t>
  </si>
  <si>
    <t>Bayer (seed and herbicide business)</t>
  </si>
  <si>
    <t>Manufacturer of crop protection chemicals. The company's crop protection chemicals include seed and non-selective herbicide, enabling farmers to get genetically-modified seeds.</t>
  </si>
  <si>
    <t>AgTech, Manufacturing, TMT</t>
  </si>
  <si>
    <t>crop protection, crop protection spray</t>
  </si>
  <si>
    <t>2017: 1800, 2018: 1800</t>
  </si>
  <si>
    <t>Leverkusen, Germany</t>
  </si>
  <si>
    <t>Building West 11</t>
  </si>
  <si>
    <t>Leverkusen</t>
  </si>
  <si>
    <t>51368</t>
  </si>
  <si>
    <t>The seed and herbicide business of Bayer (ETR: BAYN) was acquired by BASF (ETR: BAS) for EUR 7.5 billion on March 31, 2018. Through the acquisition BASF would further enhance their agricultural service offer, which is a core pillar of its portfolio. The company is no longer actively tracked by PitchBook.</t>
  </si>
  <si>
    <t>BASF</t>
  </si>
  <si>
    <t>Bayer(www.bayer.com)</t>
  </si>
  <si>
    <t>40997-08</t>
  </si>
  <si>
    <t>Spotify (NYS: SPOT)</t>
  </si>
  <si>
    <t>Spotify AB</t>
  </si>
  <si>
    <t>Napster, Saavn, Anghami, Qobuz, 8tracks, Deezer, TIDAL, SoundCloud, Amazon.com</t>
  </si>
  <si>
    <t>Spotify, headquartered in Stockholm, Sweden, is one of the world's largest music streaming service providers, with over 150 million total listeners. The firm monetizes its users through both a paid subscription model, referred to as its premium service, and an ad-based model, referred to as its ad-supported service. Revenue from premium and ad-supported services represented 90% and 10% of Spotify's 2017 total revenue, respectively.</t>
  </si>
  <si>
    <t>Entertainment Software</t>
  </si>
  <si>
    <t>Application Software, Entertainment Software*, Movies, Music and Entertainment</t>
  </si>
  <si>
    <t>AudioTech, Mobile, TMT</t>
  </si>
  <si>
    <t>digital music service, music application, music online, offline music, podcast</t>
  </si>
  <si>
    <t>www.spotify.com</t>
  </si>
  <si>
    <t>2013: 958, 2014: 1354, 2015: 1945, 2016: 2307, 2017: 2960, 2018: 4040, 2019: 4405, 2020: 5584</t>
  </si>
  <si>
    <t>SPOT</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</si>
  <si>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</si>
  <si>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133860-70P</t>
  </si>
  <si>
    <t>Paul Vogel</t>
  </si>
  <si>
    <t>paul@spotify.com</t>
  </si>
  <si>
    <t>+44 (0)20 3287 9990</t>
  </si>
  <si>
    <t>Regeringsgatan 19</t>
  </si>
  <si>
    <t>111 53</t>
  </si>
  <si>
    <t>office@spotify.com</t>
  </si>
  <si>
    <t>The company completed its direct listing on the New York stock exchange under the ticker symbol of SPOT on April 3, 2018. A total of 55,731,480 shares were registered. Shares debuted at a price of $165.90 per share. After the offering, there was a total of 178,112,840 outstanding shares priced at $165.90 per share, valuing the company at $29.54 billion. The company did not issue any shares and will not receive any proceeds from the offering.</t>
  </si>
  <si>
    <t>137 Ventures, 2020 Ventures, Accel, Access Technology Ventures, ADIT Ventures, ADS Ventures, Aeon Family of Funds, Alexander Capital Ventures, Alexandre Mars, All Blue Capital, Anthony Marlowe, Asset Management Partners, Aventura VC, Baillie Gifford, Bardin Hill Investment Partners, Bienville Capital, Blisce, Breyer Capital, Bright Success Capital, Click Ventures, Coca-Cola, Creandum, Cross Culture Ventures, Decacorn Capital, Dentsu Innovation Partners, Discovery Capital Management, Doug Atkin, Dragoneer Investment Group, DST Global, Edastra Venture Capital, Fidelity Investments, Fifth Era, Founders Fund, Frog Capital, FS Investors, G Squared, GC1 Ventures, Gibraltar Ventures (Toronto), Goldman Sachs Investment Partners, Goldman Sachs Merchant Banking Division, Goodwater Capital, GP Bullhound, Green Bay Ventures, Green Sands Equity, Groupe Arnault, Growth Technology Partners, Harmony Partners, Horizons Ventures, Inside Capital, Intellect Capital Ventures, Iowa City Capital Partners, IT Ventures, James Pallotta, Jason Finger, Jorg Mohaupt, Justin Bieber, K2 Global, KG Investments, Klaus Hommels, Kleiner Perkins, Lakestar, Lansdowne Partners, LaunchCapital, Lead Edge Capital, Li Ka-Shing, Lian Group, Light Street Investments, Man Capital, Manhattan Venture Partners, MicroVentures, Millennium Technology Value Partners, Northzone Ventures, Norwest Venture Partners, OMERS Ventures, P. Schoenfeld Asset Management, Ping An Capital, Pohlad Companies, Prudence Holdings, PV Seed Fund, Raptor Group, Rinkelberg Capital, RocketSpace, SchindlerAM Ventures, Sculptor Capital Management, Sean Parker, Senvest Capital, Shakil Khan, SharesPost, Sixth Street Partners, Soma Ventures, Sony Music Entertainment, Stelac Capital Partners, StraightPath Venture Partners, STS Ventures, Surender Punia, SuRo Capital, TCV, TDM Growth Partners, Telia Company, Tencent Holdings, Tencent Music Entertainment Group, The D. E. Shaw Group, The Vanguard Group, Thrive Capital, Tiger Global Management, Tower Equity, TPG, Troy Carter, TrueBridge Capital Partners, Universal Music Group, University Growth Fund, Vaidya Capital Partners, Ventura Capital, Venturing &amp; Emerging Brands, Vulcan Capital, Warner Music Group, Wellington Partners</t>
  </si>
  <si>
    <t>137 Ventures(www.137ventures.com), 2020 Ventures(knick.io), Accel(www.accel.com), Access Technology Ventures(www.accesstechnologyventures.com), ADIT Ventures(www.aditventures.vc), ADS Ventures(www.ads-ventures.com), Aeon Family of Funds(www.aeon.vc), Alexander Capital Ventures(www.alexandercapitalvm.com), All Blue Capital(www.allbluecapital.com), Asset Management Partners(www.assetmanagementpartners.ch), Aventura VC(www.aventuravc.com), Baillie Gifford(www.bailliegifford.com), Bardin Hill Investment Partners(www.bardinhill.com), Bienville Capital(www.bienvillecapital.com), Blisce(www.blisce.com), Breyer Capital(www.breyercapital.com), Bright Success Capital(www.bright-success.com), Click Ventures(www.clickventures.vc), Coca-Cola(www.coca-colacompany.com), Creandum(www.creandum.com), Cross Culture Ventures(www.crossculturevc.com), Decacorn Capital(decacorn.vc), Dentsu Innovation Partners(www.dentsu-ip.co.jp), Dragoneer Investment Group(www.dragoneer.com), DST Global(www.dst-global.com), Edastra Venture Capital(www.edastra.com), Fidelity Investments(www.fidelity.com), Fifth Era(www.fifthera.com), Founders Fund(www.foundersfund.com), Frog Capital(frogcapital.com), FS Investors(www.fsinvestors.com), G Squared(www.gsquared.com), Gibraltar Ventures (Toronto)(www.gibraltarcompany.ca), Goldman Sachs Investment Partners(www.gsipventures.com), Goodwater Capital(www.goodwatercap.com), GP Bullhound(www.gpbullhound.com), Green Bay Ventures(www.greenbayventures.com), Green Sands Equity(www.greensandsequity.com), Growth Technology Partners(www.growthtechnologypartners.com), Harmony Partners(www.harmonyvp.com), Horizons Ventures(www.horizonsventures.com), Inside Capital(www.inside.capital), Iowa City Capital Partners(www.iowacitycapitalpartners.com), IT Ventures(www.itventures.co.nz), Jason Finger(www.fingergroup.com), K2 Global(www.k2globalvc.com), KG Investments(www.kginvest.net), Kleiner Perkins(www.kleinerperkins.com), Lakestar(www.lakestar.com), Lansdowne Partners(www.lansdownepartners.com), LaunchCapital(www.launchcapital.com), Lead Edge Capital(www.leadedge.com), Lian Group(liangroup.io), Light Street Investments(www.lightstreetinvestments.com), Man Capital(www.man-capital.com), Manhattan Venture Partners(www.mvp.vc), MicroVentures(www.microventures.com), Millennium Technology Value Partners(www.mtvlp.com), Northzone Ventures(www.northzone.com), Norwest Venture Partners(www.nvp.com), OMERS Ventures(www.omersventures.com), P. Schoenfeld Asset Management(psam.com), Ping An Capital(pacapital.pingan.com), Pohlad Companies(www.pohladcompanies.com), Prudence Holdings(www.prudenceholdings.com), PV Seed Fund(www.pv.vc), Raptor Group(www.raptorgroup.com), Rinkelberg Capital(www.rinkelberg.com), RocketSpace(www.rocketspace.com), SchindlerAM Ventures(www.sam-ventures.com), Sculptor Capital Management(www.sculptor.com), Senvest Capital(www.senvest.com), SharesPost(www.sharespost.com), Sixth Street Partners(www.sixthstreet.com), Soma Ventures(www.soma.ventures), Sony Music Entertainment(www.sonymusic.com), Stelac Capital Partners(www.stelac.com), StraightPath Venture Partners(www.straightpathventurepartners.com), STS Ventures(www.sts-ventures.de), SuRo Capital(www.surocap.com), TCV(www.tcv.com), TDM Growth Partners(www.tdmgrowthpartners.com), Telia Company(www.teliacompany.com), Tencent Holdings(www.tencent.com/en-us/index.html), Tencent Music Entertainment Group(www.tencentmusic.com), The D. E. Shaw Group(www.deshaw.com), The Vanguard Group(www.vanguard.com), Thrive Capital(www.thrivecap.com), Tiger Global Management(www.tigerglobal.com), Tower Equity(www.towerequity.com), TPG(www.tpg.com), TrueBridge Capital Partners(www.truebridgecapital.com), Universal Music Group(www.universalmusic.com), University Growth Fund(www.ugrowthfund.com), Vaidya Capital Partners(www.vaidyacapital.com), Ventura Capital(www.ventura.ae), Venturing &amp; Emerging Brands(www.vebatcoke.com), Vulcan Capital(capital.vulcan.com), Warner Music Group(www.wmg.com), Wellington Partners(www.wellington-partners.com)</t>
  </si>
  <si>
    <t>Daversa Partners(Consulting), Morgan Lewis(Legal Advisor)</t>
  </si>
  <si>
    <t>Allen &amp; Company(Advisor: General), Arendt &amp; Medernach(Legal Advisor), Citadel Securities(Underwriter), EY(Accounting), Keystone Advisers(Advisor: General), Latham &amp; Watkins(Legal Advisor), Mannheimer Swartling(Legal Advisor), MCF Corporate Finance(Advisor: General), Morgan Lewis(Legal Advisor), Morgan Stanley(Advisor: General), Simpson Thacher &amp; Bartlett(Legal Advisor), Skadden, Arps, Slate, Meagher &amp; Flom(Legal Advisor), The Goldman Sachs Group(Advisor: General), Thompson &amp; Knight(Legal Advisor)</t>
  </si>
  <si>
    <t>84824-83</t>
  </si>
  <si>
    <t>Bombardier Transportation</t>
  </si>
  <si>
    <t>Bombardier Transportation Canada Inc.</t>
  </si>
  <si>
    <t>Provider of railway technology based in Berlin, Germany. The company digital technologies like driver assistance safety systems, alternative propulsion, predictive maintenance or high-performance signaling technology to increase safety efforts and improve overall service for passengers developing and deliver innovative mobility solutions that advance economic growth.</t>
  </si>
  <si>
    <t>Automation/Workflow Software, Business/Productivity Software, Rail*</t>
  </si>
  <si>
    <t>railway equipment, railway technical services, railway technology, railway technology service, urban rail transit</t>
  </si>
  <si>
    <t>rail.bombardier.com</t>
  </si>
  <si>
    <t>2016: 39700, 2020: 40650, 2021: 40650</t>
  </si>
  <si>
    <t>223157-62P</t>
  </si>
  <si>
    <t>Jim Vounassis</t>
  </si>
  <si>
    <t>jim.vounassis@bombardier.com</t>
  </si>
  <si>
    <t>+1 (450) 979-8700</t>
  </si>
  <si>
    <t>Eichhornstraße 3</t>
  </si>
  <si>
    <t>10785</t>
  </si>
  <si>
    <t>+49 (0)30 9860 70</t>
  </si>
  <si>
    <t>The company was acquired by Alstom (PAR: ALO) for EUR 7.6 billion on January 29, 2021.</t>
  </si>
  <si>
    <t>Bombardier, Caisse de dépôt et placement du Québec</t>
  </si>
  <si>
    <t>Bombardier(www.bombardier.com), Caisse de dépôt et placement du Québec(www.cdpq.com)</t>
  </si>
  <si>
    <t>Sterlington(Legal Advisor)</t>
  </si>
  <si>
    <t>Darrois Villey Maillot Brochier(Legal Advisor)</t>
  </si>
  <si>
    <t>43088-23</t>
  </si>
  <si>
    <t>Marathon Oil Canada</t>
  </si>
  <si>
    <t>Western</t>
  </si>
  <si>
    <t>Western Oil Sands Inc.</t>
  </si>
  <si>
    <t>Provider of oil sand mining services. The company's oil sand mining services include extraction of recoverable bitumen reserves for upgrading into synthetic crude oil.</t>
  </si>
  <si>
    <t>bitumen extraction, bitumen mining, mining services, oil sands company</t>
  </si>
  <si>
    <t>www.westernoilsands.com</t>
  </si>
  <si>
    <t>56651-14P</t>
  </si>
  <si>
    <t>David Dyck</t>
  </si>
  <si>
    <t>Vice President &amp; Chief Financial Officer</t>
  </si>
  <si>
    <t>+1 (403) 233-1707</t>
  </si>
  <si>
    <t>Suite 2400, Ernst &amp; Young Tower</t>
  </si>
  <si>
    <t>440 - 2nd Avenue South West</t>
  </si>
  <si>
    <t>T2P 5E9</t>
  </si>
  <si>
    <t>The company was acquired by Canadian Natural Resources (TSE: CNQ) and Shell (LON: RDSA) for CAD 11.1 billion on May 31, 2017. The company is no longer actively tracked by PitchBook.</t>
  </si>
  <si>
    <t>Canadian Natural Resources, Royal Dutch Shell</t>
  </si>
  <si>
    <t>Marathon Oil, NGP</t>
  </si>
  <si>
    <t>NGP(www.ngpenergycapital.com)</t>
  </si>
  <si>
    <t>MacLeod Dixon(Legal Advisor), Paul, Weiss, Rifkind, Wharton &amp; Garrison(Legal Advisor), TD Securities(Advisor: General), The Goldman Sachs Group(Advisor: General)</t>
  </si>
  <si>
    <t>57594-16</t>
  </si>
  <si>
    <t>Nets</t>
  </si>
  <si>
    <t>PBS Holding A/S</t>
  </si>
  <si>
    <t>Nets A/S</t>
  </si>
  <si>
    <t>Wirecard, Paysafe Group, Depopass, PagBrasil, Limonetik, Adyen, Stripe, ECOMMPAY, Square, Payzone Ireland, Mambu, Klarna, Rapyd, Payvision, Paymill, PAY.ON, Nuggets</t>
  </si>
  <si>
    <t>Nets A/S is a Denmark-based company that is engaged in providing payment services and related technology solutions across the Nordic region. The company has two business segments Merchant Services and Issuer &amp; eSecurity Services. Merchant Services provides in-store, online, and mobile payment acceptance solutions. Issuer and eSecurity Services provides processing services for issuers of payment cards and banks in Europe, as well as complementary services such as Consumer Management Services and Fraud and Dispute Services. Its geographical segments are Denmark, Finland, Norway, Sweden, Poland, and Baltics.</t>
  </si>
  <si>
    <t>Financial Software*, Other Financial Services, Specialized Finance</t>
  </si>
  <si>
    <t>automatic payment, complex digital payment, directing debiting, information services, payment service</t>
  </si>
  <si>
    <t>www.nets.eu</t>
  </si>
  <si>
    <t>2014: 2600, 2015: 2413, 2016: 2427, 2017: 2488, 2018: 2432, 2019: 2460, 2020: 2902, 2021: 4000</t>
  </si>
  <si>
    <t>Nexi</t>
  </si>
  <si>
    <t>News (New) , News (New) , News (New) , News (New) , News (New) , News (New) , News (New) , News (New) , News (New) , News (New) , News (New) , News (New) , News (New) , News (New) , News (New) , News (New) , News (New) , News (New) , News (New) , News (New) , News (New) , News (New) , News (New) , News (New) , News (New) , News (New)</t>
  </si>
  <si>
    <t>58210-03P</t>
  </si>
  <si>
    <t>Klaus Pedersen</t>
  </si>
  <si>
    <t>klaus.pedersen@nets.eu</t>
  </si>
  <si>
    <t>+45 4468 4468</t>
  </si>
  <si>
    <t>Ballerup, Denmark</t>
  </si>
  <si>
    <t>Klausdalsbrovej 601</t>
  </si>
  <si>
    <t>Ballerup</t>
  </si>
  <si>
    <t>2750</t>
  </si>
  <si>
    <t>Denmark</t>
  </si>
  <si>
    <t>The company was acquired by Nexi (MIL: NEXI) for $9.2 billion on July 1, 2021.</t>
  </si>
  <si>
    <t>Advent International, ATP Private Equity Partners, Bain Capital, Danmarks National Bank, Danske Bank, DNB Lithuania, DNB Private Equity, Fisher Lynch Capital, Government of Singapore Investment Corporation (GIC), HarbourVest Partners, Hellman &amp; Friedman, Nordea Bank, Sampo, SpareBank 1 Telemark, StepStone Group, The ATP Group, VIA equity</t>
  </si>
  <si>
    <t>Advent International(www.adventinternational.com), ATP Private Equity Partners(www.atp-pep.com), Bain Capital(www.baincapital.com), Danmarks National Bank(www.nationalbanken.dk), Danske Bank(danskebank.com), Fisher Lynch Capital(www.fisherlynch.com), Government of Singapore Investment Corporation (GIC)(www.gic.com.sg), HarbourVest Partners(www.harbourvest.com), Hellman &amp; Friedman(www.hf.com), Nordea Bank(www.nordea.com), Sampo(www.sampo.com), SpareBank 1 Telemark(www.sparebank1.no/nb/telemark), StepStone Group(www.stepstoneglobal.com), The ATP Group(www.atp.dk), VIA equity(www.viaequity.com)</t>
  </si>
  <si>
    <t>Aabø-Evensen &amp; Co Advokatfirma(Legal Advisor), Arctic Securities(Advisor: General), Erevena(Consulting), PA Consulting(Consulting), The Goldman Sachs Group(Advisor: General)</t>
  </si>
  <si>
    <t>BAHR(Legal Advisor), Bank of America Merrill Lynch(Advisor: General), Barclays(Debt Financing), Bech-Bruun(Legal Advisor), Carnegie Investment Bank(Underwriter), Danske Bank(Debt Financing), Davis Polk(Legal Advisor), Deutsche Bank(Advisor: General), Deutsche Bank Securities(Advisor: General), DNB Bank(Underwriter), Freshfields Bruckhaus Deringer(Legal Advisor), Gorrissen Federspiel(Legal Advisor), Horten(Legal Advisor), J.P. Morgan(Advisor: General), Lazard(Advisor: General), Lazard Middle Market(Advisor: General), Mizuho Bank(Debt Financing), Morgan Stanley(Advisor: General), Nomura Securities(Debt Financing), Nordea Bank(Debt Financing), Nykredit Mægler(Debt Financing), OP Financial Group(Underwriter), Pirola Pennuto Zei &amp; Associati(Legal Advisor), PwC(Accounting), Roschier(Legal Advisor), Skandinaviska Enskilda Banken(Underwriter), SpareBank 1 Markets(Underwriter), Sydbank(Underwriter), The ATP Group(Debt Financing), Tomorrow Partners(Advisor: General), Travers Smith(Legal Advisor), UBS Group(Advisor: General)</t>
  </si>
  <si>
    <t>11828-35</t>
  </si>
  <si>
    <t>Orbital ATK</t>
  </si>
  <si>
    <t>Alliant Techsystems, Inc.</t>
  </si>
  <si>
    <t>ATK</t>
  </si>
  <si>
    <t>Orbital ATK, Inc</t>
  </si>
  <si>
    <t>Thales Group, Airbus, General Dynamics Ordnance and Tactical Systems, Honeywell, Meggitt, L3 Technologies, Boeing, MDA, Korea Aerospace Industries, Rockwell Automation, Boeing Aerostructures Australia, Collins Aerospace, National Aerospace Laboratories, Saab, Rolls-Royce, Raytheon Technologies, Exelis, Airbus Group, L3 Electron Devices, Lockheed Martin, OHB, Pratt &amp; Whitney, IAP, Firefly Aerospace, FLIR Systems, Textron, L3 Harris Technologies, The Insitu Group, Raytheon, Triumph Group</t>
  </si>
  <si>
    <t>Developer and manufacturer of aerospace and defense-related products. The company designs, builds and delivers space, defense and aviation-related systems to customers around the world both as a prime contractor and as a merchant supplier.</t>
  </si>
  <si>
    <t>Aerospace and Defense*, Other Commercial Products</t>
  </si>
  <si>
    <t>Industrials, Manufacturing, Space Technology, TMT</t>
  </si>
  <si>
    <t>aerospace components, aviation-related systems, defense product, defense technology, military weapons, satellite system</t>
  </si>
  <si>
    <t>www.orbitalatk.com</t>
  </si>
  <si>
    <t>1990: 7600, 1992: 6700, 1993: 4500, 1994: 4900, 1995: 8200, 1996: 7700, 1997: 6800, 1998: 6550, 1999: 6110, 2000: 5860, 2001: 63471, 2002: 11600, 2003: 12000, 2004: 13100, 2005: 14000, 2006: 15200, 2007: 17000, 2008: 17000, 2009: 19000, 2010: 18000, 2011: 15000, 2012: 17000, 2013: 14000, 2014: 16000, 2015: 12300, 2016: 12700, 2017: 13900, 2018: 13000</t>
  </si>
  <si>
    <t>100412-20P</t>
  </si>
  <si>
    <t>Garrett Pierce</t>
  </si>
  <si>
    <t>garrett.pierce@orbitalatk.com</t>
  </si>
  <si>
    <t>Dulles, VA</t>
  </si>
  <si>
    <t>45101 Warp Drive</t>
  </si>
  <si>
    <t>Dulles</t>
  </si>
  <si>
    <t>20166</t>
  </si>
  <si>
    <t>The company was acquired by Northrop Grumman (NYSE: NOC) for $9.2 billion on June 6, 2018. The acquisition helped the acquirer to increase their NASA and military space business. The company is no longer actively tracked by PitchBook.</t>
  </si>
  <si>
    <t>Northrop Grumman</t>
  </si>
  <si>
    <t>Honeywell, New York City Public Pension Funds, New York State Teachers' Retirement System</t>
  </si>
  <si>
    <t>Honeywell(www.honeywell.com), New York City Public Pension Funds(www.comptroller.nyc.gov/services/financial-matters/pension/overview), New York State Teachers' Retirement System(www.nystrs.org)</t>
  </si>
  <si>
    <t>Raytheon(www.raytheon.com)</t>
  </si>
  <si>
    <t>Bank of America Merrill Lynch(Advisor: General), Current Capital Partners(Consulting), Decision Analytics(Advisor: General), EA Markets(Accounting), Landhouse Group(Consulting), Morris, Nichols, Arsht &amp; Tunnell(Legal Advisor), Tonex(Consulting)</t>
  </si>
  <si>
    <t>Citigroup(Advisor: General), Hogan Lovells(Legal Advisor), Shearman &amp; Sterling(Legal Advisor)</t>
  </si>
  <si>
    <t>63581-86</t>
  </si>
  <si>
    <t>MID Retail</t>
  </si>
  <si>
    <t>MID Retail, Inc.</t>
  </si>
  <si>
    <t>Provider of retail allocation and merchandise planning services. The company provides retail planning and allocation software to specialty chain retailers, mass merchants and department stores to boost sales, increase margins and reduce inventory costs by improving the performance and efficiency of their allocation and store replenishment planning and buying functions.</t>
  </si>
  <si>
    <t>Automation/Workflow Software, Business/Productivity Software, Other Commercial Products*</t>
  </si>
  <si>
    <t>allocation requirement, business software, demand planning</t>
  </si>
  <si>
    <t>www.midretail.com</t>
  </si>
  <si>
    <t>2014: 14</t>
  </si>
  <si>
    <t>603 East Washington Street</t>
  </si>
  <si>
    <t>46204</t>
  </si>
  <si>
    <t>The company was acquired by Logility, a subsidiary of American Software (NASDAQ: AMSWA) for $9185 Million on May 30, 2014. The company is no longer actively tracked by PitchBook.</t>
  </si>
  <si>
    <t>View Partners(Advisor: General)</t>
  </si>
  <si>
    <t>119330-11</t>
  </si>
  <si>
    <t>Alliance Healthcare</t>
  </si>
  <si>
    <t>UniChem, Alliance UniChem PLC, Alliance Boots, Alliance Sante group</t>
  </si>
  <si>
    <t>AHUK</t>
  </si>
  <si>
    <t>Alliance Unichem IP Limited</t>
  </si>
  <si>
    <t>Distributors and wholesalers of medical products in Chessington, United Kingdom. The company's services include clinical trials during product development and launch to patient support, marketing and the healthcare supply chain, their services are designed to boost customer satisfaction, optimize patient care and compliance, helping clients in fulfilling their duties as a healthcare provider and an entrepreneur.</t>
  </si>
  <si>
    <t>Distributors (Healthcare)</t>
  </si>
  <si>
    <t>Distributors (Healthcare)*</t>
  </si>
  <si>
    <t>healthcare industry service, healthcare services, medical product seller, medical products, pharma product, phrama product</t>
  </si>
  <si>
    <t>www.alliance-healthcare.co.uk</t>
  </si>
  <si>
    <t>AmerisourceBergen</t>
  </si>
  <si>
    <t>229283-74P</t>
  </si>
  <si>
    <t>Julian Mount</t>
  </si>
  <si>
    <t>julian.mount@alliance-healthcare.co.uk</t>
  </si>
  <si>
    <t>+44 (0)20 8391 2323</t>
  </si>
  <si>
    <t>Chessington, United Kingdom</t>
  </si>
  <si>
    <t>43 Cox Lane</t>
  </si>
  <si>
    <t>Chessington</t>
  </si>
  <si>
    <t>KT9 1SN</t>
  </si>
  <si>
    <t>information@alliance-healthcare.co.uk</t>
  </si>
  <si>
    <t>The company, a subsidiary of Walgreens Boots Alliance (NASDAQ: WBA), was acquired by AmerisourceBergen (NYS: ABC) for GBP 6.5 billion on June 2, 2021. The transaction enables AmerisourceBergen to expand in pharmaceutical distribution and manufacturer services</t>
  </si>
  <si>
    <t>Walgreens Boots Alliance(www.walgreensbootsalliance.com)</t>
  </si>
  <si>
    <t>CET(Advisor: General), La Fosse Associates(Consulting)</t>
  </si>
  <si>
    <t>264868-30</t>
  </si>
  <si>
    <t>CFJ G.K. (real estate mortgage loan portfolio)</t>
  </si>
  <si>
    <t>A portfolio of real estate mortgage loans.</t>
  </si>
  <si>
    <t>consumer mortgage loan, real estate mortgage loan</t>
  </si>
  <si>
    <t>Shinjuku East Square Square, Shinjuku 6 - chome</t>
  </si>
  <si>
    <t>Shinjuku 26 - 30 Shinjuku-ku</t>
  </si>
  <si>
    <t>160-8812</t>
  </si>
  <si>
    <t>The real estate mortgage loan portfolio of CFJ G.K. was acquired by Shinsei Financial (TYO: 8303) for JPY 9154 million on January 15, 2019. The asset is no longer actively tracked by PitchBook.</t>
  </si>
  <si>
    <t>Shinsei Financial</t>
  </si>
  <si>
    <t>CFJ G.K.</t>
  </si>
  <si>
    <t>CFJ G.K.(www.cfjgk.jp)</t>
  </si>
  <si>
    <t>41189-50</t>
  </si>
  <si>
    <t>Family Dollar Stores</t>
  </si>
  <si>
    <t>FDO, Family Dollar</t>
  </si>
  <si>
    <t>Family Dollar Stores, Inc.</t>
  </si>
  <si>
    <t>99 Cents Only Stores, Dollar General, Big Lots, Monoprix, True Value, Stage Stores, ALDI, Shopko Stores, Lidl, Fred's, Safeway, Dollar Tree</t>
  </si>
  <si>
    <t>Owner and operator of a chain of retail variety stores. The company's merchandise retail stores, enabling consumers to buy merchandise ranging from household cleaners to name brand foods, from health and beauty aids to toys and from apparel for every age to home fashions, at an affordable price.</t>
  </si>
  <si>
    <t>General Merchandise Stores*, Other Retail</t>
  </si>
  <si>
    <t>retail discount store, retail variety stores, variety stores</t>
  </si>
  <si>
    <t>www.familydollar.com</t>
  </si>
  <si>
    <t>1990: 11000, 1991: 11000, 1992: 14100, 1993: 14700, 1994: 14700, 1995: 14700, 1996: 20700, 1997: 22500, 1998: 26100, 1999: 28300, 2000: 31200, 2001: 36000, 2002: 39400, 2003: 37000, 2004: 39000, 2005: 42000, 2006: 44000, 2007: 44000, 2008: 44000, 2009: 47000, 2010: 50000, 2011: 52000, 2012: 55000, 2013: 58000, 2014: 60000, 2015: 60000</t>
  </si>
  <si>
    <t>Dollar Tree</t>
  </si>
  <si>
    <t>163268-65P</t>
  </si>
  <si>
    <t>Leon Levine</t>
  </si>
  <si>
    <t>leon.levine@familydollar.com</t>
  </si>
  <si>
    <t>+1 (866) 377-6420</t>
  </si>
  <si>
    <t>Post Office Box 1017</t>
  </si>
  <si>
    <t>28201</t>
  </si>
  <si>
    <t>investorrelations@familydollar.com</t>
  </si>
  <si>
    <t>The company was acquired by Dollar Tree (NAS: DLTR) for $9.123 billion on July 6, 2015.</t>
  </si>
  <si>
    <t>Elliott Management, Icahn Enterprises</t>
  </si>
  <si>
    <t>Dollar General</t>
  </si>
  <si>
    <t>Elliott Management(www.elliottmgmt.com), Icahn Enterprises(www.ielp.com)</t>
  </si>
  <si>
    <t>Dollar General(www.dollargeneral.com)</t>
  </si>
  <si>
    <t>Acumen Learning(Consulting), Consensus Advisory Services(Advisor: General), Texas Consilium(Consulting)</t>
  </si>
  <si>
    <t>Cleary Gottlieb(Legal Advisor), Morgan Stanley(Advisor: General), Morris, Nichols, Arsht &amp; Tunnell(Legal Advisor)</t>
  </si>
  <si>
    <t>11343-88</t>
  </si>
  <si>
    <t>Bankers Trust Company</t>
  </si>
  <si>
    <t>Banker Trust</t>
  </si>
  <si>
    <t>Deutsche Bank, U.S. Bancorp, BNY Mellon, Wells Fargo, Bank of America, First Hawaiian Bank, Capital One Financial, Truist, Northern Trust, Credit Suisse, Rothschild &amp; Co, Ally Financial, Commerzbank (Schweiz), SunTrust Bank, UBS Group, BBVA USA Bancshares, Bank OZK, First Nationwide Bank, Bank of Ireland, 1st Mariner Bank, Citigroup, FHB Jelzálogbank Nyrt, Royal Bank of Canada, NatWest Group</t>
  </si>
  <si>
    <t>Provider of investment banking services. The company is a financial institution for commercial and consumer banking services.</t>
  </si>
  <si>
    <t>Investment Banks*, National Banks, Regional Banks</t>
  </si>
  <si>
    <t>investment banking service, saving bank account</t>
  </si>
  <si>
    <t>www.bankerstrust.com</t>
  </si>
  <si>
    <t>1989: 13230, 1990: 13522, 1991: 12088, 1992: 12917, 1993: 13571, 1994: 14529, 1995: 14069, 1996: 15228, 1997: 18286, 1998: 20541, 1999: 7775, 2000: 6168, 2001: 5782</t>
  </si>
  <si>
    <t>40529-89P</t>
  </si>
  <si>
    <t>Kip Albertson</t>
  </si>
  <si>
    <t>Senior Vice President</t>
  </si>
  <si>
    <t>kalbertson@bankerstrust.com</t>
  </si>
  <si>
    <t>+1 (515) 245-2430</t>
  </si>
  <si>
    <t>Des Moines, IA</t>
  </si>
  <si>
    <t>453, 7th Street</t>
  </si>
  <si>
    <t>Des Moines</t>
  </si>
  <si>
    <t>Iowa</t>
  </si>
  <si>
    <t>50309</t>
  </si>
  <si>
    <t>+1 (800) 362-1688</t>
  </si>
  <si>
    <t>+1 (515) 245-2988</t>
  </si>
  <si>
    <t>The company was acquired by Deutsche Bank (NYSE: DB) for $9.1 billion on June 4, 1999. The company is no longer actively tracked by PitchBook.</t>
  </si>
  <si>
    <t>Deutsche Bank</t>
  </si>
  <si>
    <t>Brock Capital Group(Advisor: General), Davis Polk(Legal Advisor), Kepper, Tupper and Company(Advisor: General), LATINVEST Group Holdings(Advisor: General), Mann, Armistead &amp; Epperson(Advisor: General), Martínez, Algaba, de Haro y Curiel(Legal Advisor), Ryder Scott Company(Advisor: General), SC&amp;H Group(Advisor: General)</t>
  </si>
  <si>
    <t>Bankers Trust Company(Advisor: General), Cleary Gottlieb(Legal Advisor), Davis Polk(Legal Advisor), KPMG Peat Marwick(Auditor), Morgan Stanley(Advisor: General)</t>
  </si>
  <si>
    <t>51314-41</t>
  </si>
  <si>
    <t>Bay Networks</t>
  </si>
  <si>
    <t>Wellfleet Communications</t>
  </si>
  <si>
    <t>Bay Networks, Inc.</t>
  </si>
  <si>
    <t>OneLogin, SecureAuth, OverWatchID, Centrify, Charismathics</t>
  </si>
  <si>
    <t>Provider of data networking software and services. The comapny offers switches, intelligent hubs, multiprotocol routers, remote access and network management products for organizations building enterprise wide information internetworks.</t>
  </si>
  <si>
    <t>Communication Software, Network Management Software*, Other Communications and Networking</t>
  </si>
  <si>
    <t>data networking software, intelligent hubs, routers, switches</t>
  </si>
  <si>
    <t>www.baynetworks.com</t>
  </si>
  <si>
    <t>4401 Great America Parkway</t>
  </si>
  <si>
    <t>The company was acquired by Nortel Networks (NYSE: NT) for $9.1 billion on June 16, 1998. The company is no longer actively tracked by PitchBook.</t>
  </si>
  <si>
    <t>ABS Ventures, Menlo Ventures, New Enterprise Associates, Oak Investment Partners, Sigma Partners</t>
  </si>
  <si>
    <t>ABS Ventures(www.absventures.com), Menlo Ventures(www.menlovc.com), New Enterprise Associates(www.nea.com), Oak Investment Partners(www.oakinv.com), Sigma Partners(www.sigmapartners.com)</t>
  </si>
  <si>
    <t>Tonex(Consulting)</t>
  </si>
  <si>
    <t>41740-84</t>
  </si>
  <si>
    <t>Integrys Energy Group</t>
  </si>
  <si>
    <t>WPS Resources Corporation</t>
  </si>
  <si>
    <t>Integrys Energy Group, Inc.</t>
  </si>
  <si>
    <t>Operator of an energy holding company. The company provides natural gas and electricity distribution as well as transmission services.</t>
  </si>
  <si>
    <t>electricity distribution, energy investment, investment service</t>
  </si>
  <si>
    <t>1990: 2500, 1991: 2619, 1992: 2679, 1993: 2652, 1994: 2572, 1995: 2547, 1996: 2606, 1997: 2486, 1998: 2673, 1999: 2900, 2000: 3030, 2001: 2856, 2002: 2963, 2003: 3080, 2004: 3064, 2005: 2945, 2006: 3326, 2007: 5231, 2008: 5191, 2009: 5025, 2010: 4612, 2011: 4619, 2012: 4717, 2013: 4888, 2014: 4575</t>
  </si>
  <si>
    <t>139692-52P</t>
  </si>
  <si>
    <t>Drew Diggins</t>
  </si>
  <si>
    <t>Vice President, Product Development Engineering</t>
  </si>
  <si>
    <t>200 East Randolph Street</t>
  </si>
  <si>
    <t>The company (NYSE: TEG) was acquired by Wisconsin Energy (NYSE: WEC) for $9.1 billion on June 29, 2015. The company is no longer actively tracked by PitchBook.</t>
  </si>
  <si>
    <t>WEC Energy Group</t>
  </si>
  <si>
    <t>Cravath, Swaine &amp; Moore(Legal Advisor), Dorsey &amp; Whitney(Legal Advisor), Foley &amp; Lardner(Legal Advisor), Lazard Middle Market(Advisor: General)</t>
  </si>
  <si>
    <t>10622-80</t>
  </si>
  <si>
    <t>VCA</t>
  </si>
  <si>
    <t>Veterinary Centers of America</t>
  </si>
  <si>
    <t>VCA, Inc.</t>
  </si>
  <si>
    <t>Operator of an animal well-being holding company. The company through its subsidiaries offers services in the domain of animal healthcare and support.</t>
  </si>
  <si>
    <t>Holding Companies*, Other Services (B2C Non-Financial)</t>
  </si>
  <si>
    <t>animal healthcare, digital radiography, pet care, pet wellness, ultrasound, veterinary, veterinary diagnostic laboratory</t>
  </si>
  <si>
    <t>www.vca.com</t>
  </si>
  <si>
    <t>1991: 257, 1992: 350, 1993: 410, 1994: 750, 1995: 1150, 1996: 2400, 1997: 2178, 1998: 3036, 1999: 3465, 2001: 3480, 2002: 3600, 2003: 4800, 2004: 6250, 2005: 7500, 2006: 8000, 2007: 8600, 2008: 9000, 2009: 8500, 2010: 9400, 2011: 9900, 2012: 10500, 2013: 11100, 2014: 11500, 2015: 12700, 2016: 14700, 2017: 23000, 2019: 30000</t>
  </si>
  <si>
    <t>Mars</t>
  </si>
  <si>
    <t>32569-84P</t>
  </si>
  <si>
    <t>Tomas Fuller</t>
  </si>
  <si>
    <t>Chief Financial Officer, Vice President and Secretary</t>
  </si>
  <si>
    <t>tom.fuller@vca.com</t>
  </si>
  <si>
    <t>+1 (310) 571-6505</t>
  </si>
  <si>
    <t>Los Angeles, CA</t>
  </si>
  <si>
    <t>12401 West Olympic Boulevard</t>
  </si>
  <si>
    <t>Los Angeles</t>
  </si>
  <si>
    <t>90064</t>
  </si>
  <si>
    <t>+1 (310) 571-6500</t>
  </si>
  <si>
    <t>+1 (310) 571-6700</t>
  </si>
  <si>
    <t>The company was acquired by Mars for $9.1 billion on September 12, 2017. This acquisition is a significant step forward for the acquirer to provide quality care and health services for thousands of more pets.</t>
  </si>
  <si>
    <t>Annex Capital, Caisse de dépôt et placement du Québec, California Public Employees Retirement System, Crescent Capital Group, Federated Hermes, Goldman Sachs Merchant Banking Division, Leonard Green &amp; Partners, Northwestern Mutual, Olympus Partners, Procific</t>
  </si>
  <si>
    <t>Annex Capital(www.annexcapital.com), Caisse de dépôt et placement du Québec(www.cdpq.com), California Public Employees Retirement System(www.calpers.ca.gov), Crescent Capital Group(www.crescentcap.com), Federated Hermes(www.federatedinvestors.com), Leonard Green &amp; Partners(www.leonardgreen.com), Northwestern Mutual(www.northwesternmutual.com), Olympus Partners(www.olympuspartners.com)</t>
  </si>
  <si>
    <t>Akin Gump Strauss Hauer &amp; Feld(Legal Advisor), Andersen Global(Accounting), Bank of America Merrill Lynch(Underwriter), Barclays Bank UK(Advisor: General), Borden Ladner Gervais(Legal Advisor), CIBC Capital Markets(Underwriter), Credit Suisse(Underwriter), Crescent Capital Group(Debt Financing), Deutsche Bank Securities(Underwriter), Donaldson, Lufkin &amp; Jenrette(Advisor: General), Houlihan Lokey(Advisor: General), Janney(Underwriter), Jefferies Financial Group(Advisor: General), KeyBank(Underwriter), KPMG(Accounting), Latham &amp; Watkins(Legal Advisor), Morgan Stanley(Advisor: General), Potter Anderson &amp; Corroon(Legal Advisor), Raymond James Financial(Advisor: General), Salomon Brothers(Lead Manager or Arranger), Stifel Financial(Underwriter), The Chapman Company(Underwriter), The Goldman Sachs Group(Debt Financing), Thomas Weisel Partners(Underwriter), Troop Meisinger Steuber &amp; Pasich(Legal Advisor), U.S. Bancorp(Underwriter), Wells Fargo(Underwriter)</t>
  </si>
  <si>
    <t>41516-47</t>
  </si>
  <si>
    <t>Oracle NetSuite</t>
  </si>
  <si>
    <t>Netledger, NetSuite</t>
  </si>
  <si>
    <t>NetSuite Oracle</t>
  </si>
  <si>
    <t>Oracle NetSuite Inc.</t>
  </si>
  <si>
    <t>Nubeliu, Exact Software, The Access Group, Unit4, Epicor Software, Buurst, Planful, Infor Global Solutions, Zoho Corporation, Kenandy, Determine, Workday, ECi Software Solutions, Anaplan, IQMS, xTuple, Workbooks.com, SAP, Pegasystems, Cherwell Software, Geezeo, Jaggaer, Tally Solutions, Ramco Systems, PS Financials, Paylocity, Aptean, Nutanix, Commence, Orchestra Software (Portland), The Sage Group (Business/Productivity Software), NortonLifeLock, Jazva, Onestream Software, Camelot 3PL Software, SouthWare Innovations, Industrial &amp; Financial Systems, Looker, Genpact, Acumatica, Siigo, Replicon (Systems and Information Management), Bitrix24, NephoScale, Adaptive Insights, Tidemark, Google Cloud Platform, SnapFulfil, Plex Systems, Digital River, Bizagi, Proactis, Brightpearl, Centage, VMware, BMC Software, SAP Hybris, Envestnet Yodlee, Advanced Computer Software Group, Odoo, K2, Henning Industrial Software, Nasuni, MIE Solutions, 3PL Central, Salesforce.com, Paycom Software, FreshBooks, Stitch Labs, Wave Financial, Digital Ware, Unleashed Software, NaoLogic, FinancialForce, Linnworks, Global Shop Solutions, Ultimate Kronos Group, Godlan, The Ceridian (UK and Ireland unit), Cornerstone OnDemand, ProcessPro Software, Integrated International Payroll, Aconex, Sage Intacct, Teamleader, Ceridian HCM, Shoptech Industrial Software, Solver, BlackLine, iTracker, Lattice Engines, Xero, Apprise Software, Openbravo, Appian, QuickBooks Commerce, NGA Human Resources, CA Technologies, Talemetry, P&amp;I Personal &amp; Informatik, GudTech, FreeAgent, Platform9, American Software, Jibe, Zing (Austin), CTERA, Kashoo Cloud Accounting, Oracle, LogFire, Logiwa, Kony, iCIMS, CommVault Systems, Leadspace, SugarCRM, Hosting.com, AppDirect, Canonical, Megaventory, Reviewsnap, Get Me A Shop, Propertyware, OutSystems, Monaeo, Tanium, Market6, HubSpot, CareerPlug, BambooHR, BetterWorks, Aviso AI, Veeqo, FieldiD, Zenefits</t>
  </si>
  <si>
    <t>Developer of cloud business software suite serving startups and enterprises. The company's cloud business software suite offers enterprise resource management, accounting, business management, customer relationship management, business intelligence, order management, production management, supply chain management and warehouse management, thereby enabling companies to manage all key business processes in a single system along with real-time analytics in the user interface.</t>
  </si>
  <si>
    <t>Business/Productivity Software*, Database Software, Financial Software, Systems and Information Management</t>
  </si>
  <si>
    <t>E-Commerce, FinTech, TMT</t>
  </si>
  <si>
    <t>accounting software, business intelligence, cloud business software, cloud computing, customer relationship management, production management</t>
  </si>
  <si>
    <t>www.netsuite.com</t>
  </si>
  <si>
    <t>2005: 603, 2006: 495, 2007: 675, 2008: 971, 2009: 975, 2010: 1084, 2011: 1265, 2012: 1778, 2013: 2434, 2014: 3357, 2015: 4603, 2016: 5350, 2020: 10000, 2021: 18970</t>
  </si>
  <si>
    <t>33092-74P</t>
  </si>
  <si>
    <t>Rahul Puri</t>
  </si>
  <si>
    <t>Global Private Equity Practice Leader</t>
  </si>
  <si>
    <t>rpuri@netsuite.com</t>
  </si>
  <si>
    <t>+1 (646) 346-3939</t>
  </si>
  <si>
    <t>2300 Oracle Way</t>
  </si>
  <si>
    <t>78741</t>
  </si>
  <si>
    <t>+1 (877) 638-7848</t>
  </si>
  <si>
    <t>info@netsuite.com</t>
  </si>
  <si>
    <t>The company (NYSE: N) was acquired by Oracle (NYSE: ORCL) for approximately USD 9.08 billion on November 7, 2016. The acquisition expands Oracle's cloud ERP offerings and related cloud SaaS offerings.</t>
  </si>
  <si>
    <t>Cross Atlantic Capital Partners, Lawrence Ellison, Meritech Capital Partners, StarVest Partners, T. Rowe Price, Tako Ventures</t>
  </si>
  <si>
    <t>Cross Atlantic Capital Partners(www.xacp.com), Meritech Capital Partners(www.meritechcapital.com), StarVest Partners(www.starvestpartners.com), T. Rowe Price(www.troweprice.com)</t>
  </si>
  <si>
    <t>Bridgepoint Consulting(Consulting), Calibre One(Consulting), Coit Group(Consulting), ScaleFactor(Accounting)</t>
  </si>
  <si>
    <t>Credit Suisse(Underwriter), ETrade Securities(Underwriter), JMP Securities(Underwriter), KPMG(Auditor), Qatalyst Partners(Advisor: General), Reitler Kailas &amp; Rosenblatt(Legal Advisor), Wilson Sonsini Goodrich &amp; Rosati(Legal Advisor), WR Hambrecht + Co.(Underwriter)</t>
  </si>
  <si>
    <t>10797-04</t>
  </si>
  <si>
    <t>Scania</t>
  </si>
  <si>
    <t>Scania AB</t>
  </si>
  <si>
    <t>Crane Carrier Company, Volvo Group, Kubota, NFI Group, Astec Industries, MAN Truck &amp; Bus, Eicher Motors, Hitachi Construction Machinery, Iveco, Caterpillar, Vicinity Motor Corp</t>
  </si>
  <si>
    <t>Scania is a global company, offering sales and services. The company is a manufacturer of heavy industrial trucks and buses. It provides trucks for long-haulage, distribution, construction and special-purpose applications and buses and coaches for public transport operators and coach companies and engines for industrial, marine and power generation applications. It also makes industrial and marine engines for boats, electrical generators, earthmoving machines and harvesters. It was founded in 1891 and is headquartered in Södertälje, Sweden. The company seeks to expand its business operations through mergers and acquisitions.</t>
  </si>
  <si>
    <t>Road</t>
  </si>
  <si>
    <t>Machinery (B2B), Other Commercial Products, Road*</t>
  </si>
  <si>
    <t>bus, public transport</t>
  </si>
  <si>
    <t>www.scania.com</t>
  </si>
  <si>
    <t>2008: 34777, 2009: 32330, 2010: 35514, 2011: 37733, 2012: 38597, 2013: 40953, 2014: 42129, 2015: 44409, 2016: 45000, 2017: 46000, 2018: 49300, 2019: 52100, 2020: 52100, 2021: 50000</t>
  </si>
  <si>
    <t>Volkswagen</t>
  </si>
  <si>
    <t>155991-61P</t>
  </si>
  <si>
    <t>Lars-Olof Gustavsson</t>
  </si>
  <si>
    <t>+46 (0)8 553 810 00</t>
  </si>
  <si>
    <t>Södertälje, Sweden</t>
  </si>
  <si>
    <t>Vagnmakarvägen 1</t>
  </si>
  <si>
    <t>Södertälje</t>
  </si>
  <si>
    <t>151 87</t>
  </si>
  <si>
    <t>+46 (0)855 38 10 37</t>
  </si>
  <si>
    <t>A 37.4% stake in the company was sold to Volkswagen for SEK 59.8 billion on June 12, 2014.</t>
  </si>
  <si>
    <t>Investor, Knut and Alice Wallenberg Foundation, Porsche Automobil Holding</t>
  </si>
  <si>
    <t>Investor(www.investorab.com), Knut and Alice Wallenberg Foundation(kaw.wallenberg.org), Porsche Automobil Holding(www.porsche-se.com)</t>
  </si>
  <si>
    <t>Advize (Financial Markets Advisory)(Advisor: General), Bryan Cave Leighton Paisner (Russia)(Legal Advisor), Business Sweden(Consulting), Hammarskiöld &amp; Co(Legal Advisor), InterChina Consulting(Advisor: General), Nordic Investment Bank(Debt Financing)</t>
  </si>
  <si>
    <t>Aktiespararnas Service(Advisor: General), Davis Polk(Legal Advisor), Deutsche Bank Securities(Advisor: General), Hammarskiöld &amp; Co(Legal Advisor), Mannheimer Swartling(Legal Advisor), Morgan Stanley(Advisor: General), Nordea Markets(Advisor: General), UBS Group(Advisor: General)</t>
  </si>
  <si>
    <t>25351-03</t>
  </si>
  <si>
    <t>Cinergy</t>
  </si>
  <si>
    <t>Cinergy Corp.</t>
  </si>
  <si>
    <t>Cinergy Corporation was a provider of energy distribution services. The company used to produce, transmit, sell and transport electric energy and natural gas. Cinergy operates in the United States. On April 3, 2006 the firm was acquired by Cinergy.</t>
  </si>
  <si>
    <t>Multi-Utilities</t>
  </si>
  <si>
    <t>Electric Utilities, Gas Utilities, Multi-Utilities*</t>
  </si>
  <si>
    <t>electric grid, electricity firm, fuel energy, gas pipeline, gas tank</t>
  </si>
  <si>
    <t>1989: 5000, 1990: 5000, 1991: 5400, 1992: 5400, 1993: 4900, 1994: 8868, 1995: 8602, 1996: 7973, 1997: 7609, 1998: 8794, 1999: 8794, 2000: 8362, 2001: 8769, 2002: 7823, 2003: 7693, 2004: 7842, 2005: 7275</t>
  </si>
  <si>
    <t>Cincinnati, OH</t>
  </si>
  <si>
    <t>139 East Fourth Street</t>
  </si>
  <si>
    <t>Cincinnati</t>
  </si>
  <si>
    <t>45202</t>
  </si>
  <si>
    <t>The company was acquired by Duke Energy (NYS: DUK) for $9 billion on April 3, 2006. As a result of this acquisition, Duke Energy will be able to increase its efficiency and cost saving opportunities. The company is no longer actively tracked by PitchBook.</t>
  </si>
  <si>
    <t>Moriah Capital(Debt Financing)</t>
  </si>
  <si>
    <t>99503-47</t>
  </si>
  <si>
    <t>IDEAL Technology</t>
  </si>
  <si>
    <t>IDEAL</t>
  </si>
  <si>
    <t>IDEAL Technology Corp.</t>
  </si>
  <si>
    <t>Manufacturer of automated systems. The company specializes in The System for TRIaging Key Evidence which is a digital media exploitation kit for Defense, Federal and Intelligence Community organizations.</t>
  </si>
  <si>
    <t>Other Commercial Products*, Security Services (B2B)</t>
  </si>
  <si>
    <t>analysis product, automated system, cyber security, data exploitation, strike</t>
  </si>
  <si>
    <t>www.idealcorp.com</t>
  </si>
  <si>
    <t>Keyw</t>
  </si>
  <si>
    <t>84816-82P</t>
  </si>
  <si>
    <t>Anthony Awtrey</t>
  </si>
  <si>
    <t>Chief Technology Officer</t>
  </si>
  <si>
    <t>aawtrey@idealcorp.com</t>
  </si>
  <si>
    <t>+1 (407) 999-9870</t>
  </si>
  <si>
    <t>Orlando, FL</t>
  </si>
  <si>
    <t>12633 Challenger Parkway</t>
  </si>
  <si>
    <t>Suite 270</t>
  </si>
  <si>
    <t>Orlando</t>
  </si>
  <si>
    <t>32826</t>
  </si>
  <si>
    <t>+1 (407) 999-9850</t>
  </si>
  <si>
    <t>info@idealcorp.com</t>
  </si>
  <si>
    <t>The company was acquired by KEYW (NASDAQ: KEYW) for $9 billion on January 31, 2013. The company is no longer actively tracked by PitchBook.</t>
  </si>
  <si>
    <t>Buchanan Ingersoll &amp; Rooney(Legal Advisor)</t>
  </si>
  <si>
    <t>52274-26</t>
  </si>
  <si>
    <t>ING Direct USA</t>
  </si>
  <si>
    <t>Commerzbank (Schweiz), VakifBank, Fibabanka, HSBC Holdings, Credit Agricole, Commerzbank, Mediobanca, Banco BPM</t>
  </si>
  <si>
    <t>Provider of commercial banking services. The company provides personal and business savings accounts, investment and retirement accounts, mortgages, certificates of deposit, and home loans; and phone based retail banking services.</t>
  </si>
  <si>
    <t>commercial bank, mortgage, retail banking, saving account</t>
  </si>
  <si>
    <t>home.ingdirect.com</t>
  </si>
  <si>
    <t>ING Group</t>
  </si>
  <si>
    <t>Wilmington, DE</t>
  </si>
  <si>
    <t>802 Delaware Avenue</t>
  </si>
  <si>
    <t>Delaware</t>
  </si>
  <si>
    <t>19801</t>
  </si>
  <si>
    <t>+1 (302) 255-3750</t>
  </si>
  <si>
    <t>The company was acquired by Capital One Financial (NYSE:COF) for $9 billion on June 16, 2011. The company is no longer actively tracked by PitchBook.</t>
  </si>
  <si>
    <t>General Electric, Kohlberg Kravis Roberts</t>
  </si>
  <si>
    <t>ING Group(www.ing.com)</t>
  </si>
  <si>
    <t>General Electric(www.ge.com), Kohlberg Kravis Roberts(www.kkr.com)</t>
  </si>
  <si>
    <t>DST Kasina(Advisor: General), Venable(Legal Advisor)</t>
  </si>
  <si>
    <t>Deutsche Bank(Advisor: General), Morrison &amp; Foerster(Legal Advisor), Sullivan &amp; Cromwell(Legal Advisor)</t>
  </si>
  <si>
    <t>90710-38</t>
  </si>
  <si>
    <t>Innovene</t>
  </si>
  <si>
    <t>Innovene Inc.</t>
  </si>
  <si>
    <t>Provider of petrochemical and polymer services. The company produces acrylonitrile, alpha olefins, styrenics and solvents. It also offers refining of petrochemicals.</t>
  </si>
  <si>
    <t>Energy Production*, Energy Refining</t>
  </si>
  <si>
    <t>oil refining, polymer dies, styrene-acrylonitrile</t>
  </si>
  <si>
    <t>www.innovene.com</t>
  </si>
  <si>
    <t>2005: 8000</t>
  </si>
  <si>
    <t>145516-15P</t>
  </si>
  <si>
    <t>Ralph Alexander</t>
  </si>
  <si>
    <t>The company was acquired by Ineos for $9 billion on December 16, 2005. The purchase of the Innovene business for $9bn fits well with the INEOS strategy to create a petrochemical company that has the scale to compete globally, supported by a sustainable cost base. The company is no longer actively tracked by PitchBook.</t>
  </si>
  <si>
    <t>INEOS Group</t>
  </si>
  <si>
    <t>BP(bp.com)</t>
  </si>
  <si>
    <t>442708-12</t>
  </si>
  <si>
    <t>Intel (NAND Memory Unit)</t>
  </si>
  <si>
    <t>Manufacturer of flash memory chips intended to be used in portable storage devices like smartphones, tablets and solid-state drives. The business division offers memory chips and storage units to datacenter customers.</t>
  </si>
  <si>
    <t>Application Specific Semiconductors*</t>
  </si>
  <si>
    <t>datacenters, drivers, memory chips, mobile phones, portable</t>
  </si>
  <si>
    <t>2200 Mission College Boulevard</t>
  </si>
  <si>
    <t>95054-1549</t>
  </si>
  <si>
    <t>Intel enters into definitive agreement to sell NAND storage unit to SK Hynix for $9 Billion on October 19, 2020. The business unit is being actively tracked by PitchBook.</t>
  </si>
  <si>
    <t>SK Hynix</t>
  </si>
  <si>
    <t>Intel(www.intel.com)</t>
  </si>
  <si>
    <t>SK Hynix(www.skhynix.com)</t>
  </si>
  <si>
    <t>12036-25</t>
  </si>
  <si>
    <t>Sikorsky Aircraft</t>
  </si>
  <si>
    <t>Sikorsky</t>
  </si>
  <si>
    <t>Sikorsky Aircraft Corporation</t>
  </si>
  <si>
    <t>MD Helicopters, Enstrom Helicopter</t>
  </si>
  <si>
    <t>Manufacturer of military and commercial helicopters. The company provides reconnaissance fixed wing aircraft, transport helicopter, commercial helicopters, UAC TurboTrain.</t>
  </si>
  <si>
    <t>air overhaul, air repair, air spare, fighter helicopter, wing aircraft</t>
  </si>
  <si>
    <t>www.sikorsky.com</t>
  </si>
  <si>
    <t>2015: 17000</t>
  </si>
  <si>
    <t>29835-46P</t>
  </si>
  <si>
    <t>Johan Mattsson</t>
  </si>
  <si>
    <t>Senior Attorney</t>
  </si>
  <si>
    <t>Stratford, CT</t>
  </si>
  <si>
    <t>6900 Main Street</t>
  </si>
  <si>
    <t>P.O. Box 9729</t>
  </si>
  <si>
    <t>Stratford</t>
  </si>
  <si>
    <t>06615</t>
  </si>
  <si>
    <t>The company was acquired by Lockheed Martin (NYSE: LMT) for $9 billion on November 6, 2015. The company is no longer actively tracked by PitchBook.</t>
  </si>
  <si>
    <t>Lockheed Martin</t>
  </si>
  <si>
    <t>Raytheon Technologies(www.rtx.com)</t>
  </si>
  <si>
    <t>Bartlit Beck(Legal Advisor), Gunster(Legal Advisor), Joele Frank(Advisor: Communications), Tucker Ellis(Legal Advisor)</t>
  </si>
  <si>
    <t>111038-77</t>
  </si>
  <si>
    <t>The Main Street America Group</t>
  </si>
  <si>
    <t>MSA</t>
  </si>
  <si>
    <t>Provider of insurance products and services through independent agents. The company provides independent agent with property and casualty insurance, surety bonds and reinsurance products and services for individuals, families and small businesses.</t>
  </si>
  <si>
    <t>Other Insurance, Property and Casualty Insurance*, Re-Insurance</t>
  </si>
  <si>
    <t>casualty insurance, insurance product, personal auto insurance, reinsurance, surety bonds</t>
  </si>
  <si>
    <t>www.msagroup.com</t>
  </si>
  <si>
    <t>2017: 900, 2018: 900</t>
  </si>
  <si>
    <t>185041-54P</t>
  </si>
  <si>
    <t>Amy Frederick</t>
  </si>
  <si>
    <t>Chief Information Officer &amp; Vice President</t>
  </si>
  <si>
    <t>fredericka@msagroup.com</t>
  </si>
  <si>
    <t>+1 (877) 425-2467</t>
  </si>
  <si>
    <t>Jacksonville, FL</t>
  </si>
  <si>
    <t>4601 Touchton Road East</t>
  </si>
  <si>
    <t>Suite 3400</t>
  </si>
  <si>
    <t>Jacksonville</t>
  </si>
  <si>
    <t>32246</t>
  </si>
  <si>
    <t>The company was acquired by American Family Insurance, a subsidiary of American Family Mutual Insurance Company for 9 billion on October 31, 2018.</t>
  </si>
  <si>
    <t>American Family Mutual Insurance Company</t>
  </si>
  <si>
    <t>Fraleigh &amp; Rakow(Advisor: General)</t>
  </si>
  <si>
    <t>Greenberg Traurig(Legal Advisor), Keefe, Bruyette &amp; Woods(Advisor: General), Stifel Financial(Advisor: General)</t>
  </si>
  <si>
    <t>109125-82</t>
  </si>
  <si>
    <t>GE Transportation Finance</t>
  </si>
  <si>
    <t>GE Transportation Finance, Inc.</t>
  </si>
  <si>
    <t>Provider of transportation finance. The company offers secured loans for new or used commercial vehicles, fair market value leases, terminal rental adjustment clause leases and inventory finance.</t>
  </si>
  <si>
    <t>Specialized Finance*</t>
  </si>
  <si>
    <t>commercial finance, fleet vehicles lending, partnership financing</t>
  </si>
  <si>
    <t>www.gecapitaltransportationfinance.com</t>
  </si>
  <si>
    <t>2015: 600</t>
  </si>
  <si>
    <t>Norwalk, CT</t>
  </si>
  <si>
    <t>901 Main Avenue</t>
  </si>
  <si>
    <t>Norwalk</t>
  </si>
  <si>
    <t>06851</t>
  </si>
  <si>
    <t>The company was acquired by BMO Harris Bank for $8.9 billion on December 1, 2015. The company is no longer actively tracked by PitchBook.</t>
  </si>
  <si>
    <t>BMO Harris Bank</t>
  </si>
  <si>
    <t>12661-12</t>
  </si>
  <si>
    <t>Valspar</t>
  </si>
  <si>
    <t>Paint and Color</t>
  </si>
  <si>
    <t>The Valspar Corporation</t>
  </si>
  <si>
    <t>Evonik Jayhawk Fine Chemicals Corporation, Fabryo Corporation, RPM International, COSCO Kansai Paint Chemical, Benjamin Moore, PPG Industries, Kelly Moore Paints, Ellis Paint, Cabot, Sika Group, Chemetall, Helios (Industrial Supplies and Parts)</t>
  </si>
  <si>
    <t>Manufacturer and distributor of paints and coatings. The company provides metal coatings, wood coatings, glass coatings, resins, polymers which are used in a variety of applications including automotive, general metals, consumer packaging, wood and it also offers paints and stains to consumers and professional painters under recognized global brands.</t>
  </si>
  <si>
    <t>Industrial Chemicals*, Specialty Chemicals</t>
  </si>
  <si>
    <t>paints, paints distribution</t>
  </si>
  <si>
    <t>www.valspar.com</t>
  </si>
  <si>
    <t>1990: 2500, 1991: 2500, 1992: 2480, 1993: 2513, 1994: 2521, 1995: 2500, 1996: 2800, 1997: 3200, 1998: 3800, 1999: 4500, 2000: 6500, 2001: 6750, 2002: 7000, 2003: 7000, 2004: 7500, 2005: 7540, 2006: 9556, 2007: 10000, 2008: 9400, 2009: 8800, 2010: 10180, 2011: 10000, 2012: 9800, 2013: 10700, 2014: 10500, 2015: 11100, 2016: 11100, 2017: 11000</t>
  </si>
  <si>
    <t>The Sherwin-Williams</t>
  </si>
  <si>
    <t>59783-41P</t>
  </si>
  <si>
    <t>John Morikis</t>
  </si>
  <si>
    <t>+1 (216) 566-2000</t>
  </si>
  <si>
    <t>PO Box 1461</t>
  </si>
  <si>
    <t>+1 (800) 845-2500</t>
  </si>
  <si>
    <t>info@valspar.com</t>
  </si>
  <si>
    <t>The company (NYSE: VAL) was acquired by The Sherwin-Williams Company (NYSE: SHW) for $8.9 billion on June 1, 2017. The acquisition of Valspar accelerates Sherwin-Williams' global growth strategy and creates the global leader in paints and coatings. The company's share will no longer be traded on NYSE exchange.</t>
  </si>
  <si>
    <t>Highland Capital Management, Jasper Ridge Partners</t>
  </si>
  <si>
    <t>Highland Capital Management(www.highlandcapital.com), Jasper Ridge Partners(www.jasperridge.com)</t>
  </si>
  <si>
    <t>CHEMARK Consulting Group(Consulting)</t>
  </si>
  <si>
    <t>Bank of America Merrill Lynch(Advisor: General), Citigroup Global Markets(Advisor: General), Stikeman Elliott(Legal Advisor), The Goldman Sachs Group(Advisor: General), Wachtell, Lipton, Rosen &amp; Katz(Legal Advisor)</t>
  </si>
  <si>
    <t>117303-40</t>
  </si>
  <si>
    <t>Lamborghini</t>
  </si>
  <si>
    <t>Automobili Ferruccio Lamborghini</t>
  </si>
  <si>
    <t>Automobili Lamborghini S.p.A.</t>
  </si>
  <si>
    <t>Morgan Motor Company, Bentley Motors, Volvo Car, Jaguar Land Rover Automotive, Lincoln Motor, Volkswagen, Caterham Cars, Baltic Motors, Mclaren Automotive, General Motors, Mercedes Benz, Likes Land Rover, Pagani Automobili, Ford Otomotiv Sanayi, Ruf Automotive Group, Amersham Jaguar, Proton Holdings, Mazda Motor, Koenigsegg Automotive, Bugatti Automobiles, Peugeot Hungaria, Opel Automobile, Ripon Land Rover, Hyundai Motor, BYD Company, Armstrong Massey Landrover York, Chevrolet, SAIC Motor Corporation, Ford Australia, Huray Automobiles, Opel Automobile Ireland, Tata Motors, BMW Group, Peugeot Slovakia, Ferrari, Rimac Automobili, Faraday Future, Kia Motors, Opel Norge, The Doncaster Jaguar, Williams Jaguar Manchester, Bankston Dodge of Irving, Aston Martin, Porsche, Group Lotus</t>
  </si>
  <si>
    <t>Manufacturer of luxury vehicles committed to United Nations sustainable goals. The company's vehicles include sports cars, utility vehicles and commercial vehicles.</t>
  </si>
  <si>
    <t>automobile manufacturer, luxury cars manufacturer, luxury vehicle, luxury vehicle manufacturer, sports car design, sports car manufacturer</t>
  </si>
  <si>
    <t>www.lamborghini.com</t>
  </si>
  <si>
    <t>2011: 831, 2020: 1800, 2021: 1800</t>
  </si>
  <si>
    <t>Audi</t>
  </si>
  <si>
    <t>173194-30P</t>
  </si>
  <si>
    <t>Paolo Poma</t>
  </si>
  <si>
    <t>Chief Financial Officer &amp; Managing Director</t>
  </si>
  <si>
    <t>paolo.poma@lamborghini.com</t>
  </si>
  <si>
    <t>+39 05 1959 7611</t>
  </si>
  <si>
    <t>Bologna, Italy</t>
  </si>
  <si>
    <t>Via Modena, 12</t>
  </si>
  <si>
    <t>Bologna</t>
  </si>
  <si>
    <t>40019</t>
  </si>
  <si>
    <t>The company, a subsidiary of Audi (LTS: 0FG8), is in talks to be acquired by Quantum Group AG for EUR 7.5 billion on May 25, 2021. Previously, the company, a subsidiary of Mycom Setdco, was acquired by Audi (LTS: 0FG8), a subsidiary of Volkswagen (ETR: VOW3), for $110 million on July 27, 1998. The company is being actively tracked by PitchBook.</t>
  </si>
  <si>
    <t>FCA US, Mycom Setdco, V'Power</t>
  </si>
  <si>
    <t>Audi(www.audi.com)</t>
  </si>
  <si>
    <t>FCA US(www.fcanorthamerica.com)</t>
  </si>
  <si>
    <t>Intercontinental Beverage Capital(Advisor: General), Lenovys(Consulting), Matter Communications(Advisor: General)</t>
  </si>
  <si>
    <t>153824-86</t>
  </si>
  <si>
    <t>EDF Energy (regulated and non-regulated electricity network activities)</t>
  </si>
  <si>
    <t>Distributor of electricity. The company engages in the distribution of electricity in in south and east England.</t>
  </si>
  <si>
    <t>electricity distributor, electricity grid, electricity plant</t>
  </si>
  <si>
    <t>The UK electricity distribution business of EDF Energy was acquired by Cheung Kong Infrastructure Holdings (HKG: 01038) and Power Assets Holdings (HKG: 00006) for GBP 5.8 billion on July 30, 2010. The company is no longer actively tracked by PitchBook.</t>
  </si>
  <si>
    <t>CK Infrastructure Holdings, Power Assets Holdings</t>
  </si>
  <si>
    <t>White Space Strategy(Consulting)</t>
  </si>
  <si>
    <t>115554-16</t>
  </si>
  <si>
    <t>Électricité de France (Three UK Electricity Networks Operations)</t>
  </si>
  <si>
    <t>Producer and transmitter of electrical energy. The company produces, transmits and distributes electrical energy and provides gas, electric, water and sanitary services.</t>
  </si>
  <si>
    <t>Electric Utilities*, Gas Utilities, Water Utilities</t>
  </si>
  <si>
    <t>electrical energy, gas utility</t>
  </si>
  <si>
    <t>Three UK Electricity Networks Operations of Électricité de France were acquired by Cheung Kong Infrastructure Holdings and Li Ka Shing Foundation for GBP 5.8 billion on July 30, 2010. The company is no longer actively tracked by PitchBook.</t>
  </si>
  <si>
    <t>CK Infrastructure Holdings, Li Ka Shing Foundation</t>
  </si>
  <si>
    <t>Électricité de France</t>
  </si>
  <si>
    <t>CK Infrastructure Holdings(www.cki.com.hk), Li Ka Shing Foundation(www.lksf.org)</t>
  </si>
  <si>
    <t>Électricité de France(www.edf.fr)</t>
  </si>
  <si>
    <t>Barclays(Advisor: General), BNP Paribas(Advisor: General), NatWest Group(Advisor: General)</t>
  </si>
  <si>
    <t>10753-03</t>
  </si>
  <si>
    <t>The Absolut Company</t>
  </si>
  <si>
    <t>V&amp;S Vin &amp; Sprit</t>
  </si>
  <si>
    <t>V&amp;S</t>
  </si>
  <si>
    <t>The Absolut Company AB</t>
  </si>
  <si>
    <t>Stoli Group USA, St. George Spirits, Isle of Harris Distillers, Belle Isle Moonshine, Ketel One Worldwide, Tito's Handmade Vodka, East London Liquour Company, Stillhouse</t>
  </si>
  <si>
    <t>Producer of wine and alcoholic beverages. The company is engaged in the distribution of alcoholic beverages such as wine, vodka, aquavit and bitters.</t>
  </si>
  <si>
    <t>red wine, vodka seller, wine and distilling beverages</t>
  </si>
  <si>
    <t>absolut.com</t>
  </si>
  <si>
    <t>2008: 789, 2009: 663, 2010: 440, 2011: 453, 2012: 478, 2013: 550, 2014: 526, 2015: 528, 2016: 505, 2017: 489</t>
  </si>
  <si>
    <t>123999-22P</t>
  </si>
  <si>
    <t>Anders Narvinger</t>
  </si>
  <si>
    <t>Chief Executive Officer, Chairman &amp; President</t>
  </si>
  <si>
    <t>Årstaängsvägen 19a</t>
  </si>
  <si>
    <t>117 97</t>
  </si>
  <si>
    <t>The company was acquired by Pernod Ricard (EPA: RI) for SEK53 billion on July 24, 2008. The company is no longer actively tracked by PitchBook.</t>
  </si>
  <si>
    <t>Pernod Ricard</t>
  </si>
  <si>
    <t>Davis Polk(Legal Advisor), Dechert(Legal Advisor), Morgan Stanley(Advisor: General), Vinge(Legal Advisor)</t>
  </si>
  <si>
    <t>65185-12</t>
  </si>
  <si>
    <t>Spanish Bank Restructuring Fund and CatalunyaBanc (Mortgage Loan Portfolio)</t>
  </si>
  <si>
    <t>Project Hercules, CatalunyaCaixa (Mortgage Loan Portfolio), Fondo de Reestructuracion Ordenada Bancaria (Mortgage Loan Portfolio), The Blackstone Group (Mortgage Loan Portfolio), The Blackstone Group and CatalunyaCaixa (Mortgage Loan Portfolio)</t>
  </si>
  <si>
    <t>A portfolio of mortgage loan. The portfolio consists of mortgage loan of approximately EUR 6.392 billion.</t>
  </si>
  <si>
    <t>Asset Management, Buildings and Property*</t>
  </si>
  <si>
    <t>loan asset portfolio, mortgage, mortgage loan asset, mortgage loan data, mortgage portfolio</t>
  </si>
  <si>
    <t>Barcelona, Spain</t>
  </si>
  <si>
    <t>Plaça Antoni Maura</t>
  </si>
  <si>
    <t>Suite 6</t>
  </si>
  <si>
    <t>Barcelona</t>
  </si>
  <si>
    <t>08003</t>
  </si>
  <si>
    <t>The mortgage loan portfolio of Spanish Bank Restructuring Fund and CatalunyaBanc was acquired by The Blackstone Group through a EUR 6.5 billion LBO on July 17, 2014. The portfolio initially attracted 12 bids, including groups led by Goldman Sachs and Cerberus.</t>
  </si>
  <si>
    <t>CatalunyaCaixa, Fondo de Reestructuracion Ordenada Bancaria</t>
  </si>
  <si>
    <t>Cerberus Capital Management, Deutsche Bank, Oaktree Capital Management, Pacific Investment Management Company, The Goldman Sachs Group</t>
  </si>
  <si>
    <t>CatalunyaCaixa(www.catalunyacaixa.com), Fondo de Reestructuracion Ordenada Bancaria(www.frob.es)</t>
  </si>
  <si>
    <t>Cerberus Capital Management(www.cerberus.com), Deutsche Bank(www.db.com), Oaktree Capital Management(www.oaktreecapital.com), Pacific Investment Management Company(www.pimco.com), The Goldman Sachs Group(www.goldmansachs.com)</t>
  </si>
  <si>
    <t>Alantra Partners(Advisor: General)</t>
  </si>
  <si>
    <t>41091-67</t>
  </si>
  <si>
    <t>Barr Pharmaceuticals</t>
  </si>
  <si>
    <t>Barr Laboratories</t>
  </si>
  <si>
    <t>Barr Pharmaceuticals, Inc.</t>
  </si>
  <si>
    <t>Manufacturer of generic prescription pharmaceutical products. The company's generic product portfolio includes solid oral dosage forms, injectables and cream and ointment products. The company markets 26 proprietary pharmaceutical products which include include SEASONIQUE, an extended-cycle oral contraceptive, PLAN BTM, a dual-label over-the-counter or Rx emergency contraceptive, ParaGard T 380A, an IUC contraceptive product, Mircette, a 28-day oral contraceptive and ENJUVIA, a line of hormone therapy products.</t>
  </si>
  <si>
    <t>specialty pharmaceutical</t>
  </si>
  <si>
    <t>1989: 410, 1990: 470, 1991: 531, 1992: 375, 1993: 287, 1994: 343, 1995: 350, 1996: 386, 1997: 467, 1998: 557, 1999: 574, 2000: 606, 2001: 685, 2002: 1075, 2003: 1234, 2004: 1500, 2005: 1900, 2006: 8500, 2007: 8900, 2008: 37000, 2014: 5001</t>
  </si>
  <si>
    <t>74424-88P</t>
  </si>
  <si>
    <t>Michael Frank</t>
  </si>
  <si>
    <t>Director, Manufacturing</t>
  </si>
  <si>
    <t>Montvale, NJ</t>
  </si>
  <si>
    <t>225 Summit Avenue</t>
  </si>
  <si>
    <t>Montvale</t>
  </si>
  <si>
    <t>07645</t>
  </si>
  <si>
    <t>The company was acquired by Teva Pharmaceutical Industries (NYSE: TEVA) for $8.83 billion on December 23, 2008. The company is no longer actively tracked by PitchBook.</t>
  </si>
  <si>
    <t>Nilan Johnson Lewis(Legal Advisor)</t>
  </si>
  <si>
    <t>Bank of America Merrill Lynch(Advisor: General), Simpson Thacher &amp; Bartlett(Legal Advisor)</t>
  </si>
  <si>
    <t>11721-52</t>
  </si>
  <si>
    <t>Rock-Tenn Company</t>
  </si>
  <si>
    <t>Rock-Tenn, RKT</t>
  </si>
  <si>
    <t>Manufacturer of packaging and packaging products. The company is primarily engaged in manufacturing of recycled paperboard, bleached paperboard, container board, and packaging products internationally. The company's corrugated packaging provides liner board, corrugated sheets and consumer packaging provides folding cartons and express mail envelopes.</t>
  </si>
  <si>
    <t>Paper Containers and Packaging</t>
  </si>
  <si>
    <t>Paper Containers and Packaging*</t>
  </si>
  <si>
    <t>bleached paperboard, container board, recycled paperboard</t>
  </si>
  <si>
    <t>www.rocktenn.com</t>
  </si>
  <si>
    <t>2015: 27000</t>
  </si>
  <si>
    <t>41984-20P</t>
  </si>
  <si>
    <t>John Stakel</t>
  </si>
  <si>
    <t>Senior Vice President &amp; Treasurer</t>
  </si>
  <si>
    <t>jstakel@rocktenn.com</t>
  </si>
  <si>
    <t>+1 (678) 291-7900</t>
  </si>
  <si>
    <t>Norcross, GA</t>
  </si>
  <si>
    <t>P.O. Box 4098</t>
  </si>
  <si>
    <t>Norcross</t>
  </si>
  <si>
    <t>30091</t>
  </si>
  <si>
    <t>The company (NYSE: RKT) was merged with MeadWestvaco (NYSE: MWV) to form WestRock (NYSE: WRK) for $8.82 billion on July 1, 2015. The company is no longer actively tracked by PitchBook.</t>
  </si>
  <si>
    <t>WestRock</t>
  </si>
  <si>
    <t>American Consulting Group(Consulting), Burr &amp; Forman(Legal Advisor), Clarity Consultants(Consulting), FPG Advisory(Advisor: General)</t>
  </si>
  <si>
    <t>Bank of America Merrill Lynch(Advisor: General), Morris, Nichols, Arsht &amp; Tunnell(Legal Advisor), PJT Partners(Advisor: General)</t>
  </si>
  <si>
    <t>107775-82</t>
  </si>
  <si>
    <t>Altice Portugal</t>
  </si>
  <si>
    <t>PT Portugal</t>
  </si>
  <si>
    <t>PT Portugal SGPS SA</t>
  </si>
  <si>
    <t>VIVA, Kalaam Telecom Bahrain, O-Tel Telecoms, T-Mobile Netherlands, Nowo Communications, Cricket Wireless, Dialog Axiata, Prixtel, Automation Communications Engineering, Mascom Wireless, Telefónica UK, Ooredoo Tunisie, TPG Telecom, Liquid Intelligent Technologies, Free au Sénégal, Bouygues Telecom, Telecel Zimbabwe, Deutsche Telekom, XO Holdings, SMILE Telecoms Holdings, Telefonica Deutschland, Broadview Networks, ip.access, Aircel, Orange, T-Mobile (US), Axión, Tata Docomo, Safaricom, SpeedCast, Ooredoo Oman, Lebara Mobile, Telefónica El Salvador, Telkom, Singtel, NSSLGlobal, Frontier Communications, Hawaiian Telcom Holdco, Cable &amp; Wireless Communications, Ooredoo Kuwait, Tampnet, Etisalat Nigeria, Cellnex Telecom, ISP Fuel Broadband, Mobilitie, Truphone, EE, Etisalat Lanka, Tikona Infinet, WiLine, FASTWEB, Sprint, Digicel Group, DuPont TeleCom, Towerstream, U.S. Cellular, Zuku, RCN Telecom Services, MTN Group, C Spire Wireless, Segra (Charlotte), Verizon Communications, Mediacom, Level 3 Communications, YOU Telecom India, Jio, Reliance Communications, Tata Communications, Lumen Technologies, Telstra, Telefónica del Perú, Seacom, Swisscom, EnTouch Systems, Telefonica Brasil, ITC Global, Magenta (Electronic Marketplace), Sparklight, Millicom International Cellular, Deutsche Glasfaser, Wyless Europe, AT&amp;T, Giffgaff, Ooredoo Palestine, Ericsson, Altice, Telefónica, Telecom Italia, Cogent Communications, Telefónica Holding de Argentina, NOS (Portugal), Arqiva, WideOpenWest, Verizon Wireless, BT Group (UK), China Telecom</t>
  </si>
  <si>
    <t>Provider of wired and wireless telecommunications services. The company provides fixed line, mobile, multimedia, data and business systems.</t>
  </si>
  <si>
    <t>fixed line, multimedia, wireless telecommunication</t>
  </si>
  <si>
    <t>www.telecom.pt</t>
  </si>
  <si>
    <t>2020: 2400, 2021: 17000</t>
  </si>
  <si>
    <t>102264-49P</t>
  </si>
  <si>
    <t>Benjamin Mendes</t>
  </si>
  <si>
    <t>Head, Research &amp; Development and National &amp; International Funding Programs</t>
  </si>
  <si>
    <t>Lisbon, Portugal</t>
  </si>
  <si>
    <t>Lisbon</t>
  </si>
  <si>
    <t>Portugal</t>
  </si>
  <si>
    <t>The company was acquired by Altice Portugal, a subsidiary of Altice (OTC: ATC), for EUR 7.9 billion on June 2, 2015. The transaction includes EUR 869 million (US$1.1 billion) in assumed liabilities. The acquisition consideration was funded through cash at hand and debt financing. Altice is backed by Amzak Capital Management, Cinven and The Carlyle Group.</t>
  </si>
  <si>
    <t>Oi Telecommunications</t>
  </si>
  <si>
    <t>Apax Partners, Bain Capital, Sociedade de Investimento e Gestão</t>
  </si>
  <si>
    <t>Oi Telecommunications(www.oi.com.br)</t>
  </si>
  <si>
    <t>Apax Partners(www.apax.com), Bain Capital(www.baincapital.com), Sociedade de Investimento e Gestão(www.semapa.pt)</t>
  </si>
  <si>
    <t>59881-60</t>
  </si>
  <si>
    <t>K+S Chemicals (ETR: SDF)</t>
  </si>
  <si>
    <t>Kali und Salz</t>
  </si>
  <si>
    <t>K+S</t>
  </si>
  <si>
    <t>K+S Aktiengesellschaft</t>
  </si>
  <si>
    <t>SABIC, Nutrien</t>
  </si>
  <si>
    <t>K+S AG produces two primary products: fertilizer and salt. The company extracts potash and magnesium primarily in Germany, but it's also ramping up potash production at its new low-cost Bethune mine in Saskatchewan that will eventually produce roughly a third of total potash. The company is also the world's largest supplier of salt products, including the Morton Salt brand, with an annual production capacity of 30 million metric tons from multiple salt rock mines on three continents.</t>
  </si>
  <si>
    <t>Agricultural Chemicals*, Industrial Chemicals, Other Chemicals and Gases</t>
  </si>
  <si>
    <t>animal feed, nitrate, potash and salt, urea</t>
  </si>
  <si>
    <t>www.kpluss.com</t>
  </si>
  <si>
    <t>2004: 11068, 2005: 11017, 2006: 11392, 2008: 12214, 2010: 15244, 2011: 14496, 2012: 14482, 2013: 14473, 2014: 14334, 2015: 14383, 2016: 14536, 2017: 14765, 2018: 15070, 2019: 15011, 2020: 14780, 2021: 10896</t>
  </si>
  <si>
    <t>SDF</t>
  </si>
  <si>
    <t>K+S Beteiligungs</t>
  </si>
  <si>
    <t>104521-06P</t>
  </si>
  <si>
    <t>Burkhard Lohr</t>
  </si>
  <si>
    <t>Personnel Director, Chairman of the Board of Executive Directors</t>
  </si>
  <si>
    <t>burkhard.lohr@k-plus-s.com</t>
  </si>
  <si>
    <t>+49 (0)56 1930 10</t>
  </si>
  <si>
    <t>Kassel, Germany</t>
  </si>
  <si>
    <t>Bertha-von-Suttner-Straße 7</t>
  </si>
  <si>
    <t>Kassel</t>
  </si>
  <si>
    <t>34131</t>
  </si>
  <si>
    <t>+49 (0)56 1930 1175 3</t>
  </si>
  <si>
    <t>info@k-plus-s.com</t>
  </si>
  <si>
    <t>The company (ETR: SDF) is in talks to be acquired by PotashCorp (TSE: POT) for EUR 7.9 billion on Jun 26, 2015. Subsequently the deal was cancelled on July 2, 2015. The company is no longer actively tracked by PitchBook.</t>
  </si>
  <si>
    <t>The Potash Corporation of Saskatchewan, WCM Beteiligungs - und Grundbesitz Aktiengesellschaft</t>
  </si>
  <si>
    <t>BASF(www.basf.com)</t>
  </si>
  <si>
    <t>The Potash Corporation of Saskatchewan(www.potashcorp.com), WCM Beteiligungs - und Grundbesitz Aktiengesellschaft(www.ir.wcm.de)</t>
  </si>
  <si>
    <t>Rothschild &amp; Co(Advisor: General), The Goldman Sachs Group(Advisor: General)</t>
  </si>
  <si>
    <t>58925-80</t>
  </si>
  <si>
    <t>Ahli United Bank (KUW: ALMUTAHED)</t>
  </si>
  <si>
    <t>AUB</t>
  </si>
  <si>
    <t>Ahli United Bank B.S.C</t>
  </si>
  <si>
    <t>National Bank of Bahrain, Ithmaar Bank, Bahrain Islamic Bank, BBK Bank</t>
  </si>
  <si>
    <t>Ahli United Bank KSCP is a Kuwait-based company engaged in carrying out banking activities. It offers products and services such as credit, deposit services, correspondent banking, clearing, money market, foreign exchange, and securities trading. The company's reportable segments are Retail and commercial banking, and Treasury and Investment Management. It generates maximum revenue from the Retail and commercial banking segment. The firm's business is spread across the region of Kuwait, Europe, North America, Other GCC, and Other countries.</t>
  </si>
  <si>
    <t>Thrifts and Mortgage Finance</t>
  </si>
  <si>
    <t>Consumer Finance, Thrifts and Mortgage Finance*</t>
  </si>
  <si>
    <t>corporate banking, correspondent banking, private banking, proprietary investment, retail banking</t>
  </si>
  <si>
    <t>www.ahliunited.com</t>
  </si>
  <si>
    <t>2011: 635, 2012: 632</t>
  </si>
  <si>
    <t>KUW</t>
  </si>
  <si>
    <t>ALMUTAHED</t>
  </si>
  <si>
    <t>63020-89P</t>
  </si>
  <si>
    <t>Sanjeev Baijal</t>
  </si>
  <si>
    <t>Deputy Group Chief Executive Officer-Finance and Strategic Development</t>
  </si>
  <si>
    <t>sanjeev.baijal@ahliunited.com</t>
  </si>
  <si>
    <t>+973 1758 5858</t>
  </si>
  <si>
    <t>Manama, Bahrain</t>
  </si>
  <si>
    <t>Building 2495, Road 2832, Al Seef District 428</t>
  </si>
  <si>
    <t>P.O. Box 2424</t>
  </si>
  <si>
    <t>Manama</t>
  </si>
  <si>
    <t>Bahrain</t>
  </si>
  <si>
    <t>+973 1758 0569</t>
  </si>
  <si>
    <t>info@ahliunited.com</t>
  </si>
  <si>
    <t>The company reached a definitive agreement to be acquired by Kuwait Finance House (KUW: KFH) for $8.8 billion on July 23, 2018. The deal is expected to happen through a share-swap and is subject to both banks agreeing to fair exchange ratio of their shares, in addition to other regulatory approvals. If the merger materializes, it could create both Kuwait and Bahrain's biggest lender with $92 billion in assets, becoming the sixth biggest bank in the Gulf. The company is being actively tracked by PitchBook.</t>
  </si>
  <si>
    <t>Kuwait Finance House</t>
  </si>
  <si>
    <t>Kuwait Finance House(www.kfh.com)</t>
  </si>
  <si>
    <t>EY(Auditor), KPMG(Advisor: General), The Goldman Sachs Group(Advisor: General)</t>
  </si>
  <si>
    <t>Citigroup(Advisor: General), Credit Suisse(Advisor: General), HSBC Holdings(Advisor: General), KPMG(Advisor: General)</t>
  </si>
  <si>
    <t>12126-61</t>
  </si>
  <si>
    <t>Bucyrus International</t>
  </si>
  <si>
    <t>Bucyrus-Erie, Bucyrus Foundry and Manufacturing Company</t>
  </si>
  <si>
    <t>Bucyrus</t>
  </si>
  <si>
    <t>Bucyrus International, Inc.</t>
  </si>
  <si>
    <t>Designer and manufacturer of high productivity mining equipment for surface and underground mining. The company's surface equipment is used for mining coal, copper, iron ore, oil sands and other minerals. Its underground equipment is used primarily for mining coal. The company also manufactures OEM parts and provides support services for its equipment.</t>
  </si>
  <si>
    <t>oem, surface mining, underground mining</t>
  </si>
  <si>
    <t>1995: 1166, 1996: 1384, 1997: 1531, 1998: 1800, 1999: 1800, 2000: 1600, 2001: 1600, 2002: 1600, 2003: 1600, 2004: 1725, 2005: 2125, 2006: 2400, 2007: 6050, 2008: 7200, 2009: 7200, 2010: 9800</t>
  </si>
  <si>
    <t>TTM 1Q2011</t>
  </si>
  <si>
    <t>22300-30P</t>
  </si>
  <si>
    <t>Craig Mackus</t>
  </si>
  <si>
    <t>+1 (303) 922-6463</t>
  </si>
  <si>
    <t>South Milwaukee, WI</t>
  </si>
  <si>
    <t>1100 Milwaukee Avenue</t>
  </si>
  <si>
    <t>South Milwaukee</t>
  </si>
  <si>
    <t>53172</t>
  </si>
  <si>
    <t>+1 (414) 768-4000</t>
  </si>
  <si>
    <t>+1 (414) 768-4474</t>
  </si>
  <si>
    <t>The company was acquired by Caterpillar (NYSE: CAT) for $8.8 billion on July 8, 2011. The company is no longer actively tracked by PitchBook.</t>
  </si>
  <si>
    <t>Caterpillar</t>
  </si>
  <si>
    <t>American Industrial Partners</t>
  </si>
  <si>
    <t>American Industrial Partners(www.americanindustrial.com)</t>
  </si>
  <si>
    <t>Water Tower Capital(Advisor: General)</t>
  </si>
  <si>
    <t>American Industrial Partners(Debt Financing), Andersen Global(Accounting), Andrews Kurth Kenyon(Legal Advisor), Arnold &amp; Porter Kaye Scholer(Legal Advisor), Deloitte(Accounting), Deutsche Bank(Advisor: General), Jefferies Financial Group(Advisor: General), Legg Mason(Underwriter), Lehman Brothers(Underwriter), Richards Layton &amp; Finger(Legal Advisor), Skadden, Arps, Slate, Meagher &amp; Flom(Legal Advisor), Sullivan &amp; Cromwell(Legal Advisor), The Goldman Sachs Group(Underwriter), UBS Group(Advisor: General)</t>
  </si>
  <si>
    <t>166050-10</t>
  </si>
  <si>
    <t>Hewlett Packard Enterprise (Software division)</t>
  </si>
  <si>
    <t>Developer of software products. The division sells several categories of software, including business service management software, application lifecycle management software, mobile apps, big data and analytics, service and portfolio management software, automation and orchestration software and enterprise security software. It also provides Software as a service (SaaS), cloud computing solutions and software services including consulting, education, professional services and support.</t>
  </si>
  <si>
    <t>Application Software*, Business/Productivity Software, Other Software</t>
  </si>
  <si>
    <t>Big Data, CloudTech &amp; DevOps, Mobile, SaaS, TMT</t>
  </si>
  <si>
    <t>computer software service, it software, portfolio management software</t>
  </si>
  <si>
    <t>3000 Hanover Street</t>
  </si>
  <si>
    <t>The software division of Hewlett Packard Enterprise (NYSE: HPE) was acquired by Micro Focus Group (LON: MCRO) for $8.8 billion on September 1, 2017. The company is no longer actively tracked by PitchBook.</t>
  </si>
  <si>
    <t>Micro Focus International</t>
  </si>
  <si>
    <t>Hewlett Packard Enterprise</t>
  </si>
  <si>
    <t>Hewlett Packard Enterprise(www.hpe.com)</t>
  </si>
  <si>
    <t>41 North(Advisor: General)</t>
  </si>
  <si>
    <t>Ashurst(Legal Advisor)</t>
  </si>
  <si>
    <t>13109-86</t>
  </si>
  <si>
    <t>InterMune</t>
  </si>
  <si>
    <t>Developer of therapies in pulmonology and hepatology. The company's products are approved for the treatment of patients with severe, malignant osteopetrosis and chronic granulomatous disease. It has an advanced-stage development pipeline in the pulmonology area and a research and development-stage pipeline in the hepatology area.</t>
  </si>
  <si>
    <t>hepatology, malignant osteopetrosis, pulmonology</t>
  </si>
  <si>
    <t>1999: 25, 2000: 91, 2001: 210, 2002: 250, 2003: 260, 2004: 326, 2005: 193, 2006: 195, 2007: 132, 2008: 132, 2009: 121, 2010: 107, 2011: 201, 2012: 269, 2013: 353, 2014: 560</t>
  </si>
  <si>
    <t>32143-33P</t>
  </si>
  <si>
    <t>John Hodgman</t>
  </si>
  <si>
    <t>john.hodgman@intermune.com</t>
  </si>
  <si>
    <t>+1 (415) 466-2200</t>
  </si>
  <si>
    <t>3280 Bayshore Boulevard</t>
  </si>
  <si>
    <t>+1 (415) 466-2300</t>
  </si>
  <si>
    <t>ir@intermune.com</t>
  </si>
  <si>
    <t>The company was acquired by Roche Holding for $8.8 billion on September 29, 2014. The company is no longer actively tracked by PitchBook.</t>
  </si>
  <si>
    <t>Alta Partners, Charter Venture Capital, Connetics, Genentech, LRG Capital, New Enterprise Associates, Sanderling Ventures, Sofinnova Investments, Veron International, Vivo Capital, Warburg Pincus</t>
  </si>
  <si>
    <t>Actelion Pharmaceuticals, AstraZeneca, Gilead Sciences, GlaxoSmithKline, Sanofi and Roche Holding</t>
  </si>
  <si>
    <t>Alta Partners(www.altapartners.com), Charter Venture Capital(www.charterventures.com), Connetics(www.connetics.com), Genentech(www.gene.com), LRG Capital(www.lrgcap.com), New Enterprise Associates(www.nea.com), Sanderling Ventures(www.sanderling.com), Sofinnova Investments(www.sofinnova.com), Vivo Capital(www.vivocapital.com), Warburg Pincus(www.warburgpincus.com)</t>
  </si>
  <si>
    <t>Actelion Pharmaceuticals(www1.actelion.com), AstraZeneca(www.astrazeneca.com), Gilead Sciences(www.gilead.com), GlaxoSmithKline(www.gsk.com)</t>
  </si>
  <si>
    <t>Knobbe Martens(Legal Advisor), Locust Walk Partners(Auditor), Oppenheimer &amp; Company(Advisor: General), Rigrodsky &amp; Long(Legal Advisor), Strawn Arnold &amp; Associates(Consulting)</t>
  </si>
  <si>
    <t>Bank Street Group(Advisor: General), Centerview Partners(Advisor: General), Chase Capital Partners(Underwriter), Cravath, Swaine &amp; Moore(Legal Advisor), Oppenheimer &amp; Company(Advisor: General), The Goldman Sachs Group(Advisor: General), UBS Group(Underwriter), Vector Securities(Underwriter), William Blair &amp; Company(Advisor: General)</t>
  </si>
  <si>
    <t>107617-33</t>
  </si>
  <si>
    <t>Nanyang Commercial Bank</t>
  </si>
  <si>
    <t>Nanyang Commercial Bank Ltd</t>
  </si>
  <si>
    <t>Indus American Bank, Truist, Commerzbank (Schweiz), Nuevo Banco Comercial, Hamilton State Bancshares, Bank of Georgetown, Signature Bank, Bare Agency, Grupo Financiero Banorte, First Nationwide Bank, Banco Santander, The Bank of Princeton, Johnson Financial Group (Wisconsin), Deutsche Schiffsbank, Reading Co-Operative Bank, BBVA USA Bancshares, Capital One Financial, Cardinal Bank, MUFG Union Bank, Citibanamex, Massmutual Southern New England, Eagle Bank and Trust Company of Missouri, Astoria Financial, Massmutual Pittsburgh, Seacoast Bank, Guaranty Bank &amp; Trust Company, Amalgamated Bank, Wells Fargo, Banco Popular, Citigroup, Highlands State Bank, BMO Financial Group, CaixaBank, Regions Financial, National Bank of Canada, Royal Bank of Canada, First Hawaiian Bank, Commerce Bank, Agricultural Federal Credit Union, Access National Bank, Tangerine Bank, Midwest BankCentre, U.S. Bancorp</t>
  </si>
  <si>
    <t>Provider of commercial banking services. The company's services include private banking, corporate banking, asset management, Internet banking, treasury management and investment banking. It also offers personal insurance products, such as life, home comprehensive, domestic helper comprehensive, motor vehicle, travel, personal medical, outpatient medical, golfer, personal accident insurance products.</t>
  </si>
  <si>
    <t>National Banks*, Other Commercial Banks, Other Financial Services</t>
  </si>
  <si>
    <t>corporate banking, credit card facilities, savings account, treasury management</t>
  </si>
  <si>
    <t>www.ncb.com.hk</t>
  </si>
  <si>
    <t>1999: 1800, 2004: 1600, 2016: 1500</t>
  </si>
  <si>
    <t>China Cinda Asset Management</t>
  </si>
  <si>
    <t>143400-70P</t>
  </si>
  <si>
    <t>Zhou Zaiun</t>
  </si>
  <si>
    <t>+852 2622 2633</t>
  </si>
  <si>
    <t>Central, Hong Kong</t>
  </si>
  <si>
    <t>151 Des Voeux Road</t>
  </si>
  <si>
    <t>Central</t>
  </si>
  <si>
    <t>+852 2815 3333</t>
  </si>
  <si>
    <t>nanyang@ncb.com.hk</t>
  </si>
  <si>
    <t>The company was acquired by China Cinda Asset Management Co (BER: 0CI) for US$8.8 billion on May 30, 2016. The transaction will not only strengthens the asset management portfolio of the bidder but also promotes long-term growth and attractive returns for their shareholders.</t>
  </si>
  <si>
    <t>Bank of China</t>
  </si>
  <si>
    <t>Bank of China(www.boc.cn)</t>
  </si>
  <si>
    <t>BOC International(Advisor: General)</t>
  </si>
  <si>
    <t>11733-22</t>
  </si>
  <si>
    <t>Takeda Oncology</t>
  </si>
  <si>
    <t>Millennium Pharmaceuticals</t>
  </si>
  <si>
    <t>Millennium Pharmaceuticals, Inc.</t>
  </si>
  <si>
    <t>The Zambon Group, Avanir Pharmaceuticals, Sevion Therapeutics, Conatus Pharmaceuticals, Genentech, Agenus, VBI Vaccines(Rehovot), AcelRx Pharmaceuticals, Alexza, INHIBITOR Therapeutics, Gilead Sciences, Inovio Pharmaceuticals, Auxilium Pharmaceuticals, Kymab, Aclaris Therapeutics, Promentis Pharmaceuticals, Breckenridge Pharmaceutical, AltheaDx, Cerecin, Alder Biopharmaceuticals, Rising Pharmaceuticals, Upsher-Smith Laboratories, Iverson Genetic Diagnostics, Zynerba Pharmaceuticals</t>
  </si>
  <si>
    <t>Developer of medicines for the treatment of cancer. The company offers medicines and therapy for cancer treatment.</t>
  </si>
  <si>
    <t>Drug Discovery, Medical Supplies*, Pharmaceuticals</t>
  </si>
  <si>
    <t>Life Sciences, LOHAS &amp; Wellness, Oncology</t>
  </si>
  <si>
    <t>medicine supply, oncology therapy</t>
  </si>
  <si>
    <t>2006: 1142, 2008: 966</t>
  </si>
  <si>
    <t>61764-31P</t>
  </si>
  <si>
    <t>Liz Lewis</t>
  </si>
  <si>
    <t>Chief Counsel, Global Oncology Business Unit &amp; Head, Patient Advocacy</t>
  </si>
  <si>
    <t>liz_lewis@takedaoncology.com</t>
  </si>
  <si>
    <t>+1 (617) 679-7000</t>
  </si>
  <si>
    <t>40 Landsdowne Street</t>
  </si>
  <si>
    <t>02139</t>
  </si>
  <si>
    <t>+1 (617) 374-7788</t>
  </si>
  <si>
    <t>The company was acquired by Takeda Pharmaceutical for $8.8 billion on May 13, 2008. The company is no longer actively tracked by PitchBook.</t>
  </si>
  <si>
    <t>Abbott, Takeda Pharmaceutical Company</t>
  </si>
  <si>
    <t>Eli Lilly, Greylock Partners, Kleiner Perkins, Lombard Odier Darier Hentsch, Lubert-Adler, Mayfield (Private Equity), Roche Holding, Sofinnova Investments, Venrock</t>
  </si>
  <si>
    <t>Eli Lilly(lilly.com), Greylock Partners(www.greylock.com), Kleiner Perkins(www.kleinerperkins.com), Lombard Odier Darier Hentsch(www.lombardodier.com), Lubert-Adler(www.lubertadler.com), Mayfield (Private Equity)(www.mayfield.com), Roche Holding(www.roche.com), Sofinnova Investments(www.sofinnova.com), Venrock(www.venrock.com)</t>
  </si>
  <si>
    <t>Triton Resources(Advisor: General), WilmerHale(Legal Advisor)</t>
  </si>
  <si>
    <t>226388-08</t>
  </si>
  <si>
    <t>Bayer (Vegetable Seeds Business)</t>
  </si>
  <si>
    <t>Cultivator of 25 vegetable crops of seeds of 1,200 varieties.</t>
  </si>
  <si>
    <t>Cultivation</t>
  </si>
  <si>
    <t>Cultivation*</t>
  </si>
  <si>
    <t>seeds, seeds crop, vegetables seeds, vegetables seeds producer</t>
  </si>
  <si>
    <t>2018: 4500</t>
  </si>
  <si>
    <t>Bayer (ETR: BAYN) sold its vegetable seeds business to BASF (ETR: BAS) for EUR 7.6 billion on August 16, 2018. The round amount includes an undisclosed amount of debt. The deal strengthens the acquirer's seed platform and complements the recently expanded Agricultural Solutions portfolio, which includes seeds and traits, chemical and biological crop protection, soil management, plant health, pest control and digital farming. The business unit is no longer actively tracked by PitchBook.</t>
  </si>
  <si>
    <t>KWS Saat</t>
  </si>
  <si>
    <t>KWS Saat(www.kws.com)</t>
  </si>
  <si>
    <t>10060-48</t>
  </si>
  <si>
    <t>Dunkin' Brands</t>
  </si>
  <si>
    <t>Allied Domecq Quick Service Restaurants</t>
  </si>
  <si>
    <t>Dunkin' Brands, Inc.</t>
  </si>
  <si>
    <t>Dunkin' Brands, through Dunkin' Donuts (83% of system sales) and Baskin-Robbins (17%), generates revenue through franchise royalties and rent payments, sales of ice cream products to franchisees, and sales at company-owned stores. Based on systemwide sales of $12.2 billion in 2019, Dunkin' is the second- largest global beverage and snack chain behind Starbucks. There are more than 13,100 Dunkin' Donuts (9,600 U.S. and 3,500 international) and almost 8,000 Baskin-Robbins locations worldwide (2,500 U.S. and 5,500 international). In October 2020, the company agreed to a $11.3 billion buyout by Roark Capital-backed Inspire Brands, the parent company of Arby's, Sonic, Buffalo Wild Wings, Jimmy John's, and others.</t>
  </si>
  <si>
    <t>Beverages, Restaurants and Bars*</t>
  </si>
  <si>
    <t>chocolate donuts, cold beverages, cold coffee, hot coffee, quick service, restaurant chain, restaurant operator</t>
  </si>
  <si>
    <t>www.dunkinbrands.com</t>
  </si>
  <si>
    <t>2005: 953, 2011: 1199, 2012: 1104, 2013: 1144, 2014: 1134, 2015: 1145, 2016: 1163, 2017: 1148, 2018: 1107, 2019: 1114</t>
  </si>
  <si>
    <t>58286-44P</t>
  </si>
  <si>
    <t>Scott Murphy</t>
  </si>
  <si>
    <t>President &amp; Head of Inspires beverage and snack category</t>
  </si>
  <si>
    <t>Canton, MA</t>
  </si>
  <si>
    <t>130 Royall Street</t>
  </si>
  <si>
    <t>Canton</t>
  </si>
  <si>
    <t>02021</t>
  </si>
  <si>
    <t>The company was acquired by Inspire Brands, via its financial sponsors Roark Capital Group and Equicorp Partners, for an estimated $8.76 billion public-to-private LBO on October 30, 2020. Inspire Brands also assumed an estimated $2.54 billion in liabilities bringing the total transaction value to $11.3 billion. As a result of the transaction, the company was delisted. The company is no longer actively tracked by PitchBook.</t>
  </si>
  <si>
    <t>Inspire Brands</t>
  </si>
  <si>
    <t>Allied Domecq, Bain Capital, Blue 9 Capital, Citigroup, Copley Equity Partners, Navis Capital Partners, The Carlyle Group, Thomas H. Lee Partners</t>
  </si>
  <si>
    <t>Equicorp Partners, Roark Capital Group, The Blackstone Group, TPG</t>
  </si>
  <si>
    <t>Allied Domecq(www.allieddomecq.com), Bain Capital(www.baincapital.com), Blue 9 Capital(www.blue9capital.com), Citigroup(www.citigroup.com/citi), Copley Equity Partners(www.copleyequity.com), Navis Capital Partners(www.naviscapital.com), The Carlyle Group(www.carlyle.com), Thomas H. Lee Partners(www.thl.com)</t>
  </si>
  <si>
    <t>Equicorp Partners(www.equicorppartners.com), Roark Capital Group(www.roarkcapital.com), The Blackstone Group(www.blackstone.com), TPG(www.tpg.com)</t>
  </si>
  <si>
    <t>Barack Ferrazzano(Legal Advisor), Bowdoin Group(Consulting), Cadwalader, Wickersham &amp; Taft(Legal Advisor), CL King &amp; Associates(Advisor: General), Guggenheim Partners(Advisor: General), J.P. Katz &amp; Associates(Advisor: General), Jáuregui y Del Valle(Legal Advisor), KPMG(Advisor: General), Murray Devine &amp; Company(Advisor: General), Pacific Management Consulting Group(Consulting), PwC(Advisor: General)</t>
  </si>
  <si>
    <t>American Capital (ACAS)(Debt Financing), Bank of America(Underwriter), Bank of America Merrill Lynch(Underwriter), Barclays Investment Bank(Underwriter), BofA Securities(Advisor: General), CIT Group(Debt Financing), Citigroup(Underwriter), Debevoise &amp; Plimpton(Legal Advisor), Deloitte(Advisor: General), Federated Hermes(Debt Financing), FS KKR Capital(Debt Financing), Guggenheim Partners(Advisor: General), J.P. Morgan(Debt Financing), KPMG(Advisor: General), Lehman Brothers(Debt Financing), Moelis &amp; Company(Underwriter), Morgan Stanley(Underwriter), PJ SOLOMON(Advisor: General), PwC(Advisor: General), Raymond James Financial(Underwriter), Robert W. Baird &amp; Co(Underwriter), Ropes &amp; Gray(Legal Advisor), Samuel A. Ramirez &amp; Company(Underwriter), SMBC Nikko Capital Markets(Underwriter), Stifel Financial(Underwriter), The Goldman Sachs Group(Underwriter), The Williams Capital Group(Underwriter), Trinity Capital Investment Bank(Advisor: General), Wells Fargo(Underwriter), William Blair &amp; Company(Underwriter), William Hood &amp; Company(Advisor: General)</t>
  </si>
  <si>
    <t>54059-50</t>
  </si>
  <si>
    <t>Towers Watson</t>
  </si>
  <si>
    <t>Mercer, FutureSense, TriNet Group, Blue Water Advisors, FTI Consulting, McKinsey &amp; Company, Oliver Wyman, CEB, Development Dimensions International, Boston Consulting Group, Hay Group Holdings</t>
  </si>
  <si>
    <t>Towers Watson was a global professional services company that serves other organizations through people, risk and financial management. The company offered consulting, technology and services in the areas of benefits, talent management, rewards, and risk and capital management. It was established in 2010 through the merger of Towers Perrin and Watson Wyatt. The company grew by making periodic small acquisitions. The company was acquired by Willis Towers Watson on January 4, 2016.</t>
  </si>
  <si>
    <t>Consulting Services (B2B)*, Human Capital Services</t>
  </si>
  <si>
    <t>financial management, global advisory, talent management</t>
  </si>
  <si>
    <t>www.towerswatson.com</t>
  </si>
  <si>
    <t>2000: 4000, 2001: 6100, 2002: 10000, 2003: 4125, 2004: 3925, 2005: 3875, 2006: 6329, 2007: 6600, 2008: 7230, 2009: 7700, 2010: 12750, 2011: 13600, 2012: 15500, 2013: 14900, 2014: 15000, 2015: 16500, 2016: 39000, 2020: 45</t>
  </si>
  <si>
    <t>335 Madison Avenue</t>
  </si>
  <si>
    <t>ValueAct Capital Management acquired 5.9% stake in the company (NASDAQ: WLTW) from undisclosed investors on April 5, 2016. Previously, the company was acquired by Willis Group Holdings (NYSE: WSH) for $9.277 billion on January 4, 2016. The company is no longer actively tracked by PitchBook.</t>
  </si>
  <si>
    <t>Willis Towers Watson</t>
  </si>
  <si>
    <t>Angeles Investment Advisors(Advisor: General), Baker &amp; McKenzie(Legal Advisor), Bank of America Merrill Lynch(Advisor: General), Business Valuation International(Valuation/Appraiser), DAC Beachcroft(Legal Advisor), Debevoise &amp; Plimpton(Legal Advisor), Deloitte(Auditor), Egan-Jones(Advisor: General), EY(Advisor: Financial Due Diligence), Gibson, Dunn &amp; Crutcher(Legal Advisor), Glass Lewis(Advisor: General), Institutional Shareholder Services(Advisor: General), Mackenzie Partners(Advisor: General), Matheson(Legal Advisor), Merrill Lynch Pierce Fenner &amp; Smith(Advisor: General), Morris, Nichols, Arsht &amp; Tunnell(Legal Advisor), Perella Weinberg Partners(Advisor: General), Performance Capital Partners(Consulting), Reasonable Discovery(Consulting), Sard Verbinnen(Advisor: Communications), Stikeman Elliott(Legal Advisor), Verus(LP Consultant: General), Weil, Gotshal &amp; Manges(Legal Advisor), White &amp; Case(Legal Advisor)</t>
  </si>
  <si>
    <t>A&amp;L Goodbody(Legal Advisor), Angeles Investment Advisors(Advisor: General), Baker &amp; McKenzie(Legal Advisor), Bank of America Merrill Lynch(Advisor: General), Debevoise &amp; Plimpton(Legal Advisor), Egan-Jones(Advisor: General), Gibson, Dunn &amp; Crutcher(Legal Advisor), Glass Lewis(Advisor: General), Institutional Shareholder Services(Advisor: General), Mackenzie Partners(Advisor: General), Merrill Lynch Pierce Fenner &amp; Smith(Advisor: General), Morris, Nichols, Arsht &amp; Tunnell(Legal Advisor), Stikeman Elliott(Legal Advisor), Verus(LP Consultant: General)</t>
  </si>
  <si>
    <t>41038-12</t>
  </si>
  <si>
    <t>Aetna Better Health of Virginia</t>
  </si>
  <si>
    <t>Coventry Corporation, Coventry Health Care</t>
  </si>
  <si>
    <t>Health Net, Molina Healthcare, Aetna, Allied Benefit, Magellan Health, Zoom+Care, HealthSparq, UnitedHealth Group, HealthSmart, Universal American, PinnacleCare, WellCare Health Plans, AmeriHealth Caritas, ConnectiCare, American Specialty Health, Health Advocate</t>
  </si>
  <si>
    <t>Operator of a managed healthcare company in the United States. The company operates in three segments: health plan and medical services, specialized managed care, and workers' compensation. It offers a range of risk and fee-based managed care products and services to individuals, employer and government-funded groups, government agencies, and other insurance carriers and administrators.</t>
  </si>
  <si>
    <t>Managed Care*</t>
  </si>
  <si>
    <t>health planning, healthcare, managed care, medical, workers compensation</t>
  </si>
  <si>
    <t>www.aetnabetterhealth.com</t>
  </si>
  <si>
    <t>1991: 1566, 1992: 2000, 1993: 2000, 1994: 2800, 1995: 2800, 1996: 3200, 1997: 2100, 1998: 3050, 1999: 2900, 2000: 3150, 2001: 3242, 2002: 3985, 2003: 4203, 2004: 10280, 2005: 9830, 2006: 10250, 2007: 15000, 2008: 15800, 2009: 14400, 2010: 14000, 2011: 14400, 2012: 14400, 2020: 250</t>
  </si>
  <si>
    <t>TTM 1Q2013</t>
  </si>
  <si>
    <t>34857-37P</t>
  </si>
  <si>
    <t>Allen Wise</t>
  </si>
  <si>
    <t>awise@aetnabetterhealth.com</t>
  </si>
  <si>
    <t>P.O. Box 63518</t>
  </si>
  <si>
    <t>85082</t>
  </si>
  <si>
    <t>The company (NYSE: CVH) was acquired by Aetna (NYSE: AET) for $8.7 billion on May 7, 2013, through a public to private transaction. Under the terms of the agreement, which has been approved by the board of directors of each company, Coventry stockholders will receive $27.30 in cash and 0.3885 Aetna common shares for each Coventry share, or $42.08 per share, based on the closing price of Aetna common shares on Friday, August 17, 2012. Aetna expects to finance the cash portion of the transaction with a combination of cash on hand and by issuing approximately $2.5 billion of new debt and commercial paper.</t>
  </si>
  <si>
    <t>Donaldson, Lufkin &amp; Jenrette, Fort Morgan State Bank, Prudential Venture Managers, TA Associates Management, Warburg Pincus, William Blair Capital Partners, Wind Point Partners</t>
  </si>
  <si>
    <t>Donaldson, Lufkin &amp; Jenrette(www.dlj.com), TA Associates Management(www.ta.com), Warburg Pincus(www.warburgpincus.com), Wind Point Partners(www.wppartners.com)</t>
  </si>
  <si>
    <t>Cicero Group(Advisor: General), EY(Auditor), Warburg Pincus(Debt Financing)</t>
  </si>
  <si>
    <t>Bass, Berry &amp; Sims(Legal Advisor), Crowell &amp; Moring(Legal Advisor), Dean Witter Reynolds(Lead Manager or Arranger), Donaldson, Lufkin &amp; Jenrette(Lead Manager or Arranger), EY(Auditor), Greenhill &amp; Co.(Advisor: General), Mackenzie Partners(Advisor: General), Potter Anderson &amp; Corroon(Legal Advisor), Salomon Brothers(Lead Manager or Arranger), Wachtell, Lipton, Rosen &amp; Katz(Legal Advisor)</t>
  </si>
  <si>
    <t>10641-07</t>
  </si>
  <si>
    <t>Eaton Vance</t>
  </si>
  <si>
    <t>EV</t>
  </si>
  <si>
    <t>Eaton Vance Corp.</t>
  </si>
  <si>
    <t>Henderson Diversified, The Vanguard Group, BlueBay Asset Management, Russell Investments Group, Sculptor Capital Management, AQR Capital Management, Westwood Holdings Group, General Electric Asset Management, Robeco Institutional Asset Management, Virtus Investment Partners, Affiliated Managers Group, Wellington Management, MFS Investment Management, Janus Capital Group, Bridgewater Associates, Allianz Global Investors, O'Shaughnessy Asset Management, Federated Hermes, TD Ameritrade, Schroders, Abrdn, BlackRock, Intech Investment Management LLC, Franklin Templeton, The Goldman Sachs Group, BrightSphere Investment Group, Funds Evaluation Service, Invesco, Victory Capital Management, Mount Lucas Management, Wells Fargo, The Blackstone Group, Reaves Utility Income Fund, TortoiseEcofin, International Fund Services, The D. E. Shaw Group, Neuberger Berman, Waddell &amp; Reed, T. Rowe Price, State Street Global Advisors, Oppenheimer &amp; Company, Lazard, Baring Private Equity Asia, Janus Henderson Investors, Artisan Partners Asset Management, CapeView Capital</t>
  </si>
  <si>
    <t>Eaton Vance provides asset-management and investment advisory services to institutional and individual investors. The firm specializes in tax-managed equity and fixed-income investments and is the third- largest issuer of closed-end funds. Investment advisory services are primarily provided to high-net-worth clients, institutional separate accounts, and retail managed accounts, with most products distributed through financial intermediaries in the advisory channel. The company had $584.2 billion in assets under management at the end of January 2021, composed of equity (26% of AUM), fixed-income (14%), floating-rate bank loan (5%), alternative asset (1%), and money market funds, as well as assets managed under its implementation services (35%) and exposure management (19%) platforms.</t>
  </si>
  <si>
    <t>Asset Management*, Other Capital Markets/Institutions</t>
  </si>
  <si>
    <t>financial advisor, investment management, investment management firm, investment management fund, investment strategy, mutual fund</t>
  </si>
  <si>
    <t>www.eatonvance.com</t>
  </si>
  <si>
    <t>1989: 200, 1990: 255, 1991: 271, 1992: 329, 1993: 356, 1994: 356, 1995: 356, 1996: 362, 1997: 359, 1998: 367, 1999: 395, 2000: 438, 2001: 562, 2002: 575, 2003: 616, 2004: 686, 2005: 757, 2006: 869, 2007: 953, 2008: 1061, 2009: 1059, 2010: 1094, 2011: 1155, 2012: 1197, 2013: 1330, 2014: 1403, 2015: 1473, 2016: 1510, 2017: 1638, 2018: 1764, 2019: 1871, 2020: 1983</t>
  </si>
  <si>
    <t>139841-65P</t>
  </si>
  <si>
    <t>Tjalling Halbertsma</t>
  </si>
  <si>
    <t>Managing Director &amp; Head of Global Distribution</t>
  </si>
  <si>
    <t>thalbertsma@eatonvance.com</t>
  </si>
  <si>
    <t>+44 (0)20 3207 1931</t>
  </si>
  <si>
    <t>Two International Place</t>
  </si>
  <si>
    <t>Suite 1400</t>
  </si>
  <si>
    <t>+1 (800) 225-6265</t>
  </si>
  <si>
    <t>The company (NYS: EV) was acquired by Morgan Stanley (NYS: MS) for $8.7 billion on March 1, 2021. The company's common stockholders were offered 0.5833 Morgan Stanley common shares and $28.25 per share in cash for each company common share and had the opportunity to elect to receive the merger consideration all in cash or all in stock, subject to proration and adjustment. As provided under the merger agreement, the company shareholders also received a special dividend of $4.25 per share, which was paid on December 18, 2020 to shareholders of record on December 4, 2020. The acquisition will help Morgan Stanley to advance its strategic transformation with three world-class businesses of scale that include institutional securities, wealth management and investment management.</t>
  </si>
  <si>
    <t>Assenagon Credit Management, Bank of New York Mellon Wealth Management, Comerica Bank, Dimensional Fund Advisors, Earnest Partners, JPMorgan Chase</t>
  </si>
  <si>
    <t>Assenagon Credit Management(www.assenagon.com), Bank of New York Mellon Wealth Management(www.bnymellonwealth.com), Comerica Bank(www.comerica.com), Dimensional Fund Advisors(www.dimensional.com), Earnest Partners(www.earnestpartners.com), JPMorgan Chase(www.jpmorganchase.com)</t>
  </si>
  <si>
    <t>Allen Partners (AU)(Placement Agent), Ameriprise Financial(Placement Agent), Atlantic Trust Company(Placement Agent), Barclays Investment Bank(Placement Agent), Bessemer Investor Services(Placement Agent), Bowdoin Group(Consulting), Cerulli Associates(Advisor: General), Charles Schwab &amp; Co.(Placement Agent), Citigroup Global Markets(Placement Agent), Comerica Securities(Placement Agent), Credit Suisse(Placement Agent), Deutsche Bank Securities(Placement Agent), Fifth Third Bank(Placement Agent), J.P. Morgan Securities(Placement Agent), Janney(Placement Agent), Loughlin Management Partners + Co(Advisor: General), LPL Financial(Placement Agent), Merrill Lynch Pierce Fenner &amp; Smith(Placement Agent), Morgan Keegan(Placement Agent), Morgan Stanley Wealth Management(Placement Agent), National Financial Services(Placement Agent), Oppenheimer &amp; Company(Placement Agent), Raymond James Financial(Placement Agent), RBC Capital Markets(Placement Agent), Sanford C. Bernstein(Placement Agent), Stifel Financial(Placement Agent), SunTrust Bank(Placement Agent), U.S. Bancorp(Placement Agent), UBS Financial Services(Placement Agent), Wells Fargo(Placement Agent), Wells Fargo Advisors(Placement Agent), Wilmington Trust(Placement Agent)</t>
  </si>
  <si>
    <t>Borden Ladner Gervais(Legal Advisor), Centerview Partners(Advisor: General), Deloitte(Advisor: General), DLA Piper(Legal Advisor), Houlihan Lokey(Advisor: General), Simpson Thacher &amp; Bartlett(Legal Advisor), WilmerHale(Legal Advisor)</t>
  </si>
  <si>
    <t>55923-94</t>
  </si>
  <si>
    <t>Hitachi Chemical Company</t>
  </si>
  <si>
    <t>Hitachi Chemical Co., Ltd.</t>
  </si>
  <si>
    <t>Illinois Tool Works, Afinitica, Carlisle Companies, Wacker Chemie, Dow Silicones, MTS Systems, Hilti Manufacturing India, Stepan, Huntsman, tesa (Germany), IDEX, Evonik Jayhawk Fine Chemicals Corporation, Wanhua Chemical Group Company</t>
  </si>
  <si>
    <t>Hitachi Chemical Co Ltd manufactures and sells a variety of electronic materials, plastic polymers, automotive products, and other chemical-related products. The firm organizes itself into two segments based on product type. The advanced components and systems segment, which generates the majority of revenue, sells automotive products, batteries, printed circuit boards, capacitors, and diagnostics equipment. The functional materials segment sells semiconductors and films for electronics, plastic polymers and resins, lithium-ion batteries materials, carbon products, and ceramics. The vast majority of revenue comes from Asia.</t>
  </si>
  <si>
    <t>Diagnostic Equipment, Electrical Equipment*, Industrial Supplies and Parts</t>
  </si>
  <si>
    <t>www.hitachi-chem.co.jp</t>
  </si>
  <si>
    <t>2006: 17065, 2007: 17502, 2009: 15289, 2010: 15267, 2011: 15930, 2012: 16713, 2013: 17732, 2014: 18149, 2015: 19499, 2016: 19117, 2017: 20043, 2018: 22623, 2019: 22989, 2020: 23095</t>
  </si>
  <si>
    <t>Showa Denko</t>
  </si>
  <si>
    <t>81547-21P</t>
  </si>
  <si>
    <t>Kazuyuki Tanaka</t>
  </si>
  <si>
    <t>+81 (0)35 533 7000</t>
  </si>
  <si>
    <t>Grantokyo South Tower, 1-9-2</t>
  </si>
  <si>
    <t>Marunouchi, Chiyoda-ku</t>
  </si>
  <si>
    <t>100-6606</t>
  </si>
  <si>
    <t>+81 (0)35 533 7077</t>
  </si>
  <si>
    <t>The company, a subsidiary of Hitachi, was acquired by Showa Denko (TKS: 4004) for $8.7 billion on April 28, 2020.</t>
  </si>
  <si>
    <t>Hitachi</t>
  </si>
  <si>
    <t>Hitachi(www.hitachi.com)</t>
  </si>
  <si>
    <t>55982-71</t>
  </si>
  <si>
    <t>Lubrizol</t>
  </si>
  <si>
    <t>The Graphite Oil Products Company, The Lubri-Graph Corporation, Lubri-Zol Corporation</t>
  </si>
  <si>
    <t>The Lubrizol Corporation</t>
  </si>
  <si>
    <t>Archroma, SI Group, Italmatch Chemicals, Infineum International, Croda International, OMNOVA Solutions, Wanhua Chemical Group Company, Chemtura, Brenntag, Evonik Jayhawk Fine Chemicals Corporation, FMC, Tosoh, Altana, Huntsman, BRB International, Clariant International, Ascend Performance Materials, Ashland Global Holdings, Celanese, China National Chemical, Versalis (Italy), Solvay, PPG Industries, Valspar, TPC Group, BioAmber, Afton Chemical, Air Products and Chemicals, Tokuyama, INEOS Group, H.B. Fuller, Wacker Chemie, Newmarket, Evonik Industries, SABIC</t>
  </si>
  <si>
    <t>Manufacturer of specialty chemical additives for automotive and industrial lubricants. The company produces and supplies additives for engine oils, other transportation-related fluids and industrial lubricants, additives for gasoline and diesel fuel to customers in the global transportation, industrial and consumer markets as well as make ingredients, additives for personal care products, pharmaceuticals, specialty materials, including plastics and performance coatings, thereby enhancing the quality, performance and value of customers' products, while reducing their environmental impact.</t>
  </si>
  <si>
    <t>Multi-line Chemicals, Specialty Chemicals*</t>
  </si>
  <si>
    <t>engine oil additives, industrial lubricants, performance coating, specialty chemicals, transmission fluid</t>
  </si>
  <si>
    <t>www.lubrizol.com</t>
  </si>
  <si>
    <t>1989: 5307, 1990: 5169, 1991: 5169, 1992: 4609, 1993: 4609, 1994: 4609, 1995: 4601, 1996: 4358, 1997: 4291, 1998: 4324, 1999: 4074, 2000: 4390, 2001: 4530, 2002: 5231, 2003: 5032, 2004: 7800, 2005: 7500, 2006: 6700, 2007: 6900, 2008: 6970, 2009: 6700, 2010: 6900, 2011: 7000, 2012: 7000, 2016: 9000, 2017: 8800, 2018: 8700, 2019: 8700, 2020: 8800, 2021: 8800</t>
  </si>
  <si>
    <t>TTM 2Q2011</t>
  </si>
  <si>
    <t>74527-57P</t>
  </si>
  <si>
    <t>Deb Langer</t>
  </si>
  <si>
    <t>Senior Vice President, Corporate Ventures</t>
  </si>
  <si>
    <t>deb.langer@lubrizol.com</t>
  </si>
  <si>
    <t>+1 (440) 943-4200</t>
  </si>
  <si>
    <t>Wickliffe, OH</t>
  </si>
  <si>
    <t>29400 Lakeland Boulevard</t>
  </si>
  <si>
    <t>Wickliffe</t>
  </si>
  <si>
    <t>44092</t>
  </si>
  <si>
    <t>info@lubrizol.com</t>
  </si>
  <si>
    <t>The company was acquired by Berkshire Hathaway (NYSE: BRK.A) for approximately $8.7 billion on September 16, 2011. The company ceased trading on the stock exchange post the acquisition.</t>
  </si>
  <si>
    <t>Bartlit Beck(Legal Advisor), BDA Partners(Advisor: General), CHEMARK Consulting Group(Consulting), The Inovo Group(Consulting)</t>
  </si>
  <si>
    <t>Citigroup(Advisor: General), Evercore Group(Advisor: General), Jones Day(Legal Advisor)</t>
  </si>
  <si>
    <t>97284-61</t>
  </si>
  <si>
    <t>Novartis Gene Therapies</t>
  </si>
  <si>
    <t>BioLife Cell Bank, AveXis</t>
  </si>
  <si>
    <t>AveXis, Inc.</t>
  </si>
  <si>
    <t>Audentes Therapeutics, Crinetics Pharmaceuticals, NexImmune, Vertex Pharmaceuticals, Iproteos, Ultragenyx Pharmaceutical, eTheRNA Immunotherapies, Minoryx, True North Therapeutics, Calimmune, Agios, Dimension Therapeutics, Lysogene, Renova Therapeutics, Aegerion Pharmaceuticals, Regulus Therapeutics, Panbela Therapeutics, Avidity Biosciences, Cydan, Trophos, Voyager Therapeutics, Spark Therapeutics, Edimer Pharmaceuticals, Arrowhead Pharmaceuticals, Valerion, Minerva Neurosciences, Sangamo Therapeutics, Eidos Therapeutics, RetroSense Therapeutics, Intellia Therapeutics, Seaside Therapeutics, OncoMed Pharmaceuticals, Novelion Therapeutics, OncoGenex Pharmaceuticals, Intarcia, Genentech, Dicerna Pharmaceuticals, Forum Pharmaceuticals, BioNTech, SAGE Therapeutics, uniQure, Transition Therapeutics, Summit Therapeutics, Gilead Sciences, Vtesse, Sharp Edge Labs, Cytokinetics, SQZ Biotech, Alnylam Pharmaceuticals, Ra Pharmaceuticals, United Therapeutics, Regenxbio, Catabasis Pharmaceuticals, Applied Genetic Technologies, CureVac, BioBlast Pharma, Bluebird Bio, PTC Therapeutics, Amgen, Baxalta, Moderna Therapeutics, Strongbridge Biopharma, Cynapsus, Biogen, Axsome Therapeutics</t>
  </si>
  <si>
    <t>Developer of gene therapies designed to treat rare and orphan neurological genetic diseases. The company's gene therapies develop scAAV9.CB.SMN, an on-going Phase 1 clinical trial for the treatment of spinal muscular atrophy (SMA) Type 1, an autosomal-recessive genetic disorder characterized by lower motor neuron loss and progressive muscle weakness, enabling patients and families get treatment for life-threatening genetic diseases.</t>
  </si>
  <si>
    <t>cell bank, gene therapy, gene therapy startups, spinal muscular atrophy, synthetic biology</t>
  </si>
  <si>
    <t>www.avexis.com</t>
  </si>
  <si>
    <t>2015: 18, 2016: 70, 2017: 219, 2018: 291, 2019: 1000</t>
  </si>
  <si>
    <t>78469-21P</t>
  </si>
  <si>
    <t>John Harkey</t>
  </si>
  <si>
    <t>+1 (972) 241-5500</t>
  </si>
  <si>
    <t>2275 Half Day Road</t>
  </si>
  <si>
    <t>Suite 203</t>
  </si>
  <si>
    <t>The company was acquired by Novartis (VTX: NOVN) for $8.7 billion on May 15, 2018.</t>
  </si>
  <si>
    <t>Adage Capital Management, BB Biotech, Boxer Capital, Deerfield Management, Foresite Capital Management, HBM Healthcare Investments, Janus Capital Group, JDH Investment Management, PBM Capital Group, QVT Family Office, RA Capital Management, Roche Venture Fund, Rock Springs Capital, RTW Investments, T. Rowe Price, Third Security, Venrock, Vivo Capital, WhiteRock Capital Partners</t>
  </si>
  <si>
    <t>Adage Capital Management(www.adagecapital.com), BB Biotech(www.bbbiotech.ch), Boxer Capital(www.boxercap.com), Deerfield Management(www.deerfield.com), Foresite Capital Management(www.foresitecapital.com), HBM Healthcare Investments(www.hbmhealthcare.com), Janus Capital Group(www.janus.com), JDH Investment Management(www.jdhwealth.com), PBM Capital Group(www.pbmcap.com), QVT Family Office(www.qvt.com), RA Capital Management(www.racap.com), Rock Springs Capital(www.rockspringscapital.com), RTW Investments(www.rtwfunds.com), T. Rowe Price(www.troweprice.com), Third Security(www.thirdsecurity.com), Venrock(www.venrock.com), Vivo Capital(www.vivocapital.com), WhiteRock Capital Partners(www.whiterockcapitalpartners.com)</t>
  </si>
  <si>
    <t>American Stock Transfer &amp; Trust Company(Advisor: General), BMO Capital Markets(Underwriter), Centerview Partners(Advisor: General), Chardan Capital Markets(Underwriter), Cooley(Legal Advisor), Craft Capital Management(Underwriter), Cravath, Swaine &amp; Moore(Legal Advisor), Jefferies Financial Group(Underwriter), PwC(Accounting), The Goldman Sachs Group(Underwriter)</t>
  </si>
  <si>
    <t>Series B1</t>
  </si>
  <si>
    <t>59633-29</t>
  </si>
  <si>
    <t>Power Financial</t>
  </si>
  <si>
    <t>PFC</t>
  </si>
  <si>
    <t>Power Financial Corp.</t>
  </si>
  <si>
    <t>Power Financial Corp, a subsidiary of Power Corporation of Canada, is a diversified management and holding company with interests in the financial-services industry through its controlling interests in Great-West Life and IGM Financial. It also has holdings in Pargesa, a diversified industrial group based in Europe. In December 2019, Power Corporation announced it acquired the remaining shares of Power Financial in a transaction that is expected to be completed during the first half of 2020.</t>
  </si>
  <si>
    <t>Asset Management*, Holding Companies</t>
  </si>
  <si>
    <t>assets manager, assets managing, holding company, portfolio management service</t>
  </si>
  <si>
    <t>www.powerfinancial.com</t>
  </si>
  <si>
    <t>1996: 8800, 1997: 14140, 1998: 14140, 1999: 14140, 2000: 14140, 2001: 14140, 2002: 26000, 2003: 26000, 2004: 26000, 2005: 26000, 2006: 26000, 2007: 26000, 2008: 30000, 2009: 29250, 2010: 29700, 2011: 29100, 2012: 17350, 2013: 20970, 2014: 24050, 2015: 25720, 2016: 26879, 2017: 26808, 2018: 28000, 2019: 28400</t>
  </si>
  <si>
    <t>Power Corporation of Canada</t>
  </si>
  <si>
    <t>92701-45P</t>
  </si>
  <si>
    <t>Gregory Tretiak</t>
  </si>
  <si>
    <t>Executive Vice-President and Chief Financial Officer</t>
  </si>
  <si>
    <t>+1 (514) 286-7400</t>
  </si>
  <si>
    <t>751 Victoria Square</t>
  </si>
  <si>
    <t>H2Y 2J3</t>
  </si>
  <si>
    <t>+1 (514) 286-7430</t>
  </si>
  <si>
    <t>The company was acquired by Power Corporation of Canada (TSE: POW) for $8.7 billion on February 13, 2020. Power Corporation of Canada issued 250,628,173 Subordinate
Voting Shares at a price of $34.66 per Subordinate Voting Share and $2 million in cash.</t>
  </si>
  <si>
    <t>RBC Capital Markets(Advisor: General)</t>
  </si>
  <si>
    <t>10399-87</t>
  </si>
  <si>
    <t>HD Supply</t>
  </si>
  <si>
    <t>HDS</t>
  </si>
  <si>
    <t>HD Supply Holdings, Inc.</t>
  </si>
  <si>
    <t>Ferrellgas Partners, WESCO International, Maintenance Supply Headquarters, W.W. Grainger, Fastenal, Graybar Electric Company, Rexel, Kenseal Construction Products</t>
  </si>
  <si>
    <t>Through a combination of acquisitions and organic growth, HD Supply has become one of the largest industrial distributors in North America. It is currently the market leader in the two sectors in which it operates (facilities and home improvement maintenance, repair, and operations and specialty construction). Today, HD Supply offers approximately 600,000 stock-keeping units and serves 500,000 customers through 270 branches and 44 distribution centers across the United States and Canada. HD Supply sold its construction and industrial business for $2.5 billion net of taxes and transaction costs in October 2020. On Nov. 16, 2020, Home Depot announced it had entered into a definitive agreement to acquire HD Supply for $56 per share.</t>
  </si>
  <si>
    <t>Building Products, Distributors/Wholesale*, Specialty Retail</t>
  </si>
  <si>
    <t>communication product, electric distribution product, electric transmission product, logistic, maintenance product, repair product, water transmission product</t>
  </si>
  <si>
    <t>www.hdsupply.com</t>
  </si>
  <si>
    <t>2010: 15300, 2012: 14400, 2013: 15000, 2014: 15500, 2015: 15000, 2016: 14000, 2017: 14000, 2018: 11000, 2019: 11500, 2020: 11500</t>
  </si>
  <si>
    <t>The Home Depot</t>
  </si>
  <si>
    <t>62797-33P</t>
  </si>
  <si>
    <t>Evan Levitt</t>
  </si>
  <si>
    <t>Senior Vice President, Chief Financial Officer and Chief Administrative Officer</t>
  </si>
  <si>
    <t>+1 (770) 852-9000</t>
  </si>
  <si>
    <t>3400 Cumberland Boulevard South East</t>
  </si>
  <si>
    <t>30339</t>
  </si>
  <si>
    <t>The company was acquired by The Home Depot (NYS: HD) for $8.692 billion on December 24, 2020. As a result of the transaction, The Home Depot will now hold an 82.9% stake in the company. The transaction enables The Home Depot to become a premier provider in the MRO marketplace.</t>
  </si>
  <si>
    <t>Bain Capital, Clayton, Dubilier &amp; Rice, Fidelity Investments, JANA Partners, The Carlyle Group, Wellington Management</t>
  </si>
  <si>
    <t>Bain Capital(www.baincapital.com), Clayton, Dubilier &amp; Rice(www.cdr-inc.com), Fidelity Investments(www.fidelity.com), JANA Partners(www.janapartners.com), The Carlyle Group(www.carlyle.com), Wellington Management(www.wellington.com)</t>
  </si>
  <si>
    <t>Barclays(Advisor: General), Barrington Associates(Underwriter), BB&amp;T Capital Markets(Advisor: General), Citibank(Advisor: General), Credit Suisse Securities (USA)(Advisor: General), Deutsche Bank Securities(Advisor: General), Hilco Real Estate(Advisor: General), J.P. Morgan(Advisor: General), RBC Capital Markets(Advisor: General), The Belanger Valuation Group(Valuation/Appraiser), Vetus Partners(Advisor: General)</t>
  </si>
  <si>
    <t>Bank of America Merrill Lynch(Underwriter), Barclays Investment Bank(Underwriter), BB&amp;T Capital Markets(Debt Financing), Cahill(Legal Advisor), Citigroup(Advisor: General), Citigroup Global Markets(Underwriter), Corporate Risk Solutions(Advisor: General), Credit Suisse(Underwriter), Debevoise &amp; Plimpton(Legal Advisor), Deutsche Bank(Debt Financing), Deutsche Bank Securities(Underwriter), Drexel Hamilton(Underwriter), FS KKR Capital(Debt Financing), FS KKR Capital Corp. II(Debt Financing), Guzman &amp; Company(Underwriter), J.P. Morgan(Underwriter), Jones Day(Legal Advisor), Lehman Brothers(Debt Financing), Merrill Lynch Pierce Fenner &amp; Smith(Underwriter), Morgan Stanley(Underwriter), Piper Sandler(Advisor: General), PwC(Advisor: General), Raymond James Financial(Underwriter), Robert W. Baird &amp; Co(Underwriter), Ropes &amp; Gray(Legal Advisor), Stikeman Elliott(Legal Advisor), SunTrust Robinson Humphrey(Underwriter), The Goldman Sachs Group(Debt Financing), UBS Group(Debt Financing), Wachtell, Lipton, Rosen &amp; Katz(Legal Advisor), Wells Fargo(Debt Financing), William Blair &amp; Company(Underwriter)</t>
  </si>
  <si>
    <t>458694-64</t>
  </si>
  <si>
    <t>Telxius (30,722 Telecommunication Tower Sites)</t>
  </si>
  <si>
    <t>A portfolio of approximately 30,722 telecommunication tower sites. The tower sites are based in Germany, Spain, Brazil, Chile, Peru and Argentina.</t>
  </si>
  <si>
    <t>Buildings and Property*, Telecommunications Service Providers</t>
  </si>
  <si>
    <t>telecom asset, telecommunication asset, telecommunication asset portfolio, telecommunication tower asset, telecommunication tower portfolio</t>
  </si>
  <si>
    <t>American Tower acquired the tower division of Telxius for an estimated EUR 7.1 billion on June 3, 2021. The assets are no longer actively tracked by PitchBook.</t>
  </si>
  <si>
    <t>American Tower</t>
  </si>
  <si>
    <t>Telxius</t>
  </si>
  <si>
    <t>Telxius(www.telxius.com)</t>
  </si>
  <si>
    <t>EY(Advisor: General)</t>
  </si>
  <si>
    <t>51433-75</t>
  </si>
  <si>
    <t>Novion Property Group</t>
  </si>
  <si>
    <t>CFS Retail Property Trust, Gandel Retail Trust, CFS Retail Property Trust Group, CFS Gandel Retail Trust</t>
  </si>
  <si>
    <t>Provider of retail property management services. The company's retail property management services include asset management, investment management, capital management and other related services, enabling clients to receive stable risk-adjusted returns.</t>
  </si>
  <si>
    <t>estate investment, property investment, real estate, retail property</t>
  </si>
  <si>
    <t>www.novion.com.au</t>
  </si>
  <si>
    <t>63022-51P</t>
  </si>
  <si>
    <t>Angus McNaughton</t>
  </si>
  <si>
    <t>Chief Executive Officer &amp; Managing Director</t>
  </si>
  <si>
    <t>angus.mcnaughton@novion.com.au</t>
  </si>
  <si>
    <t>Level 39, MLC Centre</t>
  </si>
  <si>
    <t>19 Martin Place</t>
  </si>
  <si>
    <t>2001</t>
  </si>
  <si>
    <t>The company was acquired by Vicinity Centres (ASX: VCX) through a reverse merger, resulting in the combined entity trading on the ASX Stock Exchange under the ticker symbol VCX on June 11, 2015. The company is no longer actively tracked by PitchBook.</t>
  </si>
  <si>
    <t>Vicinity Centres</t>
  </si>
  <si>
    <t>Flagstaff Partners(Advisor: General), Grant Samuel Group(Advisor: General)</t>
  </si>
  <si>
    <t>42011-02</t>
  </si>
  <si>
    <t>Markwest Energy Partners</t>
  </si>
  <si>
    <t>Markwest, MarkWest Energy</t>
  </si>
  <si>
    <t>MarkWest Energy Partners, L.P.</t>
  </si>
  <si>
    <t>ONEOK, Enterprise Products Partners, Blue Roads Solutions, Plains All American Pipeline, Energy Transfer, Kinder Morgan, SemGroup, Midcoast Energy Partners, BlueRacer Midstream, Magellan Midstream Partners, Santa Fe Midstream, EnLink Midstream, EagleClaw Midstream Ventures, Spectra Energy, Open Grid Europe, Dominion Questar, Alliance Pipeline, Tallgrass Energy Partners, Enbridge, ARB Midstream, Pembina Pipeline, Genesis Energy, Tristream Energy, Antero Midstream Partners, Enable Midstream Partners, Thigpen Energy, Transneft, Targa Resources, Blueknight Energy Partners</t>
  </si>
  <si>
    <t>Markwest Energy Partners is a provider of natural gas distribution services in the United States. The company's operations include gathering, processing and transportation of natural gas and crude oil products, in addition, it offers fractionation, storage and marketing of these products, enabling clients to avail natural gas products in an efficient way.</t>
  </si>
  <si>
    <t>Energy Marketing*, Energy Storage, Energy Transportation</t>
  </si>
  <si>
    <t>crude oil, natural gas, natural gas distributor, natural gas marketing, natural gas processing</t>
  </si>
  <si>
    <t>www.markwest.com</t>
  </si>
  <si>
    <t>2005: 372, 2006: 318, 2007: 356, 2008: 471, 2009: 520, 2010: 590, 2011: 683, 2012: 881, 2013: 1139, 2014: 1404</t>
  </si>
  <si>
    <t>188632-00P</t>
  </si>
  <si>
    <t>John Molleknkopf</t>
  </si>
  <si>
    <t>jmolleknkopf@markwest.com</t>
  </si>
  <si>
    <t>+1 (303) 925-9200</t>
  </si>
  <si>
    <t>1515 Arapahoe Street</t>
  </si>
  <si>
    <t>Tower 1, Suite 1600</t>
  </si>
  <si>
    <t>+1 (303) 290-8769</t>
  </si>
  <si>
    <t>The company (NYSE: MWE) was acquired by Marathon Petroleum (NYSE: MPC) for $8.60 billion on December 4, 2015.</t>
  </si>
  <si>
    <t>Kayne Anderson Capital Advisors, Tortoise Energy Infrastructure</t>
  </si>
  <si>
    <t>Bowles Rice(Legal Advisor), Institutional Shareholder Services(Advisor: General)</t>
  </si>
  <si>
    <t>Cravath, Swaine &amp; Moore(Legal Advisor), Credit Suisse(Underwriter), Egan-Jones(Advisor: General), Glass Lewis(Advisor: General), Institutional Shareholder Services(Advisor: General), J.P. Morgan(Underwriter), Jefferies Hoare Govett(Advisor: General), KeyBank(Underwriter), Mackenzie Partners(Advisor: General), Morris, Nichols, Arsht &amp; Tunnell(Legal Advisor), PwC(Accounting), RBC Capital Markets(Underwriter), RBC Dain Rauscher.(Underwriter), Stifel Financial(Underwriter), Vinson &amp; Elkins(Legal Advisor), Wells Fargo Advisors(Underwriter)</t>
  </si>
  <si>
    <t>10379-89</t>
  </si>
  <si>
    <t>BEA Systems</t>
  </si>
  <si>
    <t>BEA</t>
  </si>
  <si>
    <t>BEA Systems Inc.</t>
  </si>
  <si>
    <t>BEA Systems was a provider of enterprise software tailored to delivering business solutions. On April 29, 2008 the firm was acquired by Oracle.</t>
  </si>
  <si>
    <t>computer software, enterprise software, infrastructure software, java middleware, software services</t>
  </si>
  <si>
    <t>www.bea.com</t>
  </si>
  <si>
    <t>2006: 3878, 2007: 4278, 2008: 4117, 2009: 57, 2010: 43</t>
  </si>
  <si>
    <t>2315 North First Street</t>
  </si>
  <si>
    <t>The company was acquired by Oracle (NASDAQ:ORCL) for $8.6 billion on April 29, 2008. The company is no longer actively tracked by PitchBook.</t>
  </si>
  <si>
    <t>Canaan Partners, FTV Capital, NIF Ventures, Red Rock Ventures, RWI Ventures, Sierra Ventures</t>
  </si>
  <si>
    <t>Fidelity Investments, Warburg Pincus</t>
  </si>
  <si>
    <t>Canaan Partners(www.canaan.com), FTV Capital(www.ftvcapital.com), NIF Ventures(www.nifventures.com), Red Rock Ventures(www.redrockventures.com), RWI Ventures(www.rwiventures.com), Sierra Ventures(www.sierraventures.com)</t>
  </si>
  <si>
    <t>Fidelity Investments(www.fidelity.com), Warburg Pincus(www.warburgpincus.com)</t>
  </si>
  <si>
    <t>International Interface Co.(Consulting), Laurel (Brooklyn)(Consulting), The Capital Corporation(Advisor: General), Tonex(Consulting)</t>
  </si>
  <si>
    <t>Alex Brown &amp; Sons(Underwriter), Architect Partners(Advisor: General), Robertson Stephens (Out of Business in 2017)(Underwriter), Soundview Financial Associates(Underwriter), The Goldman Sachs Group(Underwriter), Wachtell, Lipton, Rosen &amp; Katz(Legal Advisor)</t>
  </si>
  <si>
    <t>42121-99</t>
  </si>
  <si>
    <t>EnLink Midstream Partners</t>
  </si>
  <si>
    <t>ENLK</t>
  </si>
  <si>
    <t>Enlink Midstream Partners LP</t>
  </si>
  <si>
    <t>EQT Production Company, QEP Resources, Newfield Exploration, Santa Fe Midstream, Genesis Energy, Targa Resources, Dakota Plains Holdings, LukOil</t>
  </si>
  <si>
    <t>Provider of midstream services. The company provides services in natural gas, crude oil, condensate, and NGL commodities. EnLink operates is focused on the core growth areas of the Permian's Midland and Delaware basins, Oklahoma's Midcontinent, and Lousiana's Gulf Coast.</t>
  </si>
  <si>
    <t>crude storage, midstream assets, midstream infrastructure, rail transportation</t>
  </si>
  <si>
    <t>2002: 126, 2003: 189, 2004: 325, 2005: 496, 2006: 610, 2007: 700, 2008: 780, 2009: 780, 2010: 469, 2011: 494, 2012: 736, 2013: 817, 2014: 1148, 2015: 1432, 2016: 1472, 2017: 1494, 2018: 1449, 2019: 1355</t>
  </si>
  <si>
    <t>1722 Routh Street</t>
  </si>
  <si>
    <t>Suite 1300</t>
  </si>
  <si>
    <t>The company was acquired by EnLink Midstream and Global Infrastructure Partners (NYS: ENLC) for $8.6 billion on January 25, 2019 for an undisclosed sum. According to the terms of the transaction, each ENLK common unit converted into the right to receive 1.15 ENLC common units and the incentive distribution rights in ENLK were eliminated. As a result of the transaction, ENLK's common units will no longer be publicly traded. EnLink's Series B Preferred Units, Series C Preferred Units, and senior notes will continue to remain outstanding at ENLK. The company is no longer actively tracked by PitchBook.</t>
  </si>
  <si>
    <t>Global Infrastructure Partners</t>
  </si>
  <si>
    <t>EnLink Midstream</t>
  </si>
  <si>
    <t>Devon Energy, NGP, The Goldman Sachs Group, TPG</t>
  </si>
  <si>
    <t>Global Infrastructure Partners(www.global-infra.com)</t>
  </si>
  <si>
    <t>Devon Energy(www.devonenergy.com), NGP(www.ngpenergycapital.com), The Goldman Sachs Group(www.goldmansachs.com), TPG(www.tpg.com)</t>
  </si>
  <si>
    <t>Embark Consulting(Accounting), Seaport Global(Advisor: General)</t>
  </si>
  <si>
    <t>Evercore Group(Advisor: General), Gibson, Dunn &amp; Crutcher(Legal Advisor), Potter Anderson &amp; Corroon(Legal Advisor)</t>
  </si>
  <si>
    <t>151584-85</t>
  </si>
  <si>
    <t>Glamis Gold</t>
  </si>
  <si>
    <t>Renniks Resources</t>
  </si>
  <si>
    <t>Glamis</t>
  </si>
  <si>
    <t>Glamis Gold Ltd</t>
  </si>
  <si>
    <t>ECU Silver Mining</t>
  </si>
  <si>
    <t>Provider of exploration services based in Nevada. The company is engaged in the exploration and extraction of gold and other precious metals operating in the United States.</t>
  </si>
  <si>
    <t>Gold Mining*, Precious Metals and Minerals Mining</t>
  </si>
  <si>
    <t>gold exploration service, gold mining frim, gold mining site, gold producer, mineral extraction</t>
  </si>
  <si>
    <t>www.glamis.com</t>
  </si>
  <si>
    <t>1990: 109, 1991: 109, 1992: 109, 1993: 150, 1994: 150, 1995: 236, 1996: 208, 1997: 190, 1998: 143, 1999: 143, 2000: 143, 2001: 462, 2002: 462, 2003: 462, 2004: 462, 2005: 462, 2006: 1352</t>
  </si>
  <si>
    <t>132298-66P</t>
  </si>
  <si>
    <t>Kevin McArthur</t>
  </si>
  <si>
    <t>Reno, NV</t>
  </si>
  <si>
    <t>5190 Neil Road</t>
  </si>
  <si>
    <t>Suite 310</t>
  </si>
  <si>
    <t>Reno</t>
  </si>
  <si>
    <t>Nevada</t>
  </si>
  <si>
    <t>89502</t>
  </si>
  <si>
    <t>The company was acquired by Goldcorp for $8.6 billion on November 4, 2004.The acquisition will help create a new entity which will be low cost gold producer. The company is no longer actively tracked by PitchBook.</t>
  </si>
  <si>
    <t>40617-19</t>
  </si>
  <si>
    <t>Skype</t>
  </si>
  <si>
    <t>Skype Technologies</t>
  </si>
  <si>
    <t>Skype Technologies S.A.R.L</t>
  </si>
  <si>
    <t>Pinger (Communication Software), WhatsApp, Nimbuzz, WeChat, HipChat, Telegram, textPlus, Fring, Mailburn, FreedomPop, Silent Circle, Hike, TextNow, Oovoo, Zip Phone, Wickr, MariTEL, Zoom Video Communications, KaKao, Discord, The World's Online Festival, Kik (Communication Software), Viber Media, LifeSize, Snap Internet, Nucleus (Wireless Communications Equipment), Onmobile Global, LINE</t>
  </si>
  <si>
    <t>Creator of a software application enabling users to make voice, video calls and chats through the Internet. The company's service encrypts calls, chats and file transfers for transmission through the Internet. The company also offers voicemail and call-forwarding services.</t>
  </si>
  <si>
    <t>Communication Software*, Other Communications and Networking, Telecommunications Service Providers</t>
  </si>
  <si>
    <t>instant message, internet telephony, voip</t>
  </si>
  <si>
    <t>Debt Financed, M&amp;A, Private Equity, Venture Capital</t>
  </si>
  <si>
    <t>www.skype.com</t>
  </si>
  <si>
    <t>53643-16P</t>
  </si>
  <si>
    <t>Toivo Annus</t>
  </si>
  <si>
    <t>toivo@asi.ee</t>
  </si>
  <si>
    <t>Luxembourg, Luxembourg</t>
  </si>
  <si>
    <t>23-29 Rives de Clausen</t>
  </si>
  <si>
    <t>6e etage</t>
  </si>
  <si>
    <t>Luxembourg</t>
  </si>
  <si>
    <t>2165</t>
  </si>
  <si>
    <t>+352 26 20 15 82</t>
  </si>
  <si>
    <t>+352 26 27 05 88</t>
  </si>
  <si>
    <t>The company was acquired by Microsoft (NASDAQ: MSFT) for $8.6 billion on October 13, 2011.</t>
  </si>
  <si>
    <t>Andreessen Horowitz, Atomico, Benjamin Horowitz, Bessemer Venture Partners, CampVentures, Canada Pension Plan Investment Board, Draper Associates, Draper Fisher Jurvetson Management, Draper Investment Company, Draper Richards, eBay, ePlanet Capital, Europlay Capital Advisors, Horizons Ventures, Index Ventures, Klaus Hommels, Lakestar, Mangrove Capital Partners, Marc Andreessen, Morten Lund, Silver Lake</t>
  </si>
  <si>
    <t>Andreessen Horowitz(www.a16z.com), Atomico(www.atomico.com), Benjamin Horowitz(www.bhorowitz.com), Bessemer Venture Partners(www.bvp.com), CampVentures(www.campventures.com), Canada Pension Plan Investment Board(www.cppinvestments.com), Draper Associates(www.draper.vc), Draper Fisher Jurvetson Management(www.dfj.com), Draper Investment Company(www.draperco.com), Draper Richards(www.draperrichards.com), eBay(www.ebay.com), ePlanet Capital(www.eplanetcapital.com), Europlay Capital Advisors(europlaycapital.com/site), Horizons Ventures(www.horizonsventures.com), Index Ventures(www.indexventures.com), Lakestar(www.lakestar.com), Mangrove Capital Partners(www.mangrove.vc), Silver Lake(www.silverlake.com)</t>
  </si>
  <si>
    <t>Accourt(Consulting), Eden McCallum(Consulting), Hippocorn Partners(Advisor: General), JAG Shaw Baker(Legal Advisor), MadsenScripps(Consulting), Practicus(Advisor: General), PwC(Auditor), Sorainen(Legal Advisor)</t>
  </si>
  <si>
    <t>Barclays(Debt Financing), Dewey &amp; LeBoeuf(Legal Advisor), Global PMI Partners(Advisor: General), Golub Capital BDC(Debt Financing), J.P. Morgan(Debt Financing), Morgan Stanley(Advisor: General), Oxford Square Capital(Debt Financing), RBC Capital Markets(Debt Financing), Sidley Austin(Legal Advisor), Skadden, Arps, Slate, Meagher &amp; Flom(Legal Advisor), Stradling Yocca Carlson &amp; Rauth(Legal Advisor), Stubbs Alderton &amp; Markiles(Legal Advisor), The Goldman Sachs Group(Advisor: General), Van Bael &amp; Bellis(Legal Advisor)</t>
  </si>
  <si>
    <t>10995-40</t>
  </si>
  <si>
    <t>Verizon Communications (NYS: VZ)</t>
  </si>
  <si>
    <t>Bell Atlantic Corp</t>
  </si>
  <si>
    <t>Verizon</t>
  </si>
  <si>
    <t>Verizon Communications, Inc.</t>
  </si>
  <si>
    <t>AT&amp;T, Lumen Technologies, Consolidated Communications, T-Mobile (US), Sparklight, Vodafone Group, Deutsche Telekom, Telecom Italia, Etihad Atheeb Telecommunication, Cricket Wireless, TIM Celular, Kazakhtelecom, Orange, Telefónica, Vodafone Idea, 1stPoint Communications, M1, TracFone Wireless, T-Mobile Netherlands, Altice Portugal, GCI Communication, U.S. Cellular, Telecom Liechtenstein, China Telecom, Singtel, Virgin Mobile USA, Inseego, Telecom Argentina, ACN, Reliance Communications, Hurricane Electric, RCN (San Francisco Operations), Zayo Group, Bouygues Telecom, Mediacom, Sprint, Broadview Networks, nTelos, Mobilitie, Atlant Telecom, iWireless, Comcast, Telstra, Spectrum</t>
  </si>
  <si>
    <t>Verizon is now primarily a wireless business (more than 70% of revenue and nearly all operating income). It serves about 91 million postpaid and 4 million prepaid phone customers and connects another 25 million data devices, like tablets, via its nationwide network, making it the largest U.S. wireless carrier. The firm has agreed to acquire Tracfone, a wireless reseller that serves about 20 million prepaid customers in the U.S., from America Movil. Fixed-line telecom operations include local networks (12% of revenue) in the Northeast, which reach about 25 million homes and businesses, and nationwide enterprise services (10%). Verizon Media Group, the online media and advertising firm formed with the acquisitions of AOL and Yahoo, provides the remainder of revenue.</t>
  </si>
  <si>
    <t>communication service, domestic wireless, telecom, telecommunication, wireless communication</t>
  </si>
  <si>
    <t>Debt Financed, Publicly Listed</t>
  </si>
  <si>
    <t>www.verizon.com</t>
  </si>
  <si>
    <t>1989: 79100, 1990: 81600, 1991: 75700, 1992: 71400, 1993: 73600, 1994: 72300, 1995: 61800, 1996: 62600, 1997: 141089, 1998: 140000, 1999: 145000, 2000: 260000, 2001: 247000, 2002: 229500, 2003: 203100, 2004: 210000, 2005: 217000, 2006: 242000, 2007: 235000, 2008: 223900, 2009: 222900, 2010: 195100, 2011: 196200, 2012: 191800, 2013: 181900, 2014: 178500, 2015: 178500, 2016: 173300, 2017: 163400, 2018: 154700, 2019: 139400, 2020: 135500</t>
  </si>
  <si>
    <t>VZ</t>
  </si>
  <si>
    <t>152700-04P</t>
  </si>
  <si>
    <t>Matthew Ellis</t>
  </si>
  <si>
    <t>+1 (908) 559-2001</t>
  </si>
  <si>
    <t>1095 Avenue of the Americas</t>
  </si>
  <si>
    <t>+1 (212) 395-1000</t>
  </si>
  <si>
    <t>PennatPark Investments sold its stake in the company (NYSE: VZ) on March 6, 2017. The company did not get any proceeds from the offering.</t>
  </si>
  <si>
    <t>Berkshire Hathaway, Koa Labs</t>
  </si>
  <si>
    <t>PennantPark Investment, Third Point</t>
  </si>
  <si>
    <t>Berkshire Hathaway(www.berkshirehathaway.com), Koa Labs(www.koalab.com)</t>
  </si>
  <si>
    <t>Third Point(www.thirdpoint.com)</t>
  </si>
  <si>
    <t>4iNNO(Consulting), A/E/C Solutions(Consulting), Acumen Learning(Consulting), Adept Resources Group(Consulting), Alliant Partners(Advisor: General), American Consulting Group(Consulting), Ameritraining(Consulting), Aspen Worldwide(Consulting), Assess IT(Consulting), B2World(Advisor: General), Barclays Investment Bank(Underwriter), BarkerGilmore(Consulting), Bartlit Beck(Legal Advisor), Blaylock Van(Underwriter), Bluestein &amp; Associates (Advisory)(Advisor: General), Boyanov &amp; Company(Legal Advisor), Business Talent Group(Consulting), CastleOak Securities(Underwriter), CET(Advisor: General), Citigroup Global Markets(Underwriter), Concitor(Consulting), Drexel Hamilton(Underwriter), Emptech(Consulting), EY(Auditor), Fiduciary Counselors(Consulting), Guzman &amp; Company(Advisor: General), J.P. Morgan Securities(Underwriter), Keystone Strategy(Consulting), Larmon Media Group(Consulting), Loop Capital Markets(Debt Financing), Matter Communications(Advisor: General), McCarthy Tétrault(Legal Advisor), Merrill Lynch Pierce Fenner &amp; Smith(Underwriter), Mesirow Financial(Advisor: General), Morgan Stanley(Underwriter), Muriel Siebert &amp; Co.(Underwriter), PMI Advisors(Consulting), Progressive Intelligence(Consulting), Red Chalk Group(Consulting), Sabio Technology Partners(Advisor: General), SaxonCantrell(Consulting), SWBi International(Advisor: General), TD Securities(Underwriter), Texas Consilium(Consulting), The Audible Group(Consulting), The Belanger Valuation Group(Valuation/Appraiser), TLT(Legal Advisor), Tonex(Consulting), Vaco(Consulting), Velocity Resource Group(Consulting), Versailles Group(Advisor: General)</t>
  </si>
  <si>
    <t>Mediobanca(Placement Agent)</t>
  </si>
  <si>
    <t>119353-78</t>
  </si>
  <si>
    <t>Sonangol Sinopec International</t>
  </si>
  <si>
    <t>SSI</t>
  </si>
  <si>
    <t>Sonangol Sinopec International Ltd.</t>
  </si>
  <si>
    <t>Provider of oil and gas production services. The company owns a 50% interest in Angola Block 18, a deep-water oil asset in Angola.</t>
  </si>
  <si>
    <t>Energy Production*</t>
  </si>
  <si>
    <t>114241-51P</t>
  </si>
  <si>
    <t>Ning Li</t>
  </si>
  <si>
    <t>Two Pacific Place, 88 Queensway</t>
  </si>
  <si>
    <t>Suite 1001</t>
  </si>
  <si>
    <t>The company was acquired by China Petroleum &amp; Chemical (SHG: 600028) for $2.46 billion on September 30, 2010. The company is no longer actively tracked by PitchBook.</t>
  </si>
  <si>
    <t>Sinopec</t>
  </si>
  <si>
    <t>Sinopec Overseas Oil &amp; Gas</t>
  </si>
  <si>
    <t>183991-42</t>
  </si>
  <si>
    <t>AstraZeneca (Lynparza and Selumetinib)</t>
  </si>
  <si>
    <t>A portfolio of oncology drugs. The portfolio comprises of LYNPARZA, an innovative, oral poly ADP ribose polymerase (PARP) inhibitor for treating ovarian cancer and Selumetinib, an oral, potent, selective inhibitor of MEK for treating thyroid cancer.</t>
  </si>
  <si>
    <t>Biotechnology, Buildings and Property*, Drug Discovery</t>
  </si>
  <si>
    <t>cancer drug testing</t>
  </si>
  <si>
    <t>1 Francis Crick Avenue</t>
  </si>
  <si>
    <t>Cambridge Biomedical Campus</t>
  </si>
  <si>
    <t>CB2 0AA</t>
  </si>
  <si>
    <t>The drug portfolio of Lynparza and Selumetinib of AstraZeneca was acquired by Merck &amp; Co. (NYSE: MRK) for $8.5 billion on July 26, 2017. The consideration includes $1.6 billion upfront, $750 million for certain license options and up to an additional $6.15 billion contingent upon successful achievement of future regulatory and sales milestones. The asset is no longer actively tracked by PitchBook.</t>
  </si>
  <si>
    <t>10513-09</t>
  </si>
  <si>
    <t>Caesars Entertainment (Acquired by Eldorado Resorts)</t>
  </si>
  <si>
    <t>Harrah's Entertainment</t>
  </si>
  <si>
    <t>Caesars</t>
  </si>
  <si>
    <t>Caesars Entertainment Corp</t>
  </si>
  <si>
    <t>Wynn Resorts, MGM Resorts International, Sands China, Caesars Entertainment</t>
  </si>
  <si>
    <t>Caesars was founded in 1937 and today operates 49 casino properties in 13 U.S. states and five countries (with a sixth noncasino resort in Dubai), primarily under the Caesars, Harrah's, and Horseshoe brands (while also operating the Flamingo, Paris, Rio, and Planet Hollywood in Las Vegas). Between January 2015 and October 2017, Caesars Entertainment went through a reorganization under bankruptcy. Today, Caesars' three main segments are Las Vegas (61% of 2019 EBITDAR) and other U.S. (44%), with the remainder from managed, license, and joint venture properties. In June 2019, Eldorado proposed an acquisition of Caesars, which we expect to close in the near future.</t>
  </si>
  <si>
    <t>Casinos and Gaming*, Leisure Facilities</t>
  </si>
  <si>
    <t>casino club, casino gaming, casino gaming technology, casino-entertainment company, entertainment area, gaming service</t>
  </si>
  <si>
    <t>1990: 23100, 1991: 23100, 1992: 23000, 1993: 23000, 1994: 28500, 1995: 28500, 1996: 22000, 1997: 23400, 1998: 26029, 1999: 36100, 2000: 36100, 2001: 42000, 2002: 42000, 2003: 42000, 2004: 46600, 2005: 85000, 2006: 85000, 2007: 87000, 2008: 80000, 2009: 69000, 2010: 69000, 2011: 70000, 2012: 68000, 2013: 68000, 2014: 68000, 2015: 33000, 2016: 31000, 2017: 65000, 2018: 53865, 2019: 64000, 2020: 15500</t>
  </si>
  <si>
    <t>84350-71P</t>
  </si>
  <si>
    <t>Eric Hession</t>
  </si>
  <si>
    <t>Executive Vice President &amp; Chief Financial Officer</t>
  </si>
  <si>
    <t>ehession@caesars.com</t>
  </si>
  <si>
    <t>+1 (702) 407-6000</t>
  </si>
  <si>
    <t>Las Vegas, NV</t>
  </si>
  <si>
    <t>One Caesars Palace Drive</t>
  </si>
  <si>
    <t>Las Vegas</t>
  </si>
  <si>
    <t>89109</t>
  </si>
  <si>
    <t>The company was acquired by Eldorado Resorts (NAS: ERI) for $8.5 billion on July 20, 2020. The consideration comprises of $6.09 billion in cash, $2.4 billion in Eldorado's common stock, $2.4 billion related to the repayment of certain outstanding debt balances of the company and approximately $48 million in other consideration. The proposed transaction will combine two leading gaming companies with complementary national operating platforms, strong brands, strategic industry alliances, and a collective commitment to enhancing guest service and shareholder value. Eldorado Resorts will update its name to Caesars Entertainment, Inc and assume the ticker symbol of CZR on the Nasdaq stock exchange. The company is no longer actively tracked by PitchBook.</t>
  </si>
  <si>
    <t>Caesars Entertainment</t>
  </si>
  <si>
    <t>AlpInvest Partners, Apollo Global Management, Ardian, Auburn Hill Capital, Bear Growth Capital Partners, Bespoke Capital Partners, Crescent Capital Group, Crown Resorts, GoldenTree Asset Management, HarbourVest Partners, Oaktree Capital Management, Paulson &amp; Co., Ridgemont Equity Partners, SPB Partners, Stockwell Capital, The Blackstone Group, The Carlyle Group, TPG, TriArtisan Capital Advisors</t>
  </si>
  <si>
    <t>AlpInvest Partners(www.alpinvest.com), Apollo Global Management(www.apollo.com), Ardian(www.ardian.com), Auburn Hill Capital(auburnhillcapitals.com), Bespoke Capital Partners(www.bespokecp.com), Crescent Capital Group(www.crescentcap.com), Crown Resorts(www.crownresorts.com.au), GoldenTree Asset Management(www.goldentree.com), HarbourVest Partners(www.harbourvest.com), Oaktree Capital Management(www.oaktreecapital.com), Paulson &amp; Co.(www.paulsonco.com), Ridgemont Equity Partners(www.ridgemontep.com), SPB Partners(www.spbpartners.com), Stockwell Capital(www.stockwellcapital.com), The Blackstone Group(www.blackstone.com), The Carlyle Group(www.carlyle.com), TPG(www.tpg.com), TriArtisan Capital Advisors(www.triartisan.com)</t>
  </si>
  <si>
    <t>Carpathia Summits(Consulting), Centerview Partners(Advisor: General), Chilmark Partners(Advisor: General), Citizens Bank(Debt Financing), Deloitte(Auditor), Ellice Consulting Group(Consulting), Emptech(Consulting), Execution Specialists Group(Consulting), Friedman Kaplan Seiler &amp; Adelman(Legal Advisor), Global Leveraged Capital(Advisor: General), Goldin Associates(Advisor: General), Greenhill &amp; Co.(Advisor: General), Macquarie(Debt Financing), Next Level Partners(Consulting), Olshan Frome Wolosky(Legal Advisor), Pacific Investment Management Company(Debt Financing), Rigrodsky &amp; Long(Legal Advisor), Spectrum Gaming Capital(Advisor: General), Tenzing Consulting(Consulting), Truist(Advisor: General), Union Gaming Securities(Advisor: General), Valtus Capital Group(Advisor: General), Zolfo Cooper(Advisor: General)</t>
  </si>
  <si>
    <t>Alston &amp; Bird(Legal Advisor), Apollo Global Management(Debt Financing), Bank of America Merrill Lynch(Advisor: General), Cappello Global(Advisor: General), Citigroup(Debt Financing), Citigroup(Advisor: General), Cleary Gottlieb(Legal Advisor), Credit Suisse(Advisor: General), Deloitte(Auditor), Deutsche Bank(Advisor: General), Gibson, Dunn &amp; Crutcher(Legal Advisor), Global Gaming &amp; Hospitality Morowitz(Advisor: General), Kaye Scholer(Legal Advisor), KeyBank(Underwriter), Kramer Levin Naftalis &amp; Frankel(Legal Advisor), Latham &amp; Watkins(Legal Advisor), Lebenthal Holdings(Underwriter), Millstein &amp; Co.(Advisor: General), O'Melveny &amp; Myers(Legal Advisor), Paul, Weiss, Rifkind, Wharton &amp; Garrison(Legal Advisor), Paulson &amp; Co.(Debt Financing), PJ SOLOMON(Advisor: General), PJT Partners(Advisor: General), Ropes &amp; Gray(Legal Advisor), Samuel A. Ramirez &amp; Company(Underwriter), Skadden, Arps, Slate, Meagher &amp; Flom(Legal Advisor), Stifel Financial(Advisor: General), The Carlyle Group(Debt Financing), The Goldman Sachs Group(Underwriter), TPG(Debt Financing), UBS Group(Advisor: General)</t>
  </si>
  <si>
    <t>123921-28</t>
  </si>
  <si>
    <t>Commerce Bancorp</t>
  </si>
  <si>
    <t>Commerce bank</t>
  </si>
  <si>
    <t>Commerce Bancorp, Inc.</t>
  </si>
  <si>
    <t>Provider of banking services. The company through its subsidiary provides banking services such as saving accounts, credit and lending facilities, financial advisory and online banking services.</t>
  </si>
  <si>
    <t>financial advisory, lending facility, online banking</t>
  </si>
  <si>
    <t>www.commerceonline.com</t>
  </si>
  <si>
    <t>2003: 8200, 2004: 9800, 2006: 11800, 2007: 12700</t>
  </si>
  <si>
    <t>16516-99P</t>
  </si>
  <si>
    <t>Vernon Hill</t>
  </si>
  <si>
    <t>Evesham Township, NJ</t>
  </si>
  <si>
    <t>East Route 70</t>
  </si>
  <si>
    <t>1701 Route 70 East</t>
  </si>
  <si>
    <t>Evesham Township</t>
  </si>
  <si>
    <t>08053</t>
  </si>
  <si>
    <t>The company was acquired by TD Bank for $8.5 billion on March 31, 2008. The company is no longer actively tracked by PitchBook.</t>
  </si>
  <si>
    <t>TD Bank Group</t>
  </si>
  <si>
    <t>Sullivan &amp; Cromwell(Legal Advisor), The Goldman Sachs Group(Advisor: General)</t>
  </si>
  <si>
    <t>42316-84</t>
  </si>
  <si>
    <t>DCT Industrial Trust</t>
  </si>
  <si>
    <t>Dividend Capital Trust</t>
  </si>
  <si>
    <t>DCT</t>
  </si>
  <si>
    <t>DCT Industrial Trust, Inc.</t>
  </si>
  <si>
    <t>Centerpoint Properties, CapitaLand, Caldwell Companies, JLL Property Services (Malaysia), CBRE Group, The Keith Corp., HDFC Realty</t>
  </si>
  <si>
    <t>Provider of logistics real estate services. The company specializes in the ownership, development, acquisition, leasing and management of bulk-distribution and light-industrial properties in high-demand distribution markets in the United States.</t>
  </si>
  <si>
    <t>Buildings and Property*, Construction and Engineering</t>
  </si>
  <si>
    <t>distribution center, industrial development, industrial property, real estate, warehouse space</t>
  </si>
  <si>
    <t>www.dctindustrial.com</t>
  </si>
  <si>
    <t>2002: 24, 2003: 40, 2004: 60, 2005: 90, 2006: 64, 2007: 78, 2008: 81, 2009: 87, 2010: 108, 2011: 117, 2012: 131, 2013: 136, 2014: 145, 2015: 143, 2016: 146, 2017: 145, 2019: 100</t>
  </si>
  <si>
    <t>128602-90P</t>
  </si>
  <si>
    <t>Matthew Murphy</t>
  </si>
  <si>
    <t>mmurphy@dctindustrial.com</t>
  </si>
  <si>
    <t>518 17th Street</t>
  </si>
  <si>
    <t>The company was acquired by Prologis (NYS: PLD) for $8.5 billion on August 22, 2018. DCT offered 1.02 common shares per Prologis common share. The acquirer will refinance $1.8 billion of DCT's debt, of which approximately $850 million was paid off at closing with the remainder to be retired in the third quarter of 2018. The acquisition will allow the acquirer to capture significant scale economies immediately. The company is no longer actively tracked by PitchBook.</t>
  </si>
  <si>
    <t>Barack Ferrazzano(Legal Advisor), BlackArch Partners(Advisor: General), Stream Realty Partners(Consulting)</t>
  </si>
  <si>
    <t>Bank of America Merrill Lynch(Advisor: General), Goodwin(Legal Advisor), Kahn Swick &amp; Foti(Legal Advisor), KPMG(Auditor), Moye Giles O'Keefe Vermeire &amp; Gorrell(Legal Advisor)</t>
  </si>
  <si>
    <t>51187-96</t>
  </si>
  <si>
    <t>GlobalLogic</t>
  </si>
  <si>
    <t>Induslogic</t>
  </si>
  <si>
    <t>GlobalLogic, Inc.</t>
  </si>
  <si>
    <t>Encora, Unosquare, ThoughtWorks, Celstream, Belatrix Software, BairesDev, CSS Corp, Tiempo Development, Conneqt Business Solutions, NTT (United Kingdom), Appirio, Velocity Partners, Samsung SDS Company, Luxoft Holding, Global Agency (Tanzania), Cloud Sherpas, EPAM Systems, TeamDev, Synechron, Pactera Technology International, SoftServe (Ukraine), Mindteck (India), Itransition, Intellias, Altimetrik, ValueLabs (IT company), Intetics, CMS Group (France), Lohika (IT Consulting and Outsourcing), Tech Mahindra, Ciklum, MindTree, Tieto EVRY, Coforge, Cap Gemini BAS, Tata Consultancy Services, Sapient (US), Grupo ASSA Worldwide, CGI Group, CI&amp;T, Photon Interactive UK, SweetRush, Bahwan CyberTek, Callisto Integration, Virtusa, Ness Technologies, NTT Data, Architech (Consulting Services), Globalsoft Solutions, Genpact, Exadel, Cybage, Globant, Alliance Technologies, Fujitsu, Infor Global Solutions, Arago, Tata Technologies, Diaspark, Avantica Technologies, Aricent, Symphony Teleca, Hexaware Technologies, Sutherland Global Services, Altran Technologies, Sigma IT &amp; Management, Intellisense, Prodapt, Eleks, NICE Systems, Talentica, DataArt, Seaweed File System, AgileEngine, Trilogy (Austin), Google Cloud Platform, Devoteam, Cisco Systems, Persistent Systems, Hewlett Packard Enterprise, Oracle, Infosys, Riverbed Technology, Dell Technologies</t>
  </si>
  <si>
    <t>Provider of full-lifecycle product development services intended for the communications, financial services, automotive, healthcare and life sciences, media and entertainment and semiconductor industries. The company integrates design, software engineering and vertical industry expertise, thereby helping clients design and develop software that powers products, platforms and digital experiences.</t>
  </si>
  <si>
    <t>IT Consulting and Outsourcing*</t>
  </si>
  <si>
    <t>customer research, digital product developer, software development, software engineer, technology services</t>
  </si>
  <si>
    <t>www.globallogic.com</t>
  </si>
  <si>
    <t>2010: 3200, 2013: 6600, 2016: 10000, 2017: 12000, 2018: 12000, 2019: 13000, 2020: 16000, 2021: 21000</t>
  </si>
  <si>
    <t>35787-88P</t>
  </si>
  <si>
    <t>Shashank Samant</t>
  </si>
  <si>
    <t>shashank.samant@globallogic.com</t>
  </si>
  <si>
    <t>+1 (408) 273-8900</t>
  </si>
  <si>
    <t>1741 Technology Drive</t>
  </si>
  <si>
    <t>95110</t>
  </si>
  <si>
    <t>info@globallogic.com</t>
  </si>
  <si>
    <t>The company was acquired by Hitachi (TKS: 6501) for $8.5 billion on July 13, 2021. The acquisition will enhance Hitachi Group's ability to deliver on its strategy to promote Social Innovation Business through digital technology to solve the issues faced by customers and society. The total acquisition cost, including repayment of GlobalLogic's interest-bearing debt, is $9.6 billion. Previously, the company received $1.72 million of debt financing in the form of a senior secured initial term loan from Audax Credit BDC on August 1, 2020.</t>
  </si>
  <si>
    <t>ACE &amp; Company, Altamir, Apax Partners, Black Diamond Ventures, Canada Pension Plan Investment Board, Draper Fisher Jurvetson Management, NAV.VC, New Enterprise Associates, Partners Group, Sequoia Capital India, Siguler Guff &amp; Company, The Goldman Sachs Group, WestBridge Capital Partners</t>
  </si>
  <si>
    <t>ACE &amp; Company(www.aceandcompany.com), Altamir(www.altamir.fr), Apax Partners(www.apax.com), Black Diamond Ventures(bdventures.com), Canada Pension Plan Investment Board(www.cppinvestments.com), Draper Fisher Jurvetson Management(www.dfj.com), NAV.VC(www.nav.vc), New Enterprise Associates(www.nea.com), Partners Group(www.partnersgroup.com), Sequoia Capital India(www.sequoiacap.com/india), Siguler Guff &amp; Company(www.sigulerguff.com), The Goldman Sachs Group(www.goldmansachs.com), WestBridge Capital Partners(www.westbridgecap.com)</t>
  </si>
  <si>
    <t>Audax Credit BDC(Debt Financing), Audax Group(Debt Financing), Capital One Financial(Advisor: General), Cooley(Legal Advisor), East West Bancorp(Advisor: General), Hogan Lovells(Legal Advisor), J.P. Morgan(Advisor: General), Kirkland &amp; Ellis(Legal Advisor), Oaktree Strategic Income(Debt Financing), Oxford Square Capital(Debt Financing), PennantPark Floating Rate Capital(Debt Financing), The Goldman Sachs Group(Advisor: General)</t>
  </si>
  <si>
    <t>11938-60</t>
  </si>
  <si>
    <t>MCI</t>
  </si>
  <si>
    <t>MCI WorldCom</t>
  </si>
  <si>
    <t>MCI, Inc.</t>
  </si>
  <si>
    <t>Provider of communications services to businesses, governments and consumers. The company's services include local and long distance calling, internet access, voice mail, equipment managed network services, and data services.</t>
  </si>
  <si>
    <t>data services, local calling, long distance calling</t>
  </si>
  <si>
    <t>www.mci.com</t>
  </si>
  <si>
    <t>2004: 50000, 2013: 1300</t>
  </si>
  <si>
    <t>Verizon Enterprise Solutions</t>
  </si>
  <si>
    <t>Ashburn, VA</t>
  </si>
  <si>
    <t>22001 Loudoun County Parkway</t>
  </si>
  <si>
    <t>Ashburn</t>
  </si>
  <si>
    <t>20147</t>
  </si>
  <si>
    <t>The company was acquired by Verizon Enterprise Solutions for $8.5 billion on January 6, 2006.</t>
  </si>
  <si>
    <t>Bain Capital, Silver Lake</t>
  </si>
  <si>
    <t>Bain Capital(www.baincapital.com), Silver Lake(www.silverlake.com)</t>
  </si>
  <si>
    <t>B2World(Advisor: General), KP Tech Corporate Finance(Advisor: General), Onyx Asset Advisors(Advisor: General), Tonex(Consulting)</t>
  </si>
  <si>
    <t>Cravath, Swaine &amp; Moore(Legal Advisor), Mackenzie Partners(Advisor: General)</t>
  </si>
  <si>
    <t>40464-46</t>
  </si>
  <si>
    <t>Parexel International</t>
  </si>
  <si>
    <t>Parexel</t>
  </si>
  <si>
    <t>Parexel International Corporation</t>
  </si>
  <si>
    <t>Aragen, Celerion, QPS Holdings, Trial Runners, Citoxlab, Icon, Covance, KinderPharm, WuXi AppTec, Syneos Health, Cogstate, Genae, Charles River Laboratories, Accelovance, INC Research, Bioclinica, Theorem Clinical Research, Pharmaceutical Product Development, ClinTec International, Olon Ricerca Bioscience, ClinDatrix, Premier Research Group, Aptuit, PRA Health Sciences, Hua Medicine, Quintiles</t>
  </si>
  <si>
    <t>Provider of biopharmaceutical services intended to aid in scientific discoveries and new treatments. The company offers a broad range of expertise-based clinical research, consulting, medical communications and technology solutions and services to the worldwide pharmaceutical, biotechnology and medical device industries, helping them in drug development, commercialization continuum, clinical trials management and reimbursement.</t>
  </si>
  <si>
    <t>Biotechnology*, Drug Discovery, Other Healthcare Services</t>
  </si>
  <si>
    <t>biopharmaceutical company, biopharmaceutical firm, clinical services, clinical trials, drug discovery company</t>
  </si>
  <si>
    <t>www.parexel.com</t>
  </si>
  <si>
    <t>1995: 816, 1996: 647, 1997: 2400, 1998: 3705, 1999: 4400, 2000: 4200, 2001: 4640, 2002: 4930, 2003: 5095, 2004: 4875, 2005: 5140, 2006: 5600, 2007: 6485, 2008: 8050, 2009: 9275, 2010: 9720, 2011: 10550, 2012: 12695, 2013: 14700, 2014: 15560, 2015: 18660, 2016: 18600, 2017: 20000, 2019: 20000, 2020: 20000, 2021: 17000</t>
  </si>
  <si>
    <t>38613-25P</t>
  </si>
  <si>
    <t>Jamie Macdonald</t>
  </si>
  <si>
    <t>jamie.macdonald@parexel.com</t>
  </si>
  <si>
    <t>+1 (617) 454-9300</t>
  </si>
  <si>
    <t>Newton, MA</t>
  </si>
  <si>
    <t>275 Grove Street</t>
  </si>
  <si>
    <t>Suite 101C</t>
  </si>
  <si>
    <t>Newton</t>
  </si>
  <si>
    <t>02466</t>
  </si>
  <si>
    <t>info@parexel.com</t>
  </si>
  <si>
    <t>The company entered into a definitive agreement to be acquired by EQT and Goldman Sachs Merchant Banking Division through an $8.5 billion LBO on July 2, 2021. Previously, the company completed a $475 million debt refinancing round on February 9, 2021. The company is being actively tracked by PitchBook.</t>
  </si>
  <si>
    <t>Pamplona Capital Management</t>
  </si>
  <si>
    <t>Boston Capital Ventures, Boston Millennia Partners, Capvis, Corvex Management, EW Healthcare Partners, Invesco, JANA Partners, Starboard Value, Thompson Clive Venture Capital</t>
  </si>
  <si>
    <t>EQT, Goldman Sachs Merchant Banking Division</t>
  </si>
  <si>
    <t>Pamplona Capital Management(www.pamplonafunds.com)</t>
  </si>
  <si>
    <t>Boston Capital Ventures(www.bcv.com), Boston Millennia Partners(www.bostonmillenniapartners.com), Capvis(www.capvis.com), EW Healthcare Partners(www.ewhealthcare.com), Invesco(www.invesco.com), JANA Partners(www.janapartners.com), Starboard Value(www.starboardvalue.com), Thompson Clive Venture Capital(www.tcvc.com)</t>
  </si>
  <si>
    <t>EQT(www.eqtgroup.com)</t>
  </si>
  <si>
    <t>Adams Harkness &amp; Hill Financial(Underwriter), Bank of America Merrill Lynch(Debt Financing), Barclays(Debt Financing), Barings BDC(Debt Financing), Chestnut Securities(Advisor: General), Corporate Capital Trust(Debt Financing), Evercore Group(Advisor: General), Goodwin(Legal Advisor), HSBC Holdings(Debt Financing), J.P. Morgan(Debt Financing), Jefferies Finance(Debt Financing), Kahn Swick &amp; Foti(Legal Advisor), Kirkland &amp; Ellis(Legal Advisor), Lehman Brothers(Underwriter), Morgan Stanley(Debt Financing), Morgan Stanley Wealth Management(Underwriter), PwC(Advisor: General), Quazar Capital(Advisor: General), Rigrodsky &amp; Long(Legal Advisor), Testa Hurwitz &amp; Thibeault(Legal Advisor), The Goldman Sachs Group(Advisor: General), William Blair &amp; Company(Underwriter)</t>
  </si>
  <si>
    <t>65713-78</t>
  </si>
  <si>
    <t>Tegna (NYS: TGNA)</t>
  </si>
  <si>
    <t>Gannett</t>
  </si>
  <si>
    <t>Tegna, Inc.</t>
  </si>
  <si>
    <t>Cumulus Media, Cox Media Group, Media General, Hearst Communications, Postmedia Network Canada, Lee Enterprises, Gannett Company (Acquired 2019), McClatchy, MediaNews Group, DirecTV</t>
  </si>
  <si>
    <t>Tegna Inc is a media company with a portfolio of broadcast stations and digital sites. The firm has around 64 television stations and 2 radio stations in approximately 51 U.S markets. The company owns multicast networks of True Crime Network and Quest. It generates key revenue from advertising and marketing services, subscription, political advertising, and other services.</t>
  </si>
  <si>
    <t>Printing Services (B2B), Publishing*</t>
  </si>
  <si>
    <t>broadcasting station, daily newspaper, printing product, social media marketing service, trade publication</t>
  </si>
  <si>
    <t>www.tegna.com</t>
  </si>
  <si>
    <t>1989: 37000, 1990: 36600, 1991: 36700, 1992: 36700, 1993: 36700, 1994: 36000, 1995: 39100, 1996: 37200, 1997: 39000, 1998: 39400, 1999: 45800, 2000: 53400, 2001: 39400, 2002: 39000, 2003: 53000, 2004: 52500, 2005: 52600, 2006: 49675, 2007: 46100, 2008: 41500, 2009: 35000, 2010: 32600, 2011: 31000, 2012: 30700, 2013: 31600, 2014: 31250, 2015: 10020, 2016: 10100, 2017: 5283, 2018: 5336, 2019: 6883, 2020: 6430</t>
  </si>
  <si>
    <t>TGNA</t>
  </si>
  <si>
    <t>76020-13P</t>
  </si>
  <si>
    <t>David Lougee</t>
  </si>
  <si>
    <t>dlougee@tegna.com</t>
  </si>
  <si>
    <t>+1 (703) 873-6600</t>
  </si>
  <si>
    <t>8350 Broad Street</t>
  </si>
  <si>
    <t>The company has received bids to be acquired by Mr. Byron Allen, Apollo Global Management, The Najafi Companies and TBN Network through an approximate $8.5 billion Public-to-Private LBO as of February 1, 2019. Subsequently, the deal was cancelled.</t>
  </si>
  <si>
    <t>Gray Television</t>
  </si>
  <si>
    <t>Gray Television(www.gray.tv)</t>
  </si>
  <si>
    <t>Barclays(Lead Manager or Arranger), Capital One Financial(Lead Manager or Arranger), Chameleon Collective(Consulting), Citigroup(Lead Manager or Arranger), Citizens Bank(Lead Manager or Arranger), DKC(Advisor: Communications), Fifth Third Bank(Lead Manager or Arranger), Mitsubishi UFJ Financial Group(Advisor: General), Mizuho Securities(Advisor: General), RBC Capital Markets(Advisor: General), Simpson Thacher &amp; Bartlett(Legal Advisor), SMBC Nikko Securities America(Advisor: General), TD Securities(Advisor: General), Touchdown Ventures(Advisor: General), Truist(Advisor: General), U.S. Bancorp(Lead Manager or Arranger), Wells Fargo Securities(Advisor: General), Winthrop Group(Consulting)</t>
  </si>
  <si>
    <t>Fahrenheit 212(Advisor: General)</t>
  </si>
  <si>
    <t>10688-68</t>
  </si>
  <si>
    <t>MGM Studios (GREY: MGMB)</t>
  </si>
  <si>
    <t>Triangle Pictures, MGM/UA</t>
  </si>
  <si>
    <t>MGM</t>
  </si>
  <si>
    <t>Metro-Goldwyn-Mayer Studios Inc.</t>
  </si>
  <si>
    <t>ViacomCBS, 21st Century Fox, Viacom, ESPN, Relativity Media, Entertainment One, Sonar Entertainment, Paramount Pictures, Sinclair Broadcast Group, Starz Entertainment, Zodiak Media, Disney/ABC Television Group, Endemol Shine Group, Eros STX Global Corporation, The Walt Disney Company, Endemol, Sony Pictures Entertainment, Legendary Entertainment, Keshet International, Fremantle, Amblin Partners, Miramax, ProSiebenSat.1 Media, NBCUniversal, Showtime Networks, YG Entertainment, FNC Entertainment Company, Turner Broadcasting System, S.M. Entertainment Company (South Korea), LionsGate Entertainment, Twentieth Century Fox Film</t>
  </si>
  <si>
    <t>MGM Holdings Inc is an entertainment company focused on the global production and distribution of film and television content across all platforms. Its segments are Film Content, Television Content, and Media Networks. It owns or holds interests in MGM-branded channels in the United States, as well as interests in pay television networks in the U.S. and Brazil.</t>
  </si>
  <si>
    <t>content creator, media distributor, movies studio, television program, tv producer</t>
  </si>
  <si>
    <t>www.mgm.com</t>
  </si>
  <si>
    <t>2005: 1440, 2006: 400, 2009: 370, 2010: 320, 2021: 3778</t>
  </si>
  <si>
    <t>GREY</t>
  </si>
  <si>
    <t>MGMB</t>
  </si>
  <si>
    <t>140044-69P</t>
  </si>
  <si>
    <t>Kenneth Kay</t>
  </si>
  <si>
    <t>kkay@mgm.com</t>
  </si>
  <si>
    <t>+1 (310) 449-3000</t>
  </si>
  <si>
    <t>Beverly Hills, CA</t>
  </si>
  <si>
    <t>245 North Beverly Drive</t>
  </si>
  <si>
    <t>Beverly Hills</t>
  </si>
  <si>
    <t>90210</t>
  </si>
  <si>
    <t>The company reached a definitive agreement to be acquired by Amazon.com (NAS: AMZN) for $8.45 billion on May 26, 2021. The company is being actively tracked by PitchBook.</t>
  </si>
  <si>
    <t>Anchorage Capital Group, Highland Capital Management, Solus Alternative Asset Management</t>
  </si>
  <si>
    <t>aPriori Capital Partners, Carl Icahn, Comcast, Providence Equity Partners, Quadrangle Group, TPG</t>
  </si>
  <si>
    <t>Access Industries, Amazon.com, AT&amp;T, Avista Capital Partners, Cerberus Capital Management, Elliott Management, Lionsgate, Loews, News Corp, Qualia Capital, Sony Pictures Television, Starz Entertainment, Summit Entertainment, Viacom, WarnerMedia</t>
  </si>
  <si>
    <t>Anchorage Capital Group(www.anchoragecap.com), Highland Capital Management(www.highlandcapital.com), Solus Alternative Asset Management(www.soluslp.com)</t>
  </si>
  <si>
    <t>aPriori Capital Partners(www.aprioricapital.com), Carl Icahn(www.carlicahn.com), Comcast(corporate.comcast.com), Providence Equity Partners(www.provequity.com), Quadrangle Group(www.quadranglegroup.com), TPG(www.tpg.com)</t>
  </si>
  <si>
    <t>Access Industries(www.accessindustries.com), Amazon.com(www.amazon.com), AT&amp;T(www.att.com), Avista Capital Partners(www.avistacap.com), Cerberus Capital Management(www.cerberus.com), Elliott Management(www.elliottmgmt.com), Lionsgate(www.lionsgatebethesda.com), News Corp(www.newscorp.com), Qualia Capital(www.qualiacapital.com), Sony Pictures Television(www.sonypicturestelevision.com), Starz Entertainment(www.starz.com), Summit Entertainment(www.summit-ent.com), Viacom(www.viacom.com), WarnerMedia(www.warnermedia.com)</t>
  </si>
  <si>
    <t>Brainerd Communicators(Advisor: Communications), Brock Capital Group(Advisor: General), CKS Advisors(Advisor: General), Invesco(Debt Financing), Princeville Group(Advisor: General), Salem Partners(Advisor: General)</t>
  </si>
  <si>
    <t>Barings(Debt Financing), CIT Group(Debt Financing), Citigroup(Advisor: General), Cleary Gottlieb(Legal Advisor), Credit Suisse(Advisor: General), Dewey &amp; LeBoeuf(Legal Advisor), Fried, Frank, Harris, Shriver &amp; Jacobson(Legal Advisor), Glaser Weil Fink Howard Avchen and Shapiro(Legal Advisor), Houlihan Lokey(Advisor: General), J.P. Morgan(Advisor: General), Jones Day(Legal Advisor), Klee Tuchin Bogdanoff &amp; Stern(Legal Advisor), Latham &amp; Watkins(Legal Advisor), LionTree Advisors(Advisor: General), Moelis &amp; Company(Advisor: General), Morgan Stanley(Advisor: General), Paul, Weiss, Rifkind, Wharton &amp; Garrison(Legal Advisor), Rossoff &amp; Company(Advisor: General), Sidley Austin(Legal Advisor), Skadden, Arps, Slate, Meagher &amp; Flom(Legal Advisor), Sullivan &amp; Cromwell(Legal Advisor), The Blackstone Group(Advisor: General), The Goldman Sachs Group(Advisor: General), Weil, Gotshal &amp; Manges(Legal Advisor), Zolfo Cooper(Consulting)</t>
  </si>
  <si>
    <t>10502-29</t>
  </si>
  <si>
    <t>Affiliated Computer Services</t>
  </si>
  <si>
    <t>ACS</t>
  </si>
  <si>
    <t>Affiliated Computer Services, Inc.</t>
  </si>
  <si>
    <t>Strategy to Revenue</t>
  </si>
  <si>
    <t>Provider of outsourcing and human capital management services. The company offers a wide array of services including business process outsourcing, systems
integration, software development, and document and human capital management.</t>
  </si>
  <si>
    <t>BPO/Outsource Services*, Human Capital Services, IT Consulting and Outsourcing</t>
  </si>
  <si>
    <t>outsourcing services, system integration</t>
  </si>
  <si>
    <t>www.acs-inc.com</t>
  </si>
  <si>
    <t>1994: 2200, 1995: 2800, 1996: 5580, 1997: 7030, 1998: 12300, 1999: 15700, 2000: 13000, 2001: 21000, 2002: 36200, 2003: 40000, 2004: 43000, 2005: 52000, 2006: 58000, 2007: 60000, 2008: 70000, 2009: 74000, 2015: 75, 2021: 50000</t>
  </si>
  <si>
    <t>125948-98P</t>
  </si>
  <si>
    <t>Tom Blodgett</t>
  </si>
  <si>
    <t>tom.blodgett@acs-inc.com</t>
  </si>
  <si>
    <t>2828 North Haskell</t>
  </si>
  <si>
    <t>75204</t>
  </si>
  <si>
    <t>The company was acquired by Xerox (NYSE: XRX) for $8.4 billion on February 8, 2010. The company is no longer actively tracked by PitchBook.</t>
  </si>
  <si>
    <t>Xerox</t>
  </si>
  <si>
    <t>Bain Capital, Cerberus Capital Management, The Blackstone Group, TPG</t>
  </si>
  <si>
    <t>Bain Capital(www.baincapital.com), Cerberus Capital Management(www.cerberus.com), The Blackstone Group(www.blackstone.com), TPG(www.tpg.com)</t>
  </si>
  <si>
    <t>Bustillo Abogados(Legal Advisor)</t>
  </si>
  <si>
    <t>Citigroup(Debt Financing), Citigroup Global Markets(Advisor: General), Cravath, Swaine &amp; Moore(Legal Advisor), KippsDeSanto &amp; Company(Advisor: General), Lazard Middle Market(Advisor: General), McKool Smith(Legal Advisor), Momentum Cyber(Advisor: General), PwC(Advisor: General), Ropes &amp; Gray(Legal Advisor), Skadden, Arps, Slate, Meagher &amp; Flom(Legal Advisor), Weil, Gotshal &amp; Manges(Legal Advisor)</t>
  </si>
  <si>
    <t>41351-14</t>
  </si>
  <si>
    <t>Genesee &amp; Wyoming</t>
  </si>
  <si>
    <t>Genesee and Wyoming Railroad</t>
  </si>
  <si>
    <t>G&amp;W</t>
  </si>
  <si>
    <t>Genesee &amp; Wyoming, Inc.</t>
  </si>
  <si>
    <t>Canadian Pacific Railway, Union Pacific, Norfolk Southern, The Indiana Rail Road, Winchester &amp; Western Railroad, The Greenbrier Companies, CSX (Freight Transportation), Patriot Rail Company</t>
  </si>
  <si>
    <t>Genesee &amp; Wyoming manages one of the largest portfolios of short-line/regional freight railroads in North America. About 58% of revenue comes from its core North American short-line business, while its rail lines in Australia make up 14%. Roughly 28% comes from its Europe/U.K. division, which includes its European heavy haul and intermodal operations (Freightliner) that were acquired in early 2015.</t>
  </si>
  <si>
    <t>rail operator, railroad transport, railway system</t>
  </si>
  <si>
    <t>www.gwrr.com</t>
  </si>
  <si>
    <t>1996: 690, 1997: 771, 1998: 168, 1999: 1580, 2000: 1579, 2001: 2343, 2002: 2565, 2003: 1051, 2004: 2045, 2005: 2332, 2006: 2677, 2007: 2307, 2008: 2647, 2009: 2481, 2010: 2502, 2011: 2620, 2012: 4600, 2013: 4800, 2014: 5200, 2015: 7700, 2016: 7500, 2017: 8000, 2018: 8000, 2019: 8000, 2020: 8000, 2021: 7300</t>
  </si>
  <si>
    <t>42331-33P</t>
  </si>
  <si>
    <t>Timothy Gallagher</t>
  </si>
  <si>
    <t>tgallagher@incora.com</t>
  </si>
  <si>
    <t>+1 (203) 202-8900</t>
  </si>
  <si>
    <t>Darien, CT</t>
  </si>
  <si>
    <t>20 West Avenue</t>
  </si>
  <si>
    <t>Darien</t>
  </si>
  <si>
    <t>06820</t>
  </si>
  <si>
    <t>info@gwrr.com</t>
  </si>
  <si>
    <t>The company was acquired by Brookfield Asset Management and Government of Singapore Investment Corporation (GIC) through a $8.4 billion public-to-private LBO on December 30, 2019.</t>
  </si>
  <si>
    <t>Brookfield Asset Management, Government of Singapore Investment Corporation (GIC)</t>
  </si>
  <si>
    <t>Blue Harbour Group, The Carlyle Group</t>
  </si>
  <si>
    <t>EQT, Stonepeak Infrastructure Partners, The Blackstone Group</t>
  </si>
  <si>
    <t>Brookfield Asset Management(www.brookfield.com), Government of Singapore Investment Corporation (GIC)(www.gic.com.sg)</t>
  </si>
  <si>
    <t>Blue Harbour Group(www.bhgrp.com), The Carlyle Group(www.carlyle.com)</t>
  </si>
  <si>
    <t>EQT(www.eqtgroup.com), Stonepeak Infrastructure Partners(www.stonepeakpartners.com), The Blackstone Group(www.blackstone.com)</t>
  </si>
  <si>
    <t>DVB Bank(Advisor: General), Rigrodsky &amp; Long(Legal Advisor)</t>
  </si>
  <si>
    <t>Addleshaw Goddard(Legal Advisor), Allens(Legal Advisor), Bank of America Merrill Lynch(Debt Financing), BB&amp;T Capital Markets(Underwriter), BMO Capital Markets(Underwriter), Citigroup(Underwriter), Citigroup Global Markets(Advisor: General), Clark Hill(Legal Advisor), Cowen &amp; Company(Underwriter), Craft Capital Management(Underwriter), Credit Suisse(Debt Financing), Davis Polk(Legal Advisor), Deutsche Bank Securities(Underwriter), J.P. Morgan Securities(Underwriter), Macfarlanes(Legal Advisor), Morgan Stanley(Advisor: Financial Due Diligence), MUFG Securities EMEA(Underwriter), PwC(Accounting), Raymond James Financial(Underwriter), RBC Capital Markets(Debt Financing), Simpson Thacher &amp; Bartlett(Legal Advisor), Stephens(Underwriter), Stifel Financial(Underwriter), Stikeman Elliott(Legal Advisor), TD Securities(Underwriter), Wachtell, Lipton, Rosen &amp; Katz(Legal Advisor), Wells Fargo Securities(Debt Financing), Wells Fargo Securities(Underwriter), Wolfe Capital Markets and Advisory(Underwriter)</t>
  </si>
  <si>
    <t>41113-90</t>
  </si>
  <si>
    <t>Nordstrom (NYS: JWN)</t>
  </si>
  <si>
    <t>Wallin &amp; Nordstrom</t>
  </si>
  <si>
    <t>Nordstrom, Inc.</t>
  </si>
  <si>
    <t>Kohl's, Ross Stores, Abercrombie &amp; Fitch, American Eagle Outfitters, Burlington Stores, Macy's, Dillard's, Ascena Retail Group, TJX, Lands' End, L Brands, Stein Mart, Stage Stores, Hanesbrands, Capri Holdings, Ted Baker, Calvin Klein, Ralph Lauren Corporation, The Bon-Ton Stores, Neiman Marcus Group</t>
  </si>
  <si>
    <t>Nordstrom is a fashion retailer that operates approximately 100 department stores in the U.S. and Canada and approximately 250 off-price Nordstrom Rack stores. The company also operates both full- and off-price e-commerce sites. Nordstrom's largest merchandise categories are women's apparel (29% of 2020 sales), shoes (26% of 2020 sales), and women's accessories (14% of 2020 sales). Nordstrom, which traces its history to a shoe store opened in Seattle in 1901, continues to be partially owned and managed by members of the Nordstrom family.</t>
  </si>
  <si>
    <t>Accessories, Clothing, Department Stores*</t>
  </si>
  <si>
    <t>retail stores</t>
  </si>
  <si>
    <t>shop.nordstrom.com</t>
  </si>
  <si>
    <t>1990: 28000, 1991: 28000, 1992: 38000, 1993: 33000, 1994: 33000, 1995: 42000, 1996: 37000, 1997: 39600, 1998: 41000, 1999: 42000, 2000: 40000, 2001: 43000, 2002: 43000, 2003: 44000, 2004: 46000, 2005: 49700, 2006: 51400, 2007: 52900, 2008: 55000, 2009: 52000, 2010: 48000, 2011: 52000, 2012: 56500, 2013: 61000, 2014: 62500, 2015: 73500, 2016: 72500, 2017: 72500, 2018: 72500, 2019: 71000, 2020: 68000, 2021: 62000</t>
  </si>
  <si>
    <t>JWN</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</si>
  <si>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</si>
  <si>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74372-41P</t>
  </si>
  <si>
    <t>Erik Nordstrom</t>
  </si>
  <si>
    <t>enordstrom@nordstrom.com</t>
  </si>
  <si>
    <t>1600 Seventh Avenue</t>
  </si>
  <si>
    <t>Suite 2600</t>
  </si>
  <si>
    <t>contact@nordstrom.com</t>
  </si>
  <si>
    <t>The company (NYSE: JWN) received $400 million of senior secured debt financing from undisclosed lenders on December 12, 2013.</t>
  </si>
  <si>
    <t>Benchmark (San Francisco), Madrona Venture Group</t>
  </si>
  <si>
    <t>Benchmark (San Francisco)(www.benchmark.com), Madrona Venture Group(www.madrona.com)</t>
  </si>
  <si>
    <t>Bank of America Merrill Lynch(Lead Manager or Arranger), Bell Nunnally &amp; Martin(Legal Advisor), BNY Mellon Capital Markets(Lead Manager or Arranger), Centerstone Executive Search &amp; Consulting(Consulting), ComCap(Advisor: General), Fifth Third Bank(Lead Manager or Arranger), Glocap Search(Consulting), J.P. Morgan(Lead Manager or Arranger), KeyBanc Capital Markets(Debt Financing), Lane Powell(Legal Advisor), Mitsubishi UFJ Morgan Stanley Securities Company(Lead Manager or Arranger), Morgan Stanley(Lead Manager or Arranger), Odeon Capital Group(Advisor: General), Scotiabank Global Banking and Markets(Lead Manager or Arranger), Seed Intellectual Property Law Group(Legal Advisor), Sheppard Mullin(Legal Advisor), Silicon Legal Strategy(Legal Advisor), TD Securities(Lead Manager or Arranger), Telsey Advisory Group(Advisor: General), The Brownestone Group(Consulting), The Goldman Sachs Group(Lead Manager or Arranger), The Issuer Network(Advisor: General), Tucker Capital(Auditor), U.S. Bancorp(Lead Manager or Arranger), Washington Search Partners(Consulting), Wood Warren(Advisor: General)</t>
  </si>
  <si>
    <t>Bank of America Merrill Lynch(Debt Financing), Centerview Partners(Advisor: General), Sidley Austin(Legal Advisor), Trinity Capital Investment Bank(Advisor: General), U.S. Bancorp(Debt Financing), Wells Fargo Securities(Debt Financing)</t>
  </si>
  <si>
    <t>41260-24</t>
  </si>
  <si>
    <t>Plum Creek Timber Company</t>
  </si>
  <si>
    <t>D.C. Dunham's Plum Creek Logging Company</t>
  </si>
  <si>
    <t>Plum Creek</t>
  </si>
  <si>
    <t>Plum Creek Timber Company, Inc.</t>
  </si>
  <si>
    <t>Operator of a real estate investment trust. The Company owned approximately 6.6 million acres of timberlands located in 19 states. It manages its timberlands in two business segments: the Northern Resources Segment, consisting of timberlands in Maine, Michigan, Montana, New Hampshire, Oregon, Vermont, Washington, West Virginia and Wisconsin; and the Southern Resources Segment, consisting of timberlands in Alabama, Arkansas, Florida, Georgia, Louisiana, Mississippi, North Carolina, South Carolina, Texas, and Virginia. In addition, its Energy and Natural Resources Segment includes its natural resource businesses that focus on opportunities for oil and natural gas production, construction aggregates and mineral extraction, wind power and communication and transportation rights of way. The Company's real estate segment includes development of certain properties, internally and through joint venture arrangements. The Company's manufacturing segment, also conducted through its wholly-owned taxable REIT subsidiaries, includes two lumber mills, two plywood mills and two medium density fiberboard ("MDF") production lines in Montana and one lumber remanufacturing facility in Idaho. Some of its real estate activities, including its real estate development business, are conducted through its wholly-owned taxable REIT subsidiaries. As of December 31, 2014, the Northern Resources Segment encompassed approximately 3.1 million acres of timberlands and the Southern Resources Segment consisted of approximately 3.6 million acres of timberlands. In its Real Estate Segment, the Company competes with numerous sellers of entitled and unentitled land in hundreds of local markets. The Company's operations are subject to federal, state and local environmental laws and regulations, including laws relating to water, air, solid waste and hazardous substances and the requirements of the Federal Occupational Safety and Health Act and comparable state statutes relating to the health and safety of its employees.</t>
  </si>
  <si>
    <t>Real Estate Investment Trusts (REITs)*, Wood/Hard Products</t>
  </si>
  <si>
    <t>fiberboard, timber product, wood chips</t>
  </si>
  <si>
    <t>1990: 1750, 1991: 1750, 1992: 1750, 1993: 1700, 1994: 1700, 1995: 1700, 1996: 2375, 1997: 2400, 1998: 2400, 1999: 2325, 2000: 1714, 2001: 2075, 2002: 2050, 2003: 2040, 2004: 1990, 2005: 2100, 2006: 2000, 2007: 2000, 2008: 1740, 2009: 1252, 2010: 1202, 2011: 1192, 2012: 1223, 2013: 1308, 2014: 1325, 2015: 1265</t>
  </si>
  <si>
    <t>61795-81P</t>
  </si>
  <si>
    <t>Russell Hagen</t>
  </si>
  <si>
    <t>Senior Vice President, Business Development &amp; Co-Chief Financial Officer</t>
  </si>
  <si>
    <t>+1 (800) 525-5440</t>
  </si>
  <si>
    <t>601 Union Street</t>
  </si>
  <si>
    <t>98101-1374</t>
  </si>
  <si>
    <t>The company (NYSE: PCL) was acquired by Weyerhaeuser Company (NYSE: WY) for $8.4 billion on February 19, 2016. The company is no longer actively tracked by PitchBook.</t>
  </si>
  <si>
    <t>Weyerhaeuser Company</t>
  </si>
  <si>
    <t>Avalanche Consulting(Consulting), Forrer &amp; Associates(Consulting), Herd Freed Hartz(Advisor: General)</t>
  </si>
  <si>
    <t>Bank of America Merrill Lynch(Advisor: General), Institutional Shareholder Services(Advisor: General), Skadden, Arps, Slate, Meagher &amp; Flom(Legal Advisor), The Goldman Sachs Group(Advisor: General)</t>
  </si>
  <si>
    <t>167852-71</t>
  </si>
  <si>
    <t>Vornado/Charles E. Smith</t>
  </si>
  <si>
    <t>Charles E. Smith Realty</t>
  </si>
  <si>
    <t>CESCR</t>
  </si>
  <si>
    <t>Operator of a real estate investment trust. The company specializes in acquisition, development, management, and operation of multifamily properties in United States.</t>
  </si>
  <si>
    <t>real estate services, reit</t>
  </si>
  <si>
    <t>www.vornadocharlesesmith.com</t>
  </si>
  <si>
    <t>137943-64P</t>
  </si>
  <si>
    <t>Patrick Tyrrell</t>
  </si>
  <si>
    <t>2345 Crystal Drive</t>
  </si>
  <si>
    <t>22202</t>
  </si>
  <si>
    <t>The company, a subsidiary of Vornado Realty Trust (NYS: VNO), was acquired by The JBG Companies for $8.4 billion on October 31, 2016. The company is no longer actively tracked by PitchBook.</t>
  </si>
  <si>
    <t>The JBG Companies</t>
  </si>
  <si>
    <t>Archstone-Smith, Vornado Realty Trust</t>
  </si>
  <si>
    <t>Vornado Realty Trust(www.vno.com)</t>
  </si>
  <si>
    <t>Hogan &amp; Hartson Raue(Legal Advisor), The Goldman Sachs Group(Advisor: General)</t>
  </si>
  <si>
    <t>63258-94</t>
  </si>
  <si>
    <t>CITIC Group</t>
  </si>
  <si>
    <t>China International Trust and Investment Corporation</t>
  </si>
  <si>
    <t>CITIC Group Corp.</t>
  </si>
  <si>
    <t>Provider of financial and non-financial services in China. The company's financial businesses include commercial banking, investment banking, trust, insurance, fund management and asset management and its non-financial businesses include real estate, engineering contracting, energy and resources, infrastructure construction, machinery manufacturing and information technology services.</t>
  </si>
  <si>
    <t>Conglomerates</t>
  </si>
  <si>
    <t>Conglomerates*, Construction and Engineering, Investment Banks</t>
  </si>
  <si>
    <t>financial service, investment banking business, investment banking service</t>
  </si>
  <si>
    <t>www.citicgroup.com.cn</t>
  </si>
  <si>
    <t>74056-60P</t>
  </si>
  <si>
    <t>Wang Jiong</t>
  </si>
  <si>
    <t>President &amp; Vice Chairman</t>
  </si>
  <si>
    <t>wangjiong@citic.com</t>
  </si>
  <si>
    <t>+86 (0)10 6466 0088</t>
  </si>
  <si>
    <t>Capital Mansion</t>
  </si>
  <si>
    <t>6 Xinyuannanlu</t>
  </si>
  <si>
    <t>100004</t>
  </si>
  <si>
    <t>+86 (0)10 6466 1186</t>
  </si>
  <si>
    <t>The company received JPY 1 trillion of financing from ITOCHU (TKS: 8001) and Charoen Pokphand Group (HKG: 00121) on January 20, 2015.</t>
  </si>
  <si>
    <t>CP Lotus, Itochu</t>
  </si>
  <si>
    <t>CP Lotus(www.cplotuscorp.com), Itochu(www.itochu.co.jp)</t>
  </si>
  <si>
    <t>61657-39</t>
  </si>
  <si>
    <t>Tatts Group</t>
  </si>
  <si>
    <t>Tattersalls</t>
  </si>
  <si>
    <t>Tatts Group, Ltd.</t>
  </si>
  <si>
    <t>Tatts Group Ltd is a diversified gaming services group. It operates regulated lotteries in all of Australia except Western Australia. It also owns TattsBets, a wagering business based in Queensland, South Australia, Northern Territory, and Tasmania, and Maxgaming, which conducts gaming machine monitoring in Queensland, New South Wales and Northern Territory. There is also Bytecraft Systems, a business that provides installation and maintenance services for the gaming industry.</t>
  </si>
  <si>
    <t>Casinos and Gaming, Machinery (B2B)*</t>
  </si>
  <si>
    <t>casino games, lottery machine, poker slots</t>
  </si>
  <si>
    <t>www.tattsgroup.com</t>
  </si>
  <si>
    <t>Tabcorp Holdings</t>
  </si>
  <si>
    <t>141740-38P</t>
  </si>
  <si>
    <t>Neale O'Connell</t>
  </si>
  <si>
    <t>neale.oconnell@tattsgroup.com</t>
  </si>
  <si>
    <t>+61 (0)7 3877 1000</t>
  </si>
  <si>
    <t>Coorparoo DC, Australia</t>
  </si>
  <si>
    <t>Locked Bag 7</t>
  </si>
  <si>
    <t>Coorparoo DC</t>
  </si>
  <si>
    <t>Queensland</t>
  </si>
  <si>
    <t>4151</t>
  </si>
  <si>
    <t>The company (ASX: TTS) was acquired by Tabcorp Holdings (ASX: TAH) for AUD 11 billion on December 22, 2017. As per the agreement, eligible Tatts shareholders received 0.80 Tabcorp Shares and AUD 0.265 cash for every Tatts Share held on 19 December 2017, and a AUD 0.16 Tatts special dividend paid on 19 December 2017. Ineligible foreign holders will receive only cash (and no Tabcorp Shares), which will be the total of AUD 0.425 (reduced by the special dividend of AUD 0.16 per Tatts share paid on 19 December 2017) plus the net proceeds from the sale of the Tabcorp shares remitted to a nominee to sell on their behalf.</t>
  </si>
  <si>
    <t>Hunter Green (AUS), Perpetual</t>
  </si>
  <si>
    <t>First State Super, Kohlberg Kravis Roberts, Macquarie Group, Morgan Stanley Capital Partners</t>
  </si>
  <si>
    <t>Hunter Green (AUS)(huntergreen.com.au), Perpetual(www.perpetual.com.au)</t>
  </si>
  <si>
    <t>First State Super(www.firststatesuper.com.au), Kohlberg Kravis Roberts(www.kkr.com), Macquarie Group(www.macquarie.com)</t>
  </si>
  <si>
    <t>Clayton Utz(Legal Advisor), Grant Samuel Group(Advisor: General), PwC(Advisor: General)</t>
  </si>
  <si>
    <t>111569-68</t>
  </si>
  <si>
    <t>Absolut Company</t>
  </si>
  <si>
    <t>Absolut Co. AB</t>
  </si>
  <si>
    <t>Stoli Group USA</t>
  </si>
  <si>
    <t>Producer of alcoholic beverages based in Stockholm, Sweden. The company offers vodka, rum, coffee-flavored liquor and swedish spirit.</t>
  </si>
  <si>
    <t>dink brewery, liquor making, party drinks, rum making</t>
  </si>
  <si>
    <t>www.theabsolutcompany.com</t>
  </si>
  <si>
    <t>238421-17P</t>
  </si>
  <si>
    <t>Stephanie Durroux</t>
  </si>
  <si>
    <t>Marieviksgatan 19B</t>
  </si>
  <si>
    <t>The company, a subsidiary of Swedish Government, was acquired by Pernod Ricard (PAR: RI) for $8.3 billion on March 31, 2008. The company is no longer actively tracked by PitchBook.</t>
  </si>
  <si>
    <t>Power Brands(Consulting)</t>
  </si>
  <si>
    <t>55785-97</t>
  </si>
  <si>
    <t>Blue Owl Capital (NYS: OWL)</t>
  </si>
  <si>
    <t>Dyal, Dyal-Capital-Partners, DyalCapitalPartners, Dyal Capital, Dyal Capital Partners</t>
  </si>
  <si>
    <t>Blue Owl</t>
  </si>
  <si>
    <t>Blue Owl Capital Inc</t>
  </si>
  <si>
    <t>Ares Management, Fortress Investment Group, Natixis, The Carlyle Group, Calamos Investments, Guggenheim Partners, Wellington Management, The Blackstone Group, Hercules Capital, Pacific Investment Management Company, Artisan Partners Asset Management, TPG, Warburg Pincus, The Goldman Sachs Group, Invesco, Oaktree Capital Management, Janus Capital Group, Apollo Global Management, J.P. Morgan, Kohlberg Kravis Roberts, Janus Henderson Investors, BlackRock</t>
  </si>
  <si>
    <t>Blue Owl Capital Inc is an alternative asset management firm. It provides investors access to asset management capital solutions through its Direct Lending and GP Capital Solutions business segments. Its investor base includes a diversified mix of institutional investors, including public and private pension funds, endowments, foundations, family offices, private banks, high net worth individuals, asset managers and insurance companies.</t>
  </si>
  <si>
    <t>Asset Management, Other Financial Services, Private Equity*, Specialized Finance</t>
  </si>
  <si>
    <t>capital financing, capital solutions, direct lending, equity stake, financial service, financial services, financial services firm, financing firm</t>
  </si>
  <si>
    <t>www.blueowl.com</t>
  </si>
  <si>
    <t>2021: 250</t>
  </si>
  <si>
    <t>OWL</t>
  </si>
  <si>
    <t>86740-75P</t>
  </si>
  <si>
    <t>Sean Ward</t>
  </si>
  <si>
    <t>Board Member &amp; Executive</t>
  </si>
  <si>
    <t>sean.ward@dyalcapital.com</t>
  </si>
  <si>
    <t>+1 (888) 215-1944</t>
  </si>
  <si>
    <t>1290 Avenue Of The Americas</t>
  </si>
  <si>
    <t>10104</t>
  </si>
  <si>
    <t>inquiry@blueowl.com</t>
  </si>
  <si>
    <t>The company acquired Altimar Acquisition through an estimated $3.9 billion reverse merger, resulting in the combined entity trading on the "NYSE" under the ticker symbol "OWL" on May 20, 2021. Concurrently, the company also received an estimated $8.3 billion of development capital from ICONIQ Capital, Liberty Mutual Investments, Federated Kaufmann Fund, Koch Companies Defined Benefit Master Trust and CH Investment Partners through a private placement.</t>
  </si>
  <si>
    <t>Altimar Acquisition, CH Investment Partners, Federated Kaufmann Fund, ICONIQ Capital, Koch Companies Defined Benefit Master Trust, Liberty Mutual Investments</t>
  </si>
  <si>
    <t>Iron Gate Capital</t>
  </si>
  <si>
    <t>Altimar Acquisition(atac.altimaracquisition.com), CH Investment Partners(www.chinvestments.com), ICONIQ Capital(www.iconiqcapital.com)</t>
  </si>
  <si>
    <t>Iron Gate Capital(www.irongatecapital.com)</t>
  </si>
  <si>
    <t>Ardea Partners(Advisor: General)</t>
  </si>
  <si>
    <t>41320-36</t>
  </si>
  <si>
    <t>Concur Technologies</t>
  </si>
  <si>
    <t>SAP Concur</t>
  </si>
  <si>
    <t>Concur Technologies, Inc.</t>
  </si>
  <si>
    <t>SutiSoft, Boomi, Tableau Software, Jaggaer, Scanmarket, Ivalua, Chrome River, Wax Digital, Procurify, Pagero, Matrix42, Provade, Vroozi, Atriis, eRequester, Workday, Paylocity, Tradogram, Proactis, Xeeva, Brightpearl, Happay, Determine, Fieldglass, Nexonia, Coupa, Anaplan, The Sage Group (Business/Productivity Software), ExpenseAnywhere, The Ceridian (UK and Ireland unit), BravoSolution, Salesforce.com, ESM Solutions, Alteryx, Claritum, Pool4tool, Zoho Corporation, Tenrox, Ceridian HCM, Locomote, Jojonomic, Interplx, Tallie, Infor Global Solutions, Paycom Software, Replicon (Systems and Information Management), Abacus (Financial Software), Pex (Financial Software), Databasics, Microsoft Visio, Epicor Software, Intuit, Oracle NetSuite, BuyerQuest, Basware, Trippeo, Rancher Labs, TalentSoft, Perfion, NGA Human Resources, Emburse, OneUp, Biwer and Associates, Wave Financial, TravelBank, Deem, CA Technologies, Captio, SAP Ariba, Riversand, Journyx, Odoo, ExpenseWatch, Pimcore, Ultimate Kronos Group, InExchange Factorum, Bento for Business, Cardlay, Offset Market Exchange, Expensify</t>
  </si>
  <si>
    <t>Concur Technologies is a provider of spend management solutions and services, helping companies of all sizes transform the way they spend. The company specializes in SaaS, cloud computing, integrated travel &amp; expense management. The company was founded in 1993 and is headquartered in Washington, United States.</t>
  </si>
  <si>
    <t>Application Software, Business/Productivity Software*</t>
  </si>
  <si>
    <t>cloud software, expense management, expense platform</t>
  </si>
  <si>
    <t>www.concur.com</t>
  </si>
  <si>
    <t>1998: 231, 1999: 488, 2000: 379, 2001: 351, 2002: 338, 2003: 313, 2004: 350, 2005: 395, 2006: 500, 2007: 575, 2008: 932, 2009: 1100, 2010: 1200, 2011: 1600, 2012: 2400, 2013: 3800, 2014: 4900, 2017: 6500, 2019: 10000, 2020: 304</t>
  </si>
  <si>
    <t>SAP</t>
  </si>
  <si>
    <t>74389-87P</t>
  </si>
  <si>
    <t>Kyle Sugamele</t>
  </si>
  <si>
    <t>Chief Legal Officer</t>
  </si>
  <si>
    <t>+1 (425) 590-5000</t>
  </si>
  <si>
    <t>Bellevue, WA</t>
  </si>
  <si>
    <t>601 108th Avenue North East</t>
  </si>
  <si>
    <t>Bellevue</t>
  </si>
  <si>
    <t>98004</t>
  </si>
  <si>
    <t>+1 (425) 590-5999</t>
  </si>
  <si>
    <t>The company was acquired by SAP (SAP:XTER) for $8.3 billion on December 4, 2014.</t>
  </si>
  <si>
    <t>American Express, IVP, Marc Benioff, Mayfield (Private Equity), Redpoint Ventures, RRE Ventures, SunBridge Partners, US Venture Partners</t>
  </si>
  <si>
    <t>American Express(www.americanexpress.com), IVP(www.ivp.com), Mayfield (Private Equity)(www.mayfield.com), Redpoint Ventures(www.redpoint.com), RRE Ventures(www.rre.com), SunBridge Partners(www.sunbridgepartners.com), US Venture Partners(www.usvp.com)</t>
  </si>
  <si>
    <t>Qatalyst Partners(Advisor: General), Rapid Sales Revenue(Consulting), The TaxBack Group(Advisor: General)</t>
  </si>
  <si>
    <t>Dain Rauscher Wessels(Underwriter), Dakin Securities Corporation(Underwriter), EY(Accounting), Fenwick &amp; West(Legal Advisor), Hambrecht &amp; Quist(Underwriter), Morris, Nichols, Arsht &amp; Tunnell(Legal Advisor), NationsBanc Montgomery Securities(Underwriter), Piper Sandler(Underwriter), Qatalyst Partners(Advisor: General), Ragen Mackenzie(Underwriter), Robertson Stephens (Out of Business in 2017)(Underwriter), Wit Capital(Underwriter)</t>
  </si>
  <si>
    <t>97421-86</t>
  </si>
  <si>
    <t>Corporate Capital Trust</t>
  </si>
  <si>
    <t>CCT</t>
  </si>
  <si>
    <t>Corporate Capital Trust, Inc.</t>
  </si>
  <si>
    <t>Operator of a publicly traded business development company ("BDC") focused on investing in the debt of privately owned companies. The company invests in senior and subordinated debt, and equity positions in middle market American companies to provide current income to investors.</t>
  </si>
  <si>
    <t>debt advisor, debt investment</t>
  </si>
  <si>
    <t>www.corporatecapitaltrust.com</t>
  </si>
  <si>
    <t>127040-32P</t>
  </si>
  <si>
    <t>Daniel Pietrzak</t>
  </si>
  <si>
    <t>Chief Investment Officer</t>
  </si>
  <si>
    <t>daniel.pietrzak@kkr.com</t>
  </si>
  <si>
    <t>+1 (215) 495-1150</t>
  </si>
  <si>
    <t>9 West 57th Street</t>
  </si>
  <si>
    <t>Suite 4200</t>
  </si>
  <si>
    <t>The company was acquired by FS Investment (NYS: FSIC) for $8.3 billion on December 19, 2018. The merger is expected to create lower administrative costs, a more diversified investment portfolio and an optimized capital structure. The company went private after this transaction. The company is no longer actively tracked by PitchBook.</t>
  </si>
  <si>
    <t>FS KKR Capital</t>
  </si>
  <si>
    <t>Kohlberg Kravis Roberts</t>
  </si>
  <si>
    <t>Kohlberg Kravis Roberts(www.kkr.com)</t>
  </si>
  <si>
    <t>Bank of America Merrill Lynch(Advisor: General), Debevoise &amp; Plimpton(Legal Advisor), Dechert(Legal Advisor), Kohlberg Kravis Roberts(Advisor: General), Skadden, Arps, Slate, Meagher &amp; Flom(Legal Advisor)</t>
  </si>
  <si>
    <t>41218-57</t>
  </si>
  <si>
    <t>Cubist Pharmaceuticals</t>
  </si>
  <si>
    <t>Cubist</t>
  </si>
  <si>
    <t>Cubist Pharmaceuticals, Inc.</t>
  </si>
  <si>
    <t>Actelion Pharmaceuticals, Exonate, The Zambon Group, Strongbridge Biopharma, Portola Pharmaceuticals, Boehringer Ingelheim, Gilead Sciences, Amgen</t>
  </si>
  <si>
    <t>Researcher and developer of novel acute care therapies for use in hospitals and other acute care environments. The company works and invest in Acute care. In the U.S., Cubist markets CUBICIN® (daptomycin for injection), the first antibiotic in a class of anti-infectives called lipopeptides and ENTEREG® (alvimopan), the FDA-approved therapy to accelerate the time to upper and lower gastrointestinal recovery following partial large or small bowel resection surgery with primary anastomosis.</t>
  </si>
  <si>
    <t>Drug Delivery, Drug Discovery, Pharmaceuticals*</t>
  </si>
  <si>
    <t>acute pain recovery, antibiotic, daptomycin, gastrointestinal antibiotic</t>
  </si>
  <si>
    <t>1996: 57, 1997: 66, 1998: 54, 1999: 75, 2000: 176, 2001: 180, 2002: 204, 2003: 290, 2004: 300, 2005: 369, 2006: 410, 2007: 489, 2008: 554, 2009: 600, 2010: 638, 2011: 669, 2012: 762, 2013: 873, 2014: 1090, 2019: 750</t>
  </si>
  <si>
    <t>Lexington, MA</t>
  </si>
  <si>
    <t>65 Hayden Avenue</t>
  </si>
  <si>
    <t>Lexington</t>
  </si>
  <si>
    <t>02421</t>
  </si>
  <si>
    <t>The company was acquired by Merck (MRK) for $8.3 billion on January 21, 2015. Merck will pay $102 per share for Cubist, a premium of 37 percent to the Lexington, Massachussetts-based company's closing share price of $74.36 on Friday. The deal includes assumption of $1.9 billion in debt. The company is no longer actively tracked by PitchBook.</t>
  </si>
  <si>
    <t>Bristol-Myers Squibb, Cardinal Partners, Comdisco Ventures, DSV, InterWest Health Partners, Opus Capital, Synthesis Capital, Tekla Healthcare Investors, Vivo Capital, Weiss Peck &amp; Greer</t>
  </si>
  <si>
    <t>Bristol-Myers Squibb(www.bms.com), Cardinal Partners(www.cardinalpartners.com), Comdisco Ventures(www.comdisco.com), DSV(www.dsv.com), Opus Capital(www.opuscapitalventures.com), Synthesis Capital(www.synthesiscapital.com), Vivo Capital(www.vivocapital.com)</t>
  </si>
  <si>
    <t>Aegis Capital(Advisor: General)</t>
  </si>
  <si>
    <t>Morgan Stanley(Advisor: General), Ropes &amp; Gray(Legal Advisor), Sard Verbinnen(Advisor: Communications)</t>
  </si>
  <si>
    <t>Series B</t>
  </si>
  <si>
    <t>42977-44</t>
  </si>
  <si>
    <t>Repsol Oil &amp; Gas Canada</t>
  </si>
  <si>
    <t>BP Canada, Supertest Petroleum Corporation, Talisman Energy</t>
  </si>
  <si>
    <t>Talisman</t>
  </si>
  <si>
    <t>Repsol Oil &amp; Gas Canada Inc</t>
  </si>
  <si>
    <t>Explorer and producer of oil and natural gas. The company's business activities include exploration, development, production, transportation and marketing of crude oil, natural gas and natural gas liquids.</t>
  </si>
  <si>
    <t>crude oil production, natural gas exploration, upstream oil and gas</t>
  </si>
  <si>
    <t>1996: 791, 1997: 945, 1998: 986, 1999: 1113, 2000: 1263, 2001: 1358, 2002: 1565, 2003: 1758, 2004: 1870, 2005: 2138, 2006: 2388, 2007: 2639, 2008: 2966, 2009: 2921, 2010: 3078, 2011: 3695, 2012: 3087, 2013: 2809, 2014: 2718, 2016: 1940</t>
  </si>
  <si>
    <t>Repsol</t>
  </si>
  <si>
    <t>183382-84P</t>
  </si>
  <si>
    <t>Jim Buckee</t>
  </si>
  <si>
    <t>888 - 3rd Street South West</t>
  </si>
  <si>
    <t>T2P 5C5</t>
  </si>
  <si>
    <t>The company (NYSE: TLM) was acquired by Repsol (XMCE: REP) for $8.3 billion on May 8, 2015. The company is no longer actively tracked by PitchBook.</t>
  </si>
  <si>
    <t>Crescent Point Energy, Engie</t>
  </si>
  <si>
    <t>Crescent Point Energy(www.crescentpointenergy.com), Engie(www.engie.com)</t>
  </si>
  <si>
    <t>Schjødt(Legal Advisor)</t>
  </si>
  <si>
    <t>Bank of America Merrill Lynch(Advisor: General), Blake, Cassels &amp; Graydon(Legal Advisor), Citigroup Global Markets(Lead Manager or Arranger), Credit Suisse(Lead Manager or Arranger), Jefferies Financial Group(Advisor: General), Nomura International(Advisor: General), Sheridan Production Partners(Debt Financing), Slaughter and May(Legal Advisor), The Goldman Sachs Group(Advisor: General), Wachtell, Lipton, Rosen &amp; Katz(Legal Advisor)</t>
  </si>
  <si>
    <t>Other - $4.30B</t>
  </si>
  <si>
    <t>10298-08</t>
  </si>
  <si>
    <t>Texas Genco</t>
  </si>
  <si>
    <t>Texas Genco Holdings Inc</t>
  </si>
  <si>
    <t>Producer and distributor of electric power. The company has more than 14,000 megawatts of electric power generating capacity. The company has one of the most diversified generation portfolios in Texas, using natural gas, oil, coal, lignite, and uranium fuels. The company owns and operates 60 generating units at eleven electric power-generating facilities and owns a 30.8 percent interest in a nuclear generating plant.</t>
  </si>
  <si>
    <t>electric power line, electric power supply, electrical power grid, electrical power supply</t>
  </si>
  <si>
    <t>www.txgenco.com</t>
  </si>
  <si>
    <t>2002: 1639, 2003: 1511, 2004: 1511</t>
  </si>
  <si>
    <t>11800-90P</t>
  </si>
  <si>
    <t>Robert Flexon</t>
  </si>
  <si>
    <t>CFO &amp; EVP</t>
  </si>
  <si>
    <t>+1 (609) 524-4500</t>
  </si>
  <si>
    <t>211 Carnegie Center</t>
  </si>
  <si>
    <t>+1 (609) 524-4501</t>
  </si>
  <si>
    <t>The company was acquired by NRG Energy (NYSE, NRG) for $8,300,000,000 on February 6, 2006. The company is no longer actively tracked by PitchBook.</t>
  </si>
  <si>
    <t>NRG Energy</t>
  </si>
  <si>
    <t>CenterPoint Energy, Hellman &amp; Friedman, Kohlberg Kravis Roberts, The Blackstone Group, TPG</t>
  </si>
  <si>
    <t>CenterPoint Energy(www.CenterPointEnergy.com), Hellman &amp; Friedman(www.hf.com), Kohlberg Kravis Roberts(www.kkr.com), The Blackstone Group(www.blackstone.com), TPG(www.tpg.com)</t>
  </si>
  <si>
    <t>Houlihan Capital(Advisor: General), Simpson Thacher &amp; Bartlett(Legal Advisor)</t>
  </si>
  <si>
    <t>Deutsche Bank(Advisor: General), Haynes and Boone(Legal Advisor), Houlihan Capital(Advisor: General), Morgan Stanley(Advisor: General), Skadden, Arps, Slate, Meagher &amp; Flom(Legal Advisor), Stroock &amp; Stroock &amp; Lavan(Legal Advisor), The Goldman Sachs Group(Advisor: General), Vinson &amp; Elkins(Legal Advisor)</t>
  </si>
  <si>
    <t>41325-31</t>
  </si>
  <si>
    <t>FLIR Systems</t>
  </si>
  <si>
    <t>FLIR, FLIR Systems Incorporation</t>
  </si>
  <si>
    <t>FLIR Systems, Inc.</t>
  </si>
  <si>
    <t>Fortive, Neutronics, Teradyne, Northrop Grumman, GMC-I Messtechnik, Hangzhou Hik-Vision Digital Technology Company, HT Italia, Keysight Technologies, Honeywell, L3 Harris Technologies, Axis Communications, Prama Hikvision, Tektronix, Rohde &amp; Schwarz, Raytheon, Tonbo Imaging, Wright Tool (USA), Getac Technology, Havells, Hottinger Baldwin Messtechnik, Yokogawa Electric, Armasight, SWIR Vision Systems, Fluke</t>
  </si>
  <si>
    <t>FLIR Systems Inc designs, develops, markets, and distributes technologies that detect people, objects, and substances. The company's two business units are Industrial Technologies and Defense Technologies segment. The Industrial Technologies segment develops components used to create thermal, industrial, and other imaging systems. The Defense Technologies unit develops imaging and recognition solutions for military, law enforcement, and other government customers. The company operates around the world, with a significant portion of revenue coming from the United States.</t>
  </si>
  <si>
    <t>Electronic Equipment and Instruments</t>
  </si>
  <si>
    <t>Aerospace and Defense, Electronic Equipment and Instruments*</t>
  </si>
  <si>
    <t>Industrials, Manufacturing, Mobility Tech, TMT</t>
  </si>
  <si>
    <t>building diagnostics, condition monitoring system, military equipment, mobility tech, night vision kits, thermal imaging</t>
  </si>
  <si>
    <t>www.flir.in</t>
  </si>
  <si>
    <t>1993: 223, 1994: 239, 1995: 313, 1996: 363, 1997: 652, 1998: 662, 1999: 890, 2000: 687, 2001: 798, 2002: 838, 2003: 885, 2004: 1204, 2005: 1320, 2006: 1419, 2007: 1743, 2008: 1943, 2009: 2079, 2010: 3215, 2011: 3084, 2012: 2962, 2013: 2839, 2014: 2741, 2015: 3003, 2016: 3436, 2017: 3542, 2018: 3649, 2019: 4265, 2020: 4179, 2021: 4000</t>
  </si>
  <si>
    <t>Teledyne Technologies</t>
  </si>
  <si>
    <t>162781-39P</t>
  </si>
  <si>
    <t>Paul Sale</t>
  </si>
  <si>
    <t>Chief Human Resources Officer &amp; President</t>
  </si>
  <si>
    <t>paul.sale@flir.com</t>
  </si>
  <si>
    <t>+1 (877) 773-3547</t>
  </si>
  <si>
    <t>Wilsonville, OR</t>
  </si>
  <si>
    <t>27700 Southwest Parkway Avenue</t>
  </si>
  <si>
    <t>Wilsonville</t>
  </si>
  <si>
    <t>97070</t>
  </si>
  <si>
    <t>info@flir.com</t>
  </si>
  <si>
    <t>The company was acquired by Teledyne Technologies (NYS: TDY) for $8.285 billion on May 14, 2021. The acquisition will allow Teledyne to boost its imaging sensor portfolio.</t>
  </si>
  <si>
    <t>180one(Consulting), Business Sweden(Consulting), Paper Audit &amp; Conseil(Auditor)</t>
  </si>
  <si>
    <t>Hogan Lovells(Legal Advisor), Joele Frank(Advisor: Communications), Kahn Swick &amp; Foti(Legal Advisor), The Goldman Sachs Group(Advisor: General)</t>
  </si>
  <si>
    <t>51779-80</t>
  </si>
  <si>
    <t>Just Eat Holding</t>
  </si>
  <si>
    <t>Just Eat</t>
  </si>
  <si>
    <t>Just Eat plc</t>
  </si>
  <si>
    <t>Foodora Canada, Moovenda, FreshMenu, Fooda, Yumist, Ritual (Other Restaurants, Hotels and Leisure), Frichti, Wolt, Bring Me That, Holachef, FoodPanda India, Swiggy, Waitr, Hey You, Foodfox, Foodora, Food Runner, Bite Squad, Tapingo, Foodpanda, Otlob, Ecstasy E-Ordering, Foodjunky, Sprig, iFood, La Nevera Roja, Box8, Hungryhouse.com, Grubhub, Allset, Mr. Delivery, Zomato, Glovo, Menulog Group, RoundMenu, EatStreet, Yemeksepeti, Seamless, Deliveroo, Grub Taxi, OrderUp, ChowNow, EatEasy, Favor, Delivery.com, Bamboo (Application Software), Sweetist, Delyver Retail Network</t>
  </si>
  <si>
    <t>Operator of an online order takeaway platform designed to offer food delivery services. The company's platform showcases partners that display their menus on the platform to online consumers, who are able to search for local restaurants and pay online or through cash on delivery, enabling individuals to get food ordered right to their doorstep.</t>
  </si>
  <si>
    <t>Food Products, Other Restaurants, Hotels and Leisure, Other Services (B2C Non-Financial)*</t>
  </si>
  <si>
    <t>FoodTech</t>
  </si>
  <si>
    <t>food delivery, food ordering platform, mobility tech, online food ordering, online ordering, ordering processing, supply chain tech, takeaway ordering</t>
  </si>
  <si>
    <t>www.just-eat.com</t>
  </si>
  <si>
    <t>2013: 884, 2014: 1075, 2015: 1436, 2017: 2958, 2018: 4811, 2019: 3600, 2021: 22000</t>
  </si>
  <si>
    <t>Just Eat Takeaway.com</t>
  </si>
  <si>
    <t>112358-80P</t>
  </si>
  <si>
    <t>Diego Oliva</t>
  </si>
  <si>
    <t>diego.oliva@cajagranadafundacion.es</t>
  </si>
  <si>
    <t>+34 95 824 4500</t>
  </si>
  <si>
    <t>Fleet Place House</t>
  </si>
  <si>
    <t>2 Fleet Place</t>
  </si>
  <si>
    <t>EC4M 7RF</t>
  </si>
  <si>
    <t>The company was acquired by Takeaway.com (AMS: TKWY) for approximately $7.4 billion on January 31, 2020. Takeaway.com issued 82.8 million common shares as a consideration for the acquisition. The company is no longer actively tracked by PitchBook.</t>
  </si>
  <si>
    <t>#adm Ventures, 83North, Alexander Gezelius, Axon Partners Group, Carsten Mikkelsen, Cat Rock Capital Management, Ditlev Bredahl, Dutch Founders Fund, Forum Synergies, Greylock Partners, Index Ventures, KickAss Capital, Klaus Nyengaard, Martin Mignot, Pueo Keffer, Redpoint Ventures, SM Trust, Thomas Fleming, Venrex Investment Management, Vitruvian Partners</t>
  </si>
  <si>
    <t>Prosus</t>
  </si>
  <si>
    <t>#adm Ventures(www.adm-ventures.com), 83North(www.83north.com), Axon Partners Group(www.axonpartnersgroup.com), Cat Rock Capital Management(www.catrockcap.com), Ditlev Bredahl(www.ditlev.dk), Dutch Founders Fund(www.dutchfoundersfund.com), Forum Synergies(www.forumsynergies.com), Greylock Partners(www.greylock.com), Index Ventures(www.indexventures.com), KickAss Capital(www.kickass.capital), Klaus Nyengaard(www.klausnyengaard.com), Redpoint Ventures(www.redpoint.com), Vitruvian Partners(www.vitruvianpartners.com)</t>
  </si>
  <si>
    <t>Prosus(www.prosus.com)</t>
  </si>
  <si>
    <t>Green Park(Advisor: General), Headland(Advisor: Communications), JP Morgan Cazenove(Advisor: General), Orrick(Legal Advisor), Renaissance Leadership(Consulting), Sales Talent Agency(Consulting), Sidley Austin(Legal Advisor)</t>
  </si>
  <si>
    <t>Bird &amp; Bird(Legal Advisor), Future Fifty(Advisor: General), J.P. Morgan(Underwriter), Lazard(Advisor: General), Oakley Advisory(Advisor: General), Redpoint Ventures(Advisor: General), The Goldman Sachs Group(Underwriter), Torch Partners Corporate Finance(Advisor: General), UBS AG London Branch(Advisor: General)</t>
  </si>
  <si>
    <t>54691-84</t>
  </si>
  <si>
    <t>Anhanguera Educacional</t>
  </si>
  <si>
    <t>Anhanguera</t>
  </si>
  <si>
    <t>Anhanguera Educacional Ltd.</t>
  </si>
  <si>
    <t>Provider of educational courses. The company also provides graduation, extension courses and english courses.</t>
  </si>
  <si>
    <t>Educational and Training Services (B2C)</t>
  </si>
  <si>
    <t>Educational and Training Services (B2C)*</t>
  </si>
  <si>
    <t>distance learning, educational courses, english courses, extensions courses</t>
  </si>
  <si>
    <t>2008: 10000, 2009: 11000, 2010: 13800</t>
  </si>
  <si>
    <t>Cogna Educação</t>
  </si>
  <si>
    <t>66792-79P</t>
  </si>
  <si>
    <t>Maron Guimaraes</t>
  </si>
  <si>
    <t>maron.guimaraes@anhanguera.com</t>
  </si>
  <si>
    <t>+55 19 3517 3799</t>
  </si>
  <si>
    <t>Valinhos, Brazil</t>
  </si>
  <si>
    <t>Alameda Maria Tereza 4266</t>
  </si>
  <si>
    <t>Sala 06, Dois Corrego</t>
  </si>
  <si>
    <t>Valinhos</t>
  </si>
  <si>
    <t>13278-181</t>
  </si>
  <si>
    <t>+55 19 3512 1703</t>
  </si>
  <si>
    <t>The company was acquired by Kroton Educacional (KROTF:OTCPK) for $8.2 billion on July 3, 2014. The company is no longer actively tracked by PitchBook.</t>
  </si>
  <si>
    <t>BlackRock Private Equity Partners, Patria Investments</t>
  </si>
  <si>
    <t>Patria Investments(www.patria.com)</t>
  </si>
  <si>
    <t>Caslano(Advisor: General), Integration Consulting(Consulting)</t>
  </si>
  <si>
    <t>Itaú BBA(Advisor: General), Itaú Unibanco Holding(Advisor: General), The Goldman Sachs Group(Advisor: General)</t>
  </si>
  <si>
    <t>41485-69</t>
  </si>
  <si>
    <t>FMC Technologies</t>
  </si>
  <si>
    <t>Food Machinery, Bean Spray Pump Company</t>
  </si>
  <si>
    <t>FMC Technologies, Inc.</t>
  </si>
  <si>
    <t>Nabors Industries, Nine Energy Service, Schlumberger, Superior Energy Services</t>
  </si>
  <si>
    <t>Provider of technology services intended to explore, drill and develop offshore oil and gas fields. The company's technology services offer subsea separation, boosting and processing systems which increase oil recovery for mature projects and develop new projects, enabling the clients to capitalize on the growing demand for deepwater oil and gas production.</t>
  </si>
  <si>
    <t>Energy Exploration, Other Energy Services*</t>
  </si>
  <si>
    <t>sensing technology, subsea separation, subsea systems</t>
  </si>
  <si>
    <t>www.fmctechnologies.com</t>
  </si>
  <si>
    <t>2000: 9300, 2001: 8500, 2002: 8500, 2003: 8600, 2004: 9000, 2005: 10000, 2006: 11000, 2007: 13000, 2008: 9800, 2009: 10400, 2010: 11500, 2011: 14200, 2012: 18400, 2013: 19300, 2014: 20300, 2015: 17400, 2016: 16500, 2017: 16500</t>
  </si>
  <si>
    <t>43313-77P</t>
  </si>
  <si>
    <t>Maryann Mannen</t>
  </si>
  <si>
    <t>maryann.mannen@technipfmc.com</t>
  </si>
  <si>
    <t>+1 (419) 422-2121</t>
  </si>
  <si>
    <t>1803 Gears Road</t>
  </si>
  <si>
    <t>77067</t>
  </si>
  <si>
    <t>The company (NYSE: FTI) was acquired by TechnipFMC (PAR: FTI) for $8.2 billion on January 16, 2017. The Acquisition will drive value for TechnipFMC clients and shareholders. With an unmatched commitment to innovation and efficiency with advance creation of cost-efficient solutions for years to come. The company is no longer actively tracked by PitchBook.</t>
  </si>
  <si>
    <t>TechnipFMC</t>
  </si>
  <si>
    <t>Enterprise Equity, Western Development Commission</t>
  </si>
  <si>
    <t>Enterprise Equity(www.eeni.com), Western Development Commission(westerndevelopment.ie)</t>
  </si>
  <si>
    <t>Cresa(Advisor: General), Seaport Global(Advisor: General), Welfont(Advisor: General)</t>
  </si>
  <si>
    <t>ABN AMRO Rothschild(Underwriter), Bank of America Merrill Lynch(Underwriter), BNY Mellon Capital Markets(Underwriter), Credit Suisse First Boston(Underwriter), Danske Bank(Underwriter), Deutsche Bank Securities(Underwriter), Evercore Group(Advisor: General), J.P. Morgan Securities(Underwriter), KPMG(Accounting), Latham &amp; Watkins(Legal Advisor), Lehman Brothers(Underwriter), Morgan Keegan(Underwriter), Morgan Stanley(Underwriter), Richards Layton &amp; Finger(Legal Advisor), Salomon Brothers(Underwriter), Scotiabank Global Banking and Markets(Underwriter), Simmons Energy(Underwriter), Société Générale(Advisor: General), UBS Group(Underwriter), Wachtell, Lipton, Rosen &amp; Katz(Legal Advisor), Wells Fargo Advisors(Underwriter)</t>
  </si>
  <si>
    <t>220931-65</t>
  </si>
  <si>
    <t>Technip</t>
  </si>
  <si>
    <t>Technip SA</t>
  </si>
  <si>
    <t>Chicago Bridge &amp; Iron Company, Hertel, KBR, SNC-Lavalin Group, Tractebel Engineering, WorleyParsons, Foster Wheeler, Willdan Group, Mortenson, Kværner, Ref-Chem Construction, TechnipFMC, CDM Smith, Fluor, Samsung Engineering Company, Johnson Controls International, Chiyoda Construction, Bechtel, AF Gruppen, Amec Foster Wheeler, Hatch (Canada), The Vertex Companies</t>
  </si>
  <si>
    <t>Provider of engineering and construction services for the energy industry based in Paris, France. The company offers project management, engineering and construction services for the energy industry.</t>
  </si>
  <si>
    <t>Construction and Engineering, Energy Infrastructure*</t>
  </si>
  <si>
    <t>energy efficiency technology, energy equipment manufacturer, surface engineering services, technical project development, technology engineering services</t>
  </si>
  <si>
    <t>www.technip.com</t>
  </si>
  <si>
    <t>89 avenue de la Grande Armée</t>
  </si>
  <si>
    <t>75773</t>
  </si>
  <si>
    <t>The company was acquired by TechnipFMC (PAR: FTI) for $8.2 billion on January 17, 2017. The company is no longer actively tracked by PitchBook.</t>
  </si>
  <si>
    <t>Fonds Strategique d'Investissement</t>
  </si>
  <si>
    <t>Fonds Strategique d'Investissement(www.fonds-fsi.fr)</t>
  </si>
  <si>
    <t>Banco Santander(Debt Financing), BNP Paribas(Debt Financing), CIC Market Solutions(Debt Financing), Crédit Agricole Corporate &amp; Investment Bank(Debt Financing), Deutsche Bank(Debt Financing), HSBC Holdings(Advisor: General), SMBC Nikko Capital Markets(Debt Financing), Société Générale(Debt Financing), Standard Chartered(Debt Financing), UBS Group(Debt Financing), Ukrsotsbank(Debt Financing)</t>
  </si>
  <si>
    <t>57798-10</t>
  </si>
  <si>
    <t>Zodiac Aerospace</t>
  </si>
  <si>
    <t>Mallet, Mélandri and de Pitray</t>
  </si>
  <si>
    <t>Zodiac</t>
  </si>
  <si>
    <t>Zodiac Aerospace SA</t>
  </si>
  <si>
    <t>B/E Aerospace, Satair, International Aero, Proponent, Airbus, Airbus Group, Pratt &amp; Whitney, Gulfstream Aerospace, Kansas Aviation of Independence, Tactair Fluid Controls, Rolls-Royce, Esterline Technologies, Mitsubishi Heavy Industries, Sargent Aerospace &amp; Defense, Northrop Grumman</t>
  </si>
  <si>
    <t>Manufacturer of aerospace equipment and systems intended for the on-board commercial, regional and business aircraft and helicopters. The company designs, certifies and assembles aircraft seats for passengers and crew.</t>
  </si>
  <si>
    <t>Aerospace and Defense*, Machinery (B2B), Other Commercial Products</t>
  </si>
  <si>
    <t>aerospace equipment, aircraft interiors, aircraft systems, cabins interior, inflatables bags, onboarding safety</t>
  </si>
  <si>
    <t>2008: 17824, 2009: 9358, 2010: 17540, 2011: 20000, 2013: 26082, 2014: 29708, 2015: 32388, 2016: 33667, 2017: 32568, 2018: 35000</t>
  </si>
  <si>
    <t>Plaisir, France</t>
  </si>
  <si>
    <t>61 rue Pierre Curie - CS20001</t>
  </si>
  <si>
    <t>Plaisir</t>
  </si>
  <si>
    <t>78373</t>
  </si>
  <si>
    <t>The company (PAR: ZC) was acquired by Safran (PAR: SAF) through a public to private transaction for $8.2 billion on February 13, 2018. The company is no longer actively tracked by PitchBook.</t>
  </si>
  <si>
    <t>Safran Group</t>
  </si>
  <si>
    <t>BNP Paribas, Caisse des Dépôts Group, Cheetah Canyon Resources, CNP Assurances, Crédit Agricole Assurances, Fonds Strategique d'Investissement, Groupama, Natixis Assurances, Peugeot Invest, Sogecap</t>
  </si>
  <si>
    <t>BNP Paribas(www.group.bnpparibas), Caisse des Dépôts Group(www.caissedesdepots.fr), Cheetah Canyon Resources(www.cheetahcanyon.com), CNP Assurances(www.cnp.fr), Crédit Agricole Assurances(www.ca-assurances.com), Fonds Strategique d'Investissement(www.fonds-fsi.fr), Groupama(www.groupama.com), Natixis Assurances(www.assurances.natixis.com), Peugeot Invest(peugeot-invest.com)</t>
  </si>
  <si>
    <t>Birchtree Global(Consulting), BM&amp;A Partners(Advisor: General), Financière de Courcelles(Advisor: General), Fredericks Michael &amp; Co.(Advisor: General), McDermott &amp; Bull(Consulting), Seatec Consulting(Consulting), Stubbs Alderton &amp; Markiles(Legal Advisor), Texas Consilium(Consulting)</t>
  </si>
  <si>
    <t>Blake, Cassels &amp; Graydon(Legal Advisor), BNP Paribas(Advisor: General), Bredin Prat(Legal Advisor), Citigroup(Advisor: General), Compass Lexecon(Consulting), Cravath, Swaine &amp; Moore(Legal Advisor), HSBC Continental Europe(Advisor: General), Orrick(Legal Advisor), Rothschild Advisors(Advisor: General)</t>
  </si>
  <si>
    <t>41310-82</t>
  </si>
  <si>
    <t>Microsemi</t>
  </si>
  <si>
    <t>Microsemi Corporation</t>
  </si>
  <si>
    <t>Inphi, Montage Technology, Maxlinear, Fairchild Semiconductor International, Broadcom, Intersil, Omiino, Dialog Semiconductor, Infineon Technologies, ON Semiconductor, Pericom Semiconductor, Renesas Electronics, Silego Technology, Nexperia, MACOM Technology Solutions, Nordic Semiconductor, Lantiq Deutschland, Rambus, Monolithic Power Systems, Qorvo, Skorpios Technologies, Vishay Intertechnology, GlobalFoundries U.S., Mobiveil, Lattice Semiconductor, Altera, Semtech, Cypress Semiconductor, Diodes, Taiwan Semiconductor Manufacturing Company, ams, Applied Micro Circuits, NXP Semiconductors, Cirrus Logic, Ambiq, Aeponyx, Linear Technology, Maxim Integrated Products, RFMW, Ranovus, Intel, Nanometrics, KLA, Marvell International, Skyworks Solutions, Analog Devices, Silicon Image, Melexis, Microchip Technology, Benchmark Electronics, InvenSense, Cymbet, Texas Instruments, Atmel, Silicon Labs, Mini-Circuits, STMicroelectronics</t>
  </si>
  <si>
    <t>Provider of semiconductor products and services for the defense, aerospace and industrial markets. The company's range of products include radiation-hardened, analog mixed-signal integrated circuits, power-management products, timing and synchronization devices, security technologies and enterprise storage systems.</t>
  </si>
  <si>
    <t>Application Specific Semiconductors*, Other Semiconductors, Production (Semiconductors)</t>
  </si>
  <si>
    <t>electronic connectors, enterprise storage, power management product, radio frequency</t>
  </si>
  <si>
    <t>www.microsemi.com</t>
  </si>
  <si>
    <t>1990: 2072, 1991: 1961, 1992: 1699, 1993: 1520, 1994: 1489, 1995: 1591, 1996: 1662, 1997: 1817, 1998: 1750, 1999: 1884, 2000: 1827, 2001: 2429, 2002: 1886, 2003: 1712, 2004: 1585, 2005: 1443, 2006: 2049, 2007: 2300, 2008: 1500, 2009: 2200, 2010: 2250, 2011: 2700, 2012: 3200, 2013: 3100, 2014: 3400, 2015: 3700, 2016: 4400, 2017: 4500, 2018: 4800</t>
  </si>
  <si>
    <t>Microchip Technology</t>
  </si>
  <si>
    <t>45475-12P</t>
  </si>
  <si>
    <t>James Peterson</t>
  </si>
  <si>
    <t>+1 (800) 713-4113</t>
  </si>
  <si>
    <t>Aliso Viejo, CA</t>
  </si>
  <si>
    <t>One Enterprise</t>
  </si>
  <si>
    <t>Aliso Viejo</t>
  </si>
  <si>
    <t>92656</t>
  </si>
  <si>
    <t>+1 (949) 215-4996</t>
  </si>
  <si>
    <t>The company (NASDAQ: MSCC) was acquired by Microchip Technology (NASDAQ: MCHP) for $8.19 billion on May 29, 2018. The Microsemi acquisition will significantly enhance the acquirer's product portfolio, end-market diversification, operational capabilities and customer scale. The deal would also strengthen acquirer's base in the computing and communications sectors, which together accounted for less than 15 percent of its full-year sales.</t>
  </si>
  <si>
    <t>Reference Capital Management</t>
  </si>
  <si>
    <t>Reference Capital Management(www.referencecapital.com)</t>
  </si>
  <si>
    <t>BBVA USA Bancshares(Debt Financing), Black Stone IP(Advisor: General), Globalview Advisors(Valuation/Appraiser), Knobbe Martens(Legal Advisor), Pagemill Partners(Advisor: General), Sidoti &amp; Company(Advisor: General), Tonex(Consulting)</t>
  </si>
  <si>
    <t>Bank of America Merrill Lynch(Underwriter), BMO Financial Group(Advisor: General), Brean Capital(Underwriter), CIBC Capital Markets(Underwriter), Credit Lyonnais Americas(Underwriter), Donaldson, Lufkin &amp; Jenrette(Underwriter), FBR &amp; Company(Underwriter), First Union National Bank(Underwriter), FS KKR Capital(Debt Financing), Jefferies Financial Group(Underwriter), Johnson Fistel(Legal Advisor), Kahn Swick &amp; Foti(Legal Advisor), Ladenburg Thalmann Financial Services(Underwriter), Morgan Stanley(Underwriter), Needham &amp; Company(Underwriter), O'Melveny &amp; Myers(Legal Advisor), Pacific Growth Equities(Underwriter), PaineWebber Group(Underwriter), Prudential Equity Group(Underwriter), PwC(Accounting), Qatalyst Partners(Advisor: General), Raymond James Financial(Underwriter), Rigrodsky &amp; Long(Legal Advisor), ROTH Capital Partners(Underwriter), Sanders Morris Mundy(Underwriter), Stradling Yocca Carlson &amp; Rauth(Legal Advisor), Sutro &amp; Co.(Underwriter), Wells Fargo Advisors(Underwriter), WR Hambrecht + Co.(Underwriter)</t>
  </si>
  <si>
    <t>155471-77</t>
  </si>
  <si>
    <t>Sanxia Jinsha Jiangchuanyun Water Power Development Company</t>
  </si>
  <si>
    <t>Sanxia Jinsha Jiangchuanyun Water Power Development Company Ltd.</t>
  </si>
  <si>
    <t>Operator of hydro-electric power plant. The company operates a hydro-electric power plant and produces and distributes electricity to its customers.</t>
  </si>
  <si>
    <t>Alternative Energy Equipment</t>
  </si>
  <si>
    <t>Alternative Energy Equipment*, Electric Utilities</t>
  </si>
  <si>
    <t>energy sector, hydropower plant, power development</t>
  </si>
  <si>
    <t>Chengdu, China</t>
  </si>
  <si>
    <t>Chengdu</t>
  </si>
  <si>
    <t>Sichuan</t>
  </si>
  <si>
    <t>The company was acquired by China Yangtze Power Company (OTC: 600900) for RMB 51.9 billion on November 6, 2015. The company is no longer actively tracked by PitchBook.</t>
  </si>
  <si>
    <t>China Yangtze Power Company</t>
  </si>
  <si>
    <t>China Three Gorges, Sichuan Energy Industry Investment Group Co, Yunnan Provincial Energy Investment Group Co</t>
  </si>
  <si>
    <t>China Three Gorges(www.ctg.com.cn)</t>
  </si>
  <si>
    <t>43040-53</t>
  </si>
  <si>
    <t>Lihir Gold</t>
  </si>
  <si>
    <t>Lihir Gold Ltd</t>
  </si>
  <si>
    <t>Provider of mineral exploration services intended to offer gold mining and processing operations. The company operates gold mines and processing facilities on the island of Lihir in Papua New Guinea.</t>
  </si>
  <si>
    <t>gold mining, mineral exploration, mineral exploration company, mineral exploration service</t>
  </si>
  <si>
    <t>1997: 1534, 1998: 676, 1999: 657, 2000: 957, 2001: 962, 2002: 978, 2003: 989, 2004: 1070, 2005: 2633, 2006: 3837, 2007: 3962, 2008: 4696, 2009: 5817, 2010: 4500, 2021: 4500</t>
  </si>
  <si>
    <t>Port Moresby, Papua New Guinea</t>
  </si>
  <si>
    <t>Seventh Floor</t>
  </si>
  <si>
    <t>Pacific Place, Cnr. Champion Parade and Musgrave Street, PO Box 789</t>
  </si>
  <si>
    <t>Port Moresby</t>
  </si>
  <si>
    <t>Papua New Guinea</t>
  </si>
  <si>
    <t>The company was acquired by Newcrest Mining ASX: NCM) for AUD 9.3 billion in August 2010. The company is no longer actively tracked by PitchBook.</t>
  </si>
  <si>
    <t>Newcrest Mining</t>
  </si>
  <si>
    <t>Clayton Utz(Legal Advisor), Medea Natural Resources(Advisor: General)</t>
  </si>
  <si>
    <t>Clayton Utz(Legal Advisor), Grant Samuel Group(Advisor: General), Greenhill &amp; Co.(Advisor: General), Medea Natural Resources(Advisor: General)</t>
  </si>
  <si>
    <t>41097-52</t>
  </si>
  <si>
    <t>Pacificare Health Systems</t>
  </si>
  <si>
    <t>Pacificare Halth Systems</t>
  </si>
  <si>
    <t>Provider of managed care and other health insurance products. The company's products include health insurance, health benefits administration, and indemnity insurance products, such as Medicare Supplement products offered through health maintenance organizations.</t>
  </si>
  <si>
    <t>health insurance, health insurance firm, health insurance planning</t>
  </si>
  <si>
    <t>www.pacificare.com</t>
  </si>
  <si>
    <t>1992: 2186, 1993: 2603, 1994: 3856, 1995: 4438, 1996: 4957, 1997: 9770, 1998: 8700, 1999: 8800, 2000: 9200, 2001: 8200, 2002: 7800, 2003: 7700, 2004: 9800</t>
  </si>
  <si>
    <t>189140-14P</t>
  </si>
  <si>
    <t>Terry Hartshorn</t>
  </si>
  <si>
    <t>Founder &amp; Chief Executive Officer</t>
  </si>
  <si>
    <t>+1 (714) 825-5200</t>
  </si>
  <si>
    <t>Cypress, CA</t>
  </si>
  <si>
    <t>P.O. Box 6006</t>
  </si>
  <si>
    <t>90630</t>
  </si>
  <si>
    <t>+1 (714) 825-5045</t>
  </si>
  <si>
    <t>The company was acquired by UnitedHealth Group (NYS: UNH) for $8.14 billion on July 6, 2005. The company is no longer actively tracked by PitchBook.</t>
  </si>
  <si>
    <t>MTS Health Partners(Advisor: General)</t>
  </si>
  <si>
    <t>41914-18</t>
  </si>
  <si>
    <t>Par Pharmaceutical Companies</t>
  </si>
  <si>
    <t>Par</t>
  </si>
  <si>
    <t>Par Pharmaceutical Companies, Inc.</t>
  </si>
  <si>
    <t>GlaxoSmithKline, Landsteiner Scientific, The Harvard Drug Group, Alkem Laboratories, Amneal Pharmaceuticals, Synthon International Holding, Novartis, Lannett Company, Hikma Pharmaceuticals, Akorn, Teva Pharmaceutical Industries, Cipla, Beximco Pharmaceuticals, Allergan, Jubilant Life Sciences</t>
  </si>
  <si>
    <t>Manufacturer and distributor of generic and branded drugs in the United States. The company develops, manufactures and markets generic and branded specialty pharmaceuticals.</t>
  </si>
  <si>
    <t>branding pharmaceutical</t>
  </si>
  <si>
    <t>www.parpharm.com</t>
  </si>
  <si>
    <t>1989: 900, 1990: 900, 1991: 325, 1992: 350, 1993: 400, 1994: 430, 1995: 440, 1996: 390, 1997: 335, 1998: 320, 1999: 275, 2000: 297, 2001: 393, 2002: 456, 2003: 531, 2004: 656, 2005: 766, 2006: 794, 2007: 716, 2008: 654, 2009: 616, 2010: 686, 2011: 819, 2013: 1450, 2015: 1900</t>
  </si>
  <si>
    <t>93451-87P</t>
  </si>
  <si>
    <t>Terrance Coughlin</t>
  </si>
  <si>
    <t>Chief Operating Officer &amp; Executive Vice President</t>
  </si>
  <si>
    <t>terrance.coughlin@endo.com</t>
  </si>
  <si>
    <t>+1 (201) 802-4000</t>
  </si>
  <si>
    <t>Ramapo, NY</t>
  </si>
  <si>
    <t>One Ram Ridge Road</t>
  </si>
  <si>
    <t>Chestnut Ridge</t>
  </si>
  <si>
    <t>Ramapo</t>
  </si>
  <si>
    <t>10977</t>
  </si>
  <si>
    <t>+1 (845) 573-5500</t>
  </si>
  <si>
    <t>+1 (845) 425-7907</t>
  </si>
  <si>
    <t>The company was acquired by Endo International (NASDAQ: ENDP) for $8135.6 million on September 25, 2015. The company is no longer tracked by PitchBook.</t>
  </si>
  <si>
    <t>AlpInvest Partners, TPG</t>
  </si>
  <si>
    <t>AlpInvest Partners(www.alpinvest.com), TPG(www.tpg.com)</t>
  </si>
  <si>
    <t>Axinn, Veltrop &amp; Harkrider(Legal Advisor)</t>
  </si>
  <si>
    <t>American Capital (ACAS)(Debt Financing), American Capital Senior Floating(Debt Financing), Bank of America Merrill Lynch(Debt Financing), Barclays(Debt Financing), Business Development Corporation of America(Debt Financing), Citigroup Global Markets(Underwriter), Cravath, Swaine &amp; Moore(Legal Advisor), Deloitte(Accounting), Deutsche Bank(Debt Financing), Deutsche Bank Securities(Underwriter), Evercore Group(Underwriter), EY(Advisor: General), Innisfree M&amp;A(Legal Advisor), J.P. Morgan(Auditor), J.P. Morgan(Advisor: General), J.P. Morgan Securities(Underwriter), King &amp; Spalding(Legal Advisor), Merrill Lynch Pierce Fenner &amp; Smith(Underwriter), Morgan Stanley(Underwriter), Orrick(Legal Advisor), RBC Capital Markets(Underwriter), Richards Layton &amp; Finger(Legal Advisor), Ropes &amp; Gray(Legal Advisor), The Goldman Sachs Group(Debt Financing), The Goldman Sachs Group(Advisor: General), TPG Capital BD(Underwriter)</t>
  </si>
  <si>
    <t>Loan - $6.50B</t>
  </si>
  <si>
    <t>13483-00</t>
  </si>
  <si>
    <t>Allahabad Bank</t>
  </si>
  <si>
    <t>ALBK</t>
  </si>
  <si>
    <t>IDBI Bank, Indian Bank, Dubai Islamic Bank, Andhra Bank, DBS Bank, Dena Bank, Indian Overseas Bank, Capital One Financial, IDFC First Bank, Canara Bank, Federal Bank, YES Bank, Dhanlaxmi Bank, Northern Trust, Punjab National Bank, Lakshmi Vilas Bank, Grupo Financiero Banorte, State Bank of India, Bank of Baroda, HSBC Holdings, UCO Bank, Karur Vysya Bank, Agricultural Bank of China, Wells Fargo, RBL Bank, NatWest Group, ICICI Bank, Bank of America, The Royal Bank of Scotland (Malaysia), Bank of India, Standard Chartered Bank Kenya, Indusind Bank, Union Bank of India</t>
  </si>
  <si>
    <t>Allahabad Bank is a provider of banking products and services in India and Hong Kong. The bank is headquartered in India and generates the majority of revenue domestically. The bank operates through four segments: Corporate/wholesale banking, Retail banking, Treasury, and Other banking operations. Corporate/wholesale banking, which contributes the largest portion of revenue, provides agriculture credit, loans to small and medium enterprises, remittance facilities, corporate advisory, syndication of loans, debentures and underwriting services. The retail banking segment provides deposits, savings accounts, current accounts, term deposits, mortgages, personal loans, insurance and mutual funds. The Government of India is an investor in Allahabad Bank.</t>
  </si>
  <si>
    <t>international banking, national bank, personal loans, retail credit product</t>
  </si>
  <si>
    <t>www.allahabadbank.in</t>
  </si>
  <si>
    <t>2013: 22557, 2014: 24569, 2015: 24231, 2016: 24137, 2017: 23944, 2018: 23967, 2019: 23210</t>
  </si>
  <si>
    <t>Kolkata, India</t>
  </si>
  <si>
    <t>2, Netaji Subhas Road</t>
  </si>
  <si>
    <t>BBD Bagh, Murgighata</t>
  </si>
  <si>
    <t>Kolkata</t>
  </si>
  <si>
    <t>700001</t>
  </si>
  <si>
    <t>The company was acquired by Indian Bank (BOM: 532814) for $8.132 billion on March 5, 2020.</t>
  </si>
  <si>
    <t>Indian Bank</t>
  </si>
  <si>
    <t>JM Financial(Advisor: General)</t>
  </si>
  <si>
    <t>10616-86</t>
  </si>
  <si>
    <t>Banco Santander (XMAD: SAN)</t>
  </si>
  <si>
    <t>Santander</t>
  </si>
  <si>
    <t>Banco Santander S.A.</t>
  </si>
  <si>
    <t>Banco Bilbao Vizcaya Argentaria, CaixaBank, Bankinter, Bank of Western Australia, Truist, Lakeland Bank, Commerzbank (Schweiz), Grupo Financiero Banorte, MUFG Union Bank, Capital One Financial, Fibabanka, SunTrust Bank, Dubai Islamic Bank, First Nationwide Bank, First National Bank, Bankia, Westpac Vanuatu, National Bank of Canada, Nationwide Building Society, Caixa d'Estalvis de Girona, Wells Fargo, BBVA USA Bancshares, Northern Trust, HSBC Holdings, Regions Financial, Commerzbank, Northeast Bank, Nuevo Banco Comercial, Investec, Bank of Queensland, Credit Agricole, East River Bank, Southern States Bank, Monarch Bank, Banco BPM, HSBC Bank Canada, Mediobanca, DNB Financial, Heritage Commerce, NBT Bancorp, Metro Bank, WSFS Financial, BNP Paribas Fortis, Bank of Ireland, PNC, Lloyds Banking Group, Ameriserv Financial Bank, Westpac Banking, Canadian Imperial Bank of Commerce, Amegy Bank of Texas, Royal Bank of Canada, Standard Chartered Bank Kenya, ICICI Bank, First Busey, ING Group, Deutsche Bank, U.S. Bancorp, Bank of America, Commonwealth Bank of Australia</t>
  </si>
  <si>
    <t>Santander's focus is on retail and commercial banking. Latin America is geographically the largest operation, with Brazil by far the largest. Its continental European business is still mainly Iberian. Santander's U.K. presence is the result of the acquisition of building society Abbey. In the U.S., Santander operates a vehicle finance business and a regional bank focused on the Northeastern states.</t>
  </si>
  <si>
    <t>banking group, banking product, financial service</t>
  </si>
  <si>
    <t>www.bancosantander.es</t>
  </si>
  <si>
    <t>1989: 117341, 1991: 19842, 1992: 20357, 1993: 21472, 1994: 39400, 1995: 42043, 1996: 45847, 1997: 72740, 1998: 73964, 1999: 95442, 2000: 126757, 2001: 114927, 2002: 104178, 2003: 103038, 2004: 126488, 2005: 129196, 2006: 129749, 2007: 131819, 2008: 170961, 2009: 170156, 2010: 178869, 2011: 193349, 2012: 189822, 2013: 189858, 2014: 185405, 2015: 193863, 2016: 194409, 2017: 202251, 2018: 202713, 2019: 202653, 2020: 194948, 2021: 190175</t>
  </si>
  <si>
    <t>SAN</t>
  </si>
  <si>
    <t>79498-36P</t>
  </si>
  <si>
    <t>Pablo Moreno</t>
  </si>
  <si>
    <t>Audit Senior Manager</t>
  </si>
  <si>
    <t>+34 91 289 0000</t>
  </si>
  <si>
    <t>Boadilla del Monte, Spain</t>
  </si>
  <si>
    <t>Santander Group City</t>
  </si>
  <si>
    <t>Avenue de Cantabria s/n</t>
  </si>
  <si>
    <t>Boadilla del Monte</t>
  </si>
  <si>
    <t>28660</t>
  </si>
  <si>
    <t>The company (MCE: SAN) received EUR 7.072 billion of development capital from undisclosed investors on July 27, 2017 through a private placement. The stock sale was used to finance its clean-up of troubled lender Banco Popular Español, which it took over last month during a central bank-orchestrated rescue. Also, the company (MCE: SAN) received development capital from Comerica Bank, Envestnet, Nuveen Investment Quality Municipal Fund and Societe Generale Group on March 30, 2017 through a private placement.</t>
  </si>
  <si>
    <t>Comerica Bank, Envestnet, Nuveen Investment Quality Municipal Fund, Société Générale, Sovereign Investment</t>
  </si>
  <si>
    <t>Comerica Bank(www.comerica.com), Envestnet(www.envestnet.com), Société Générale(www.societegenerale.com), Sovereign Investment(www.sovereigninvestment.com)</t>
  </si>
  <si>
    <t>ACN Corporate Finance(Advisor: General), Atlas Advisors(Advisor: General), Auriemma Consulting Group(Consulting), Cerulli Associates(Advisor: General), Clarity Consultants(Consulting), Clarke Willmott(Legal Advisor), Estudio Echecopar(Legal Advisor), FERRERE Abogados(Legal Advisor), Gordons(Legal Advisor), Greenwich Associates(Consulting), Grupo Mercados Energéticos Consultores(Consulting), Hughes Hubbard &amp; Reed(Legal Advisor), Integration Consulting(Consulting), Irwin Mitchell(Legal Advisor), Marathon Capital(Advisor: General), Pedersen &amp; Partners(Consulting), Posse Herrera &amp; Ruiz(Legal Advisor), Proskauer Rose(Legal Advisor), PwC(Auditor), Rosin &amp; Associates(Advisor: General), Square One Law(Legal Advisor), Tughans Solicitors(Legal Advisor), UNISON Capital (Germany)(Advisor: General), Uría Menéndez(Legal Advisor), Usertribe(Consulting)</t>
  </si>
  <si>
    <t>Arcano Partners(Advisor: General), Deloitte(Auditor)</t>
  </si>
  <si>
    <t>155098-63</t>
  </si>
  <si>
    <t>The Woolwich</t>
  </si>
  <si>
    <t>The Woolwich Equitable Benefit Building and Investment Association, Woolwich Building Society, Woolwich Equitable Benefit Building Society, Woolwich Equitable Benefit Building and Investment Association, Woolwich Equitable Building Society</t>
  </si>
  <si>
    <t>Woolwich</t>
  </si>
  <si>
    <t>Woolwich PLC</t>
  </si>
  <si>
    <t>Other Financial Services, Regional Banks*</t>
  </si>
  <si>
    <t>banking services, commercial bank, financial services, mobile banking, personal loans</t>
  </si>
  <si>
    <t>www.woolwich.co.uk</t>
  </si>
  <si>
    <t>2000: 6500</t>
  </si>
  <si>
    <t>FY 1999</t>
  </si>
  <si>
    <t>Bexleyheath, United Kingdom</t>
  </si>
  <si>
    <t>Watling Street</t>
  </si>
  <si>
    <t>Bexleyheath</t>
  </si>
  <si>
    <t>DA6 7RR</t>
  </si>
  <si>
    <t>The company was acquired by Barclays (LON: BARC) for GBP 5.4 billion on August 11, 2000. The company is no longer actively tracked by PitchBook.</t>
  </si>
  <si>
    <t>52214-23</t>
  </si>
  <si>
    <t>LSF Loan Solutions Frankfurt</t>
  </si>
  <si>
    <t>Hypothekenbank Frankfurt</t>
  </si>
  <si>
    <t>LSF</t>
  </si>
  <si>
    <t>LSF Loan Solutions Frankfurt GmbH</t>
  </si>
  <si>
    <t>Provider of commercial property loans in Europe. The company manages commercial real estate loan portfolios and public finance segments with the mandate to reduce the stocks in a value-saving and timely manner.</t>
  </si>
  <si>
    <t>Other Commercial Services*, Thrifts and Mortgage Finance</t>
  </si>
  <si>
    <t>lending facility</t>
  </si>
  <si>
    <t>hypothekenbankfrankfurt.com</t>
  </si>
  <si>
    <t>2008: 1961, 2009: 1276</t>
  </si>
  <si>
    <t>193868-83P</t>
  </si>
  <si>
    <t>Detlef Lucht</t>
  </si>
  <si>
    <t>+49 (0)69 1362 0</t>
  </si>
  <si>
    <t>Eschborn, Germany</t>
  </si>
  <si>
    <t>Helfmann-Park 5</t>
  </si>
  <si>
    <t>Eschborn</t>
  </si>
  <si>
    <t>65760</t>
  </si>
  <si>
    <t>+49 (0)69 4056 5169 4</t>
  </si>
  <si>
    <t>The company was acquired by Commerzbank (ETR: CBK) for GBP 4.65 billion on March 31, 2006. The transaction increased in value for the shareholders of Commerzbank.</t>
  </si>
  <si>
    <t>Deutsche Bank, Dresdner Bank</t>
  </si>
  <si>
    <t>Deutsche Bank(www.db.com), Dresdner Bank(www.dresdner-bank.com)</t>
  </si>
  <si>
    <t>Mourant(Legal Advisor), PwC(Auditor), Rosin &amp; Associates(Advisor: General)</t>
  </si>
  <si>
    <t>Blackrock Capital Investment(Debt Financing)</t>
  </si>
  <si>
    <t>Loan - $20.00M (Unsecured)</t>
  </si>
  <si>
    <t>41335-39</t>
  </si>
  <si>
    <t>Alpha Appalachia Holdings</t>
  </si>
  <si>
    <t>Massey Energy</t>
  </si>
  <si>
    <t>Alpha Appalachia Holdings Inc.</t>
  </si>
  <si>
    <t>Producer of coal. The Company produces, processes and sells bituminous coal of steam and metallurgical grades, mainly of a low sulfur content, through its 23 processing and shipping centers.</t>
  </si>
  <si>
    <t>Coal Mining*, Other Metals, Minerals and Mining, Precious Metals and Minerals Mining</t>
  </si>
  <si>
    <t>coal mining service, coal producer, mining assets</t>
  </si>
  <si>
    <t>1989: 20059, 1990: 22188, 1991: 22188, 1992: 43605, 1993: 43605, 1994: 43605, 1995: 43605, 1996: 52461, 1997: 60679, 1998: 56886, 1999: 53561, 2000: 3610, 2001: 5004, 2002: 4552, 2003: 4428, 2004: 5034, 2005: 5709, 2006: 5517, 2007: 5407, 2008: 6743, 2009: 5851, 2010: 7359, 2015: 5001</t>
  </si>
  <si>
    <t>156586-24P</t>
  </si>
  <si>
    <t>Don Blankenship</t>
  </si>
  <si>
    <t>+1 (804) 788-1800</t>
  </si>
  <si>
    <t>Richmond, VA</t>
  </si>
  <si>
    <t>4 North 4th Street</t>
  </si>
  <si>
    <t>Richmond</t>
  </si>
  <si>
    <t>23219</t>
  </si>
  <si>
    <t>+1 (949) 349-7220</t>
  </si>
  <si>
    <t>investor@masseyenergyco.com</t>
  </si>
  <si>
    <t>The company was acquired by Alpha Natural Resources (NYSE: ANR) for $7.1 billion on June 1, 2011. The company is no longer actively tracked by PitchBook.</t>
  </si>
  <si>
    <t>Alpha Natural Resources</t>
  </si>
  <si>
    <t>Fluor</t>
  </si>
  <si>
    <t>Fluor(www.fluor.com)</t>
  </si>
  <si>
    <t>Cravath, Swaine &amp; Moore(Legal Advisor), Perella Weinberg Partners(Advisor: General), Troutman Sanders(Legal Advisor), UBS Group(Advisor: General)</t>
  </si>
  <si>
    <t>53629-75</t>
  </si>
  <si>
    <t>Credit Karma</t>
  </si>
  <si>
    <t>Credit Karma, Inc.</t>
  </si>
  <si>
    <t>Bonify, Credit Sesame, ClearScore, Aire Labs, CreditVidya, Entrepreneurial Finance Lab, Zest AI, Nav, TransUnion, FeeX, NerdWallet, Tala, Trusting Social, Quizzle, LendUp, CredoLab, TotallyMoney, PayActiv, Intersections, Money Under30, Cignifi, ValuePenguin, Qapital, Check, Equifax, HelloWallet, SettlementOne, Mint.com</t>
  </si>
  <si>
    <t>Developer of financial education and recommendation platform intended to offer free credit scores and reports with monitoring. The company's platform helps to save recommendations based on data comparisons as well as financial education and provides access to free tools, such as credit report card, credit card statistics, tax filing, among others, enabling users to monitor and manage different aspects of their credit financial health.</t>
  </si>
  <si>
    <t>Financial Software, Information Services (B2C), Other Financial Services*</t>
  </si>
  <si>
    <t>FinTech, Mobile, Real Estate Technology, TMT</t>
  </si>
  <si>
    <t>credit score analytics, credit score assessment, credit score card, credit score company, credit score platform, credit score solution, credit score system, credit score tools, credit trading</t>
  </si>
  <si>
    <t>www.creditkarma.com</t>
  </si>
  <si>
    <t>2009: 5, 2010: 12, 2013: 100, 2015: 400, 2016: 600, 2017: 700, 2018: 800, 2019: 1000, 2020: 1336, 2021: 1330</t>
  </si>
  <si>
    <t>39856-06P</t>
  </si>
  <si>
    <t>Kenneth Lin</t>
  </si>
  <si>
    <t>Co-Founder and Chief Executive Officer</t>
  </si>
  <si>
    <t>ken@creditkarma.com</t>
  </si>
  <si>
    <t>+1 (415) 692-5722</t>
  </si>
  <si>
    <t>Post Office Box 520</t>
  </si>
  <si>
    <t>94104</t>
  </si>
  <si>
    <t>+1 (510) 225-2310</t>
  </si>
  <si>
    <t>info@creditkarma.com</t>
  </si>
  <si>
    <t>The company was acquired by Intuit (NAS: INTU) for $8.1 billion on December 3, 2020.</t>
  </si>
  <si>
    <t>Intuit</t>
  </si>
  <si>
    <t>500 Startups, Ashby Point Capital, Ben Jen Holdings, CapitalG, eBrands.vc, Felicis Ventures, Finovate, Founders Fund, Next Coast Ventures, QED Investors, Ribbit Capital, Seek Ventures, Silver Lake, Susquehanna Growth Equity, SV Angel, Tiger Global Management, Valinor Management, Viking Global Investors, W Capital Partners</t>
  </si>
  <si>
    <t>500 Startups(www.500.co), Ashby Point Capital(www.ashbypointcapital.com), Ben Jen Holdings(www.benjenholdings.com), CapitalG(www.capitalg.com), eBrands.vc(eBrands.vc), Felicis Ventures(www.felicis.com), Finovate(www.finovate.com), Founders Fund(www.foundersfund.com), Next Coast Ventures(www.nextcoastventures.com), QED Investors(www.qedinvestors.com), Ribbit Capital(www.ribbitcap.com), Seek Ventures(www.seekventures.com), Silver Lake(www.silverlake.com), Susquehanna Growth Equity(www.sgep.com), SV Angel(www.svangel.com), Tiger Global Management(www.tigerglobal.com), Viking Global Investors(www.vikingglobal.com), W Capital Partners(www.wcapgroup.com)</t>
  </si>
  <si>
    <t>Chase Bank(Debt Financing), DeWinter Group(Consulting), Riviera Partners(Consulting), Square 1 Bank(Advisor: General)</t>
  </si>
  <si>
    <t>Barclays Bank UK(Debt Financing), BMO Capital Markets(Debt Financing), Chase Bank(Debt Financing), Citibank(Debt Financing), Cooley(Legal Advisor), Davis Wright Tremaine(Legal Advisor), Fifth Third Bank(Debt Financing), Goldman Sachs Specialty Lending Group(Debt Financing), Marlin &amp; Associates(Advisor: General), MasterCard Advisors(Advisor: General), Munger, Tolles &amp; Olson(Legal Advisor), Qatalyst Partners(Advisor: General), Royal Bank of Canada(Debt Financing), Silicon Legal Strategy(Legal Advisor), Simpson Thacher &amp; Bartlett(Legal Advisor), Skadden, Arps, Slate, Meagher &amp; Flom(Legal Advisor), The Goldman Sachs Group(Advisor: General), Wilson Sonsini Goodrich &amp; Rosati(Legal Advisor)</t>
  </si>
  <si>
    <t>222220-18</t>
  </si>
  <si>
    <t>Marathon Petroleum (refining logistics assets and fuels distribution services)</t>
  </si>
  <si>
    <t>Provider of fuel distribution services.</t>
  </si>
  <si>
    <t>Energy Marketing*, Energy Traders and Brokers</t>
  </si>
  <si>
    <t>fuel distribution, fuel distribution business, fuel distribution company, fuel distribution service</t>
  </si>
  <si>
    <t>Findlay, OH</t>
  </si>
  <si>
    <t>539 South Main Street</t>
  </si>
  <si>
    <t>Findlay</t>
  </si>
  <si>
    <t>45840</t>
  </si>
  <si>
    <t>The refining logistics assets and fuels distribution services of Marathon Petroleum (NYSE: MPC) was acquired by MPLX (NYSE: MPLX) for $8.1 billion on February 1, 2018. The consideration consisted of $4.1 billion in cash and approximately 114 million newly issued MPLX units valued at $4 billion as of the announcement date. MPLX is financing the cash portion of the transaction with its $4.1 billion 364-day term loan facility, which was entered into on Jan. 2, 2018. The business unit is no longer actively tracked by PitchBook.</t>
  </si>
  <si>
    <t>10248-31</t>
  </si>
  <si>
    <t>Nalco Water</t>
  </si>
  <si>
    <t>Ondeo Nalco</t>
  </si>
  <si>
    <t>Nalco Holding</t>
  </si>
  <si>
    <t>Nalco Holding Co.</t>
  </si>
  <si>
    <t>Aquatech International, ChemTreat, Tradebe, Chem-Aqua, Garratt-Callahan Co., ChemCal, HydroChemPSC, Kurita Water Industries, Chemetall</t>
  </si>
  <si>
    <t>Producer of chemicals used in water treatment, pollution control and energy conservation. The company's products and services are used in water treatment applications to prevent corrosion, contamination and the build up of harmful deposits or in production processes to enhance process efficiency and improve its customers end products.</t>
  </si>
  <si>
    <t>Environmental Services (B2B), Other Commercial Services*</t>
  </si>
  <si>
    <t>chemically coated paper, paper services, water treatment</t>
  </si>
  <si>
    <t>www.nalco.com</t>
  </si>
  <si>
    <t>2004: 10500, 2005: 10900, 2006: 11100, 2007: 11560, 2008: 11770, 2009: 11590, 2010: 12495, 2013: 12495, 2014: 10001</t>
  </si>
  <si>
    <t>Ecolab</t>
  </si>
  <si>
    <t>15982-03P</t>
  </si>
  <si>
    <t>Bell Bradley</t>
  </si>
  <si>
    <t>+1 (630) 305-1000</t>
  </si>
  <si>
    <t>Naperville, IL</t>
  </si>
  <si>
    <t>1601 West Diehl Road</t>
  </si>
  <si>
    <t>Naperville</t>
  </si>
  <si>
    <t>60563</t>
  </si>
  <si>
    <t>+1 (630) 305-2900</t>
  </si>
  <si>
    <t>The company was acquired by Ecolab (NYSE: ECL) for $8.1 billion in January, 2012. The company is no longer actively tracked by PitchBook.</t>
  </si>
  <si>
    <t>Apollo Global Management, Goldman Sachs Merchant Banking Division, Kohlberg Kravis Roberts, The Blackstone Group</t>
  </si>
  <si>
    <t>Apollo Global Management(www.apollo.com), Kohlberg Kravis Roberts(www.kkr.com), The Blackstone Group(www.blackstone.com)</t>
  </si>
  <si>
    <t>BDA Partners(Advisor: General)</t>
  </si>
  <si>
    <t>Bank of America(Debt Financing), Bank of America Merrill Lynch(Underwriter), Bear Stearns(Underwriter), Citigroup Global Markets(Advisor: General), Citigroup Global Markets(Debt Financing), Clifford Chance(Legal Advisor), CMG Consulting(Underwriter), Cravath, Swaine &amp; Moore(Legal Advisor), Credit Suisse(Underwriter), Deutsche Bank(Debt Financing), Edward Jones Investments(Underwriter), EY(Accounting), HSBC Holdings(Advisor: General), J.P. Morgan(Advisor: General), J.P. Morgan(Debt Financing), Lehman Brothers(Underwriter), Mayer Brown(Legal Advisor), MCG Capital(Debt Financing), Richards Layton &amp; Finger(Legal Advisor), Robert W. Baird &amp; Co(Underwriter), Simpson Thacher &amp; Bartlett(Legal Advisor), Sullivan &amp; Cromwell(Legal Advisor), The Goldman Sachs Group(Underwriter), UBS Group(Underwriter), Utendahl Capital Partners(Underwriter), Wachtell, Lipton, Rosen &amp; Katz(Legal Advisor), William Blair &amp; Company(Underwriter)</t>
  </si>
  <si>
    <t>Other - $3.20B</t>
  </si>
  <si>
    <t>41043-88</t>
  </si>
  <si>
    <t>RCN Telecom Services</t>
  </si>
  <si>
    <t>Residential Communications Network</t>
  </si>
  <si>
    <t>RCN, Astound Broadband</t>
  </si>
  <si>
    <t>RCN Telecom Services, LLC</t>
  </si>
  <si>
    <t>EnTouch Systems, Atlantic Broadband Group, Mediacom, Frontier Communications, NewWave Communications, WideOpenWest, Sparklight, C Spire Wireless, Kingsland Cable, EarthLink, T-Mobile Netherlands, Cricket Wireless, Sprint, Time Warner Cable, AT&amp;T, Magenta (Electronic Marketplace), U.S. Cellular, NuLink, Level 3 Communications, Verizon Wireless, T-Mobile Czech Republic</t>
  </si>
  <si>
    <t>Provider of communications products and services based in Princeton, New Jersey. The company offers internet, digital television and phone services to residential customers as well as small, medium and enterprise businesses further providing data services comprising internet access, email and web mail, internet security services, and other web-based services.</t>
  </si>
  <si>
    <t>broadband, broadband providers, digital communication, internet access, internet communication</t>
  </si>
  <si>
    <t>www.rcn.com</t>
  </si>
  <si>
    <t>1997: 1150, 1998: 2150, 1999: 3450, 2000: 6869, 2001: 4770, 2002: 3623, 2003: 2537, 2004: 2220, 2005: 2000, 2006: 1800, 2007: 1600, 2008: 1500, 2009: 1500, 2010: 1500, 2016: 1378</t>
  </si>
  <si>
    <t>142652-62P</t>
  </si>
  <si>
    <t>John Feehan</t>
  </si>
  <si>
    <t>+1 (855) 971-1252</t>
  </si>
  <si>
    <t>650 College Road East</t>
  </si>
  <si>
    <t>+1 (800) 746-4726</t>
  </si>
  <si>
    <t>The company entered into a definitive agreement to be acquired by Stonepeak Infrastructure Partners through an $8.1 billion LBO on November 1, 2020. To support the transaction, debt was provided by undisclosed lenders. The company is being actively tracked by PitchBook.</t>
  </si>
  <si>
    <t>CapitalG, TPG</t>
  </si>
  <si>
    <t>ABRY Partners, Deutsche Bank, Granahan McCourt Capital, Hicks Muse Tate &amp; Furst, Spectrum Equity, Vulcan Capital</t>
  </si>
  <si>
    <t>Stonepeak Infrastructure Partners</t>
  </si>
  <si>
    <t>CapitalG(www.capitalg.com), TPG(www.tpg.com)</t>
  </si>
  <si>
    <t>ABRY Partners(www.abry.com), Deutsche Bank(www.db.com), Granahan McCourt Capital(www.granahanmccourt.com), Spectrum Equity(www.spectrumequity.com), Vulcan Capital(capital.vulcan.com)</t>
  </si>
  <si>
    <t>Stonepeak Infrastructure Partners(www.stonepeakpartners.com)</t>
  </si>
  <si>
    <t>Lincoln Financial Group(Consulting), MorganFranklin Consulting(Consulting), Octagon Capital Group(Advisor: General)</t>
  </si>
  <si>
    <t>American Capital (ACAS)(Debt Financing), Barings BDC(Debt Financing), Blackstone Secured Lending Fund(Debt Financing), Chase Securities(Lead Manager or Arranger), Cleary Gottlieb(Legal Advisor), Credit Suisse(Advisor: General), Deutsche Bank(Debt Financing), Duff &amp; Phelps, A Kroll Business(Advisor: General), GE Capital(Debt Financing), Invesco(Debt Financing), Jenner &amp; Block(Legal Advisor), JPMorgan Chase(Debt Financing), Locke Lord(Legal Advisor), Merrill Lynch Pierce Fenner &amp; Smith(Debt Financing), Morgan Stanley Senior Funding(Debt Financing), Nomura Corporate Funding Americas(Debt Financing), PwC(Accounting), Societe Generale Corporate &amp; Investment Banking(Debt Financing), Société Générale(Debt Financing), SunTrust Robinson Humphrey(Debt Financing), The Blackstone Group(Debt Financing), UBS Group(Advisor: General), Waller Capital Partners(Advisor: General)</t>
  </si>
  <si>
    <t>10830-52</t>
  </si>
  <si>
    <t>ZeniMax Media</t>
  </si>
  <si>
    <t>ZeniMax Media, Inc.</t>
  </si>
  <si>
    <t>Crytek, Epic Games, TellTale, Behaviour Interactive, PlayRaven, Naughty Dog, Omnidrone, WildTangent, GarageGames, Fishing Cactus, Electronic Arts, Activision Blizzard, King Digital Entertainment, Grupo Promineo, Hi-Rez Studios, Glu Mobile, Geewa, Zynga, Bad Juju Games, Kixeye, Jagex, Blind Squirrel Entertainment, InXile Entertainment, Stencyl, Ubisoft Entertainment, Kabam, Obsidian Entertainment, Sega Holdings, BreakAway (Entertainment Software), Mixamo, Ministry (Entertainment Software), Hutch, Valve, Goodgame (Entertainment Software), Magic Pixel Games, Unity, Gameloft, Star Stable, Mojang</t>
  </si>
  <si>
    <t>Developer of gaming software. The company develops and publishes interactive entertainment content for consoles, personal computers and handheld devices.</t>
  </si>
  <si>
    <t>Entertainment Software*</t>
  </si>
  <si>
    <t>game developer studio, games deeveloper, gaming designer, gaming software, pc games</t>
  </si>
  <si>
    <t>www.zenimax.com</t>
  </si>
  <si>
    <t>2000: 60, 2001: 60, 2002: 60, 2003: 60, 2004: 60, 2005: 60, 2006: 110, 2007: 110, 2008: 110, 2009: 110, 2010: 110, 2015: 1001, 2016: 1001, 2020: 2300, 2021: 2300</t>
  </si>
  <si>
    <t>12395-89P</t>
  </si>
  <si>
    <t>Cindy Tallent</t>
  </si>
  <si>
    <t>ctallent@zenimax.com</t>
  </si>
  <si>
    <t>Rockville, MD</t>
  </si>
  <si>
    <t>1370 Piccard Drive</t>
  </si>
  <si>
    <t>Rockville</t>
  </si>
  <si>
    <t>20850</t>
  </si>
  <si>
    <t>info@bethsoft.com</t>
  </si>
  <si>
    <t>The company was acquired by Microsoft (NAS: MSFT) for $8.1 billion on March 9, 2021. Pantheon International also participated in this round.</t>
  </si>
  <si>
    <t>Pantheon International</t>
  </si>
  <si>
    <t>Providence Equity Partners</t>
  </si>
  <si>
    <t>Pantheon International(www.piplc.com)</t>
  </si>
  <si>
    <t>Providence Equity Partners(www.provequity.com)</t>
  </si>
  <si>
    <t>BarkerGilmore(Consulting), Perkins Coie(Legal Advisor)</t>
  </si>
  <si>
    <t>Bank of America Merrill Lynch(Advisor: General), DLA Piper(Legal Advisor), Skadden, Arps, Slate, Meagher &amp; Flom(Legal Advisor), The Goldman Sachs Group(Advisor: General)</t>
  </si>
  <si>
    <t>163284-13</t>
  </si>
  <si>
    <t>Guangdong International Trust &amp; Investment</t>
  </si>
  <si>
    <t>Guangdong International Trust &amp; Investment Corp.</t>
  </si>
  <si>
    <t>Provider of investment consultancy services. The company's investment consultancy services include portfolio investment, trust investment, property investment and other services, enabling the commercial sectors to access a wide range of services for their operation under one roof.</t>
  </si>
  <si>
    <t>Other Capital Markets/Institutions*</t>
  </si>
  <si>
    <t>investment consultancy, investment consultancy provider, investment consultancy service, property investment, property investment service, trust investment</t>
  </si>
  <si>
    <t>The company was acquired by China Vanke Company (SHE: 000002) for RMB 55.1 billion on July 5, 2017. The company is no longer actively tracked by PitchBook.</t>
  </si>
  <si>
    <t>China Vanke Company</t>
  </si>
  <si>
    <t>Bankruptcy: Liquidation</t>
  </si>
  <si>
    <t>57765-61</t>
  </si>
  <si>
    <t>Hillshire Brands Co.</t>
  </si>
  <si>
    <t>Produces packaged meat and food products. The company supplies processed meat, sausages and other packaged food products.</t>
  </si>
  <si>
    <t>sausages</t>
  </si>
  <si>
    <t>1989: 101800, 1990: 107800, 1991: 107800, 1992: 128000, 1993: 138000, 1994: 145900, 1995: 149000, 1996: 135300, 1997: 141000, 1998: 139000, 1999: 13800, 2000: 154000, 2001: 141500, 2002: 154900, 2003: 145800, 2004: 150400, 2005: 137000, 2006: 109000, 2007: 52400, 2008: 44000, 2009: 41000, 2010: 33000, 2011: 21000, 2012: 9500, 2013: 9100, 2014: 9000</t>
  </si>
  <si>
    <t>39642-04P</t>
  </si>
  <si>
    <t>Pavel Kislitsyn</t>
  </si>
  <si>
    <t>CI Manager</t>
  </si>
  <si>
    <t>pavel.kislitsyn@hillshirebrands.com</t>
  </si>
  <si>
    <t>+1 (630) 598-6000</t>
  </si>
  <si>
    <t>400 South Jefferson Street</t>
  </si>
  <si>
    <t>60607</t>
  </si>
  <si>
    <t>The company was acquired by Tyson Foods (NYSE: TSN) for $171.08 million on August 28, 2014. The company is no longer actively tracked by PitchBook.</t>
  </si>
  <si>
    <t>JBS, Tyson Foods</t>
  </si>
  <si>
    <t>Pilgrim's Pride</t>
  </si>
  <si>
    <t>Pilgrim's Pride(www.pilgrims.com)</t>
  </si>
  <si>
    <t>Centerview Partners(Advisor: General), Fahrenheit 212(Advisor: General), The Belanger Valuation Group(Valuation/Appraiser)</t>
  </si>
  <si>
    <t>Centerview Partners(Advisor: General), Fahrenheit 212(Advisor: General), Mediobanca(Debt Financing), Skadden Arps Slate Meagher &amp; Flom Pension Plan(Legal Advisor), The Goldman Sachs Group(Advisor: General)</t>
  </si>
  <si>
    <t>164361-34</t>
  </si>
  <si>
    <t>Ascendas-Singbridge Group</t>
  </si>
  <si>
    <t>Ascendas-Singbridge India</t>
  </si>
  <si>
    <t>Ascendas-Singbridge Pte Ltd</t>
  </si>
  <si>
    <t>Frasers Hospitality Trust, City Developments</t>
  </si>
  <si>
    <t>Provider of sustainable urban development and business space solutions with assets under management in Asia. The group undertakes projects spanning townships, mixed-use developments, business/industrial parks, offices, hotels and warehouses, offering clients real estate management expertise.</t>
  </si>
  <si>
    <t>real estate, real estate holding, real estate management, real estate trust</t>
  </si>
  <si>
    <t>www.ascendas-singbridge.com</t>
  </si>
  <si>
    <t>The company reached a definitive agreement to be acquired by CapitaLand (SES: C31) for $8.08 billion on January 14, 2019. The company is no longer actively tracked by PitchBook.</t>
  </si>
  <si>
    <t>CapitaLand</t>
  </si>
  <si>
    <t>Allen &amp; Gledhill(Legal Advisor)</t>
  </si>
  <si>
    <t>50888-17</t>
  </si>
  <si>
    <t>Avast Software (LON: AVST)</t>
  </si>
  <si>
    <t>ALWIL Software, Alwil</t>
  </si>
  <si>
    <t>Avast</t>
  </si>
  <si>
    <t>Avast Software s.r.o.</t>
  </si>
  <si>
    <t>Trend Micro, McAfee, Quick Heal Technologies, Zvelo, Cheetah Mobile, Sophos, Cloudflare, Check Point Software Technologies, Inside Secure (Acquired), Untangle, Cloakware, F-Secure, MobileIron, CrowdStrike, Zapa Technology, Intertrust Technologies, Bloxx, AirWatch, Metaforic, BullGuard, Tableau Software, WatchGuard Technologies, whiteCryption, AppRiver, OpenDNS, Zscaler, Kaspersky Lab, Avira Operations, AVG Technologies, Comodo, Webroot, ESET, BitDefender</t>
  </si>
  <si>
    <t>Avast PLC is a provider of security software to the consumer market as measured by the number of users. The company operates in two segments: consumer products and products for small &amp; medium businesses. Its product portfolio includes Avast SecureLine VPN, Avast AntiTrack, and Avast BreachGuard solutions. Avast's geographical segments are United States, United Kingdom, France, Germany, and other countries.</t>
  </si>
  <si>
    <t>Application Software, Network Management Software*</t>
  </si>
  <si>
    <t>antivirus software, cloud-based antivirus software, computer security software, security infrastructure, security software service</t>
  </si>
  <si>
    <t>www.avast.com</t>
  </si>
  <si>
    <t>2010: 90, 2011: 90, 2012: 90, 2013: 350, 2015: 600, 2016: 1785, 2017: 1464, 2018: 1700, 2019: 1804, 2020: 1803</t>
  </si>
  <si>
    <t>AVST</t>
  </si>
  <si>
    <t>News (New) , News (New) , News (New) , News (New) , News (New) , News (New) , News (New) , News (New) , News (New) , News (New) , News (New) , News (New) , News (New) , News (New) , News (New) , News (New) , News (New) , News (New) , News (New)</t>
  </si>
  <si>
    <t>133347-88P</t>
  </si>
  <si>
    <t>Philip Marshall</t>
  </si>
  <si>
    <t>Chief Financial Officer &amp; Director</t>
  </si>
  <si>
    <t>marshall@avast.com</t>
  </si>
  <si>
    <t>Enterprise Office Center</t>
  </si>
  <si>
    <t>Pikrtova 1737/1A</t>
  </si>
  <si>
    <t>140 00</t>
  </si>
  <si>
    <t>The company (LON: AVST) is in talks to be acquired by NortonLifeLock (NAS: NLOK) for approximately $8 billion on July 14, 2021. The deal would help NortonLifeLock, which primarily deals with consumer cyber safety, expand its focus to consumer software. Previously, CVC Capital Partners sold 95,400 shares of the company's common stock at a price of 284 pence per share, raising $27.0936 million on March 27, 2019. The company is being actively tracked by PitchBook.</t>
  </si>
  <si>
    <t>CVC Capital Partners</t>
  </si>
  <si>
    <t>CVC Capital Partners(www.cvc.com)</t>
  </si>
  <si>
    <t>RoseRyan(Consulting), Winston &amp; Strawn(Legal Advisor)</t>
  </si>
  <si>
    <t>Barclays Bank UK(Underwriter), Credit Suisse(Debt Financing), De Brauw Blackstone Westbroek(Legal Advisor), Deutsche Bank(Underwriter), EY(Accounting), Harvest Capital Credit(Debt Financing), Invesco(Debt Financing), Jamieson Corporate Finance(Advisor: General), Jefferies Financial Group(Underwriter), Jefferies Hoare Govett(Debt Financing), KBCM Technology Group(Underwriter), KeyBank(Underwriter), Macquarie Group(Underwriter), Merrill Lynch(Underwriter), Morgan Stanley(Advisor: General), N.M. Rothschilds &amp; Sons(Advisor: General), Oaktree Strategic Income(Debt Financing), Raymond James Financial(Underwriter), UBS Group(Underwriter), White &amp; Case(Legal Advisor)</t>
  </si>
  <si>
    <t>56645-11</t>
  </si>
  <si>
    <t>Blue Buffalo</t>
  </si>
  <si>
    <t>Blue</t>
  </si>
  <si>
    <t>Blue Buffalo Co., Ltd.</t>
  </si>
  <si>
    <t>Wild Earth, Dog For Dog, Canidae, Ainsworth Pet Nutrition, Cambrian Pet Foods, Arthur Dogswell, WellPet, Ollie, Merrick Pet Care, Sojos, Fruitables, Nestlé Purina PetCare, I and love and you, TruDog, Nulo Pet Food, PawTree, Wild Calling Pet Foods, Prairie Dog Pet Products, Nature's Logic, The Animal Company, Royal Canin, Champion Petfoods, Freshpet, Pet Supplies Plus, Hill's Pet Nutrition, Nature's Variety, Phillips Pet Food &amp; Supplies</t>
  </si>
  <si>
    <t>Producer and marketer of natural pet food products and treats for dogs and cats. The company provides pet food items made of chicken, cranberries, brown rice, flaxseed, fish and vegetables that are rich in nutrition with no artificial flavors or preservatives, enabling them to enhance the immunity system and life stage requirements as well as maintain a healthy oxidative balance.</t>
  </si>
  <si>
    <t>cat food, dog food, pet food maker, pet food meal, pet food product</t>
  </si>
  <si>
    <t>www.bluebuffalo.com</t>
  </si>
  <si>
    <t>2014: 371, 2015: 501, 2016: 1900, 2018: 1700, 2021: 888</t>
  </si>
  <si>
    <t>General Mills</t>
  </si>
  <si>
    <t>People (New) Chris Bishop, Senior Vice President, Advertising &amp; Co-Founder, People (New) David Petrie, Co-Founder &amp; Vice President, People (New) William Bishop, Co-Founder &amp; Advisor, Departure (New) Joyce Novotny, Senior Vice President &amp; Creative Director</t>
  </si>
  <si>
    <t>269531-92P</t>
  </si>
  <si>
    <t>Gregory Ragland</t>
  </si>
  <si>
    <t>gragland@bluebuffalo.com</t>
  </si>
  <si>
    <t>+1 (800) 919-2833</t>
  </si>
  <si>
    <t>Wilton, CT</t>
  </si>
  <si>
    <t>11 River Road</t>
  </si>
  <si>
    <t>Wilton</t>
  </si>
  <si>
    <t>06897</t>
  </si>
  <si>
    <t>info@bluebuffalo.com</t>
  </si>
  <si>
    <t>The company (NASDAQ: BUFF) was acquired by General Mills (NYSE: GIS) for $8 billion on April 24, 2018. The acquisition establishes the acquirer as a leader in the wholesome natural pet food category, the fastest growing portion of the $30 billion U.S. pet food market and accelerates the company's portfolio reshaping strategy.</t>
  </si>
  <si>
    <t>Bishop Wealth Management, The Invus Group</t>
  </si>
  <si>
    <t>Bishop Wealth Management(www.bishopwmllc.com), The Invus Group(www.invus.com)</t>
  </si>
  <si>
    <t>CL King &amp; Associates(Advisor: General), Joseph Gunnar &amp; Co.(Advisor: General), O'Keeffe PR(Advisor: Communications)</t>
  </si>
  <si>
    <t>Barclays Investment Bank(Underwriter), Barrington Associates(Underwriter), BMO Capital Markets(Underwriter), Business Development Corporation of America(Debt Financing), Centerview Partners(Advisor: Financial Due Diligence), Citigroup Global Markets(Underwriter), CL King &amp; Associates(Advisor: General), Deutsche Bank Securities(Underwriter), J.P. Morgan Securities(Underwriter), KPMG(Accounting), Latham &amp; Watkins(Legal Advisor), Loyal3(Underwriter), Morgan Stanley(Underwriter), Simpson Thacher &amp; Bartlett(Legal Advisor), Wells Fargo Securities(Underwriter)</t>
  </si>
  <si>
    <t>165951-37</t>
  </si>
  <si>
    <t>Fred Meyer</t>
  </si>
  <si>
    <t>Fred Meyer Inc</t>
  </si>
  <si>
    <t>Star Markets Company, Stage Stores, Walmart Canada, Kmart Australia, The Fresh Market, Save A Lot, Tops Markets, The Home Depot, Wegmans, Earth Fare, Hannaford Bros. Company, Office Depot Hungary, Giant Eagle, HEB Grocery Company, Food Giant Supermarkets, Costco Wholesale, Meijer, Fiesta Mart, Safeway</t>
  </si>
  <si>
    <t>Operator of retail stores in United States. The company offers wide range of products including food products, electronics, pet products, household utilities, beauty products and many more under one roof. The company promotes one-stop shopping.</t>
  </si>
  <si>
    <t>Department Stores*, Specialty Retail</t>
  </si>
  <si>
    <t>departmental store chain, retail chain, retail chain operator, retail stores, supermarket</t>
  </si>
  <si>
    <t>www.fredmeyer.com</t>
  </si>
  <si>
    <t>1998: 85000, 2021: 39000</t>
  </si>
  <si>
    <t>3800 South East 22nd Avenue</t>
  </si>
  <si>
    <t>97202</t>
  </si>
  <si>
    <t>The company (NYSE: FMY) was acquired by Kroger (NYSE: KR) for $12.8 billion on October 19, 1998. The company is no longer actively tracked by PitchBook.</t>
  </si>
  <si>
    <t>Kroger</t>
  </si>
  <si>
    <t>ATI Capital Partners(Advisor: General)</t>
  </si>
  <si>
    <t>151193-08</t>
  </si>
  <si>
    <t>GRAIL</t>
  </si>
  <si>
    <t>GRAIL Inc.</t>
  </si>
  <si>
    <t>Foundation Medicine, ImmunArray, Genomic Expression, Qvella, Exosomics, Exact Sciences, Chronix Biomedical, OncoCyte, LungLife AI, Thrive Earlier Detection, Autogenomics, Crescendo Bioscience, Genomic Health, Advanced Cell Diagnostics, Molecular Stethoscope, GeneCast Biotechnology, Guardant Health AMEA, Agendia, Freenome, NuProbe, Epic Sciences, Myriad Genetics, Codiak, GeneWeave Biosciences, Biodesix, Guardant Health, Cernostics, BioTheranostics, RareCyte, VolitionRx, Exosome Diagnostics, ProteoMediX, Fore (Biotechnology), Exagen, CirculoGene, Farcast Biosciences, Lunaphore Technologies, Kite Pharma, Canexia Health, Menarini Silicon Biosystems, Metamark Genetics, Boreal Genomics</t>
  </si>
  <si>
    <t>Operator a life sciences company created to detect cancer early when it can be cured. The company's the power of high-intensity sequencing, population-scale clinical trials, and state of the art Computer Science and Data Science to enhance the scientific understanding of cancer biology and develop blood tests for early-stage cancer detection, enabling doctors to get products for the early detection of cancer.</t>
  </si>
  <si>
    <t>Biotechnology*, Diagnostic Equipment</t>
  </si>
  <si>
    <t>bioinformatics company, cancer biology, clinical science, clinical trials, healthcare company</t>
  </si>
  <si>
    <t>www.grail.com</t>
  </si>
  <si>
    <t>2020: 494, 2021: 430</t>
  </si>
  <si>
    <t>62317-99P</t>
  </si>
  <si>
    <t>Jeffrey Huber</t>
  </si>
  <si>
    <t>Co-Founder &amp; Vice Chairman</t>
  </si>
  <si>
    <t>jhuber@grailbio.com</t>
  </si>
  <si>
    <t>+1 (833) 694-2553</t>
  </si>
  <si>
    <t>Menlo Park, CA</t>
  </si>
  <si>
    <t>1525 O'Brien Drive</t>
  </si>
  <si>
    <t>Menlo Park</t>
  </si>
  <si>
    <t>94025</t>
  </si>
  <si>
    <t>The company reached a definitive agreement to be acquired by Illumina (NAS: ILMN) for $8 billion on September 21, 2020. The acquisition will enable Illumina (NAS: ILMN) to participate more fully in the high-value clinical solutions that are enabled by its NGS sequencing technology. Previously, the company filed to go public on the Nasdaq stock exchange under the ticker symbol of GRAL on September 9, 2020. The expected offering amount was $100 million. Subsequently, the offering was postponed. Also, the company raised $390 million of Series D venture funding from Illumina, The Mark Foundation for Cancer Research, and Public Sector Pension Investment Board on May 6, 2020, putting the company's pre-money valuation at $3.45 billion. Canada Pension Plan Investment Board also participated in the round.</t>
  </si>
  <si>
    <t>6 Dimensions Capital, Ally Bridge Group, Amazon.com, Amino Capital, ARCH Venture Partners, Baillie Gifford, Bezos Expeditions, Biomatics Capital, Blue Pool Capital, Bristol-Myers Squibb, Canada Pension Plan Investment Board, Celgene, China Merchants Securities, Community Reinvestment Fund, Decheng Capital, Dentsu Ventures, Foresite Capital Management, Genuity Science, GV, Hillhouse Capital Group, HuangPu River Capital, ICBC International, Johnson &amp; Johnson Innovation - JJDC, Lifetech Scientific, Longwood Fund, McKesson Ventures, Merck, Nan Fung Life Sciences, National Chin-Yi University of Technology, Prime Partners, Public Sector Pension Investment Board, Sequoia Capital China, Shenzhen Capital Group, Sutter Hill Ventures, Tencent Holdings, The Mark Foundation for Cancer Research, Varian Medical Systems, William Gates</t>
  </si>
  <si>
    <t>Illumina</t>
  </si>
  <si>
    <t>6 Dimensions Capital(www.6dimensionscapital.com), Ally Bridge Group(www.ally-bridge.com), Amazon.com(www.amazon.com), Amino Capital(www.aminocapital.com), ARCH Venture Partners(www.archventure.com), Baillie Gifford(www.bailliegifford.com), Bezos Expeditions(www.bezosexpeditions.com), Biomatics Capital(www.biomaticscapital.com), Blue Pool Capital(www.bluepoolcapital.com), Bristol-Myers Squibb(www.bms.com), Canada Pension Plan Investment Board(www.cppinvestments.com), Celgene(www.celgene.com), China Merchants Securities(www.cmschina.com.cn), Community Reinvestment Fund(www.crfusa.com), Decheng Capital(www.decheng.com), Dentsu Ventures(www.dentsu-v.com), Foresite Capital Management(www.foresitecapital.com), Genuity Science(www.genuitysci.com), GV(www.gv.com), Hillhouse Capital Group(www.hillhousecap.com), HuangPu River Capital(www.hprpe.com), ICBC International(www.icbci.com.hk), Johnson &amp; Johnson Innovation - JJDC(www.jnjinnovation.com/jjdc), Lifetech Scientific(www.lifetechmed.com), Longwood Fund(www.longwoodfund.com), McKesson Ventures(www.ventures.mckesson.com), Merck(www.merckgroup.com), Nan Fung Life Sciences(www.nanfunglifesciences.com), National Chin-Yi University of Technology(www.ncut.edu.tw), Prime Partners(www.prime-prtnrs.com), Public Sector Pension Investment Board(www.investpsp.com), Sequoia Capital China(www.sequoiacap.com/china), Shenzhen Capital Group(www.szvc.com.cn), Sutter Hill Ventures(www.shv.com), Tencent Holdings(www.tencent.com/en-us/index.html), The Mark Foundation for Cancer Research(www.themarkfoundation.org), Varian Medical Systems(www.varian.com)</t>
  </si>
  <si>
    <t>Fenwick &amp; West(Legal Advisor), FutureEngine(Consulting), Macrae(Consulting), Procopio(Legal Advisor)</t>
  </si>
  <si>
    <t>Bank of America Merrill Lynch(Underwriter), Cowen &amp; Company(Underwriter), Evercore Group(Underwriter), Fenwick &amp; West(Legal Advisor), Latham &amp; Watkins(Legal Advisor), Macrae(Consulting), McDonald Hopkins(Legal Advisor), Morgan Stanley(Underwriter), Procopio(Legal Advisor), Proskauer Rose(Legal Advisor), PwC(Accounting), Ropes &amp; Gray(Legal Advisor), Sard Verbinnen(Advisor: Communications), The Goldman Sachs Group(Advisor: General)</t>
  </si>
  <si>
    <t>158485-06</t>
  </si>
  <si>
    <t>Grupo Empresarial Bavaria</t>
  </si>
  <si>
    <t>Bavaria</t>
  </si>
  <si>
    <t>Bavaria S.A.</t>
  </si>
  <si>
    <t>Labatt Brewing Company, Radico Khaitan, Bacardi-Martini, Sleeman Breweries, Suntory, Brooklyn Brewery, United Breweries, Habesha Breweries, Harpoon Distributing Company</t>
  </si>
  <si>
    <t>Producer of beers and non-alcoholic beverages. The company's beers and non-alcoholic beverages are produced and distributed under he Aguila, Aguila Light, Aguero Zero, Budweiser, Corona, Club Colombia, Costeña, Costeñita, Pilsen, Poker, Redd's, Stella Artois, Cola &amp; Pola and Pony Malta brand names.</t>
  </si>
  <si>
    <t>beer production, brewery operator, non-alcoholic beverages</t>
  </si>
  <si>
    <t>www.bavaria.co</t>
  </si>
  <si>
    <t>175008-97P</t>
  </si>
  <si>
    <t>Grant Harries</t>
  </si>
  <si>
    <t>gharries@co.ab-inbev.com</t>
  </si>
  <si>
    <t>Bogotá, Colombia</t>
  </si>
  <si>
    <t>Cra 53A</t>
  </si>
  <si>
    <t>No. 127-35</t>
  </si>
  <si>
    <t>Bogotá</t>
  </si>
  <si>
    <t>Colombia</t>
  </si>
  <si>
    <t>The company was acquired by SABMiller (LON: SAB) for $8 billion on July 19, 2005.</t>
  </si>
  <si>
    <t>Metrix Finanzas(Advisor: General)</t>
  </si>
  <si>
    <t>10440-01</t>
  </si>
  <si>
    <t>Harman International Industries</t>
  </si>
  <si>
    <t>Harman Kardon</t>
  </si>
  <si>
    <t>Harman</t>
  </si>
  <si>
    <t>Harman International Industries, Incorporated</t>
  </si>
  <si>
    <t>Poly (Santa Cruz), Crestron Electronics, Philips Power Solutions, Robert Bosch, Artison, Alps Alpine, Sony Europe, Inter-M Company, Klipsch Audio, Sound United, Magneti Marelli, TRUMPF Photonic Components, Altec Lansing, PolkAudio, Kenwood Electronics, Williams AV, Boston Acoustics, Sony Corporation of America, SONY Slovakia, RCF Group, Definitive Technology, Niles Audio, Paradigm Electronics, Beats Electronics</t>
  </si>
  <si>
    <t>Harman International Industries develops, manufactures and markets audio products, lighting solutions and electronic systems. It also offers digitally integrated audio and infotainment systems for the automotive industry. It specializes in audio, sound, infotainment, consumer electronics, professional sound, automotive sound, loudspeaker, home entertainment and lighting. he company aims to acquire those companies that will help it to accelerate innovation, enhance its services and also expand the markets it serves. It was founded in 1980 and is headquartered in Stamford, Connecticut.</t>
  </si>
  <si>
    <t>Electronics (B2C)*, Industrial Supplies and Parts</t>
  </si>
  <si>
    <t>Internet of Things, Manufacturing, TMT</t>
  </si>
  <si>
    <t>connected automotive, connected car, digital transformation services, home automation control systems, wireless connectivity services</t>
  </si>
  <si>
    <t>www.harman.com</t>
  </si>
  <si>
    <t>1990: 4836, 1991: 4438, 1992: 4600, 1993: 4710, 1994: 6849, 1995: 7929, 1996: 8369, 1997: 8384, 1998: 10010, 1999: 8850, 2000: 9807, 2001: 10676, 2002: 10389, 2003: 10776, 2004: 10606, 2005: 10845, 2006: 11246, 2007: 11688, 2008: 11694, 2009: 9482, 2010: 9816, 2011: 10103, 2012: 11366, 2013: 12221, 2014: 14202, 2015: 24197, 2016: 29000, 2017: 30000, 2018: 30000, 2019: 30000, 2020: 33000, 2021: 33000</t>
  </si>
  <si>
    <t>Samsung Electronics</t>
  </si>
  <si>
    <t>11836-99P</t>
  </si>
  <si>
    <t>Dinesh Paliwal</t>
  </si>
  <si>
    <t>Senior Advisor</t>
  </si>
  <si>
    <t>dinesh.paliwal@kkr.com</t>
  </si>
  <si>
    <t>400 Atlantic Street</t>
  </si>
  <si>
    <t>06901</t>
  </si>
  <si>
    <t>info@harman.com</t>
  </si>
  <si>
    <t>The company was acquired by Samsung Electronics (KRX: 005930) for $8.0 billion on March 11, 2017. The acquisition will help in the extension of the automotive strategy of Samsung.</t>
  </si>
  <si>
    <t>Bessemer Venture Partners, Intel Capital</t>
  </si>
  <si>
    <t>Goldman Sachs Merchant Banking Division, Kohlberg Kravis Roberts</t>
  </si>
  <si>
    <t>Bessemer Venture Partners(www.bvp.com), Intel Capital(www.intelcapital.com)</t>
  </si>
  <si>
    <t>Adept Resources Group(Consulting), B2World(Advisor: General), ClearBridge Compensation Group(Consulting), CoView Capital(Advisor: General), Joele Frank(Advisor: Communications), Kantar Consulting(Consulting), Landmark Ventures(Advisor: General), Matter Communications(Advisor: General), ON Partners(Advisor: General), Red Chalk Group(Consulting), Widebridge Group(Advisor: General)</t>
  </si>
  <si>
    <t>Bank of America(Debt Financing), Bear Stearns(Legal Advisor), Credit Suisse(Debt Financing), Hengeler Mueller(Legal Advisor), J.P. Morgan(Advisor: General), Jones Day(Legal Advisor), Lazard Middle Market(Advisor: General), Lee &amp; Ko(Legal Advisor), Lehman Brothers(Debt Financing), Simpson Thacher &amp; Bartlett(Legal Advisor), The Goldman Sachs Group(Debt Financing), Wachtell, Lipton, Rosen &amp; Katz(Legal Advisor), Wiggin and Dana(Legal Advisor)</t>
  </si>
  <si>
    <t>41203-99</t>
  </si>
  <si>
    <t>Southern Company Gas</t>
  </si>
  <si>
    <t>AGL Resources</t>
  </si>
  <si>
    <t>AGL</t>
  </si>
  <si>
    <t>Distributor and retailer of natural gas. The company's operations include construction, management and maintenance of intrastate natural gas pipelines, distribution facilities, peaking and storage, gas storage, and other related services, enabling energy companies, wholesale customers, and energy infrastructure companies with a smooth supply of clean and efficient natural gas.</t>
  </si>
  <si>
    <t>natural gas, natural gas distribution service, natural gas distributor, natural gas retail service</t>
  </si>
  <si>
    <t>www.aglresources.com</t>
  </si>
  <si>
    <t>1989: 3754, 1990: 3794, 1991: 3834, 1992: 3748, 1993: 3764, 1994: 3715, 1995: 2941, 1996: 2952, 1997: 3035, 1998: 3024, 1999: 2892, 2000: 1938, 2001: 2300, 2002: 2230, 2003: 2150, 2004: 2970, 2005: 2385, 2006: 2369, 2007: 2332, 2008: 2389, 2009: 2469, 2010: 2621, 2011: 6400, 2012: 6121, 2013: 6094, 2014: 5165, 2015: 5203, 2017: 5318, 2018: 4389, 2019: 4446, 2020: 4500</t>
  </si>
  <si>
    <t>Southern Company</t>
  </si>
  <si>
    <t>99385-03P</t>
  </si>
  <si>
    <t>Kimberly Greene</t>
  </si>
  <si>
    <t>kgreene@southernco.com</t>
  </si>
  <si>
    <t>+1 (404) 584-4000</t>
  </si>
  <si>
    <t>P.O. Box 4569</t>
  </si>
  <si>
    <t>30302</t>
  </si>
  <si>
    <t>The company (NYSE: GAS) was acquired by Southern Company (NYSE: SO) for $8.00 billion on July 1, 2016. The combined company serves utility customers in nine states - Alabama, Florida, Georgia, Illinois, Maryland, Mississippi, New Jersey, Tennessee and Virginia - and has wholesale electricity generation and natural gas services, retail energy services and natural gas storage operations across the United States. The company is no longer actively tracked by PitchBook.</t>
  </si>
  <si>
    <t>FisherBroyles(Legal Advisor), Forrer &amp; Associates(Consulting), Gunster(Legal Advisor), Kilpatrick Townsend &amp; Stockton(Legal Advisor), Loop Capital Markets(Advisor: General), M/Cap Advisors(Advisor: General), SaxonCantrell(Consulting)</t>
  </si>
  <si>
    <t>Cravath, Swaine &amp; Moore(Legal Advisor), Innisfree M&amp;A(Legal Advisor), The Goldman Sachs Group(Advisor: General)</t>
  </si>
  <si>
    <t>100063-27</t>
  </si>
  <si>
    <t>Westcoast Energy (TSE: W.PR.M)</t>
  </si>
  <si>
    <t>Westcoast Transmission Company</t>
  </si>
  <si>
    <t>Westcoast Energy Inc</t>
  </si>
  <si>
    <t>Westcoast Energy Inc is an integrated natural gas and natural gas liquids company comprised of gathering, processing, transmission, storage, and distribution assets located in Canada. It connects energy supply with markets in North America through three main businesses including Liquids pipelines, Natural gas pipelines, and Utilities and power.</t>
  </si>
  <si>
    <t>Gas Utilities</t>
  </si>
  <si>
    <t>Gas Utilities*</t>
  </si>
  <si>
    <t>gas pipeline, natural gas liquid service, pipeline midstream, pipeline system, platte pipeline</t>
  </si>
  <si>
    <t>www.noms.wei-pipeline.com</t>
  </si>
  <si>
    <t>1990: 3331, 1991: 3351, 1992: 6257, 1993: 6043, 1994: 6258, 1995: 6380, 1996: 5991, 1997: 5932, 1998: 6300, 1999: 5648, 2000: 5455, 2010: 3343, 2011: 3449, 2012: 3428, 2013: 3539, 2014: 3597, 2015: 3654, 2016: 3526, 2017: 3526, 2018: 3144, 2019: 385, 2020: 245</t>
  </si>
  <si>
    <t>W.PR.M</t>
  </si>
  <si>
    <t>187720-66P</t>
  </si>
  <si>
    <t>Mark Fiedorek</t>
  </si>
  <si>
    <t>President &amp; Chairman</t>
  </si>
  <si>
    <t>+1 (403) 231-3900</t>
  </si>
  <si>
    <t>200, Fifth Avenue Place</t>
  </si>
  <si>
    <t>425 - 1st Street SouthWest</t>
  </si>
  <si>
    <t>T2P 3L8</t>
  </si>
  <si>
    <t>+1 (403) 231-3920</t>
  </si>
  <si>
    <t>The company was acquired by Duke Energy for $8 billion on March 14, 2002. Duke Energy acquired all of the outstanding common shares of Westcoast Energy in exchange for approximately 49.9 million shares of Duke Energy common stock (including for this purpose the exchangeable shares of a Canadian subsidiary of Duke Energy that are substantially equivalent to and exchangeable on a one-for-one basis for Duke Energy common stock), and approximately $1.8 billion in cash. Subject to proration provisions that ensure that approximately 50 percent of the total consideration will be paid in cash and approximately 50 percent will be paid in stock, each common share of Westcoast Energy entitled the holder to elect to receive CAD 43.80 in cash, .7711 of a share of Duke Energy common stock or of an exchangeable share of a Duke Energy Canadian subsidiary, or a combination thereof. The cash portion of the consideration will be funded through a combination of the proceeds from the issuance of $750 million in mandatory convertible equity issued in November 2001 along with incremental commercial paper.</t>
  </si>
  <si>
    <t>431194-96</t>
  </si>
  <si>
    <t>Unilever (Margarine and Spreads Business)</t>
  </si>
  <si>
    <t>Manufacturer of food products based in London, United Kingdom. The company's products include margarine and spreads.</t>
  </si>
  <si>
    <t>food product, food product manufacturer, food product processing, food product producer, food product provider</t>
  </si>
  <si>
    <t>221866-12P</t>
  </si>
  <si>
    <t>Nicolas Liabeuf</t>
  </si>
  <si>
    <t>Unilever House</t>
  </si>
  <si>
    <t>100 Victoria Embankment</t>
  </si>
  <si>
    <t>EC4Y 0DY</t>
  </si>
  <si>
    <t>The company was acquired by Kohlberg Kravis Roberts through a GBP 6 billion LBO on July 2, 2018.</t>
  </si>
  <si>
    <t>182677-69</t>
  </si>
  <si>
    <t>Upfield</t>
  </si>
  <si>
    <t>Upfield Europe B.V.</t>
  </si>
  <si>
    <t>Producer of plant-based consumer products focused on creating delicious, natural and nutritious foods that people want to eat and chefs want to cook with. The company owns multiple brands of margarine and other food spreads that are rich in fiber, vitamins and minerals, providing food products that drive positive change in consumer's health, their daily lives and the planet's sustainability.</t>
  </si>
  <si>
    <t>cheese, consumer products, margarine, margarine producer, margarine spreads, natural food product, plant-based diet, plant-based food</t>
  </si>
  <si>
    <t>upfield.com</t>
  </si>
  <si>
    <t>2017: 2300, 2018: 2300, 2019: 3500, 2020: 4100, 2021: 4200</t>
  </si>
  <si>
    <t>213398-47P</t>
  </si>
  <si>
    <t>David Haines</t>
  </si>
  <si>
    <t>Group Chief Executive Officer</t>
  </si>
  <si>
    <t>david.haines@upfield.com</t>
  </si>
  <si>
    <t>Nassaukade 3</t>
  </si>
  <si>
    <t>3071 JL</t>
  </si>
  <si>
    <t>The company, a subsidiary of Unilever, was acquired by Kohlberg Kravis Robert through a EUR 6.82 billion LBO on July 2, 2018. The transaction included a number of brands such as Becel, Flora, Country Crock, Blue Band, I Can't Believe It's Not Butter, Rama and ProActiv.</t>
  </si>
  <si>
    <t>Apollo Global Management, Bain Capital, BC Partners, Clayton, Dubilier &amp; Rice, CVC Capital Partners, Government of Singapore Investment Corporation (GIC), Kraft Heinz, Platinum Equity, The Blackstone Group</t>
  </si>
  <si>
    <t>Apollo Global Management(www.apollo.com), Bain Capital(www.baincapital.com), BC Partners(www.bcpartners.com), Clayton, Dubilier &amp; Rice(www.cdr-inc.com), CVC Capital Partners(www.cvc.com), Government of Singapore Investment Corporation (GIC)(www.gic.com.sg), Kraft Heinz(www.kraftheinzcompany.com), Platinum Equity(www.platinumequity.com), The Blackstone Group(www.blackstone.com)</t>
  </si>
  <si>
    <t>Aluko &amp; Oyebode(Legal Advisor), Morgan Stanley(Lead Manager or Arranger), The Goldman Sachs Group(Lead Manager or Arranger)</t>
  </si>
  <si>
    <t>11822-95</t>
  </si>
  <si>
    <t>Premcor USA</t>
  </si>
  <si>
    <t>Clark USA</t>
  </si>
  <si>
    <t>Premcor</t>
  </si>
  <si>
    <t>Premcor Inc.</t>
  </si>
  <si>
    <t>Owner and operator of petroleum refiners and supplier of unbranded petroleum and petrochemical products in the United States. The company's business includes refineries in Port Arthur, Texas, Lima, Ohio, Memphis, Tennessee and Delaware City, Delaware with a combined crude oil throughput capacity of approximately 790,000 barrels per day and offers unbranded transportation fuels, heating oil, petrochemical feedstocks, petroleum coke and other petroleum products.</t>
  </si>
  <si>
    <t>Energy Refining*, Energy Transportation, Other Energy Services</t>
  </si>
  <si>
    <t>crude oil, petrochemical product, petroleum product, petroleum refiner</t>
  </si>
  <si>
    <t>www.premcor.com</t>
  </si>
  <si>
    <t>2001: 1862, 2002: 1700, 2003: 1770, 2004: 2300, 2005: 2300</t>
  </si>
  <si>
    <t>15775-30P</t>
  </si>
  <si>
    <t>William Hantke</t>
  </si>
  <si>
    <t>+1 (203) 698-7500</t>
  </si>
  <si>
    <t>1700 East Putnam Avenue</t>
  </si>
  <si>
    <t>06870</t>
  </si>
  <si>
    <t>+1 (203) 698-7925</t>
  </si>
  <si>
    <t>The company (NYSE: PCO) was acquired by Valero Energy (NYSE: VLO) for $7.95 billion on September 1, 2005. This acquisition gave Valero Energy the best geographic diversity among U.S. refiners with a presence in all of the major refining regions, which further increased Valero Energy's earnings stability. The company is no longer actively tracked by PitchBook.</t>
  </si>
  <si>
    <t>Valero Energy</t>
  </si>
  <si>
    <t>Apex Oil Company, Horsham, Occidental Petroleum, The Blackstone Group</t>
  </si>
  <si>
    <t>Apex Oil Company(www.apexoil.com), The Blackstone Group(www.blackstone.com)</t>
  </si>
  <si>
    <t>Bear Stearns(Underwriter), Citigroup Global Markets(Underwriter), Cleary Gottlieb(Legal Advisor), Credit Suisse(Underwriter), Davis Polk(Legal Advisor), Deutsche Bank(Underwriter), Morgan Stanley(Underwriter), Simpson Thacher &amp; Bartlett(Legal Advisor), Stroock &amp; Stroock &amp; Lavan(Legal Advisor), The Blackstone Group(Advisor: General), The Goldman Sachs Group(Underwriter)</t>
  </si>
  <si>
    <t>112543-39</t>
  </si>
  <si>
    <t>Aker Drilling</t>
  </si>
  <si>
    <t>Aker</t>
  </si>
  <si>
    <t>Aker Drilling ASA</t>
  </si>
  <si>
    <t>Provider of fully integrated offshore drilling services intended to operate in extreme offshore regions and to strict environmental specifications. The company's fully integrated offshore drilling services include semi-submersible drilling rigs for harsh environment and ultra-deep water drilling enabling oil companies explore wells in challenging waters as well as development drilling programs worldwide.</t>
  </si>
  <si>
    <t>Oil and Gas Equipment*, Other Energy</t>
  </si>
  <si>
    <t>drilling rigging, offshore drilling, offshore drilling contractor, oil drilling service, semi-submersible drilling rigging, ultra-deep water drilling</t>
  </si>
  <si>
    <t>www.akerdrill.com</t>
  </si>
  <si>
    <t>2008: 261, 2011: 392</t>
  </si>
  <si>
    <t>134180-56P</t>
  </si>
  <si>
    <t>Geir Atle Sjoeberg</t>
  </si>
  <si>
    <t>geir.atlesjoeberg@akerdrill.com</t>
  </si>
  <si>
    <t>Stavanger, Norway</t>
  </si>
  <si>
    <t>P.O. Box 319</t>
  </si>
  <si>
    <t>Forus</t>
  </si>
  <si>
    <t>Stavanger</t>
  </si>
  <si>
    <t>4066</t>
  </si>
  <si>
    <t>The company was acquired by Transocean for NOK 7.9 billion on October 3, 2011. The transaction would strengthen the market presence of Transocean Services in Norway. The company is no longer actively tracked by PitchBook.</t>
  </si>
  <si>
    <t>Aker Capital, SeaDrill (corporation)</t>
  </si>
  <si>
    <t>Beringer Finance(Advisor: General)</t>
  </si>
  <si>
    <t>Arctic Securities(Advisor: General), BAHR(Legal Advisor), DNB Bank(Advisor: General), Fondsfinans(Advisor: General), KPMG(Advisor: General), Pareto Securities(Advisor: General)</t>
  </si>
  <si>
    <t>12646-18</t>
  </si>
  <si>
    <t>Constellation Energy Group</t>
  </si>
  <si>
    <t>Constellation Energy Corporation</t>
  </si>
  <si>
    <t>Constellation</t>
  </si>
  <si>
    <t>Constellation NewEnergy, Inc.</t>
  </si>
  <si>
    <t>Producer and supplier of electricity and natural gas. The company develops, owns, operates and maintains fossil and renewable generating facilities in the United States and Canada.</t>
  </si>
  <si>
    <t>electric generation, energy product, renewable facilities</t>
  </si>
  <si>
    <t>1989: 9103, 1990: 9000, 1991: 9149, 1992: 9488, 1993: 10101, 1994: 7296, 1995: 7275, 1996: 7032, 1997: 9000, 1998: 9400, 1999: 9000, 2000: 7800, 2001: 9200, 2002: 8700, 2003: 8650, 2004: 9570, 2005: 9850, 2006: 9645, 2007: 10200, 2008: 10200, 2009: 7200, 2010: 7600, 2011: 7900</t>
  </si>
  <si>
    <t>Exelon</t>
  </si>
  <si>
    <t>188778-34P</t>
  </si>
  <si>
    <t>Christian Poindexter</t>
  </si>
  <si>
    <t>Baltimore, MD</t>
  </si>
  <si>
    <t>100 Constellation Way</t>
  </si>
  <si>
    <t>Baltimore</t>
  </si>
  <si>
    <t>21202-6302</t>
  </si>
  <si>
    <t>+1 (888) 635-0827</t>
  </si>
  <si>
    <t>The company was acquired by Exelon for $7.9 billion on March 13, 2012. The company is no longer actively tracked by PitchBook.</t>
  </si>
  <si>
    <t>Électricité de France, Exelon</t>
  </si>
  <si>
    <t>Berkshire Hathaway(www.berkshirehathaway.com)</t>
  </si>
  <si>
    <t>Credit Suisse(Advisor: General), Hogan Lovells(Legal Advisor), Kirkland &amp; Ellis(Legal Advisor), Latham &amp; Watkins(Legal Advisor), Morgan Stanley(Advisor: General), The Goldman Sachs Group(Advisor: General)</t>
  </si>
  <si>
    <t>43042-42</t>
  </si>
  <si>
    <t>Randgold Resources</t>
  </si>
  <si>
    <t>Randgold Resources Ltd</t>
  </si>
  <si>
    <t>Alacer Gold, Continental Gold, Yamana Gold, Beadell Resources, Alamos Gold, New Gold, Coeur Mining, Goldcorp, Kula Gold, Gran Colombia Gold, Anglo Asian Mining, Agnico Eagle Mines, Newmont, Western Copper And Gold, Endeavour Mining, Hycroft Mining, Eastmain Resources, New Oroperu Resources, Centerra Gold, Kinross Gold, Banro, B2Gold, Argonaut Gold, Imperial Metals, Pretium Resources, Orca Gold, Anglo American (Zinc Assets), SilverCorp Metals, Tahoe Resources</t>
  </si>
  <si>
    <t>Operator of a gold exploration and development company. The company explores and develops gold deposits in African region.</t>
  </si>
  <si>
    <t>gold, gold asset claims, gold mining site, gold zone, goldmine</t>
  </si>
  <si>
    <t>www.randgoldresources.com</t>
  </si>
  <si>
    <t>2005: 1524, 2006: 1587, 2007: 1737, 2014: 945, 2015: 5000, 2016: 2915, 2017: 12435</t>
  </si>
  <si>
    <t>80941-33P</t>
  </si>
  <si>
    <t>D. Bristow</t>
  </si>
  <si>
    <t>Founder, Chief Executive Officer &amp; Executive Director</t>
  </si>
  <si>
    <t>mbristow@barrick.com</t>
  </si>
  <si>
    <t>+44 (0)78 8071 1386</t>
  </si>
  <si>
    <t>Saint Helier, United Kingdom</t>
  </si>
  <si>
    <t>Unity Chambers</t>
  </si>
  <si>
    <t>28 Halkett Street</t>
  </si>
  <si>
    <t>Saint Helier</t>
  </si>
  <si>
    <t>Jersey</t>
  </si>
  <si>
    <t>JE2 4WJ</t>
  </si>
  <si>
    <t>The company was acquired by Barrick Gold (TSE: ABX) for $6 billion on January 1, 2019. Each Randgold shareholder received 6.128 common shares of Barrick for each Randgold share, which resulted in the issuance of 583,669,178 Barrick common shares. After this share issuance, Barrick shareholders owned 66.7%, while former Randgold shareholders owned 33.3%, of the shares of the combined company. The company is no longer actively tracked by PitchBook.</t>
  </si>
  <si>
    <t>Barrick Gold</t>
  </si>
  <si>
    <t>Barclays Investment Bank(Advisor: General), CIBC Griffis &amp; Small(Advisor: General), Norton Rose Fulbright(Legal Advisor), Ogier(Legal Advisor), Stikeman Elliott(Legal Advisor)</t>
  </si>
  <si>
    <t>42013-81</t>
  </si>
  <si>
    <t>Pharol SGPS (LIS: PHR)</t>
  </si>
  <si>
    <t>Portugal Telecom SA, Portugal Telecom SGPS SA</t>
  </si>
  <si>
    <t>Pharol SGPS SA</t>
  </si>
  <si>
    <t>PHarol SGPS SA is the incumbent telephone operator in Portugal. Geographically, it generates maximum revenue from Brazil.</t>
  </si>
  <si>
    <t>mobile telecommunication, multimedia communication, satellite communication</t>
  </si>
  <si>
    <t>www.pharol.pt</t>
  </si>
  <si>
    <t>1994: 20117, 1995: 19830, 1996: 21961, 1997: 21524, 1998: 21961, 1999: 18490, 2000: 18539, 2001: 20887, 2002: 16893, 2003: 14427, 2004: 15107, 2005: 13100, 2006: 12666, 2007: 28638, 2008: 31970, 2009: 37021, 2010: 41078, 2012: 70103, 2013: 74502, 2014: 27</t>
  </si>
  <si>
    <t>LIS</t>
  </si>
  <si>
    <t>PHR</t>
  </si>
  <si>
    <t>74196-28P</t>
  </si>
  <si>
    <t>Joao Franco</t>
  </si>
  <si>
    <t>Chairman &amp; Director</t>
  </si>
  <si>
    <t>+351 21 269 7690</t>
  </si>
  <si>
    <t>R ua Josh ua Benoliel, 1, 2C</t>
  </si>
  <si>
    <t>Edifício Amoreiras Square</t>
  </si>
  <si>
    <t>1250</t>
  </si>
  <si>
    <t>+351 21 269 7949</t>
  </si>
  <si>
    <t>ir@pharol.pt</t>
  </si>
  <si>
    <t>The company (XLIS: PTC) was acquired by Altice (XAMS: ATC) for $7.87 billion on June 2, 2015. Altice is backed by Cinven and Carlyle Group. Deloitte has acted as external auditor of Portugal Telecom SGPS which was later replaced by KPMG. The company is no longer actively tracked by PitchBook</t>
  </si>
  <si>
    <t>Banco Espírito Santo, Bank of America, Citigroup, Morgan Stanley, Norges Bank, Oi Telecommunications, Tele Norte Leste Participacoes, The Goldman Sachs Group, UBS Group</t>
  </si>
  <si>
    <t>Apax Partners, Bain Capital, Cinven, Kohlberg Kravis Roberts, Permira, Providence Equity Partners, The Blackstone Group, TPG</t>
  </si>
  <si>
    <t>Banco Espírito Santo(www.bes.pt), Bank of America(www.bankofamerica.com), Citigroup(www.citigroup.com/citi), Morgan Stanley(www.morganstanley.com), Norges Bank(www.norges-bank.no), Oi Telecommunications(www.oi.com.br), The Goldman Sachs Group(www.goldmansachs.com), UBS Group(www.ubs.com)</t>
  </si>
  <si>
    <t>Apax Partners(www.apax.com), Bain Capital(www.baincapital.com), Cinven(www.cinven.com), Kohlberg Kravis Roberts(www.kkr.com), Permira(www.permira.com), Providence Equity Partners(www.provequity.com), The Blackstone Group(www.blackstone.com), TPG(www.tpg.com)</t>
  </si>
  <si>
    <t>Banco Finantia(Advisor: General)</t>
  </si>
  <si>
    <t>54714-97</t>
  </si>
  <si>
    <t>Sky Deutschland</t>
  </si>
  <si>
    <t>Premiere Fernsehen GmbH &amp; Co. KG</t>
  </si>
  <si>
    <t>Sky Deutschland Television GmbH &amp; Co. KG</t>
  </si>
  <si>
    <t>Operator of pay-television in Germany and Austria. The company provides television content on digital channels. The company offers a sports program covering live sporting events, a movie package and a package of special interest channels including brands like Discovery Channel or MGM.</t>
  </si>
  <si>
    <t>Broadcasting, Radio and Television*, Other Consumer Products and Services, Other Media</t>
  </si>
  <si>
    <t>digital channel, movies channel, pay television</t>
  </si>
  <si>
    <t>www.sky.de</t>
  </si>
  <si>
    <t>2008: 1148, 2010: 1361, 2011: 1583, 2012: 1939, 2013: 2084, 2014: 2464, 2015: 1250</t>
  </si>
  <si>
    <t>TTM 1Q2014</t>
  </si>
  <si>
    <t>238251-61P</t>
  </si>
  <si>
    <t>Colin Jones</t>
  </si>
  <si>
    <t>colin.jones@sky.de</t>
  </si>
  <si>
    <t>Unterföhring, Germany</t>
  </si>
  <si>
    <t>Medienallee 26</t>
  </si>
  <si>
    <t>Unterföhring</t>
  </si>
  <si>
    <t>85774</t>
  </si>
  <si>
    <t>info@sky.de</t>
  </si>
  <si>
    <t>The company was acquired by Sky UK, a subsidiary of British Sky Broadcasting (LSE: BSY), for EUR 7.85 billion on September 15, 2015. The company is no longer actively tracked by PitchBook.</t>
  </si>
  <si>
    <t>21st Century Fox, Avenue Capital Group, Bawag, Bayern LB, Hypovereinsbank, Kirch Gruppe, Permira</t>
  </si>
  <si>
    <t>21st Century Fox(www.21cf.com), Avenue Capital Group(www.avenuecapital.com), Bawag(www.bawagpsk.com), Bayern LB(www.bayernlb.com), Hypovereinsbank(www.hypovereinsbank.de), Kirch Gruppe(www.kirchgruppe.de), Permira(www.permira.com)</t>
  </si>
  <si>
    <t>Iskander Business Partner(Consulting), KPMG(Auditor)</t>
  </si>
  <si>
    <t>Allen &amp; Overy(Legal Advisor), Bank of America Merrill Lynch(General Business Insurance), Bayern LB(Underwriter), Cazenove Capital Management(Underwriter), Credit Suisse(Underwriter), Deutsche Bank(Advisor: General), Dresdner Kleinwort Wasserstein(Underwriter), DZ Bank(Underwriter), Fried, Frank, Harris, Shriver &amp; Jacobson(Legal Advisor), Hypovereinsbank(Underwriter), Lazard Middle Market(Advisor: General), Lehman Brothers(Underwriter), Milbank(Legal Advisor), Morgan Stanley(Advisor: General), Skillnet(Advisor: General), Sullivan &amp; Cromwell(Legal Advisor), The Goldman Sachs Group(Advisor: General), UBS Group(Placement Agent), WestLB Panmure(Underwriter)</t>
  </si>
  <si>
    <t>97463-44</t>
  </si>
  <si>
    <t>Shanghai Bacchus Liquor</t>
  </si>
  <si>
    <t>Bakesi Wine</t>
  </si>
  <si>
    <t>Shanghai Bacchus Liquor Company, Ltd</t>
  </si>
  <si>
    <t>Manufacturer of flavored alcoholic beverages. The company produces Chinese "alco-pop" beverages for the ready-to-drink market.</t>
  </si>
  <si>
    <t>beer cocktails, vodka</t>
  </si>
  <si>
    <t>The company was acquired by Bairun Flavor &amp; Fragrance (SHE: 002568) for RMB 48.6 billion on June 2, 2015. The company is no longer actively tracked by PitchBook.</t>
  </si>
  <si>
    <t>Shanghai Bairun Investment Holding Group Company</t>
  </si>
  <si>
    <t>167407-57</t>
  </si>
  <si>
    <t>Anheuser-Busch InBev(East European Beer Brands)</t>
  </si>
  <si>
    <t>Portfolio of beer brands. The brands include Pilsner Urquell in Czech Republic, Tyskie and Lech in Poland and other beer brands in Hungary, Romania and Slovakia.</t>
  </si>
  <si>
    <t>beer, liquor branding</t>
  </si>
  <si>
    <t>The East European Beer Brands of Anheuser-Busch InBev (BRU: ABI) was acquired by Asahi Group Holdings (TKS: 2502) for 7.3 billion euros on March 31, 2017. The business is no longer actively tracked by PitchBook.</t>
  </si>
  <si>
    <t>Asahi Group Holdings</t>
  </si>
  <si>
    <t>Advent International, Bain Capital, China Resources Group, Jacobs Holding, KKR Financial, Maspex Wadowice Group, Mid Europa Partners, MOL Hungary, Powszechny Zakład Ubezpieczen, PPF Group, Public Sector Pension Investment Board</t>
  </si>
  <si>
    <t>Anheuser-Busch InBev(www.ab-inbev.com)</t>
  </si>
  <si>
    <t>Advent International(www.adventinternational.com), Bain Capital(www.baincapital.com), China Resources Group(en.crc.com.cn), Jacobs Holding(www.jacobsag.ch), KKR Financial(www.kkrfinancial.com), Maspex Wadowice Group(www.maspex.com), Mid Europa Partners(www.mideuropa.com), MOL Hungary(www.mol.hu), Powszechny Zakład Ubezpieczen(www.pzu.pl), PPF Group(www.ppf.eu/en), Public Sector Pension Investment Board(www.investpsp.com)</t>
  </si>
  <si>
    <t>158143-69</t>
  </si>
  <si>
    <t>SABMiller (Eastern European Assets)</t>
  </si>
  <si>
    <t>Operator of breweries. The company engages in production of beers in Czech Republic, Hungary, Poland, Romania and Slovakia.</t>
  </si>
  <si>
    <t>Beverages, Buildings and Property*</t>
  </si>
  <si>
    <t>beer drinks, beer product, brewery firm</t>
  </si>
  <si>
    <t>One Stanhope Gate</t>
  </si>
  <si>
    <t>SABMiller sold its Eastern European Assets to Asahi Group Holdings (TKS: 2502) for EUR 7.3 billion on March 31, 2017. The asset is no longer actively tracked by PitchBook.</t>
  </si>
  <si>
    <t>Advent International, Bain Capital, CR Enterprise, CVC Capital Partners, Jacobs Holding, Kirin Holdings Company, Kohlberg Kravis Roberts, Mid Europa Partners</t>
  </si>
  <si>
    <t>Advent International(www.adventinternational.com), Bain Capital(www.baincapital.com), CR Enterprise(www.crbeer.com.hk), CVC Capital Partners(www.cvc.com), Jacobs Holding(www.jacobsag.ch), Kirin Holdings Company(www.kirinholdings.co.jp), Kohlberg Kravis Roberts(www.kkr.com), Mid Europa Partners(www.mideuropa.com)</t>
  </si>
  <si>
    <t>Vischer(Legal Advisor)</t>
  </si>
  <si>
    <t>51314-95</t>
  </si>
  <si>
    <t>Alteon WebSystems</t>
  </si>
  <si>
    <t>Alteon Networks</t>
  </si>
  <si>
    <t>Alteon WebSystems, Inc</t>
  </si>
  <si>
    <t>Provider of Internet infrastructure solutions that are designed to enable e-businesses. The company provides its web-working solutions to e-commerce companies, Web portals, content publishers, web hosting companies, internet service providers, server vendors and enterprises.</t>
  </si>
  <si>
    <t>Business/Productivity Software*, Network Management Software, Software Development Applications</t>
  </si>
  <si>
    <t>software management, web-working solutions</t>
  </si>
  <si>
    <t>50 Great Oaks Boulevard</t>
  </si>
  <si>
    <t>+1 (408) 360-5500</t>
  </si>
  <si>
    <t>+1 (408) 360-5501</t>
  </si>
  <si>
    <t>The company was acquired by Nortel Networks for $7800 million on October 4, 2000. The company is no longer actively tracked by PitchBook.</t>
  </si>
  <si>
    <t>Charter Venture Capital, Dapknow, Focus Ventures, Fuji-Xerox Company, GE Capital, Glynn Capital, KTB Ventures, Matrix Partners, McQuillan Trust, New Enterprise Associates, ONSET Ventures, Silver Creek Ventures, Sutter Hill Ventures, TCV, Wythes Trusts</t>
  </si>
  <si>
    <t>Charter Venture Capital(www.charterventures.com), Focus Ventures(www.focusventures.com), Fuji-Xerox Company(www.fujixerox.co.jp), GE Capital(www.gecapital.com), Glynn Capital(www.glynncapital.com), KTB Ventures(www.ktbvc.com), Matrix Partners(www.matrixpartners.com), New Enterprise Associates(www.nea.com), ONSET Ventures(www.onset.com), Sutter Hill Ventures(www.shv.com), TCV(www.tcv.com)</t>
  </si>
  <si>
    <t>Kramer Levin Naftalis &amp; Frankel(Legal Advisor)</t>
  </si>
  <si>
    <t>Bank of America Merrill Lynch(Advisor: General), Bowen (Boston)(Advisor: General), Brad Peery Capital(Underwriter), CIBC Capital Markets(Underwriter), Cooley(Legal Advisor), Cowen &amp; Company(Underwriter), Dain Rauscher Wessels(Underwriter), Edward Jones Investments(Underwriter), Fenwick &amp; West(Legal Advisor), Fidelity Capital Markets(Underwriter), Lehman Brothers(Underwriter), Nutmeg Securities(Underwriter), Piper Sandler(Underwriter), Robertson Stephens (Out of Business in 2017)(Underwriter), Tekla Capital Management(Underwriter), The Goldman Sachs Group(Underwriter), Thomas Weisel Partners Group(Underwriter), Tucker Anthony Sutro(Underwriter), Volpe Brown Whelan(Underwriter), Warburg Dillon Read(Underwriter)</t>
  </si>
  <si>
    <t>124909-30</t>
  </si>
  <si>
    <t>Japan Tobacco International</t>
  </si>
  <si>
    <t>Haus Neuerburg, RJ Reynolds International, House Neuerburg</t>
  </si>
  <si>
    <t>JTI</t>
  </si>
  <si>
    <t>JT International AG</t>
  </si>
  <si>
    <t>Reynolds American, Donskoy Tabak, R.J. Reynolds Tobacco, Philip Morris International, V2 Tobacco, Oliver Twist, Universal (Tobacco Company), Santa Fe Natural Tobacco Company, Turning Point Brands, Twisp, Liggett Vector Brands, Lorillard, Northerner Scandinavia, VMR Products</t>
  </si>
  <si>
    <t>Japan Tobacco International is a manufacturer and seller of tobacco products intended to offer responsible and international tobacco items. The company specializes in the manufacturing of cigar, cigarette, tobacco, smoked tobacco items sold under several trademark brands, enabling consumers to plan their journey and make stopovers more pleasurable.</t>
  </si>
  <si>
    <t>cigarettes, cigarettes maker, cigars items, tobacco, tobacco product</t>
  </si>
  <si>
    <t>www.jti.com</t>
  </si>
  <si>
    <t>2011: 509, 2012: 509, 2013: 25000, 2014: 27000, 2018: 40000, 2019: 45000, 2020: 45000, 2021: 62000</t>
  </si>
  <si>
    <t>169305-76P</t>
  </si>
  <si>
    <t>Roland Kostantos</t>
  </si>
  <si>
    <t>roland.kostantos@jti.com</t>
  </si>
  <si>
    <t>+41 (0)22 703 0777</t>
  </si>
  <si>
    <t>8 rue Kazem-Radjavi</t>
  </si>
  <si>
    <t>1202</t>
  </si>
  <si>
    <t>+41 (0)22 703 0789</t>
  </si>
  <si>
    <t>The company was acquired Japan Tobacco (TKS: 2914) for $7.8 billion in March 1999.</t>
  </si>
  <si>
    <t>R.J. Reynolds Tobacco</t>
  </si>
  <si>
    <t>R.J. Reynolds Tobacco(www.rjrt.com)</t>
  </si>
  <si>
    <t>Atlas Advisors(Advisor: General), BIS RESEARCH(Consulting), Integration Consulting(Consulting), Venable(Legal Advisor)</t>
  </si>
  <si>
    <t>228008-89</t>
  </si>
  <si>
    <t>Cleveland Cap Screw Company, Thompson Products</t>
  </si>
  <si>
    <t>TRW Inc.</t>
  </si>
  <si>
    <t>Magneti Marelli, Azbil, Eaton, Collins Aerospace, Magna International, American Axle &amp; Manufacturing, International Automotive Components Group, Mitsubishi Heavy Industries, Neles, Knorr-Bremse</t>
  </si>
  <si>
    <t>Provider of advanced-technology products and services for the automotive, space &amp; electronics, and systems markets. The company designs, manufactures and sells engineering, research and technical services in fields including electronic components, integrated circuits, computers, software and systems engineering to mainly aerospace, automotive, and credit reporting companies.</t>
  </si>
  <si>
    <t>Aerospace and Defense*, Conglomerates, Industrial Supplies and Parts, Machinery (B2B)</t>
  </si>
  <si>
    <t>Manufacturing, Robotics and Drones</t>
  </si>
  <si>
    <t>aeronautical services, aeronautics, aeuronautical services, auto parts, automotive parts, systems market</t>
  </si>
  <si>
    <t>www.trw.com</t>
  </si>
  <si>
    <t>1986: 122258, 2001: 93700</t>
  </si>
  <si>
    <t>FY 2001</t>
  </si>
  <si>
    <t>62868-07P</t>
  </si>
  <si>
    <t>Philip Odeen</t>
  </si>
  <si>
    <t>1900 Richmond Road</t>
  </si>
  <si>
    <t>44124</t>
  </si>
  <si>
    <t>The company was acquired by Northrop Grumman (NYSE: NOC) for $7.8 billion on December 11, 2002. The company's shareholders will receive 0.5357 shares of Northrop Grumman common stock for each share of TRW common stock, with cash paid in lieu of any fractional share of Northrop Grumman stock which otherwise would be issued to the company's shareholders. The company is no longer actively tracked by PitchBook.</t>
  </si>
  <si>
    <t>Seagate Global Group(Consulting)</t>
  </si>
  <si>
    <t>Credit Suisse First Boston(Advisor: General), Skadden, Arps, Slate, Meagher &amp; Flom(Legal Advisor), The Goldman Sachs Group(Advisor: General)</t>
  </si>
  <si>
    <t>55180-36</t>
  </si>
  <si>
    <t>Rice Energy</t>
  </si>
  <si>
    <t>Rice</t>
  </si>
  <si>
    <t>EQT RE LLC</t>
  </si>
  <si>
    <t>Energy XXI Gulf Coast, PetroQuest Energy, Oasis Petroleum, Callon Petroleum Company, Grizzly Energy, Comstock Resources, SilverBow Resources, Newfield Exploration, Lewis Energy Group, W&amp;T Offshore, Chevron, Penn Virginia, SM Energy, Fieldwood Energy, Approach Resources, EOG Resources, Abraxas Petroleum, Clayton Williams Energy, Enerplus, Sylios, Deep Gulf Energy, Concho Resources, Lilis Energy, Noble Energy, LINN Energy, Chesapeake Energy, Talos Energy, Occidental Petroleum, Pioneer Natural Resources, Parsley Energy</t>
  </si>
  <si>
    <t>Provider of oil and gas exploration services intended to be the paradigm for oil and gas exploration and production companies in the shale generation. The company's oil and gas exploration services are focused on the acquisition, exploration and development of natural gas and oil properties in the Appalachian Basin enabling customers avail a range of natural resources.</t>
  </si>
  <si>
    <t>gas, natural gas, natural gas exploration, natural resources, oil, oil property, petroleum exploration platform</t>
  </si>
  <si>
    <t>www.riceenergy.com</t>
  </si>
  <si>
    <t>2013: 139, 2014: 290, 2015: 376, 2016: 467</t>
  </si>
  <si>
    <t>54979-48P</t>
  </si>
  <si>
    <t>Jamie Rogers</t>
  </si>
  <si>
    <t>Senior Vice President, Chief Accounting, Chief Administrative Officer &amp; Treasurer</t>
  </si>
  <si>
    <t>jamie.rogers@riceenergy.com</t>
  </si>
  <si>
    <t>+1 (704) 564-1848</t>
  </si>
  <si>
    <t>Canonsburg, PA</t>
  </si>
  <si>
    <t>2200 Rice Drive</t>
  </si>
  <si>
    <t>Canonsburg</t>
  </si>
  <si>
    <t>15317</t>
  </si>
  <si>
    <t>The company (NYSE: RICE) was acquired by EQT Production Company (NYSE: EQT) for $7.78 billion on November 13, 2017. This transaction complements EQT's production and midstream businesses and will deliver significant operational synergies to help it maintain its status as one of the lowest-cost operators in the United States. The company is no longer actively tracked by PitchBook.</t>
  </si>
  <si>
    <t>EQT Production Company</t>
  </si>
  <si>
    <t>Alpha Natural Resources, Citadel (Hedge Fund), EIG Global Energy Partners, NGP</t>
  </si>
  <si>
    <t>Alpha Natural Resources(www.alphanr.com), Citadel (Hedge Fund)(www.citadel.com), EIG Global Energy Partners(www.eigpartners.com), NGP(www.ngpenergycapital.com)</t>
  </si>
  <si>
    <t>EY(Accounting), Seaport Global(Advisor: General), SP3 Consulting(Consulting)</t>
  </si>
  <si>
    <t>Baker Botts(Legal Advisor), Barclays Bank UK(Underwriter), Barclays Investment Bank(Underwriter), BMO Capital Markets(Underwriter), Capital One Financial(Underwriter), Citigroup Global Markets(Underwriter), CL King &amp; Associates(Advisor: General), Comerica Securities(Underwriter), EY(Accounting), FBR &amp; Company(Underwriter), FS Energy and Power Fund(Debt Financing), Johnson Rice &amp; Company(Underwriter), Kirkland &amp; Ellis(Legal Advisor), Quazar Capital(Advisor: General), RBC Capital Markets(Underwriter), Scotia Waterous(Advisor: General), Scotiabank Global Banking and Markets(Underwriter), Sterne Agee Group(Underwriter), SunTrust Robinson Humphrey(Underwriter), The Goldman Sachs Group(Underwriter), Tudor, Pickering, Holt &amp; Company(Underwriter), U.S. Capital Advisors(Underwriter), Vinson &amp; Elkins(Legal Advisor), Wells Fargo Securities(Underwriter)</t>
  </si>
  <si>
    <t>162705-34</t>
  </si>
  <si>
    <t>Qingdao Yingdong Molding Technology Group</t>
  </si>
  <si>
    <t>Qingdao Branch of the plastic mold Co.</t>
  </si>
  <si>
    <t>Yingdong Molding</t>
  </si>
  <si>
    <t>Qingdao Yingdong Molding Technology Group Co. Ltd</t>
  </si>
  <si>
    <t>Manufacturer and seller of precision molding products. The company's precision molding products include injection products, white goods, shield bottom tray and other industrial electrical products, enabling the automotive and home appliances industry, consumptive electronics, IT, medical instruments, industrial electric appliances avail advanced technology and innovative products.</t>
  </si>
  <si>
    <t>gear, inspection product, shield bottom trays, tamper, wheels eyebrows</t>
  </si>
  <si>
    <t>www.injelic.com.cn</t>
  </si>
  <si>
    <t>Shanghai Yongli Belting</t>
  </si>
  <si>
    <t>Qingdao, China</t>
  </si>
  <si>
    <t>Qingyang Second Road</t>
  </si>
  <si>
    <t>Qingda Industrial Park</t>
  </si>
  <si>
    <t>Qingdao</t>
  </si>
  <si>
    <t>+86 (0)532 8790 6600</t>
  </si>
  <si>
    <t>+86 (0)532 8790 7333</t>
  </si>
  <si>
    <t>The company was acquired by Shanghai Yongli Belting (SHE: 300230) for RMB 48.200 billion in 2015.</t>
  </si>
  <si>
    <t>230777-56</t>
  </si>
  <si>
    <t>PowerGen</t>
  </si>
  <si>
    <t>The Power Generation Company PLC</t>
  </si>
  <si>
    <t>Powergen PLC</t>
  </si>
  <si>
    <t>Producer of electricity and gas catering to residential clients. The company offers electricity, natural gas, heat and power plants to industrial clients.</t>
  </si>
  <si>
    <t>electricity firm, electricity producer, gas supply, heat power plant, natural gas plant</t>
  </si>
  <si>
    <t>www.pgen.com</t>
  </si>
  <si>
    <t>1995: 4937, 1996: 4171, 1997: 3551, 1998: 3453, 1999: 7678, 2000: 11742</t>
  </si>
  <si>
    <t>Coventry, United Kingdom</t>
  </si>
  <si>
    <t>Westwood Way</t>
  </si>
  <si>
    <t>Westwood Business Park</t>
  </si>
  <si>
    <t>Coventry</t>
  </si>
  <si>
    <t>CV4 8LG</t>
  </si>
  <si>
    <t>The company was acquired by E.ON (ETR: EOAN) for GBP 8.1 billion on July 1, 2002.</t>
  </si>
  <si>
    <t>E.ON</t>
  </si>
  <si>
    <t>124259-32</t>
  </si>
  <si>
    <t>DuPont Pharmaceuticals Company</t>
  </si>
  <si>
    <t>DuPont Pharmaceuticals</t>
  </si>
  <si>
    <t>DuPont Pharmaceuticals Co.</t>
  </si>
  <si>
    <t>Operator of a drug delivery firm. The company focuses on research, development, and delivery of pharmaceuticals to treat unmet medical needs in the fights against HIV, cardiovascular disease, central nervous system disorders, cancer and inflammatory diseases.</t>
  </si>
  <si>
    <t>Drug Delivery*</t>
  </si>
  <si>
    <t>drugs delivery firm, drugs delivery platform, medical drugs developer, medical drugs research, pharmaceutical research</t>
  </si>
  <si>
    <t>189688-06P</t>
  </si>
  <si>
    <t>Nicholas Teti</t>
  </si>
  <si>
    <t>President, Chief Executive Officer &amp; Chief Operating Officer</t>
  </si>
  <si>
    <t>PO Box 80723</t>
  </si>
  <si>
    <t>19880</t>
  </si>
  <si>
    <t>The company, a subsidiary of E. I. duPont de Nemours was acquired by Bristol-Myers Squibb (NYS: BMY) for $7.77 billion on October 1, 2001. This acquisition was financed with proceeds from the issuance of $1.5 billion of commercial paper, issuance of $5 billion of medium-term notes and internal cash flows. The acquirer paid assumed liabilities of $1.21 billion. The acquisition will further strengthen the acquirer's medicines business, which has been the focus of the its Strategy for Growth to double sales, earnings and earnings per share between year-end 2000 and 2005. The company is no longer actively tracked by PitchBook.</t>
  </si>
  <si>
    <t>59728-06</t>
  </si>
  <si>
    <t>The Stars Group</t>
  </si>
  <si>
    <t>Amaya</t>
  </si>
  <si>
    <t>TSG</t>
  </si>
  <si>
    <t>The Stars Group Inc.</t>
  </si>
  <si>
    <t>NetEnt, Electronic Arts, Zynga, GungHo Online Entertainment, Team17 Digital, Activision Blizzard, Ubisoft Entertainment, Hi-Rez Studios, Novomatic, Playtika, Rovio Entertainment, Omnidrone, Glu Mobile, Naughty Dog, King Digital Entertainment, Storm8, Coffee Stain Studios, Vostu, TellTale, Joyride (Entertainment Software), Kongregate, Halfbrick Studios, Spil Games, Hothead Games, NYX Gaming Group, Konami, Markor, This Game Studio, G-Loot, 99Games, Scopely</t>
  </si>
  <si>
    <t>Provider of online betting games based in Toronto, Ontario. The company offers poker, gaming and betting products directly and indirectly, under-owned or licensed gaming brands, along with owning several live poker tour and events brands.</t>
  </si>
  <si>
    <t>casino, gaming machine, gaming product, online pocker, online poker, online poker game</t>
  </si>
  <si>
    <t>www.starsgroup.com</t>
  </si>
  <si>
    <t>2010: 60, 2011: 189, 2012: 800, 2013: 750, 2014: 2475, 2015: 1991, 2016: 1778, 2017: 2110, 2018: 4300, 2019: 4591</t>
  </si>
  <si>
    <t>58032-10P</t>
  </si>
  <si>
    <t>Daniel Sebag</t>
  </si>
  <si>
    <t>Chief Financial Officer, Finance &amp; Treasurer, Finance</t>
  </si>
  <si>
    <t>daniels@starsgroup.com</t>
  </si>
  <si>
    <t>+1 (437) 371-5742</t>
  </si>
  <si>
    <t>200 Bay Street</t>
  </si>
  <si>
    <t>South Tower, Suite 3205</t>
  </si>
  <si>
    <t>M5J 2J3</t>
  </si>
  <si>
    <t>The company was acquired by Flutter Entertainment (LON: FLTR) for GBP 6.25 billion on May 5, 2020.</t>
  </si>
  <si>
    <t>Blackstone Credit, Desjardins Capital, Fox Corporation, PointState Capital</t>
  </si>
  <si>
    <t>Ferdyne Advisory, Goldenway Capital, Head &amp; Shoulders Securities</t>
  </si>
  <si>
    <t>Blackstone Credit(www.gsocap.com), Desjardins Capital(www.desjardinscapital.com), Fox Corporation(www.foxcorporation.com), PointState Capital(www.pointstate.com)</t>
  </si>
  <si>
    <t>Goldenway Capital(www.gwghk.com), Head &amp; Shoulders Securities(www.headandshoulders.com.hk)</t>
  </si>
  <si>
    <t>Deutsche Bank(Advisor: General), Fox Rothschild(Legal Advisor), The Goldman Sachs Group(Advisor: General), Union Gaming Securities(Advisor: General)</t>
  </si>
  <si>
    <t>A&amp;L Goodbody(Legal Advisor), Apollo Investment(Debt Financing), Ashurst(Legal Advisor), Barclays(Advisor: Financial Due Diligence), Barclays Bank UK(Advisor: General), BayFront Capital Partners(Underwriter), Blake, Cassels &amp; Graydon(Legal Advisor), BMO Capital Markets(Underwriter), BMO Nesbitt Burns(Underwriter), Borden Ladner Gervais(Legal Advisor), Canaccord Genuity(Underwriter), Clarus Securities(Lead Manager or Arranger), Cormark Securities(Underwriter), Desjardins Securities(Underwriter), Dundee Securities(Underwriter), FS KKR Capital(Debt Financing), FS KKR Capital Corp. II(Debt Financing), Gilbert + Tobin(Legal Advisor), Grant Thornton(Accounting), Jones Day(Legal Advisor), Kahn Swick &amp; Foti(Legal Advisor), KPMG(Accounting), Laurentian Bank of Canada(Underwriter), Laurentian Bank Securities(Lead Manager or Arranger), Macquarie Group(Underwriter), McCarthy Tétrault(Legal Advisor), Moelis &amp; Company(Advisor: General), Osler, Hoskin &amp; Harcourt(Legal Advisor), Proskauer Rose(Legal Advisor), Research Capital.(Underwriter), Richter(Accounting), Slaughter and May(Legal Advisor), Union Securities(Underwriter)</t>
  </si>
  <si>
    <t>12006-10</t>
  </si>
  <si>
    <t>Hexcel (NYS: HXL)</t>
  </si>
  <si>
    <t>Hexcel Corporation</t>
  </si>
  <si>
    <t>Merelli Compositi, Honeywell, Nippon Carbon Company, Sofitec Aero, Sika Group, Orbital ATK, TPI Composites, Carlisle Companies, Thermoplay, Protech Composites, Liqtech International, Graftech International, Dowaksa Usa, Laird Connectivity, Mersen, SGL Carbon, Milacron Holdings, Dow Silicones, Airbus, Rolls-Royce, Polytechs, Cytec Industries, TOG Manufacturing, Momentive Performance Materials, Raytheon, Northrop Grumman, OHB, Pratt &amp; Whitney, Boeing</t>
  </si>
  <si>
    <t>Hexcel designs and manufactures high-performance composites, including carbon fibers, for use in commercial aerospace, defense, and other industrial markets. Generally, around 70% of revenue is from the commercial aerospace end market, 17% of revenue is from the defense end market and 13% of revenue is from other industrial end markets. The company operates under two segments: composite materials and engineered products.</t>
  </si>
  <si>
    <t>Aerospace and Defense*, Industrial Supplies and Parts, Other Commercial Products</t>
  </si>
  <si>
    <t>carbon fiber, honeycomb, honeycomb cores, honeycomb molding, prepregs</t>
  </si>
  <si>
    <t>www.hexcel.com</t>
  </si>
  <si>
    <t>1991: 3062, 1992: 3062, 1993: 2340, 1994: 2189, 1995: 2127, 1996: 5013, 1997: 5597, 1998: 6875, 1999: 6328, 2000: 6072, 2001: 5376, 2002: 4245, 2003: 4084, 2004: 4406, 2005: 4455, 2006: 4459, 2007: 4081, 2008: 4275, 2009: 3734, 2010: 4043, 2011: 4508, 2012: 4973, 2013: 5274, 2014: 5663, 2015: 5897, 2016: 6155, 2017: 6259, 2018: 6626, 2019: 6977, 2020: 4647</t>
  </si>
  <si>
    <t>HXL</t>
  </si>
  <si>
    <t>171519-94P</t>
  </si>
  <si>
    <t>Patrick Winterlich</t>
  </si>
  <si>
    <t>Chief Financial Officer, Finance &amp; Controller, Finance</t>
  </si>
  <si>
    <t>patrick.winterlich@hexcel.com</t>
  </si>
  <si>
    <t>+1 (203) 969-0666</t>
  </si>
  <si>
    <t>281 Tresser Boulevard</t>
  </si>
  <si>
    <t>16th Floor</t>
  </si>
  <si>
    <t>Woodward (NAS: WWD) and Hexcel (NYS: HXL) reached a definitive agreement to form the company on January 12, 2020. Subsequently, the deal was canceled on April 6, 2020. Previously, BlackRock International and The Goldman Sachs Group sold its stake in the company (NYS: HXL) for an undisclosed amount.</t>
  </si>
  <si>
    <t>Berkshire Partners, BlackRock International, Ciba Specialty Chemicals Masterbatch, First National Bank of Hutchinson, Golden Gate Capital, Greenbriar Equity Group, Joho Capital, Ownership Capital, T. Rowe Price, The Goldman Sachs Group</t>
  </si>
  <si>
    <t>Woodward Hexcel</t>
  </si>
  <si>
    <t>Berkshire Partners(www.berkshirepartners.com), BlackRock International(www.blackrockinternational.com), First National Bank of Hutchinson(www.fnbhutch.com), Golden Gate Capital(www.goldengatecap.com), Greenbriar Equity Group(www.greenbriarequity.com), Ownership Capital(www.ownershipcapital.com), T. Rowe Price(www.troweprice.com), The Goldman Sachs Group(www.goldmansachs.com)</t>
  </si>
  <si>
    <t>Axinn, Veltrop &amp; Harkrider(Legal Advisor), Bank of America Merrill Lynch(Advisor: General), BNP Paribas(Debt Financing), Citizens Bank(Debt Financing), Citizens Commercial Banking(Debt Financing), Deutsche Bank(Debt Financing), Faber Daeufer &amp; Itrato(Legal Advisor), InnovationXchange(Consulting), J.P. Morgan(Debt Financing), PNC(Debt Financing), Sideman &amp; Bancroft(Legal Advisor), TD Bank(Debt Financing), Truist(Debt Financing), U.S. Bancorp(Debt Financing), Wells Fargo(Debt Financing)</t>
  </si>
  <si>
    <t>Bank of America Merrill Lynch(Advisor: General), Bridgepoint Investment Banking(Underwriter), Fleet Bank(Debt Financing), Fleet Capital(Debt Financing), The Goldman Sachs Group(Advisor: General), Wachtell, Lipton, Rosen &amp; Katz(Legal Advisor)</t>
  </si>
  <si>
    <t>223864-03</t>
  </si>
  <si>
    <t>Aetna (financial services and international businesses)</t>
  </si>
  <si>
    <t>Provider of mutual fund and insurance assets under management.</t>
  </si>
  <si>
    <t>insurance premium, mutual fund</t>
  </si>
  <si>
    <t>The company was acquired by ING Group (AMS: INGA) for $7.7 billion on December 13, 2000. The company is no longer actively tracked by PitchBook.</t>
  </si>
  <si>
    <t>Aetna(www.aetna.com)</t>
  </si>
  <si>
    <t>94723-57</t>
  </si>
  <si>
    <t>DuPont Pioneer</t>
  </si>
  <si>
    <t>Pioneer Hi-Bred International</t>
  </si>
  <si>
    <t>DuPont Pioneer Inc.</t>
  </si>
  <si>
    <t>S&amp;W Seed, Nunhems, Chromatin, Dairyland Seed Company, Limagrain</t>
  </si>
  <si>
    <t>Producer of agricultural seeds and products. The company engages in the production of genetically modified seeds of corn, maize, cotton, rice, soybeans, sunflower and other related products.</t>
  </si>
  <si>
    <t>agricultural seeds, corn producer, farming seeds, seeds producer</t>
  </si>
  <si>
    <t>www.pioneer.com</t>
  </si>
  <si>
    <t>1989: 3850, 1990: 4601, 1991: 4768, 1992: 5016, 1993: 5016, 1994: 5016, 1995: 4900, 1996: 4738, 1997: 5000, 1998: 1000, 2018: 2600</t>
  </si>
  <si>
    <t>TTM 3Q1999</t>
  </si>
  <si>
    <t>137371-78P</t>
  </si>
  <si>
    <t>Subbarao Kolli</t>
  </si>
  <si>
    <t>Regional Director - South Asia &amp; South East Asia</t>
  </si>
  <si>
    <t>+1 (515) 535-3200</t>
  </si>
  <si>
    <t>Johnston, IA</t>
  </si>
  <si>
    <t>Resource Connection</t>
  </si>
  <si>
    <t>P.O. Box 1000</t>
  </si>
  <si>
    <t>Johnston</t>
  </si>
  <si>
    <t>50131</t>
  </si>
  <si>
    <t>The company was acquired by E. I. du Pont de Nemours (NYSE: DD) for $7.7 billion on October 1, 1999.</t>
  </si>
  <si>
    <t>Bartlit Beck(Legal Advisor), Bridgepoint Investment Banking(Advisor: General), Eureka Capital Partners(Advisor: General), Gunster(Legal Advisor), KPMG Corporate Finance(Advisor: General), Q2Consult(Consulting), Verdant Partners(Advisor: General), Wood Warren(Advisor: General)</t>
  </si>
  <si>
    <t>CapM(Advisor: General)</t>
  </si>
  <si>
    <t>63357-76</t>
  </si>
  <si>
    <t>Duta Alam Sumatera</t>
  </si>
  <si>
    <t>PT. Duta Alam Sumatera</t>
  </si>
  <si>
    <t>Operator of coal mines. The company owns and operates coal mines in Indonesia.</t>
  </si>
  <si>
    <t>coal mining, mining</t>
  </si>
  <si>
    <t>Merapi, Indonesia</t>
  </si>
  <si>
    <t>Merapi</t>
  </si>
  <si>
    <t>Indonesia</t>
  </si>
  <si>
    <t>The company was acquired by Dong Yu Investment for $7.7 billion on April 14, 2014. The company is no longer actively tracked by PitchBook.</t>
  </si>
  <si>
    <t>Dong Yu Investment</t>
  </si>
  <si>
    <t>Ever Pioneer</t>
  </si>
  <si>
    <t>64738-99</t>
  </si>
  <si>
    <t>Equinox Minerals</t>
  </si>
  <si>
    <t>Equinox Resources</t>
  </si>
  <si>
    <t>Equinox Minerals Ltd.</t>
  </si>
  <si>
    <t>Operator of a mining and exploration company. The company engages is gold and copper-gold exploration services.</t>
  </si>
  <si>
    <t>Gold Mining*, Other Metals, Minerals and Mining</t>
  </si>
  <si>
    <t>mineral mining</t>
  </si>
  <si>
    <t>www.equinoxminerals.com</t>
  </si>
  <si>
    <t>2004: 63, 2005: 63, 2006: 63, 2007: 600, 2008: 600, 2014: 51</t>
  </si>
  <si>
    <t>72704-26P</t>
  </si>
  <si>
    <t>Michael Klessens</t>
  </si>
  <si>
    <t>West Perth, Australia</t>
  </si>
  <si>
    <t>Ground Floor</t>
  </si>
  <si>
    <t>50 Kings Park Road</t>
  </si>
  <si>
    <t>West Perth</t>
  </si>
  <si>
    <t>6005</t>
  </si>
  <si>
    <t>The company was acquired by Barrick Gold (NYSE: ABX) for $7.7 billion in 2011. The company is no longer actively tracked by PitchBook.</t>
  </si>
  <si>
    <t>First Quantum Minerals, ZCCM Investments Holdings</t>
  </si>
  <si>
    <t>First Quantum Minerals(www.first-quantum.com)</t>
  </si>
  <si>
    <t>BNP Paribas(Debt Financing), Industrial and Commercial Bank of China(Debt Financing), Osler, Hoskin &amp; Harcourt(Legal Advisor), Standard Bank Group(Debt Financing), Standard Chartered(Debt Financing), The Goldman Sachs Group(Advisor: General)</t>
  </si>
  <si>
    <t>234601-57</t>
  </si>
  <si>
    <t>Hitachi ABB Power Grids</t>
  </si>
  <si>
    <t>Hitachi ABB Power Grids Ltd.</t>
  </si>
  <si>
    <t>Provider of power transformers and substations for transmitting electricity over long distances. The company's portfolio of sustainable digital energy solutions, helping customers spanning the energy (utilities) and industry sectors, to mobility, IT and Life (Cities) sectors create value.</t>
  </si>
  <si>
    <t>Electronic Equipment and Instruments*, Other Hardware</t>
  </si>
  <si>
    <t>electricity transmission equipment, electricity transmission system, power transformers provider, power transformers seller, transformers and substations sales</t>
  </si>
  <si>
    <t>www.hitachiabb-powergrids.com</t>
  </si>
  <si>
    <t>2018: 36000, 2020: 36000, 2021: 36000</t>
  </si>
  <si>
    <t>145832-50P</t>
  </si>
  <si>
    <t>Claudio Facchin</t>
  </si>
  <si>
    <t>cfacchin@hitachiabb-powergrids.com</t>
  </si>
  <si>
    <t>Brown-Boveri Strasse 5</t>
  </si>
  <si>
    <t>+41 (0)58 585 0000</t>
  </si>
  <si>
    <t>The Power Grids Business of ABB Group's (SWX: ABBN) was acquired by Hitachi (TKS: 6501) for $7.7 billion on July 1, 2020. ABB Group will retain a 19.9% stake in the business. The acquisition will allow Hitachi to boost its global presence in the power grid industry.</t>
  </si>
  <si>
    <t>ABB Group</t>
  </si>
  <si>
    <t>ABB Group(www.abb.com)</t>
  </si>
  <si>
    <t>Pinheiro Neto Advogados(Legal Advisor), Walder Wyss(Legal Advisor)</t>
  </si>
  <si>
    <t>150175-90</t>
  </si>
  <si>
    <t>Kozloduy Nuclear Power Plant</t>
  </si>
  <si>
    <t>Kozloduy NPP PLC</t>
  </si>
  <si>
    <t>Operator of power plant. The company operates nuclear power plant and generates and distributes electricity to household and business sectors.</t>
  </si>
  <si>
    <t>electricity generation, electricity producer, power plant</t>
  </si>
  <si>
    <t>www.kznpp.org</t>
  </si>
  <si>
    <t>Kozloduy, Bulgaria</t>
  </si>
  <si>
    <t>Kozloduy</t>
  </si>
  <si>
    <t>3321</t>
  </si>
  <si>
    <t>Bulgaria</t>
  </si>
  <si>
    <t>+359 (0)97 372 020</t>
  </si>
  <si>
    <t>+359 (0)97 380 591</t>
  </si>
  <si>
    <t>info@kznpp.org</t>
  </si>
  <si>
    <t>Bulgarian Energy sold a 49% stake in the company to Westinghouse Electric Company for $7.7 billion on April 3, 2015.</t>
  </si>
  <si>
    <t>Bulgarian Energy Holding, Westinghouse Electric Company</t>
  </si>
  <si>
    <t>Bulgarian Energy Holding(www.bgenh.com), Westinghouse Electric Company(www.westinghousenuclear.com)</t>
  </si>
  <si>
    <t>110127-61</t>
  </si>
  <si>
    <t>Procter &amp; Gamble (Beauty Brands)</t>
  </si>
  <si>
    <t>Provider of beauty care products. The company provides fragrances, makeup, hair salon items and other beauty products.</t>
  </si>
  <si>
    <t>Other Consumer Non-Durables, Personal Products*</t>
  </si>
  <si>
    <t>Beauty</t>
  </si>
  <si>
    <t>bathing bar, body washing, soap</t>
  </si>
  <si>
    <t>117370-54P</t>
  </si>
  <si>
    <t>Camillo Pane</t>
  </si>
  <si>
    <t>One or Two Procter &amp; Gamble Plaza</t>
  </si>
  <si>
    <t>45201</t>
  </si>
  <si>
    <t>Procter &amp; Gamble (NYSE: PG) sold its beauty brands to Coty (NYSE: COTY) for $7.7 billion on October 1, 2016. Under the terms of the transaction, which will be a Reverse Morris Trust transaction, Coty will issue shares worth $9.6 billion at the time of proposal or 52% of the diluted capital stock of the combined company and assume $1.9 billion of liabilities of the target. The business unit is no longer actively tracked by PitchBook.</t>
  </si>
  <si>
    <t>Coty</t>
  </si>
  <si>
    <t>BC Partners, Cinven, Clayton, Dubilier &amp; Rice, CVC Capital Partners, Henkel, Warburg Pincus</t>
  </si>
  <si>
    <t>BC Partners(www.bcpartners.com), Cinven(www.cinven.com), Clayton, Dubilier &amp; Rice(www.cdr-inc.com), CVC Capital Partners(www.cvc.com), Henkel(www.henkel.com), Warburg Pincus(www.warburgpincus.com)</t>
  </si>
  <si>
    <t>Centerview Partners(Advisor: General), Joele Frank(Advisor: Communications)</t>
  </si>
  <si>
    <t>Bank of America Merrill Lynch(Advisor: General)</t>
  </si>
  <si>
    <t>10989-73</t>
  </si>
  <si>
    <t>Aggregate Industries</t>
  </si>
  <si>
    <t>Bardon Trimount Concrete</t>
  </si>
  <si>
    <t>AIUK</t>
  </si>
  <si>
    <t>Aggregate Industries UK Limited</t>
  </si>
  <si>
    <t>Stark Group, Republic Cement &amp; Building Materials, ACC, Ambuja Cements, Cementir Holding, Rogers Group, Cementir Italia, UltraTech Cement, CRH, Hanson</t>
  </si>
  <si>
    <t>Aggregate Industries is a Provider of raw building materials. The company manufactures and supplies a range of heavy building materials, primarily aggregates such as stone, asphalt and concrete, to the construction industry and other business sectors. The company seeks to expand and consolidate its presence in the construction sector through mergers, acquisitions and investments. The company was acquired by Holcim on February 1, 2005.</t>
  </si>
  <si>
    <t>aggregates, building materials, raw materials</t>
  </si>
  <si>
    <t>www.aggregate.com</t>
  </si>
  <si>
    <t>2020: 3875, 2021: 3700</t>
  </si>
  <si>
    <t>92507-50P</t>
  </si>
  <si>
    <t>John Bowater</t>
  </si>
  <si>
    <t>Chief Financial Officer, Board Member &amp; Deputy Chief Executive Officer</t>
  </si>
  <si>
    <t>john.bowater@aggregate.com</t>
  </si>
  <si>
    <t>+44 (0)15 3051 0066</t>
  </si>
  <si>
    <t>Markfield, United Kingdom</t>
  </si>
  <si>
    <t>Bardon Hill</t>
  </si>
  <si>
    <t>Copt Oak Road, Leicestershire</t>
  </si>
  <si>
    <t>Markfield</t>
  </si>
  <si>
    <t>LE67 9PJ</t>
  </si>
  <si>
    <t>The company was acquired by Holcim for $4.1 billion on February 1, 2005.</t>
  </si>
  <si>
    <t>Holland &amp; Hart(Legal Advisor), The Greystone Group(Advisor: General)</t>
  </si>
  <si>
    <t>CMS Derks Star Busmann(Legal Advisor)</t>
  </si>
  <si>
    <t>59307-04</t>
  </si>
  <si>
    <t>Coca-Cola Amatil</t>
  </si>
  <si>
    <t>British Tobacco Company</t>
  </si>
  <si>
    <t>Coca-Cola Europacific Partners</t>
  </si>
  <si>
    <t>Coca-Cola Amatil Ltd.</t>
  </si>
  <si>
    <t>Schweppes Zimbabwe, Vayhan Coffee, Ghirardelli Chocolate, Quaker Oats, Meadow Foods, Treehouse Foods, WM Wrigley Jr, Keurig Dr Pepper</t>
  </si>
  <si>
    <t>Coca-Cola Amatil manufactures and distributes carbonated soft drinks, water, sports and energy drinks, fruit juice, flavoured milk, coffee, and packaged ready-to-eat fruit and vegetable products. It is the principal Coca-Cola licensee in Australia, and independently manufactures its own soft drinks and mineral waters. The company sells and distributes the premium spirits portfolio of Beam Global Spirits and Wines and the beer portfolio of Molson Coors. It also operates in New Zealand, Fiji, Indonesia, and Papua New Guinea.</t>
  </si>
  <si>
    <t>Beverages*, Distributors/Wholesale</t>
  </si>
  <si>
    <t>beverages, beverages bottles, beverages manufacturing, bottles maker, bottling plant, soft drinks, softdrink bottles</t>
  </si>
  <si>
    <t>www.ccamatil.com</t>
  </si>
  <si>
    <t>1987: 12420, 1989: 7614, 1990: 6729, 1991: 8042, 1992: 8042, 1993: 10735, 1994: 15523, 1995: 19984, 1996: 26900, 1997: 26900, 1998: 26900, 1999: 31808, 2000: 31000, 2002: 2980, 2003: 16273, 2004: 16845, 2005: 18872, 2006: 18060, 2007: 15666, 2008: 15495, 2009: 15543, 2010: 15211, 2012: 15900, 2020: 8720</t>
  </si>
  <si>
    <t>Coca-Cola European Partners</t>
  </si>
  <si>
    <t>89959-60P</t>
  </si>
  <si>
    <t>Edwin Lau</t>
  </si>
  <si>
    <t>Senior Analyst - Group Strategy &amp; Corporate Finance (Indonesia Secondment)</t>
  </si>
  <si>
    <t>edwin.lau@ccamatil.com</t>
  </si>
  <si>
    <t>+61 (0)2 9259 6222</t>
  </si>
  <si>
    <t>Level 13, 40 Mount Street</t>
  </si>
  <si>
    <t>North Sydney</t>
  </si>
  <si>
    <t>2060</t>
  </si>
  <si>
    <t>The company, a subsidiary of Coca-Cola (NYS: KO) was acquired by Coca-Cola European Partners (LON: CCEP) for AUD 9.93 billion on May 10, 2021. The acquisition would create a broader and more balanced footprint for CCEP while almost doubling its consumer reach.</t>
  </si>
  <si>
    <t>Herbert Smith Freehills(Legal Advisor), UBS Group(Advisor: General)</t>
  </si>
  <si>
    <t>84044-71</t>
  </si>
  <si>
    <t>Burr-Brown</t>
  </si>
  <si>
    <t>Burr-Brown Research Corporation</t>
  </si>
  <si>
    <t>Burr-Brown Corp.</t>
  </si>
  <si>
    <t>Developer of high-performance analog products. The company supplies converters and amplifiers, enabling makers of internet appliances and communications systems to meet their total signal-processing requirements.</t>
  </si>
  <si>
    <t>Application Specific Semiconductors, Electrical Equipment*, Electronic Equipment and Instruments</t>
  </si>
  <si>
    <t>analog electronics, consumer electronic instrument</t>
  </si>
  <si>
    <t>www.burr-brown.com</t>
  </si>
  <si>
    <t>193891-06P</t>
  </si>
  <si>
    <t>Thomas Brown</t>
  </si>
  <si>
    <t>Tucson, AZ</t>
  </si>
  <si>
    <t>Tucson</t>
  </si>
  <si>
    <t>The company was acquired by Texas Instruments (NAS: TXN) for $7.65 billion in 1994. The company is no longer actively tracked by PitchBook.</t>
  </si>
  <si>
    <t>Texas Instruments</t>
  </si>
  <si>
    <t>59667-31</t>
  </si>
  <si>
    <t>Veresen</t>
  </si>
  <si>
    <t>Fort Chicago Energy Partner</t>
  </si>
  <si>
    <t>Veresen, Inc.</t>
  </si>
  <si>
    <t>Owner and operator of energy infrastructure assets across North America. The company's core assets include pipelines, midstream, power systems, and natural gas liquefaction facility.</t>
  </si>
  <si>
    <t>Energy Infrastructure*, Other Energy Services</t>
  </si>
  <si>
    <t>energy infrastructure operator, energy infrastructure owner, midstream assets, midstream service provider, power infrastructure</t>
  </si>
  <si>
    <t>www.vereseninc.com</t>
  </si>
  <si>
    <t>2006: 14, 2007: 14, 2008: 68, 2009: 81, 2010: 109, 2011: 135, 2012: 225, 2013: 224, 2014: 231, 2015: 259, 2016: 278</t>
  </si>
  <si>
    <t>Pembina Pipeline</t>
  </si>
  <si>
    <t>163552-78P</t>
  </si>
  <si>
    <t>Tanya Yeast</t>
  </si>
  <si>
    <t>Vice President, Taxation</t>
  </si>
  <si>
    <t>tyeast@vereseninc.com</t>
  </si>
  <si>
    <t>+1 (403) 296-0140</t>
  </si>
  <si>
    <t>222 - 3rd Avenue Southwest</t>
  </si>
  <si>
    <t>Suite 900, Livingston Place, South Tower</t>
  </si>
  <si>
    <t>T2P 0B4</t>
  </si>
  <si>
    <t>The company was acquired by Pembina Pipeline (TSX: PPL) for CAD 9.4 billion on October 2, 2017. The combined companies create a platform in which they can pursue expanded growth opportunities while continuing to support future dividend growth and value creation for shareholders.</t>
  </si>
  <si>
    <t>Debevoise &amp; Plimpton(Legal Advisor), GMP FirstEnergy(Underwriter), Osler, Hoskin &amp; Harcourt(Legal Advisor), Scotiabank Europe(Advisor: General)</t>
  </si>
  <si>
    <t>164524-69</t>
  </si>
  <si>
    <t>SJEC</t>
  </si>
  <si>
    <t>SJEC Corp</t>
  </si>
  <si>
    <t>Manufacturer and seller of elevator and escalator products.</t>
  </si>
  <si>
    <t>commercial escalators, conveyor, electrical equipment, elevators and escalators, elevators product, escalators product, high speed elevators, public service escalators</t>
  </si>
  <si>
    <t>www.sjec.com.cn</t>
  </si>
  <si>
    <t>173862-55P</t>
  </si>
  <si>
    <t>Zhi Feng Jin</t>
  </si>
  <si>
    <t>General Manager and Chairman</t>
  </si>
  <si>
    <t>zhi.fengjin@sjec.com.cn</t>
  </si>
  <si>
    <t>+86 (0)512 6274 6790</t>
  </si>
  <si>
    <t>Suzhou, China</t>
  </si>
  <si>
    <t>28 weixin Road</t>
  </si>
  <si>
    <t>Ecological Hub</t>
  </si>
  <si>
    <t>Suzhou</t>
  </si>
  <si>
    <t>215122</t>
  </si>
  <si>
    <t>+86 (0)512 6281 0633</t>
  </si>
  <si>
    <t>sjecinfo@sjec.com.cn</t>
  </si>
  <si>
    <t>The company was acquired by Qihoo 360 Technology through a reverse merger, resulting in the combined entity trading on the SHG Stock Exchange on November 2, 2017. The company is no longer actively tracked by PitchBook.</t>
  </si>
  <si>
    <t>Qihoo 360 Technology</t>
  </si>
  <si>
    <t>Huatai United Securities(Advisor: General)</t>
  </si>
  <si>
    <t>52895-26</t>
  </si>
  <si>
    <t>Receptos</t>
  </si>
  <si>
    <t>Apoptos, Receptor Pharmaceuticals</t>
  </si>
  <si>
    <t>Receptos, Inc.</t>
  </si>
  <si>
    <t>aTyr Pharma, Clementia Pharmaceuticals, Dicerna Pharmaceuticals, Ultragenyx Pharmaceutical, Seragon Pharmaceuticals, Cognition Therapeutics</t>
  </si>
  <si>
    <t>Developer of G protein coupled receptor therapies to treat immunological diseases. The company develops RPC1063 as an oral therapy for Relapsing Multiple Sclerosis (RMS) and Inflammatory Bowel Disease (IBD).</t>
  </si>
  <si>
    <t>Biotechnology, Drug Discovery*, Therapeutic Devices</t>
  </si>
  <si>
    <t>immunological disease therapy, inflammatory bowel disease, protein coupled receptor, receptor agonist, relapsing multiple sclerosis, therapeutic candidate</t>
  </si>
  <si>
    <t>www.receptos.com</t>
  </si>
  <si>
    <t>2009: 43, 2010: 39, 2011: 48, 2012: 53, 2013: 41, 2014: 68, 2015: 186</t>
  </si>
  <si>
    <t>35686-27P</t>
  </si>
  <si>
    <t>Graham Cooper</t>
  </si>
  <si>
    <t>gcooper@receptos.com</t>
  </si>
  <si>
    <t>3033 Science Park Road</t>
  </si>
  <si>
    <t>The company was acquired by Celgene, a subsidiary of Bristol-Myers Squibb (NYS: BMY), for $7.626 billion on August 27, 2015. The company is no longer actively tracked by PitchBook.</t>
  </si>
  <si>
    <t>Advanced Technology Ventures, Altitude Life Science Ventures, ARCH Venture Partners, Flagship Pioneering, Lilly Ventures, OrbiMed, Osage University Partners, Polaris Partners, Venrock</t>
  </si>
  <si>
    <t>AstraZeneca, Gilead Sciences, Teva Pharmaceutical Industries</t>
  </si>
  <si>
    <t>Advanced Technology Ventures(www.atvcapital.com), Altitude Life Science Ventures(www.altitudelsv.com), ARCH Venture Partners(www.archventure.com), Flagship Pioneering(www.flagshippioneering.com), Lilly Ventures(www.lillyventures.com), OrbiMed(www.orbimed.com), Osage University Partners(oup.vc), Polaris Partners(www.polarispartners.com), Venrock(www.venrock.com)</t>
  </si>
  <si>
    <t>AstraZeneca(www.astrazeneca.com), Gilead Sciences(www.gilead.com), Teva Pharmaceutical Industries(www.tevapharm.com)</t>
  </si>
  <si>
    <t>EY(Auditor), Seed Intellectual Property Law Group(Legal Advisor)</t>
  </si>
  <si>
    <t>BMO Capital Markets(Underwriter), Centerview Partners(Advisor: General), Cooley(Legal Advisor), Credit Suisse(Underwriter), Credit Suisse Securities (USA)(Underwriter), EY(Auditor), Latham &amp; Watkins(Legal Advisor), MidCap Financial(Debt Financing), Morris, Nichols, Arsht &amp; Tunnell(Legal Advisor), Pillsbury Winthrop Shaw Pittman(Legal Advisor), Richards Layton &amp; Finger(Legal Advisor), SVB Leerink(Underwriter), Wedbush Securities(Underwriter)</t>
  </si>
  <si>
    <t>55047-43</t>
  </si>
  <si>
    <t>Asiri Health (COL: ASIR.N0000)</t>
  </si>
  <si>
    <t>Asiri Group of Hospitals</t>
  </si>
  <si>
    <t>Asiri</t>
  </si>
  <si>
    <t>Asiri Hospital Holdings PLC</t>
  </si>
  <si>
    <t>Asiri Hospital Holdings PLC operates a hospital, provides healthcare services and managing and holding of investments in the healthcare industry. The company's hospitals provide services in the areas of diabetes, mother and baby care, psychology, radiology, general surgeries, chemotherapy, paediatric, nuclear medicine, pain management, sleep study and physiotherapy among others. It operates in three segments: Pre-care, Post-care, and Pharmaceutical. The company generates maximum revenue from the Post Care segment.</t>
  </si>
  <si>
    <t>Hospitals/Inpatient Services</t>
  </si>
  <si>
    <t>Hospitals/Inpatient Services*</t>
  </si>
  <si>
    <t>chain of hospital, dialysis, general medicine, hospital operator, hospital services</t>
  </si>
  <si>
    <t>www.asirihealth.com</t>
  </si>
  <si>
    <t>2014: 3596, 2018: 4144, 2019: 4992</t>
  </si>
  <si>
    <t>COL</t>
  </si>
  <si>
    <t>ASIR.N0000</t>
  </si>
  <si>
    <t>65051-47P</t>
  </si>
  <si>
    <t>Sudarshana Seneviratne</t>
  </si>
  <si>
    <t>Chief Clinical Perfustionist</t>
  </si>
  <si>
    <t>sseneviratne@asiri.lk</t>
  </si>
  <si>
    <t>+94 (0)11 4523300</t>
  </si>
  <si>
    <t>Colombo, Sri Lanka</t>
  </si>
  <si>
    <t>No. 181, Kirula Road</t>
  </si>
  <si>
    <t>Narahenpita</t>
  </si>
  <si>
    <t>Colombo</t>
  </si>
  <si>
    <t>05</t>
  </si>
  <si>
    <t>Sri Lanka</t>
  </si>
  <si>
    <t>+94 (0)11 2508768</t>
  </si>
  <si>
    <t>info@asiri.lk</t>
  </si>
  <si>
    <t>Actis Capital sold its 27.87% stake in the company to TPG Growth for $7.61 billion on December 9, 2015.</t>
  </si>
  <si>
    <t>CDC Group, International Finance Corporation, Softlogic Holdings, TPG</t>
  </si>
  <si>
    <t>Actis, Aureos Capital, Commercial Bank of Ceylon, Dai Nishi Securities, Pan Asia Banking Corporation</t>
  </si>
  <si>
    <t>CDC Group(www.cdcgroup.com), International Finance Corporation(www.ifc.org), Softlogic Holdings(www.softlogic.lk), TPG(www.tpg.com)</t>
  </si>
  <si>
    <t>Actis(www.act.is), Commercial Bank of Ceylon(www.combank.lk), Pan Asia Banking Corporation(www.pabcbank.com)</t>
  </si>
  <si>
    <t>131255-38</t>
  </si>
  <si>
    <t>Groupe Danone (Global Biscuits Operations)</t>
  </si>
  <si>
    <t>Manufacturer of biscuits. The business manufactures and distributes biscuits, cookies and cereal products.</t>
  </si>
  <si>
    <t>Distributors/Wholesale, Distributors/Wholesale (B2C), Food Products*</t>
  </si>
  <si>
    <t>biscuits, biscuits manufacturing, cereals, cookies</t>
  </si>
  <si>
    <t>2007: 15000</t>
  </si>
  <si>
    <t>38308-51P</t>
  </si>
  <si>
    <t>Georges Casala</t>
  </si>
  <si>
    <t>Head</t>
  </si>
  <si>
    <t>george.casala@mondelezinternational.com</t>
  </si>
  <si>
    <t>+1 (855) 535-5648</t>
  </si>
  <si>
    <t>The global biscuit business of Groupe Danone (PAR: BN) was acquired by Mondelez International (NASDAQ: MDLZ) for $7.6 billion on November 30, 2007. The acquisition further accelerates Kraft's growth strategy by strengthening its lead in the company's fastest-growing global segment and significantly expanding its presence and scale in both developed and emerging markets. The seller was backed by Eurazeo. The business is no longer actively tracked by PitchBook.</t>
  </si>
  <si>
    <t>Mondelez International</t>
  </si>
  <si>
    <t>Danone(www.danone.com)</t>
  </si>
  <si>
    <t>Bredin Prat(Legal Advisor), Citigroup(Advisor: General), J.P. Morgan(Advisor: General), Lazard Middle Market(Advisor: General)</t>
  </si>
  <si>
    <t>41578-30</t>
  </si>
  <si>
    <t>Link Logistics Real Estate</t>
  </si>
  <si>
    <t>Gramercy Capital, Gramercy Property Trust, Link Industrial Properties, LLC</t>
  </si>
  <si>
    <t>Link, Link Logistics</t>
  </si>
  <si>
    <t>Link Logistics Real Estate LLC</t>
  </si>
  <si>
    <t>Hines Interests Limited Partnership, Croesus Retail Trust, SL Green Realty, N1 Liquidating Trust, Empire State Realty Trust, Vornado Realty Trust, Boston Properties, Simon Property Group</t>
  </si>
  <si>
    <t>Operator of a real estate investment trust. The company's services include management of properties and buildings, enabling customers to meet the liquidity needs of the business.</t>
  </si>
  <si>
    <t>logistics assets, real estate investment, real estate investment firm</t>
  </si>
  <si>
    <t>www.linklogistics.com</t>
  </si>
  <si>
    <t>2013: 28, 2014: 33, 2015: 100, 2016: 96, 2017: 109, 2019: 250</t>
  </si>
  <si>
    <t>90 Park Avenue</t>
  </si>
  <si>
    <t>32nd Floor</t>
  </si>
  <si>
    <t>+1 (212) 297-1000</t>
  </si>
  <si>
    <t>+1 (212) 297-1090</t>
  </si>
  <si>
    <t>info@linklogistics.com</t>
  </si>
  <si>
    <t>The company was acquired by The Blackstone Group (NYS:BX) for $7.6 billion on October 10, 2018. Pursuant to the transaction, holders of common shares of the comapny will be entitled to receive $27.50 in cash, without interest, in exchange for each common share they own. In connection with the transaction, all of Gramercy's outstanding Series A preferred shares will be redeemed for approximately $25.05 per share in cash.</t>
  </si>
  <si>
    <t>SL Green Realty</t>
  </si>
  <si>
    <t>SL Green Realty(www.slgreen.com)</t>
  </si>
  <si>
    <t>D.A. Davidson Companies(Underwriter), Oppenheimer &amp; Company(Advisor: General)</t>
  </si>
  <si>
    <t>Bank of America Merrill Lynch(Advisor: General), Clifford Chance(Legal Advisor), Eastdil Secured(Advisor: General), EY(Accounting), JMP Securities(Underwriter), Kahn Swick &amp; Foti(Legal Advisor), Morgan Stanley(Advisor: General), Rigrodsky &amp; Long(Legal Advisor), Wachtell, Lipton, Rosen &amp; Katz(Legal Advisor), Wells Fargo Securities(Underwriter)</t>
  </si>
  <si>
    <t>11742-04</t>
  </si>
  <si>
    <t>Nationwide Health Properties</t>
  </si>
  <si>
    <t>Beverly Investment Properties</t>
  </si>
  <si>
    <t>Nationwide Health Properties, Inc.</t>
  </si>
  <si>
    <t>Operator of real estate investment trust that invests primarily in healthcare real estate. The company's portfolio of properties, including mortgage loans and properties owned by unconsolidated joint ventures, totaled 579 properties among the following segments: 279 senior housing facilities, 200 skilled nursing facilities, 82 medical office buildings, 11 continuing care retirement communities and 7 specialty hospitals.</t>
  </si>
  <si>
    <t>estate investment, healthcare real estate, real estate, real estate investment trust</t>
  </si>
  <si>
    <t>1989: 6, 1990: 5, 1991: 6, 1992: 8, 1993: 8, 1994: 9, 1995: 10, 1996: 10, 1997: 13, 1998: 14, 1999: 14, 2000: 14, 2001: 14, 2002: 14, 2003: 15, 2004: 16, 2005: 17, 2006: 23, 2007: 28, 2008: 33, 2009: 36, 2010: 41</t>
  </si>
  <si>
    <t>164107-72P</t>
  </si>
  <si>
    <t>Mark Desmond</t>
  </si>
  <si>
    <t>+1 (949) 718-4400</t>
  </si>
  <si>
    <t>Newport Beach, CA</t>
  </si>
  <si>
    <t>610 Newport Center Drive</t>
  </si>
  <si>
    <t>Suite 1150</t>
  </si>
  <si>
    <t>Newport Beach</t>
  </si>
  <si>
    <t>92660</t>
  </si>
  <si>
    <t>+1 (949) 759-6876</t>
  </si>
  <si>
    <t>The company (NYSE: NHP) was acquired by Ventas (NYSE: VTR) for $7.6 billion on July 1, 2011. The company is no longer actively tracked by PitchBook.</t>
  </si>
  <si>
    <t>Ventas</t>
  </si>
  <si>
    <t>42082-84</t>
  </si>
  <si>
    <t>People's United Bank (NAS: PBCT)</t>
  </si>
  <si>
    <t>Bridgeport Savings Bank</t>
  </si>
  <si>
    <t>People's United, People's</t>
  </si>
  <si>
    <t>People's United Bank, N.A.</t>
  </si>
  <si>
    <t>Berkshire Bank, NBT Bancorp, Webster Financial, Peoples Bank, First Midwest Bank, East West Banking, MUFG Union Bank, Capital One Financial, Truist, Fifth Third Bank, Signature Bank, Commerce Bancshares (Banking services), Wells Fargo, Bridge Bank, Cardinal Bank, First National Bank, NexBank, SunTrust Bank, Trustco Bank, KeyBank, HSBC Holdings, CenterState Bank, Canadian Imperial Bank of Commerce, Northeast Bank, Associated Bank, First Hawaiian Bank, Eastern Bank, Preferred Bank, Cathay Bank, Chemical Bank, Macatawa Bank, Williamette Community, Middleburg Bank, Fidelity Co-operative Bank, U.S. Bancorp, First Republic Bank, Sage Bank, MainSource, Community Bank (Regional Bank), First Bank (Romania), Enterprise Bank and Trust Company, Bank of America, Bank OZK, Partners Bank of California, Huntington National Bank, Texas Capital Bank, North Middlesex Savings Bank, East West Bancorp</t>
  </si>
  <si>
    <t>People's United Financial Inc has nearly $39 billion of assets. People's United Bank is one of the New England-based banks and among the top 50 in the U.S. Of the bank's 405 locations, 40% are in Connecticut, where it ranks third by deposit market share. It also ranks among the top 10 in Vermont, New Hampshire, and Maine. The bank offers brokerage, financial advisory and wealth management, and insurance services. Commercial real estate accounts for 35% of the loan book, C&amp;I and equipment financing accounts for another 35%, and the rest is in mortgages and consumer.</t>
  </si>
  <si>
    <t>commercial bank system, commercial banking, investment advice, investment advisor, wealth management</t>
  </si>
  <si>
    <t>www.peoples.com</t>
  </si>
  <si>
    <t>1989: 2800, 1990: 2800, 1991: 2800, 1992: 2800, 1993: 2800, 1994: 2800, 1995: 2800, 1996: 2800, 1997: 2800, 1998: 3800, 1999: 4200, 2000: 4200, 2001: 4200, 2002: 3775, 2003: 3306, 2004: 3166, 2005: 3166, 2006: 2861, 2007: 2856, 2008: 4754, 2009: 4534, 2010: 5198, 2011: 5477, 2012: 5442, 2013: 5429, 2014: 5397, 2015: 5139, 2016: 5173, 2017: 5584, 2018: 5920, 2019: 6499, 2020: 5987</t>
  </si>
  <si>
    <t>PBCT</t>
  </si>
  <si>
    <t>37206-55P</t>
  </si>
  <si>
    <t>Kirk Walters</t>
  </si>
  <si>
    <t>Board Member &amp; Senior Executive Vice President</t>
  </si>
  <si>
    <t>kirk.walters@peoples.com</t>
  </si>
  <si>
    <t>+1 (203) 338-7171</t>
  </si>
  <si>
    <t>Bridgeport, CT</t>
  </si>
  <si>
    <t>850 Main Street</t>
  </si>
  <si>
    <t>Bridgeport</t>
  </si>
  <si>
    <t>06604</t>
  </si>
  <si>
    <t>info@peoples.com</t>
  </si>
  <si>
    <t>The company reached a definitive agreement to be acquired by M&amp;T Bank (NYS: MTB) for USD 7.6 billion on February 22, 2021. The merger will create the leading community-focused commercial bank in the Northeast and Mid-Atlantic regions, with the scale and share to compete effectively. The company is being actively tracked by PitchBook.</t>
  </si>
  <si>
    <t>M&amp;T Bank</t>
  </si>
  <si>
    <t>M&amp;T Bank(www.mtb.com)</t>
  </si>
  <si>
    <t>Gesmer Updegrove(Legal Advisor), Rosin &amp; Associates(Advisor: General), Sandler O'Neill + Partners(Lead Manager or Arranger)</t>
  </si>
  <si>
    <t>J.P. Morgan Securities(Advisor: General), Keefe, Bruyette &amp; Woods(Advisor: General), Simpson Thacher &amp; Bartlett(Legal Advisor)</t>
  </si>
  <si>
    <t>56164-60</t>
  </si>
  <si>
    <t>BNP Paribas Fortis</t>
  </si>
  <si>
    <t>Fortis Bank</t>
  </si>
  <si>
    <t>BNP Paribas Fortis SA</t>
  </si>
  <si>
    <t>Van Lanschot, HSBC Holdings, Rothschild &amp; Co, The Royal Bank of Scotland (Malaysia), ABN AMRO Bank, Lloyds Bank, Credit Agricole, Capital One Financial, MUFG Union Bank, Commerzbank, OCBC Bank, Ally Financial, Deutsche Bank, Wells Fargo, Bank of Ireland, Northern Trust, State Street, East West Banking, ICICI Bank, ING Group, Commerzbank (Schweiz), Investec, First Nationwide Bank, National Bank of Canada, Standard Chartered Bank Kenya, NatWest Group</t>
  </si>
  <si>
    <t>Provider of banking and financial services in Brussels, Belgium. The company provides retail banking, asset management, private banking and merchant banking services.</t>
  </si>
  <si>
    <t>Other Commercial Banks, Regional Banks*</t>
  </si>
  <si>
    <t>bank, banking company, banking service provider, financial service provider, private banking service</t>
  </si>
  <si>
    <t>www.bnpparibasfortis.com</t>
  </si>
  <si>
    <t>2009: 10904, 2019: 13000</t>
  </si>
  <si>
    <t>BNP Paribas</t>
  </si>
  <si>
    <t>64924-84P</t>
  </si>
  <si>
    <t>Maxime Jadot</t>
  </si>
  <si>
    <t>Chief Executive Officer &amp; Chairman of the Executive Board</t>
  </si>
  <si>
    <t>maxime.jadot@bnpparibasfortis.com</t>
  </si>
  <si>
    <t>+32 (0)2 565 11 11</t>
  </si>
  <si>
    <t>Montagne du Parc 3</t>
  </si>
  <si>
    <t>+32 (0)2 565 42 22</t>
  </si>
  <si>
    <t>info@bnpparibasfortis.com</t>
  </si>
  <si>
    <t>The company was acquired by BNP Paribas for EUR 5.7 billion on May 12, 2009.</t>
  </si>
  <si>
    <t>Citisoft(Consulting), Colchester Partners(Advisor: General), Deloitte(Auditor), KLI Consulting(Consulting), KPMG(Auditor), Mediobanca(Advisor: General), NYPPEX Private Markets(Advisor: General), PwC(Auditor)</t>
  </si>
  <si>
    <t>Lazard Middle Market(Advisor: General)</t>
  </si>
  <si>
    <t>81797-23</t>
  </si>
  <si>
    <t>Addax Petroleum</t>
  </si>
  <si>
    <t>Addax Petroleum Corporation</t>
  </si>
  <si>
    <t>Rio Oil and Gas</t>
  </si>
  <si>
    <t>Provider of oil and gas exploration and production services. The company is engaged in exploring, developing and producing oil and gas resources.</t>
  </si>
  <si>
    <t>crude oil property, oil and gas acquisition, oil and gas resources</t>
  </si>
  <si>
    <t>www.addaxpetroleum.com</t>
  </si>
  <si>
    <t>2003: 344, 2004: 344, 2005: 344, 2006: 344, 2007: 733, 2008: 864</t>
  </si>
  <si>
    <t>100230-40P</t>
  </si>
  <si>
    <t>Jifeng Ye</t>
  </si>
  <si>
    <t>jifeng.ye@addaxpetroleum.com</t>
  </si>
  <si>
    <t>+41 (0)22 702 9400</t>
  </si>
  <si>
    <t>16, av. Eugène-Pittard</t>
  </si>
  <si>
    <t>P.O. Box 265</t>
  </si>
  <si>
    <t>+41 (0)22 702 9590</t>
  </si>
  <si>
    <t>The company was acquired by Mirror Lake Oil and Gas Company, a subsidiary of Sinopec International, for CHF 8.06 billion on August 18, 2009.</t>
  </si>
  <si>
    <t>Mirror Lake Oil and Gas Company</t>
  </si>
  <si>
    <t>Gassen-Consulting(Consulting)</t>
  </si>
  <si>
    <t>Canaccord Genuity(Underwriter), CIBC Capital Markets(Underwriter), Deloitte Canada(Accounting), Fasken(Legal Advisor), GMP FirstEnergy(Underwriter), Merrill Lynch Canada (Canadian retail-brokerage and asset-management operations)(Underwriter), National Bank Financial(Underwriter), Osler, Hoskin &amp; Harcourt(Legal Advisor), Peters &amp; Co.(Underwriter), RBC Capital Markets(Advisor: General), RBC Dominion Securities(Underwriter), Scotiabank Global Banking and Markets(Underwriter), TD Securities(Underwriter)</t>
  </si>
  <si>
    <t>11387-89</t>
  </si>
  <si>
    <t>AWAS Aviation Capital</t>
  </si>
  <si>
    <t>Ansett Worldwide Aviation Services</t>
  </si>
  <si>
    <t>AWAS</t>
  </si>
  <si>
    <t>AWAS Aviation Capital Ltd.</t>
  </si>
  <si>
    <t>Lobo Leasing, Dubai Aerospace Enterprise, Fly Leasing, AerCap Holdings, Milestone Aviation Group, Voyager Aviation Holdings, Air Lease</t>
  </si>
  <si>
    <t>Operator of a commercial aircraft leasing company intended to offer aircraft leasing, aviation trading and related services. The company employs structured finance techniques to obtain the lowest available cost of funds and to be able to pass on the benefits in terms of competitive lease rates to its customers.</t>
  </si>
  <si>
    <t>Air, Other Commercial Services*</t>
  </si>
  <si>
    <t>aircraft leasing, aircraft rental, aviation trading</t>
  </si>
  <si>
    <t>www.awas.com</t>
  </si>
  <si>
    <t>2012: 130, 2013: 135, 2014: 170, 2015: 125, 2016: 176</t>
  </si>
  <si>
    <t>64334-80P</t>
  </si>
  <si>
    <t>Simon Glass</t>
  </si>
  <si>
    <t>simon.glass@awas.com</t>
  </si>
  <si>
    <t>Block B, Riverside IV</t>
  </si>
  <si>
    <t>Sir John Rogerson's Quay</t>
  </si>
  <si>
    <t>The company was acquired by Dubai Aerospace Enterprise, via its financial sponsors Dubai International Capital and Investment Corporation of Dubai, through a $7.5 billion SBO on August 20, 2017. The transaction was financed by DAE's internal resources and committed debt financing. The acquisition of AWAS propels DAE into the top tier of global aircraft lessors. The company is no longer tracked by PitchBook.</t>
  </si>
  <si>
    <t>Dubai Aerospace Enterprise</t>
  </si>
  <si>
    <t>Canada Pension Plan Investment Board, Dancap Family Investment Office, Morgan Stanley, Partners Group Global Opportunities, Princess Private Equity Holding, Terra Firma Capital Partners</t>
  </si>
  <si>
    <t>CK Hutchison, Dubai International Capital, HNA Group, Investment Corporation of Dubai, Macquarie Group, ORIX Corporation, SMBC Aviation Capital</t>
  </si>
  <si>
    <t>Canada Pension Plan Investment Board(www.cppinvestments.com), Dancap Family Investment Office(www.dancap.ca), Morgan Stanley(www.morganstanley.com), Partners Group Global Opportunities(pggo.net), Princess Private Equity Holding(princess-privateequity.net), Terra Firma Capital Partners(www.terrafirma.com)</t>
  </si>
  <si>
    <t>CK Hutchison(www.ckh.com.hk), Dubai International Capital(www.dubaiic.com), HNA Group(www.hnagroup.com), Investment Corporation of Dubai(www.icd.gov.ae), Macquarie Group(www.macquarie.com), ORIX Corporation(www.orix.co.jp), SMBC Aviation Capital(www.smbc.aero)</t>
  </si>
  <si>
    <t>Boyanov &amp; Company(Legal Advisor), KPMG(Auditor), PMC Treasury(Advisor: General), SkyWorks (Greenwich)(Advisor: General), Winston &amp; Strawn(Legal Advisor)</t>
  </si>
  <si>
    <t>Aviation Finance Company(Debt Financing), Citigroup(Advisor: General), Corporate Capital Trust(Debt Financing), Credit Agricole(Debt Financing), Davis Polk(Legal Advisor), DVB Bank(Lead Manager or Arranger), Milbank(Legal Advisor), Nedbank(Debt Financing), The Goldman Sachs Group(Lead Manager or Arranger)</t>
  </si>
  <si>
    <t>149516-29</t>
  </si>
  <si>
    <t>General Electric (DE FR Equipment Receivable Finance Business)</t>
  </si>
  <si>
    <t>Provider of equipment finance and receivable finance services. The business provides sale of accounts receivable and leasing products to commercial customers.</t>
  </si>
  <si>
    <t>equipment finance, receivable finance</t>
  </si>
  <si>
    <t>Fairfield, CT</t>
  </si>
  <si>
    <t>3135 Easton Turnpike</t>
  </si>
  <si>
    <t>Fairfield</t>
  </si>
  <si>
    <t>06828</t>
  </si>
  <si>
    <t>General Electric (NYSE: GE) sold its DE FR Equipment Receivable Finance Business to Banque Fédérative du Crédit Mutuel, a subsidiary of Caisse Fédérale de Crédit Mutuel for $7.5 billion on July 20, 2016. The business is no longer actively tracked by PitchBook.</t>
  </si>
  <si>
    <t>Banque Fédérative du Crédit Mutuel</t>
  </si>
  <si>
    <t>54525-52</t>
  </si>
  <si>
    <t>GitHub</t>
  </si>
  <si>
    <t>GitHub, Inc.</t>
  </si>
  <si>
    <t>GitLab, Rhodecode, Perforce Software, Code Climate, Amazon Web Services, Checkmarx, HackHands, Stack Overflow, Plato, Planful, Atlassian</t>
  </si>
  <si>
    <t>Provider of a software development platform designed to build software for open source and private projects in organizations. The company's platform provides access control and several collaboration features such as task management, bug tracking and feature requests for every project, enabling teams to work through problems, move ideas forward and learn from each other along the way.</t>
  </si>
  <si>
    <t>Software Development Applications</t>
  </si>
  <si>
    <t>Software Development Applications*</t>
  </si>
  <si>
    <t>cloudtech and devops, collaborative development, development platform, programming language, software development application, sourcing coding hosting, tinyml</t>
  </si>
  <si>
    <t>www.github.com</t>
  </si>
  <si>
    <t>2012: 55, 2014: 150, 2015: 321, 2016: 597, 2017: 734, 2018: 1000, 2019: 1300, 2020: 2442, 2021: 2300</t>
  </si>
  <si>
    <t>News (New) , News (New) , News (New) , News (New) , News (New) , News (New) , News (New) , News (New) , News (New) , News (New) , News (New) , News (New) , News (New) , News (New) , News (New) , News (New) , News (New) , News (New)</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</si>
  <si>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</si>
  <si>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186792-04P</t>
  </si>
  <si>
    <t>Mike Taylor</t>
  </si>
  <si>
    <t>miketaylor@github.com</t>
  </si>
  <si>
    <t>+1 (415) 448-6673</t>
  </si>
  <si>
    <t>88 Colin P. Kelly Junior Street</t>
  </si>
  <si>
    <t>info@github.com</t>
  </si>
  <si>
    <t>The company was acquired by Microsoft (NAS: MSFT) for $7.5 billion on October 25, 2018. The acquisition is intended to advance the integration of services with Microsoft's developer tools and to continue as a leader in open source technology. The company is no longer actively tracked by PitchBook.</t>
  </si>
  <si>
    <t>3Spoke Capital, Andreessen Horowitz, IVP, Markmel Company, Olam Capital, Samsung NEXT Ventures, Sequoia Capital, SV Angel, Thrive Capital, TrueBridge Capital Partners</t>
  </si>
  <si>
    <t>3Spoke Capital(www.3spokecapital.com), Andreessen Horowitz(www.a16z.com), IVP(www.ivp.com), Markmel Company(www.markmelco.com), Olam Capital(www.olamcapital.com), Samsung NEXT Ventures(www.samsungnext.com), Sequoia Capital(www.sequoiacap.com), SV Angel(www.svangel.com), Thrive Capital(www.thrivecap.com), TrueBridge Capital Partners(www.truebridgecapital.com)</t>
  </si>
  <si>
    <t>Gordon Rees Scully Mansukhani(Legal Advisor), Launch Search Partners(Consulting), Riviera Partners(Consulting)</t>
  </si>
  <si>
    <t>Cooley(Legal Advisor), Fenwick &amp; West(Legal Advisor), Gordon Rees Scully Mansukhani(Legal Advisor), Launch Search Partners(Consulting), Morgan Stanley(Advisor: General)</t>
  </si>
  <si>
    <t>111031-48</t>
  </si>
  <si>
    <t>Gree Electric Appliances (SHE: 000651)</t>
  </si>
  <si>
    <t>Haili Air-conditioning Engineering Company, Industrial Development Co. of Zhuhai, Guanxiong Plastic Company</t>
  </si>
  <si>
    <t>Gree</t>
  </si>
  <si>
    <t>Zhuhai Gree Electric Co., Ltd.</t>
  </si>
  <si>
    <t>Gree Electric Appliances Inc of Zhuhai is an international air conditioning enterprise. The company is engaged in household electrical appliances business including production and sale of air conditioners and its accessories, and small home appliances. It exports and imports goods and technologies; manufacturing and distribution of pumps, valves, compressors, fan motors, packaging equipment and other general-purpose equipment, electric motors, equipment for power transmission and distribution and control equipment.</t>
  </si>
  <si>
    <t>Household Appliances</t>
  </si>
  <si>
    <t>Household Appliances*</t>
  </si>
  <si>
    <t>household electrical appliances, refrigerator, residential air conditioner, water heater</t>
  </si>
  <si>
    <t>www.gree.com.cn</t>
  </si>
  <si>
    <t>2000: 4480, 2001: 5141, 2002: 5735, 2003: 11629, 2004: 13622, 2005: 14617, 2006: 18481, 2007: 23460, 2008: 22141, 2009: 22029, 2010: 62044, 2011: 72671, 2012: 80189, 2013: 72150, 2014: 71419, 2015: 70561, 2016: 71610, 2017: 85222, 2018: 88800, 2019: 88846, 2020: 83952</t>
  </si>
  <si>
    <t>SHE</t>
  </si>
  <si>
    <t>000651</t>
  </si>
  <si>
    <t>193051-63P</t>
  </si>
  <si>
    <t>Dong Mingzhu</t>
  </si>
  <si>
    <t>Chairperson of the Board &amp; President</t>
  </si>
  <si>
    <t>dmingzhu@gree.com.cn</t>
  </si>
  <si>
    <t>+86 (0)75 6861 4883</t>
  </si>
  <si>
    <t>Zhuhai, China</t>
  </si>
  <si>
    <t>West Jinji Road</t>
  </si>
  <si>
    <t>Qianshan</t>
  </si>
  <si>
    <t>Zhuhai</t>
  </si>
  <si>
    <t>519070</t>
  </si>
  <si>
    <t>+86 (0)75 6861 4998</t>
  </si>
  <si>
    <t>info@gree.com</t>
  </si>
  <si>
    <t>Zhuhai Gree was in talks to sell a 15% stake in the company (SHE:000651) to Hillhouse Capital for $7.5 billion as of October 29, 2019. Subsequently the deal was cancelled.</t>
  </si>
  <si>
    <t>Hillhouse Capital Group</t>
  </si>
  <si>
    <t>Zhuhai Gree</t>
  </si>
  <si>
    <t>Hillhouse Capital Group(www.hillhousecap.com)</t>
  </si>
  <si>
    <t>Zhuhai Gree(www.gree.cn)</t>
  </si>
  <si>
    <t>41074-84</t>
  </si>
  <si>
    <t>HCC Insurance Holdings</t>
  </si>
  <si>
    <t>HCC</t>
  </si>
  <si>
    <t>HCC Insurance Holdings, Inc.</t>
  </si>
  <si>
    <t>Provider of property and casualty insurance coverage services. The company offers a range of insurance policies, including property &amp; casualty, surety group life, accident and health, as well as reinsurance brokerage services.</t>
  </si>
  <si>
    <t>Insurance Brokers</t>
  </si>
  <si>
    <t>Insurance Brokers*, Property and Casualty Insurance, Re-Insurance</t>
  </si>
  <si>
    <t>insurance coverage, reinsurance brokerage, specialty insurance provider</t>
  </si>
  <si>
    <t>1990: 76, 1991: 76, 1992: 74, 1993: 79, 1994: 103, 1995: 110, 1996: 331, 1997: 929, 1998: 1085, 1999: 1182, 2000: 958, 2001: 997, 2002: 1096, 2003: 1105, 2004: 1268, 2005: 1448, 2006: 1660, 2007: 1682, 2008: 1864, 2009: 1916, 2010: 1883, 2011: 1894, 2012: 1870, 2013: 1903, 2014: 2472, 2015: 2500</t>
  </si>
  <si>
    <t>173369-71P</t>
  </si>
  <si>
    <t>Daniel Strusz</t>
  </si>
  <si>
    <t>President &amp; Chief Executive Officer, HCC Life</t>
  </si>
  <si>
    <t>dstrusz@hcch.com</t>
  </si>
  <si>
    <t>13403 Northwest Freeway</t>
  </si>
  <si>
    <t>77040</t>
  </si>
  <si>
    <t>The company was acquired by Tokio Marine Holdings (TKS: 8766) for $7.5 billion on October 27, 2015. The company is no longer actively tracked by PitchBook.</t>
  </si>
  <si>
    <t>Tokio Marine Holdings</t>
  </si>
  <si>
    <t>D. F. King(Advisor: General), Morris, Nichols, Arsht &amp; Tunnell(Legal Advisor), The Goldman Sachs Group(Advisor: General), Willkie Farr &amp; Gallagher(Legal Advisor)</t>
  </si>
  <si>
    <t>11895-85</t>
  </si>
  <si>
    <t>LG Card</t>
  </si>
  <si>
    <t>LG Card Co Ltd</t>
  </si>
  <si>
    <t>Provider of credit cards and installment finance services in South Korea. The company offers credit loans, cash advance services, installment products for the payment of goods and services that customers cannot afford to pay in lump sum, credit card and disaster loans.</t>
  </si>
  <si>
    <t>credit card, disaster loans</t>
  </si>
  <si>
    <t>www.lgcard.com</t>
  </si>
  <si>
    <t>679 Yeoksam 1-Dong</t>
  </si>
  <si>
    <t>135-985</t>
  </si>
  <si>
    <t>The company was acquired by Shinhan Financial Group Co (NYS: SHG) for $7.5 billion on March 23, 2007. The company is no longer actively tracked by PitchBook.</t>
  </si>
  <si>
    <t>Shinhan Financial Group</t>
  </si>
  <si>
    <t>Capital Group Private Markets, Korea Development Bank, Templeton Asset Management</t>
  </si>
  <si>
    <t>Korea Development Bank(www.kdb.co.kr)</t>
  </si>
  <si>
    <t>JP Morgan Asset Management(Advisor: General), Korea Development Bank(Advisor: General)</t>
  </si>
  <si>
    <t>51040-27</t>
  </si>
  <si>
    <t>Turner Broadcasting System</t>
  </si>
  <si>
    <t>Turner Communications Group, Turner Advertising</t>
  </si>
  <si>
    <t>Digital Ventures and Innovation</t>
  </si>
  <si>
    <t>Turner Broadcasting System, Inc.</t>
  </si>
  <si>
    <t>Fox Entertainment Group, Fox Family Worldwide, Fremantle, Disney/ABC Television Group, DirecTV, Channel Four Television, A&amp;E Television Networks, American Music Center, 21st Century Fox, Showtime Networks, MSNBC Cable, ITV, Starz Entertainment, all3media International, Channel 5 Broadcasting, Hulu, ESPN, Cox Communications, Hollywood Music, Inc., Zodiak Media, Tiger Aspect Productions, Cable News Network, Home Box Office</t>
  </si>
  <si>
    <t>Provider of broadcasting services. The company provides television broadcasting services in United States and broadcasts movies, daily soaps, music, videos, documentaries and short films.</t>
  </si>
  <si>
    <t>Broadcasting, Radio and Television*, Other Media</t>
  </si>
  <si>
    <t>broadcasting service provider, documentaries provider, movies telecasting</t>
  </si>
  <si>
    <t>www.turner.com</t>
  </si>
  <si>
    <t>2016: 6815</t>
  </si>
  <si>
    <t>One CNN Center</t>
  </si>
  <si>
    <t>30303</t>
  </si>
  <si>
    <t>The company was acquired by Time Warner (NYSE: TWX) for $7.5 billion on October 10, 1996. The company is no longer actively tracked by PitchBook.</t>
  </si>
  <si>
    <t>AT&amp;T Broadband and Internet Services, Comcast, Comcast MO Group</t>
  </si>
  <si>
    <t>Comcast(corporate.comcast.com), Comcast MO Group(www.mediaonegroup.com)</t>
  </si>
  <si>
    <t>Bowdoin Group(Consulting), Digi-Capital(Advisor: General), Engro Partners(Advisor: General), FMG Leading(Consulting), IBIS Capital(Advisor: General), ScottMadden(Consulting), Sierra Asia Partners(Advisor: General), Triton Value Partners(Advisor: General)</t>
  </si>
  <si>
    <t>42203-35</t>
  </si>
  <si>
    <t>GVT Holding</t>
  </si>
  <si>
    <t>GVT Holding SA</t>
  </si>
  <si>
    <t>Provider of Internet, cellular and wireless telecommunication services. The company offers commercial and residential analog and long distance phone services. It also provides broadband, pay-TV and voice-over-Internet services.</t>
  </si>
  <si>
    <t>broadband service, mobile telecommunication, wireless telecommunication service</t>
  </si>
  <si>
    <t>2008: 4088</t>
  </si>
  <si>
    <t>31671-64P</t>
  </si>
  <si>
    <t>Gustavo Gachineiro</t>
  </si>
  <si>
    <t>Executive Vice President &amp; Vice President, Legal and Regulatory Affiars</t>
  </si>
  <si>
    <t>Curitiba, Brazil</t>
  </si>
  <si>
    <t>Rua Lourenço Pinto</t>
  </si>
  <si>
    <t>299 13 andar</t>
  </si>
  <si>
    <t>Curitiba</t>
  </si>
  <si>
    <t>80010-160</t>
  </si>
  <si>
    <t>The company was acquired by Telefónica (XMCE: TEF) for BRL 22.7 billion on May 28, 2015. The company is no longer actively tracked by PitchBook.</t>
  </si>
  <si>
    <t>Blue Marlin Holdings, Magnum Group, Vivendi</t>
  </si>
  <si>
    <t>América Móvil, Apax Partners, BTG Pactual, Cambuhy Investimentos, DirecTV, Gávea Investimentos, Kohlberg Kravis Roberts, Liberty Global (UK), Telecom Italia</t>
  </si>
  <si>
    <t>Blue Marlin Holdings(www.bluemarlinholdings.lu), Magnum Group(magnumgroupltd.co.uk), Vivendi(www.vivendi.com)</t>
  </si>
  <si>
    <t>Apax Partners(www.apax.com), BTG Pactual(www.btgpactual.com), Cambuhy Investimentos(www.cmby.com), DirecTV(www.directv.com), Gávea Investimentos(www.gaveainvest.com), Kohlberg Kravis Roberts(www.kkr.com), Liberty Global (UK)(www.libertyglobal.com), Telecom Italia(www.gruppotim.it)</t>
  </si>
  <si>
    <t>Credit Suisse(Advisor: General), Pinheiro Neto Advogados(Legal Advisor), UBS Group(Underwriter)</t>
  </si>
  <si>
    <t>41212-27</t>
  </si>
  <si>
    <t>IPSCO</t>
  </si>
  <si>
    <t>IPSC, Prairie Pipe Manufacturing, Interprovincial Steel and Pipe Corporation</t>
  </si>
  <si>
    <t>IPSCO Inc.</t>
  </si>
  <si>
    <t>Manufacturer and wholesaler of primary and secondary steel products. The company produces and sells steel and secondary manufactured products such as hot rolled coil, heavy plate, bar, tubular products used by the oil and gas industry, hollow structural tubing, plumbing pipe, and cut-to-length sheets.</t>
  </si>
  <si>
    <t>hot rolled coil, steel product</t>
  </si>
  <si>
    <t>1991: 1658, 1992: 1538, 1993: 1671, 1994: 1821, 1995: 1438, 1996: 1508, 1997: 1710, 1998: 1721, 1999: 1752, 2000: 1962, 2001: 1962, 2002: 2332, 2003: 2400, 2004: 2500, 2005: 2700, 2006: 4400</t>
  </si>
  <si>
    <t>Regina, Canada</t>
  </si>
  <si>
    <t>P.O. Box 1670</t>
  </si>
  <si>
    <t>Armour Road</t>
  </si>
  <si>
    <t>Regina</t>
  </si>
  <si>
    <t>Saskatchewan</t>
  </si>
  <si>
    <t>S4P 3C7</t>
  </si>
  <si>
    <t>The company (TSE: IPS) was acquired by SSAB (STO: SSAB A) for SEK 50.51 billion on July 18, 2007. The company is no longer being actively tracked by PitchBook.</t>
  </si>
  <si>
    <t>SSAB</t>
  </si>
  <si>
    <t>Bluewater Investment Management, Caisse de dépôt et placement du Québec, Fidelity Investments, Guardian Capital, Royce Investment Partners</t>
  </si>
  <si>
    <t>Bluewater Investment Management(www.bluewaterinvestment.com), Caisse de dépôt et placement du Québec(www.cdpq.com), Fidelity Investments(www.fidelity.com), Guardian Capital(www.guardiancapital.com), Royce Investment Partners(www.roycefunds.com)</t>
  </si>
  <si>
    <t>Davis Polk(Legal Advisor), EY(Advisor: General), Osler, Hoskin &amp; Harcourt(Legal Advisor), RBC Capital Markets(Advisor: General), The Goldman Sachs Group(Advisor: General)</t>
  </si>
  <si>
    <t>182421-91</t>
  </si>
  <si>
    <t>Sakhalin Oil (Sakhalin II)</t>
  </si>
  <si>
    <t>An oil and gas project located in Sakhalin, Russia. The asset consists of oil and gas fields in the Sea of Okhotsk, utilized for the purpose of extraction and processing of oil and natural gas.</t>
  </si>
  <si>
    <t>gas project, oil and gas, oil field, oil project</t>
  </si>
  <si>
    <t>The Sakhalin II project of Sakhalin Oil was acquired by Gazprom (RTS: GAZP) for $7.45 billion on April 18, 2007. The asset is no longer actively tracked by PitchBook.</t>
  </si>
  <si>
    <t>Sakhalin Oil</t>
  </si>
  <si>
    <t>Gazprom</t>
  </si>
  <si>
    <t>99790-39</t>
  </si>
  <si>
    <t>Postal Savings Bank of China (HKG: 01658)</t>
  </si>
  <si>
    <t>PSBC</t>
  </si>
  <si>
    <t>Postal Savings Bank of China Co., Ltd.</t>
  </si>
  <si>
    <t>Postal Savings Bank of China is the fifth- largest commercial bank in China by deposits. The bank was established in 2007 as the postal savings and remittance business of its parent, China Post Group. The bank is headquartered in Beijing. It completed its joint-stock reform in 2012. The bank got listed on Hong Kong and Shanghai stock exchanges in 2016 and 2019 respectively. It boasts over 500 million individual customers and more than 40,000 outlets, which are among the largest customer bases and distribution networks in China.</t>
  </si>
  <si>
    <t>financial service, financial service provider, retail bank, saving account</t>
  </si>
  <si>
    <t>www.psbc.com</t>
  </si>
  <si>
    <t>2016: 169735, 2017: 171551, 2018: 170809, 2019: 174406, 2020: 194527</t>
  </si>
  <si>
    <t>01658</t>
  </si>
  <si>
    <t>China Post Group</t>
  </si>
  <si>
    <t>142452-19P</t>
  </si>
  <si>
    <t>Lyu Jiajin</t>
  </si>
  <si>
    <t>President, Executive Director &amp; Board Member</t>
  </si>
  <si>
    <t>+86 (0)10 6885 8095</t>
  </si>
  <si>
    <t>Number 131 Xuanwumen West Street</t>
  </si>
  <si>
    <t>Xicheng District</t>
  </si>
  <si>
    <t>Xicheng</t>
  </si>
  <si>
    <t>100808</t>
  </si>
  <si>
    <t>+86 (0)10 6885 8116</t>
  </si>
  <si>
    <t>ir@psbc.com</t>
  </si>
  <si>
    <t>The company raised HKD 57.6 billion in its initial public offering on the Hong Kong stock exchange under the ticker symbol of 1658 on September 28, 2016. A total of 12,106,588,000 shares were sold at HKD 4.76 per share. After the offering, there was a total of 80,710,588,000 outstanding shares (excluding the over-allotment option) priced at HKD 4.76 per share, valuing the company at HKD 384.1 billion. The total proceeds, before expenses, to the company was HKD 57.6 billion.</t>
  </si>
  <si>
    <t>China Chengtong Holdings, China Shipbuilding Industry, Great Wall Pan Asia Holdings, HNA Capital, Shanghai International Port (Group) Company, State Grid Corporation of China</t>
  </si>
  <si>
    <t>Ant Group, Canada Pension Plan Investment Board, China Life Insurance, International Finance Corporation, JPMorgan Chase, Primavera Capital Group, Temasek Holdings, Tencent Holdings, UBS Group</t>
  </si>
  <si>
    <t>China Chengtong Holdings(www.hk217.com), China Shipbuilding Industry(www.csicl.com.cn), Great Wall Pan Asia Holdings(www.armada.com.hk), HNA Capital(www.hnacapital.com), Shanghai International Port (Group) Company(www.portshanghai.com.cn), State Grid Corporation of China(www.sgcc.com.cn)</t>
  </si>
  <si>
    <t>Ant Group(www.antgroup.com), Canada Pension Plan Investment Board(www.cppinvestments.com), China Life Insurance(www.chinalife.com.cn), International Finance Corporation(www.ifc.org), JPMorgan Chase(www.jpmorganchase.com), Primavera Capital Group(www.primavera-capital.com), Temasek Holdings(www.temasek.com.sg), Tencent Holdings(www.tencent.com/en-us/index.html), UBS Group(www.ubs.com)</t>
  </si>
  <si>
    <t>BNP Paribas(www.group.bnpparibas)</t>
  </si>
  <si>
    <t>Business &amp; Finance Consulting(Consulting)</t>
  </si>
  <si>
    <t>ABCI Securities(Underwriter), Bank of America Merrill Lynch(Underwriter), BOC International(Underwriter), BoCom International Trust(Underwriter), CCB International Capital(Underwriter), China Galaxy International Securities (Hong Kong) Company(Underwriter), China International Capital Corporation(Lead Manager or Arranger), China Merchants Securities(Underwriter), China Securities International(Underwriter), Citigroup Global Markets(Underwriter), CLSA(Underwriter), CMB International Capital(Underwriter), Davis Polk(Legal Advisor), DBS Asia Capital(Underwriter), Deutsche Bank(Underwriter), Essence Securities Company(Underwriter), First Capital(Underwriter), Haitong International Capital(Underwriter), Haitong International Securities Group(Underwriter), Haiwen &amp; Partners(Legal Advisor), HSBC Holdings(Underwriter), Huarong Securities(Underwriter), ICBC International(Underwriter), J.P. Morgan(Underwriter), King &amp; Wood Mallesons(Legal Advisor), Morgan Stanley(Lead Manager or Arranger), Nomura Securities(Underwriter), PwC(Auditor), Sun Hung Kai &amp; Company(Underwriter), The Goldman Sachs Group(Underwriter), UBS Group(Underwriter)</t>
  </si>
  <si>
    <t>52800-94</t>
  </si>
  <si>
    <t>Arris International</t>
  </si>
  <si>
    <t>BROADBAND PARENT</t>
  </si>
  <si>
    <t>Arris</t>
  </si>
  <si>
    <t>Arris International PLC</t>
  </si>
  <si>
    <t>EXFO, Ligado Networks, Atos Convergence Creators, Zyxel Communications, Orbcomm, Mellanox Technologies, Newtec, T-Mobile (US), Brocade Communication Systems, Pace Networks, Lumen Technologies, Sagemcom, Mimosa Networks, Gilat Satellite Networks, The Linksys Group, Finisar, Proxim Wireless, Harmonic (Other Communications and Networking), Infinera, ZTE, Mettle Networks, Solarflare, Meraki, Applied Optoelectronics, Nokia, XO Holdings, ViaSat, Philips Broadband Networks, Ubiquoss, Ceragon Networks, Adtran, Intelsat, Ixia, Ericsson, EchoStar, Eutelsat Communications, Cisco Systems, Hughes Communications India, Viavi Solutions, Juniper Networks</t>
  </si>
  <si>
    <t>Arris International was a telecommunications equipment manufacturing company which provided cable operators with high-speed data, video and telephony systems. It offered wireless cable modem and router unit, set-top boxes and wireless connectivity or other wired connectivity products that enabled service providers to offer voice, video and high-speed data services to residential and non-residential subscribers. It was founded in 1995 and was headquartered in Suwanee, Georgia.</t>
  </si>
  <si>
    <t>Electronic Equipment and Instruments, Telecommunications Service Providers*</t>
  </si>
  <si>
    <t>broadband technology, cloud services, digital tv, wireless broadband gateways, wireless connectivity services</t>
  </si>
  <si>
    <t>1992: 643, 1993: 695, 1994: 1700, 1995: 2000, 1996: 2000, 1997: 2500, 1998: 2900, 1999: 3500, 2000: 3100, 2001: 1416, 2002: 959, 2003: 791, 2004: 728, 2005: 732, 2006: 781, 2007: 1992, 2008: 1992, 2009: 1884, 2010: 1942, 2011: 2211, 2012: 2175, 2013: 6500, 2014: 6660, 2015: 8520, 2016: 7020, 2017: 8700, 2018: 7900, 2019: 6000</t>
  </si>
  <si>
    <t>CommScope</t>
  </si>
  <si>
    <t>Suwanee, GA</t>
  </si>
  <si>
    <t>3871 Lakefield Drive</t>
  </si>
  <si>
    <t>Suwanee</t>
  </si>
  <si>
    <t>30024</t>
  </si>
  <si>
    <t>The company was acquired by CommScope (NASDAQ: COMM) for $7.4 billion on April 4, 2019.The acquisition will help CommScope expand its product offerings and R&amp;D capabilities.</t>
  </si>
  <si>
    <t>Cascade Communications, Comcast, Matrix Partners, North Bridge Venture Partners, Reese Jones, Sageview Capital, Sean O'Sullivan, SOSV, Venrock</t>
  </si>
  <si>
    <t>Comcast(corporate.comcast.com), Matrix Partners(www.matrixpartners.com), North Bridge Venture Partners(www.northbridge.com), Sageview Capital(www.sageviewcapital.com), SOSV(www.sosv.com), Venrock(www.venrock.com)</t>
  </si>
  <si>
    <t>Bank of America(Debt Financing), Bank of America Merrill Lynch(Advisor: General), Evercore Group(Advisor: General), EY(Advisor: General), Herbert Smith Freehills(Legal Advisor), Hogan Lovells(Legal Advisor), Merrill Lynch(Advisor: General), Rigrodsky &amp; Long(Legal Advisor), Santander(Debt Financing), Sullivan &amp; Cromwell(Legal Advisor), SunTrust Bank(Debt Financing), Troutman Sanders(Legal Advisor)</t>
  </si>
  <si>
    <t>10322-38</t>
  </si>
  <si>
    <t>IVAX</t>
  </si>
  <si>
    <t>IVAX Corporation</t>
  </si>
  <si>
    <t>Manufacturer and developer of generic pharmaceuticals and veterinary products. The company's activities include research, development, manufacturing and marketing of generic pharmaceuticals and veterinary products, enabling customers to have quality products.</t>
  </si>
  <si>
    <t>generics pharmaceutical, medicine developer, veterinary product, veterinary product development</t>
  </si>
  <si>
    <t>www.ivax.com</t>
  </si>
  <si>
    <t>1990: 135, 1991: 1471, 1992: 2110, 1993: 2900, 1994: 8185, 1995: 7893, 1996: 8162, 1997: 4500, 1998: 3580, 1999: 3800, 2000: 5800, 2001: 8175, 2002: 8360, 2003: 8719, 2004: 10100</t>
  </si>
  <si>
    <t>45725-41P</t>
  </si>
  <si>
    <t>Phillip Frost</t>
  </si>
  <si>
    <t>Founder, Chief Executive Officer &amp; Chairman</t>
  </si>
  <si>
    <t>pfrost@opko.com</t>
  </si>
  <si>
    <t>+1 (305) 575-4100</t>
  </si>
  <si>
    <t>Miami, FL</t>
  </si>
  <si>
    <t>4400 Biscayne Boulevard</t>
  </si>
  <si>
    <t>Miami</t>
  </si>
  <si>
    <t>33137</t>
  </si>
  <si>
    <t>The company was acquired by TEVA Pharmaceutical Industries (NAS: TEVA) for $7.4 billion on January 26, 2006. This acquisition strengthens both the acquirer's generic and branded businesses, deepening their pipeline, extending their geographic reach and expanding their presence in new therapeutic areas and growth markets. The company is no longer actively tracked by PitchBook.</t>
  </si>
  <si>
    <t>BDA Partners(Advisor: General), Mackenzie Partners(Advisor: General)</t>
  </si>
  <si>
    <t>41047-84</t>
  </si>
  <si>
    <t>Pixar</t>
  </si>
  <si>
    <t>Graphics Group</t>
  </si>
  <si>
    <t>Pixar, Inc.</t>
  </si>
  <si>
    <t>DreamWorks Animation SKG, Blue Sky Studios, Walt Disney Animation Studios, Brown Bag Films, Marvel Entertainment</t>
  </si>
  <si>
    <t>Producer of animated feature films. The company creates, develops and produces computer animated feature films in Emeryville, California.</t>
  </si>
  <si>
    <t>Movies, Music and Entertainment*</t>
  </si>
  <si>
    <t>animation studio, computer animation, feature film animation, kids feature film</t>
  </si>
  <si>
    <t>www.pixar.com</t>
  </si>
  <si>
    <t>1994: 140, 1995: 167, 1996: 286, 1997: 391, 1998: 427, 1999: 448, 2000: 581, 2001: 648, 2002: 700, 2004: 775, 2005: 850, 2016: 1000, 2018: 1250</t>
  </si>
  <si>
    <t>148342-42P</t>
  </si>
  <si>
    <t>Edwin Catmull</t>
  </si>
  <si>
    <t>Co-Founder &amp; President</t>
  </si>
  <si>
    <t>+1 (510) 752-3000</t>
  </si>
  <si>
    <t>Emeryville, CA</t>
  </si>
  <si>
    <t>1200 Park Avenue</t>
  </si>
  <si>
    <t>Emeryville</t>
  </si>
  <si>
    <t>94608</t>
  </si>
  <si>
    <t>+1 (510) 752-3442</t>
  </si>
  <si>
    <t>The company was acquired by Walt Disney Company (NYSE: DIS) for $7.4 billion on May 5, 2006.</t>
  </si>
  <si>
    <t>New Century Capital Partners(Advisor: General)</t>
  </si>
  <si>
    <t>41191-84</t>
  </si>
  <si>
    <t>Pride International</t>
  </si>
  <si>
    <t>Pride Petroleum Services</t>
  </si>
  <si>
    <t>Pride</t>
  </si>
  <si>
    <t>Pride International, Inc.</t>
  </si>
  <si>
    <t>Provider of contract drilling and associated services. The Company provides contract drilling services to oil and natural gas exploration and production companies through the use of mobile offshore drilling rigs in U.S. and international waters.</t>
  </si>
  <si>
    <t>Energy Exploration*, Other Energy Services</t>
  </si>
  <si>
    <t>contract drilling, offshore drilling, onshore drilling</t>
  </si>
  <si>
    <t>1989: 1350, 1990: 1350, 1991: 1950, 1992: 1875, 1993: 3000, 1994: 3000, 1995: 3000, 1996: 8400, 1997: 8400, 1998: 7500, 1999: 5900, 2000: 8700, 2001: 9500, 2002: 10100, 2003: 12200, 2004: 12600, 2005: 13600, 2006: 13500, 2007: 6900, 2008: 6400, 2009: 4020, 2010: 4300</t>
  </si>
  <si>
    <t>5847 San Felipe Street</t>
  </si>
  <si>
    <t>Suite 3300</t>
  </si>
  <si>
    <t>77057</t>
  </si>
  <si>
    <t>The company was acquired by Ensco (NYSE: ESV) for $7.4 billion on May 31, 2011. The company is no longer actively tracked by PitchBook.</t>
  </si>
  <si>
    <t>Valaris</t>
  </si>
  <si>
    <t>First Reserve</t>
  </si>
  <si>
    <t>First Reserve(www.firstreserve.com)</t>
  </si>
  <si>
    <t>Baker Botts(Legal Advisor)</t>
  </si>
  <si>
    <t>Baker Botts(Legal Advisor), BMC Group(Advisor: General), Coopers &amp; Lybrand(Auditor), Donaldson, Lufkin &amp; Jenrette(Underwriter), Morgan Keegan(Underwriter), Robert W. Baird &amp; Co(Underwriter), Shearman &amp; Sterling(Legal Advisor), The Goldman Sachs Group(Advisor: General)</t>
  </si>
  <si>
    <t>41633-65</t>
  </si>
  <si>
    <t>Wabco</t>
  </si>
  <si>
    <t>Rail Acquisition Corp.</t>
  </si>
  <si>
    <t>WABCO Europe BVBA</t>
  </si>
  <si>
    <t>Aptiv, Getrag, American Axle &amp; Manufacturing, Centric Parts, Magna International, Benteler International, Valeo, ZF Friedrichshafen, Knorr-Bremse, Federal-Mogul Holdings, Gates, Brembo, GKN Automotive, Delphi Technologies, Denso, Dayco Products, Carraro Group, JTEKT, Wanxiang America, Nexteer Automotive Group, Lear, Bendix Commercial Vehicle Systems, Robert Bosch, Haldex, Groupe Michelin, Meritor, Hella, Keihin, Alstom, Kongsberg Automotive, Arizona Brake &amp; Clutch Supply, Nokian Tyres, Superior Industries International, Bridgestone Europe, Gentherm, SAF Holland, Bridgestone India, Visteon, Stryten Manufacturing, Webb Wheel, Peninsular Cylinder, Philips Power Solutions</t>
  </si>
  <si>
    <t>WABCO Holdings Inc is a producer of car and truck safety and efficiency technologies. The product lineup includes driver assistance systems, brake and stability control systems, brake chambers, suspensions, emission control systems, and fleet management systems. The products are developed for cars, busses, trailers, trucks, and utility vehicles. The majority of revenue is generated in Germany and the United States of America.</t>
  </si>
  <si>
    <t>Automotive, Distributors/Wholesale, Industrial Supplies and Parts*, Road</t>
  </si>
  <si>
    <t>automotive parts, commercial vehicle, fleet management, investor relations, product development, safety system</t>
  </si>
  <si>
    <t>www.wabco-auto.com</t>
  </si>
  <si>
    <t>2005: 7000, 2006: 7000, 2007: 7700, 2008: 7200, 2009: 8100, 2010: 9862, 2011: 10902, 2012: 10657, 2013: 10860, 2014: 11409, 2015: 12429, 2016: 12860, 2017: 14631, 2018: 16135, 2019: 13911, 2020: 14000</t>
  </si>
  <si>
    <t>231474-61P</t>
  </si>
  <si>
    <t>Shiva Narayanaswami</t>
  </si>
  <si>
    <t>+41 (0)31 581 3300</t>
  </si>
  <si>
    <t>Giacomettistrasse 1</t>
  </si>
  <si>
    <t>The company was acquired by ZF Friedrichshafen for $7.4 billion on May 29, 2020. The acquisition enables ZF's existing commercial vehicle division to expand its expertise in vehicle dynamics control.</t>
  </si>
  <si>
    <t>Seale &amp; Associates(Advisor: General), Wharton MidMarket Advisors(Advisor: General)</t>
  </si>
  <si>
    <t>Goldman Sachs Asset Management(Advisor: General), Rigrodsky &amp; Long(Legal Advisor), Skadden, Arps, Slate, Meagher &amp; Flom(Legal Advisor)</t>
  </si>
  <si>
    <t>60424-48</t>
  </si>
  <si>
    <t>NOVATEK (Natural Gas Producer) (MISX: NVTK)</t>
  </si>
  <si>
    <t>NOVATEK</t>
  </si>
  <si>
    <t>PJSC NOVATEK</t>
  </si>
  <si>
    <t>Tatneft Group, ConocoPhillips, EOG Resources, Concho Resources</t>
  </si>
  <si>
    <t>NOVATEK PJSC, or simply Novatek, is a Russian-based exploration and production company that acquires, explores for, produces, processes, and markets oil and gas. While the company is mostly focused on natural gas production, it also has exposure to oil. Its exploration and production takes place in a variety of fields in central Russia. The natural gas is then processed and sold. Novatek also sells liquid hydrocarbons such as petroleum products, light hydrocarbons, LPG, and crude oil. The majority of its natural gas is sold in Russia, while the liquid hydrocarbons are sold in Russia and internationally, including China, Europe, and the United States.</t>
  </si>
  <si>
    <t>Energy Exploration, Energy Marketing, Energy Production*</t>
  </si>
  <si>
    <t>hydrocarbon ditributor, hydrocarbon exploration, natural gas company, natural gas trading</t>
  </si>
  <si>
    <t>www.novatek.ru</t>
  </si>
  <si>
    <t>2013: 3127, 2014: 6749, 2015: 7265, 2016: 7515, 2017: 8145, 2018: 13694, 2019: 15445, 2020: 16821</t>
  </si>
  <si>
    <t>MISX</t>
  </si>
  <si>
    <t>NVTK</t>
  </si>
  <si>
    <t>68254-12P</t>
  </si>
  <si>
    <t>Mark Anthony Gyetvay</t>
  </si>
  <si>
    <t>Chief Financial Officer &amp; Deputy Chairman of the Management Board</t>
  </si>
  <si>
    <t>mgyetvay@novatek.ru</t>
  </si>
  <si>
    <t>+7 (8)495 730 6000</t>
  </si>
  <si>
    <t>Ul. Udalcova, 2</t>
  </si>
  <si>
    <t>119415</t>
  </si>
  <si>
    <t>+7 (8)495 721 2253</t>
  </si>
  <si>
    <t>Volga Group sold a 19.16% stake in the company (MCX: NVTK) to Gennady Timchenko for RUB 464.84 billion on July 5, 2018.</t>
  </si>
  <si>
    <t>Gazprombank, Total E&amp;P Arctic Russia, Volga Group</t>
  </si>
  <si>
    <t>Gazprombank(www.gazprombank.ru), Volga Group(www.volga-group.com)</t>
  </si>
  <si>
    <t>Gazprom(www.gazprom.com)</t>
  </si>
  <si>
    <t>Bryan Cave Leighton Paisner (Russia)(Legal Advisor), Credit Suisse(Underwriter), Morgan Stanley(Underwriter), UBS Group(Underwriter)</t>
  </si>
  <si>
    <t>Baker &amp; McKenzie(Legal Advisor), ING Bank(Advisor: General)</t>
  </si>
  <si>
    <t>60707-17</t>
  </si>
  <si>
    <t>Patheon</t>
  </si>
  <si>
    <t>DPx Holdings, DPx</t>
  </si>
  <si>
    <t>Patheon, Inc.</t>
  </si>
  <si>
    <t>Recipharm, IriSys, Ropack Pharma Solutions, Corden Pharma, Catalent, Vetter Pharma, DPT Laboratories, CoreRx, Olon Ricerca Bioscience, Cambrex, PCI Pharma Services, Novartis, Jubilant Life Sciences, Pharmaceutical Product Development, Parexel International, Chiltern International, Xcelience, INC Research, Covance, WuXi AppTec, Wellspring Pharmaceutical</t>
  </si>
  <si>
    <t>Patheon is a provider of pharmaceutical development and manufacturing services. The company's offerings include a range of services throughout the life cycle of a pharmaceutical molecule from early development through late development to commercial manufacturing including life cycle management services, enabling pharmaceutical and bio-pharmaceutical companies to transform the way pharmaceuticals are developed and commercialized.</t>
  </si>
  <si>
    <t>Distributors (Healthcare), Laboratory Services (Healthcare), Pharmaceuticals*</t>
  </si>
  <si>
    <t>contract development, pharmaceutical company, pharmaceutical company operator, pharmaceutical development</t>
  </si>
  <si>
    <t>www.patheon.com</t>
  </si>
  <si>
    <t>1996: 426, 1997: 611, 1998: 743, 1999: 1700, 2000: 1914, 2001: 2581, 2002: 2581, 2003: 2581, 2004: 2581, 2005: 2581, 2006: 2581, 2007: 4650, 2008: 4500, 2009: 4500, 2010: 4300, 2011: 3900, 2012: 4700, 2016: 9100, 2017: 9000</t>
  </si>
  <si>
    <t>Thermo Fisher Scientific</t>
  </si>
  <si>
    <t>30344-95P</t>
  </si>
  <si>
    <t>Stuart Grant</t>
  </si>
  <si>
    <t>stuart.grant@patheon.com</t>
  </si>
  <si>
    <t>+1 (919) 226-3200</t>
  </si>
  <si>
    <t>4815 Emperor Boulevard</t>
  </si>
  <si>
    <t>+1 (919) 474-2269</t>
  </si>
  <si>
    <t>The company was acquired by Thermo Fisher Scientific (NYSE: TMO) for $7.35 billion on August 28, 2017. The transaction represents a purchase price of approximately $7.2 billion, which includes the assumption of approximately $2 billion of net debt. The company's shares will no longer be traded on NYSE after completion of the deal. The deal will enable Thermo Fisher Scientific to enter into CDMO market and to strengthens value proposition for pharmaceutical and biotech customers by adding highly complementary services. Thermo Fisher Scientific is to hold a common stock offering to raise $1.50 billion to finance the acquisition.</t>
  </si>
  <si>
    <t>Foresite Capital Management, JLL Partners, Koninklijke DSM</t>
  </si>
  <si>
    <t>Foresite Capital Management(www.foresitecapital.com), JLL Partners(www.jllpartners.com)</t>
  </si>
  <si>
    <t>Carpedia International(Consulting), ON Partners(Advisor: General), Paul Hastings(Legal Advisor), Strawn Arnold &amp; Associates(Consulting), Tecnova(Consulting)</t>
  </si>
  <si>
    <t>American Capital (ACAS)(Debt Financing), American Capital Senior Floating(Debt Financing), Credit Suisse(Underwriter), De Brauw Blackstone Westbroek(Legal Advisor), Evercore Group(Underwriter), EY(Accounting), GE Commercial Finance(Debt Financing), J.P. Morgan(Advisor: General), J.P. Morgan Securities(Debt Financing), Jefferies Financial Group(Advisor: General), KeyBank(Underwriter), Morgan Stanley(Advisor: General), Morrow Sodali(Advisor: Communications), Piper Sandler(Underwriter), Raymond James Financial(Underwriter), Robert W. Baird &amp; Co(Underwriter), Skadden, Arps, Slate, Meagher &amp; Flom(Legal Advisor), Stikeman Elliott(Legal Advisor), SVB Leerink(Underwriter), UBS Group(Underwriter), Wells Fargo Securities(Underwriter), William Blair &amp; Company(Underwriter)</t>
  </si>
  <si>
    <t>Loan - $150.00M (Term Loan); Revolving Credit Line - $75.00M</t>
  </si>
  <si>
    <t>161321-05</t>
  </si>
  <si>
    <t>Jilin Jiyan High-tech Fibers Company</t>
  </si>
  <si>
    <t>Ji Yan Gao Keji Xianwei, Jiyangaokejixianwei</t>
  </si>
  <si>
    <t>Jilin Jiyan High-tech Fibers Co. Ltd.</t>
  </si>
  <si>
    <t>Manufacturer of carbon bikes. The company's carbon bikes include road bikes, mountain bikes, bike parts and other related products.</t>
  </si>
  <si>
    <t>Other Transportation*</t>
  </si>
  <si>
    <t>bikes, bikes parts, carbon bikes, road bikes</t>
  </si>
  <si>
    <t>www.jltxw.cn</t>
  </si>
  <si>
    <t>Jilin, China</t>
  </si>
  <si>
    <t>No.39, Ping'an Road</t>
  </si>
  <si>
    <t>Jilin Economic and Technological Development Zone</t>
  </si>
  <si>
    <t>Jilin</t>
  </si>
  <si>
    <t>Jilin Province</t>
  </si>
  <si>
    <t>132101</t>
  </si>
  <si>
    <t>The company was acquired by Huaxun Fangzhou Company (SHE: 000687) (formerly Swan Fiber) for $7.33 billion on January 3, 2014. The company is no longer actively tracked by PitchBook.</t>
  </si>
  <si>
    <t>Shenyang Zhongheng New Materials Company</t>
  </si>
  <si>
    <t>Baoding Swan Fiber Company</t>
  </si>
  <si>
    <t>60041-71</t>
  </si>
  <si>
    <t>DS Smith (LON: SMDS)</t>
  </si>
  <si>
    <t>David S. Smith (Holdings)</t>
  </si>
  <si>
    <t>DS Smith PLC</t>
  </si>
  <si>
    <t>Smurfit Kappa Group, Stora Enso, SigmaQ, Lawrence Paper Company</t>
  </si>
  <si>
    <t>Smith (DS) PLC manufactures and sells packaging and packaging-related products. The company produces corrugated board made primarily from recycled paper materials. The firm organizes itself into four segments. The segments are based on geography: U.K., Western Europe, DCH and Northern Europe, and Central Europe and Italy. The Western Europe and Central Europe and Italy segments generate more revenue than any other segment.</t>
  </si>
  <si>
    <t>Environmental Services (B2B), Paper Containers and Packaging*, Plastic Containers and Packaging</t>
  </si>
  <si>
    <t>packaging service provider, packaging services, packaging services firm, packaging solutions, packaging solutions provider, paper product</t>
  </si>
  <si>
    <t>www.dssmith.com</t>
  </si>
  <si>
    <t>1985: 253, 1986: 632, 1987: 3669, 1988: 4304, 1989: 4953, 1990: 5098, 1991: 4888, 1992: 4884, 1993: 6295, 1994: 8102, 1995: 9056, 1996: 10028, 1997: 10756, 1998: 10905, 1999: 10506, 2000: 10439, 2001: 10642, 2002: 10879, 2003: 11000, 2004: 10936, 2005: 11937, 2006: 11653, 2007: 11288, 2008: 11349, 2009: 11710, 2010: 10776, 2011: 9416, 2012: 10150, 2013: 19736, 2014: 21464, 2015: 22014, 2016: 26000, 2017: 25775, 2018: 28500, 2019: 31500, 2020: 29291, 2021: 28941</t>
  </si>
  <si>
    <t>SMDS</t>
  </si>
  <si>
    <t>71944-84P</t>
  </si>
  <si>
    <t>Miles Roberts</t>
  </si>
  <si>
    <t>miles.roberts@dssmith.com</t>
  </si>
  <si>
    <t>+44 (0)20 7756 1800</t>
  </si>
  <si>
    <t>7th Floor 350 Euston Road</t>
  </si>
  <si>
    <t>Regent's Place</t>
  </si>
  <si>
    <t>NW1 3AX</t>
  </si>
  <si>
    <t>The company reached a definitive agreement to be acquired by Mondi (LON: MNDI) for GBP 5.3 billion on February 24, 2021. Previously, the company raised an undisclosed amount of funding in its initial public offering on the London Stock Exchange under the ticker symbol of SMDS on July 2, 1990. The company is being actively tracked by PitchBook.</t>
  </si>
  <si>
    <t>Mondi</t>
  </si>
  <si>
    <t>Mondi(www.mondigroup.com)</t>
  </si>
  <si>
    <t>Eden McCallum(Consulting), Numis Securities(Advisor: General), Peterka &amp; Partners(Legal Advisor), White Space Strategy(Consulting)</t>
  </si>
  <si>
    <t>25767-82</t>
  </si>
  <si>
    <t>Hitachi Metals</t>
  </si>
  <si>
    <t>Hitachi Metals Industries</t>
  </si>
  <si>
    <t>Hitachi Metals, Ltd.</t>
  </si>
  <si>
    <t>Haynes International, Liquidmetal Technologies</t>
  </si>
  <si>
    <t>Hitachi Metals Ltd is a Japan-based company that operates through four segments. The High-Grade Metal Products and Materials segment produces specialty steel, rolls, amorphous metals and cutting tools. The Magnetic Materials and Applications segment produces magnets, soft ferrite, other soft magnetic materials and others. The High-Grade Functional Components and Equipment segment produces casting components, piping components and construction components. The Wires, Cables and Related Products segment produces electric wires and cables, automotive products and information systems. Infrastructure, automobiles and electronics are the target sectors of the company's products. Japan, Europe, Asia and North America are the biggest markets for Hitachi Metals.</t>
  </si>
  <si>
    <t>Aluminum Mining*, Iron and Steel Mining, Other Metals, Minerals and Mining</t>
  </si>
  <si>
    <t>metal components, metal manufacturer, metal manufacturing, metal materials, metal products</t>
  </si>
  <si>
    <t>Pending Transaction (PE)</t>
  </si>
  <si>
    <t>www.hitachi-metals.co.jp</t>
  </si>
  <si>
    <t>2006: 22213, 2007: 20826, 2008: 20424, 2009: 20424, 2010: 18165, 2011: 18008, 2012: 18056, 2013: 17308, 2014: 26850, 2015: 30278, 2016: 29157, 2017: 28754, 2018: 36443, 2019: 36482, 2020: 35588, 2021: 34050</t>
  </si>
  <si>
    <t>260106-94P</t>
  </si>
  <si>
    <t>Hiroaki Nishioka</t>
  </si>
  <si>
    <t>Chief Financial Officer, General Manager, Finance Division; Deputy General Manager &amp; Management Transformation Office</t>
  </si>
  <si>
    <t>+81 (0)36 774 3001</t>
  </si>
  <si>
    <t>Shinagawa Season Terrace</t>
  </si>
  <si>
    <t>2-70, Konan 1-chome, Minato-ku</t>
  </si>
  <si>
    <t>108-8224</t>
  </si>
  <si>
    <t>The company entered into a definitive agreement to be acquired by Bain Capital, Japan Industrial Partners and Japan Industrial through a JPY 800 billion LBO on April 8, 2021. The company is actively tracked by PitchBook.</t>
  </si>
  <si>
    <t>Bain Capital, Japan Industrial, Japan Industrial Partners</t>
  </si>
  <si>
    <t>Bain Capital(www.baincapital.com), Japan Industrial(www.jis.co.jp), Japan Industrial Partners(www.jipinc.com)</t>
  </si>
  <si>
    <t>53947-63</t>
  </si>
  <si>
    <t>Cerent</t>
  </si>
  <si>
    <t>Fiberlane Communications</t>
  </si>
  <si>
    <t>Cerent Corp.</t>
  </si>
  <si>
    <t>Manufacturer of optical transport platform for service provider.</t>
  </si>
  <si>
    <t>Connectivity Products*, Fiberoptic Equipment</t>
  </si>
  <si>
    <t>optical equipment, optical network, optical transport platform, scalable transport</t>
  </si>
  <si>
    <t>Debt Financed, Venture Capital</t>
  </si>
  <si>
    <t>www.cerent.com</t>
  </si>
  <si>
    <t>41289-49P</t>
  </si>
  <si>
    <t>Anurag Nigam</t>
  </si>
  <si>
    <t>Founding Member</t>
  </si>
  <si>
    <t>anu@etwadvisors.com</t>
  </si>
  <si>
    <t>170 West Tasman Drive</t>
  </si>
  <si>
    <t>+1 (408) 526-4000</t>
  </si>
  <si>
    <t>The company was acquired by Cisco Systems (NASDAQ:CSCO) for $7.3 billion on November 2, 1999. The company is no longer actively tracked by PitchBook.</t>
  </si>
  <si>
    <t>Cisco Investments, Cisco Systems</t>
  </si>
  <si>
    <t>Advanced Fibre Communications, Carl Russo, Kinetic Ventures, Kleiner Perkins, Michael Dell, Norwest Venture Partners, TeleSoft Partners, Valley Capital Partners, Western Technology Investment</t>
  </si>
  <si>
    <t>Advanced Fibre Communications(www.afc.com), Kinetic Ventures(www.kineticventures.com), Kleiner Perkins(www.kleinerperkins.com), Norwest Venture Partners(www.nvp.com), TeleSoft Partners(www.telesoftvc.com), Valley Capital Partners(www.valleycappartners.com), Western Technology Investment(www.westerntech.com)</t>
  </si>
  <si>
    <t>Bank of America Merrill Lynch(Advisor: General), Credit Suisse(Underwriter), Dain Rauscher Wessels(Underwriter), Robertson Stephens (Out of Business in 2017)(Underwriter), UBS Group(Underwriter), Western Technology Investment(Debt Financing)</t>
  </si>
  <si>
    <t>12603-25</t>
  </si>
  <si>
    <t>Champion International</t>
  </si>
  <si>
    <t>Plywood-Champion Papers Inc.</t>
  </si>
  <si>
    <t>Champion International Corporation</t>
  </si>
  <si>
    <t>Manufacturer of paper products. The company's paper products include veneer, food container, folding, paperboard product, converted paper and related products, enabling the business correspondence, commercial printing, publications, and newspapers sectors to access a wide range of products for their use and publishing.</t>
  </si>
  <si>
    <t>paper product, paper product manufacturer, paper product producer</t>
  </si>
  <si>
    <t>www.championinternational.com</t>
  </si>
  <si>
    <t>1989: 30400, 1990: 28000, 1991: 27500, 1992: 27300, 1993: 25300, 1994: 24600, 1995: 24615, 1996: 24379, 1997: 23969, 1998: 21137, 1999: 17785</t>
  </si>
  <si>
    <t>174896-11P</t>
  </si>
  <si>
    <t>Laurence Tisch</t>
  </si>
  <si>
    <t>laurence.tisch@championinternational.com</t>
  </si>
  <si>
    <t>One Champion Plaza</t>
  </si>
  <si>
    <t>06921</t>
  </si>
  <si>
    <t>The company was acquired by International Paper International Paper Company (NYS: IP) for $7.3 billion on May 13, 2000. The company is no longer actively tracked by PitchBook.</t>
  </si>
  <si>
    <t>International Paper</t>
  </si>
  <si>
    <t>Loews</t>
  </si>
  <si>
    <t>51258-16</t>
  </si>
  <si>
    <t>Grubhub</t>
  </si>
  <si>
    <t>Grubhub Inc</t>
  </si>
  <si>
    <t>Bring Me That, Mr. Delivery, Wishopedia Services, Foodpanda, Swiggy, DoorDash, Menulog Group, Bite Squad, Deliveroo, Grub Taxi, Grain, MealHi5, Moovenda, DeliverEat, Zomato, EatStreet, OrderAhead, Waitr, Frichti, Seamless, FreshMenu, Jinn, Foodora, Zesty (Social/Platform Software), Delivery.com, Glovo, Foodler, Just Eat Holding, Caviar, Favor, Hey You, Eat24, Postmates, Yelp</t>
  </si>
  <si>
    <t>Founded in 2004, Grubhub provides an online takeout food platform for diners and restaurants. The firm generates revenue by charging restaurants a commission based on each order amount. It also charges consumers a delivery fee for orders where the firm handles the delivery. Grubhub has over 50,000 restaurant partners.</t>
  </si>
  <si>
    <t>Other Restaurants, Hotels and Leisure</t>
  </si>
  <si>
    <t>Application Software, Internet Software, Other Restaurants, Hotels and Leisure*</t>
  </si>
  <si>
    <t>FoodTech, Mobility Tech, Restaurant Technology, Supply Chain Tech</t>
  </si>
  <si>
    <t>food delivery, food ordering, food pickup, mobility tech, ordering placement, supply chain tech</t>
  </si>
  <si>
    <t>www.grubhub.com</t>
  </si>
  <si>
    <t>2013: 680, 2014: 1090, 2015: 1105, 2016: 1518, 2017: 2125, 2018: 2722, 2019: 2714, 2020: 2841</t>
  </si>
  <si>
    <t>107394-76P</t>
  </si>
  <si>
    <t>Barbara Coppola</t>
  </si>
  <si>
    <t>Chief Marketing Officer</t>
  </si>
  <si>
    <t>bcoppola@grubhub.com</t>
  </si>
  <si>
    <t>5 Bryant Park, 15th Floor</t>
  </si>
  <si>
    <t>grubhub@grubhub.com</t>
  </si>
  <si>
    <t>The company was acquired by Just Eat Takeaway.com (AMS: TKWY) for $7.3 billion on June 15, 2021. The transaction represents Takeaway.com's entry into online food delivery in the United States, builds on the strategic rationale for its recent merger with Just Eat deal and will position it as an online food delivery company outside of China, measured by Gross Merchandise Value and revenues.</t>
  </si>
  <si>
    <t>Amicus Capital, Arba Seed Investment Group, Benchmark (San Francisco), Binary Capital, DAG Ventures, Goldman Sachs Merchant Banking Division, Greenspring Associates, Leo Capital Holdings, Lightspeed Venture Partners, Mesirow Financial, Origin Ventures, Red Devil, Sam Shank, Spectrum Equity, Stripes, T. Rowe Price, Thomas H. Lee Partners, Valor Equity Partners, Warburg Pincus, Yum! Brands</t>
  </si>
  <si>
    <t>Amicus Capital(www.amicuscapital.com), Arba Seed Investment Group(www.arbagroup.com), Benchmark (San Francisco)(www.benchmark.com), Binary Capital(www.binarycap.com), DAG Ventures(www.dagventures.com), Greenspring Associates(www.greenspringassociates.com), Leo Capital Holdings(www.leocapholdings.com), Lightspeed Venture Partners(www.lsvp.com), Mesirow Financial(www.mesirow.com), Origin Ventures(www.originventures.com), Spectrum Equity(www.spectrumequity.com), Stripes(www.stripes.co), T. Rowe Price(www.troweprice.com), Thomas H. Lee Partners(www.thl.com), Valor Equity Partners(www.valorep.com), Warburg Pincus(www.warburgpincus.com), Yum! Brands(www.yum.com)</t>
  </si>
  <si>
    <t>BMO Capital Markets(Debt Financing), Citibank(Debt Financing), Citigroup(Underwriter), Daversa Partners(Consulting), DKC(Advisor: Communications), Friedman Kaplan Seiler &amp; Adelman(Legal Advisor), Rich Talent Group(Consulting), Walker Sands Communications(Advisor: Communications)</t>
  </si>
  <si>
    <t>Allen &amp; Company(Underwriter), Bank of America Merrill Lynch(Advisor: General), BMO Capital Markets(Underwriter), Canaccord Genuity(Underwriter), Centerview Partners(Advisor: General), Citigroup Global Markets(Underwriter), Crowe(Accounting), Evercore Group(Advisor: General), JMP Securities(Underwriter), Kahn Swick &amp; Foti(Legal Advisor), Kirkland &amp; Ellis(Legal Advisor), Morgan Stanley(Underwriter), NautaDutilh(Legal Advisor), Raymond James Financial(Underwriter), Skadden, Arps, Slate, Meagher &amp; Flom(Legal Advisor), William Blair &amp; Company(Underwriter), Wilson Sonsini Goodrich &amp; Rosati(Legal Advisor)</t>
  </si>
  <si>
    <t>11553-31</t>
  </si>
  <si>
    <t>Keyspan</t>
  </si>
  <si>
    <t>Keyspan Corporation</t>
  </si>
  <si>
    <t>Distributor of natural gas. The company's activities include strategic investments in pipeline transportation, distribution, storage and production and electricity generator services enabling customers to have electrical utility.</t>
  </si>
  <si>
    <t>Electric Utilities, Energy Marketing*</t>
  </si>
  <si>
    <t>electric generator, natural gas, natural gas distributor, pipeline transportation, strategic investment</t>
  </si>
  <si>
    <t>1998: 7950, 1999: 7950, 2000: 13000, 2001: 13000, 2002: 13000, 2003: 11300, 2004: 10000, 2005: 9700, 2006: 9594</t>
  </si>
  <si>
    <t>175 East Old Country Road</t>
  </si>
  <si>
    <t>Hicksville</t>
  </si>
  <si>
    <t>11801</t>
  </si>
  <si>
    <t>The company was acquired by National Grid (LSE: NG) for $7.3 billion in 2006. The acquisition provides the acquirer with an opportunity to combine their core operational expertise with that of KeySpan, while continuing to provide safe and reliable service to customers. The company is no longer actively tracked by PitchBook.</t>
  </si>
  <si>
    <t>Fulcral(Advisor: General)</t>
  </si>
  <si>
    <t>Simpson Thacher &amp; Bartlett(Legal Advisor)</t>
  </si>
  <si>
    <t>171310-96</t>
  </si>
  <si>
    <t>Pilsner Urquell</t>
  </si>
  <si>
    <t>Producer of alcoholic beverages. The company's products include malted drinks, beers, ales, canned drinks, soda and other such beverages, enabling the customers to receive quality products.</t>
  </si>
  <si>
    <t>alcoholic beverages, beer and wine, lager beer, malted drinks, pilsner</t>
  </si>
  <si>
    <t>www.pilsnerurquell.com</t>
  </si>
  <si>
    <t>Plzeň, Czech Republic</t>
  </si>
  <si>
    <t>Plzeň</t>
  </si>
  <si>
    <t>The company was acquired by Asahi Group Holdings (TYO: 2502) for EUR 7.3 billion on December 13, 2016. Through this acquisition Asahi Group will establish a unique position as a global player, mainly focusing on a leading premium brand portfolio to achieve sustainable growth.</t>
  </si>
  <si>
    <t>52539-22</t>
  </si>
  <si>
    <t>RBS Aviation Capital</t>
  </si>
  <si>
    <t>International Aviation Management</t>
  </si>
  <si>
    <t>RBS Aviation</t>
  </si>
  <si>
    <t>Provider of commercial aircraft finance. The company offers lease aircraft to airlines.</t>
  </si>
  <si>
    <t>aircraft, aircraft finance, aviation financing, commercial aircraft, leaseback financing, operating leasing</t>
  </si>
  <si>
    <t>gbm.rbs.com/psp/public/pagebuilder.aspx</t>
  </si>
  <si>
    <t>38313-82P</t>
  </si>
  <si>
    <t>Peter Barrett</t>
  </si>
  <si>
    <t>+353 (0)1 859 9000</t>
  </si>
  <si>
    <t>IFSC House</t>
  </si>
  <si>
    <t>IFSC</t>
  </si>
  <si>
    <t>1</t>
  </si>
  <si>
    <t>+353 (0)1 859 9230</t>
  </si>
  <si>
    <t>rbs-acmarketing@rbs.com</t>
  </si>
  <si>
    <t>The company was acquired by Sumitomo Mitsui Financial Group (TYO:8316) and Sumitomo (TYO:8053) for $7.3 billion on January 16, 2012.The company was in consideration to be acquired by Bank of China, General Electric, or Terra Firmis but they did not go along with the bid and became a failed round.</t>
  </si>
  <si>
    <t>Sumitomo Corporation, Sumitomo Mitsui Financial Group</t>
  </si>
  <si>
    <t>NatWest Group</t>
  </si>
  <si>
    <t>BOC International (US), GE Capital, Terra Firma Capital Partners</t>
  </si>
  <si>
    <t>NatWest Group(www.natwestgroup.com)</t>
  </si>
  <si>
    <t>BOC International (US)(www.bocintl.com/home.php), GE Capital(www.gecapital.com), Terra Firma Capital Partners(www.terrafirma.com)</t>
  </si>
  <si>
    <t>Clifford Chance(Legal Advisor), Milbank(Legal Advisor), The Goldman Sachs Group(Advisor: General)</t>
  </si>
  <si>
    <t>108064-00</t>
  </si>
  <si>
    <t>The Canada Life Assurance Company</t>
  </si>
  <si>
    <t>Canada Life</t>
  </si>
  <si>
    <t>The Canada Life Assurance Company Inc.</t>
  </si>
  <si>
    <t>The Co-operators, Sun Life Assurance Company of Canada, Prudential Financial, Manulife, Aviva (Life and Health Insurance), Protective Life Insurance Company, Equitable Life Insurance Company of Canada, MONY Life Insurance Company, Great-West Lifeco, The Great-West Life Assurance Company, Prudential Life Insurance Company of Korea, AIG Europe, Empire Life, Unum Group, iA Financial Group, Primerica (US), MassMutual Financial Group, Sun Life Financial, Aflac, Allstate, Prudential Life Assurance Zambia, MetLife, Cigna, American International Group</t>
  </si>
  <si>
    <t>Provider of insurance and wealth management products and services intended to improve the financial, physical and mental well-being in Toronto, Canada. The company's life insurance services include critical illness insurance, creditor insurance, disability insurance, retirement insurance and related services, enabling individuals and business owners to protect their lives, businesses and lives of their loved ones.</t>
  </si>
  <si>
    <t>creditors insurance, critical illness insurance, life insurance, life insurance cover, retirement insurance</t>
  </si>
  <si>
    <t>www.canadalife.com</t>
  </si>
  <si>
    <t>Great-West Lifeco</t>
  </si>
  <si>
    <t>160353-55P</t>
  </si>
  <si>
    <t>Lindsey Rix</t>
  </si>
  <si>
    <t>Chief Executive Officer, UK</t>
  </si>
  <si>
    <t>+1 (416) 597-1456</t>
  </si>
  <si>
    <t>330 University Avenue</t>
  </si>
  <si>
    <t>M5G 1R8</t>
  </si>
  <si>
    <t>info@canadalife.com</t>
  </si>
  <si>
    <t>The company was acquired by Great-West Lifeco (TSE: GWO) for $7.3 billion on July 10, 2003.</t>
  </si>
  <si>
    <t>Citisoft(Consulting), Deloitte(Auditor), William Fry(Legal Advisor)</t>
  </si>
  <si>
    <t>10596-52</t>
  </si>
  <si>
    <t>Sun Microsystems</t>
  </si>
  <si>
    <t>Sun</t>
  </si>
  <si>
    <t>Sun Microsystems, Inc.</t>
  </si>
  <si>
    <t>Provider of network infrastructure services. The company offers a line of scalable servers based on SPARC64, Sun UltraSPARC, AMD Opteron and Intel Xeon microprocessors that range from entry-level servers and blade systems to data center/HPC business critical computing servers designed for heterogeneous computing environments.</t>
  </si>
  <si>
    <t>Computers, Parts and Peripherals, Storage (IT)*</t>
  </si>
  <si>
    <t>microprocessors, mysql database, network infrastructure, network services</t>
  </si>
  <si>
    <t>www.sun.com</t>
  </si>
  <si>
    <t>1989: 10208, 1990: 11500, 1991: 11500, 1992: 12800, 1993: 13300, 1994: 13300, 1995: 14500, 1996: 17400, 1997: 21500, 1998: 26300, 1999: 29700, 2000: 36700, 2001: 43300, 2002: 39100, 2003: 36100, 2004: 35000, 2005: 31000, 2006: 38000, 2007: 34200, 2008: 34900, 2009: 29000, 2010: 34900, 2014: 10278, 2015: 10153</t>
  </si>
  <si>
    <t>13531-60P</t>
  </si>
  <si>
    <t>Vinod Khosla</t>
  </si>
  <si>
    <t>vk@khoslaventures.com</t>
  </si>
  <si>
    <t>+1 (650) 376-8500</t>
  </si>
  <si>
    <t>4150 Network Circle</t>
  </si>
  <si>
    <t>The company (NAS: JAVA) was acquired by Oracle (NYSE: ORCL) for $7.25 billion on January 26, 2010.The company is no longer being actively tracked by PitchBook.</t>
  </si>
  <si>
    <t>ABS Ventures, August Capital, El Dorado Ventures, Glynn Capital, Kleiner Perkins, Kohlberg Kravis Roberts, US Venture Partners</t>
  </si>
  <si>
    <t>ABS Ventures(www.absventures.com), August Capital(www.augustcap.com), El Dorado Ventures(www.eldorado.com), Glynn Capital(www.glynncapital.com), Kleiner Perkins(www.kleinerperkins.com), Kohlberg Kravis Roberts(www.kkr.com), US Venture Partners(www.usvp.com)</t>
  </si>
  <si>
    <t>Ascendant Corporate Finance(Advisor: General), CET(Advisor: General), David Powell(Consulting), Decision Analytics(Advisor: General), Greene Radovsky Maloney Share &amp; Hennigh(Legal Advisor), Hayden Bergman, Professional Corporation(Legal Advisor), Ironheart Corporate Advisory(Consulting), Jáuregui y Del Valle(Legal Advisor), PMI Advisors(Consulting), Sabio Technology Partners(Advisor: General), Skyfollow Consulting Group(Consulting), The Business Advantage Group(Consulting), Tonex(Consulting), Vestrics(Advisor: General), VPTax(Accounting)</t>
  </si>
  <si>
    <t>Al Tamimi &amp; Company(Legal Advisor), Allen &amp; Overy(Legal Advisor), Citigroup(Advisor: General), Credit Suisse(Advisor: General), Simpson Thacher &amp; Bartlett(Legal Advisor), Wilson Sonsini Goodrich &amp; Rosati(Legal Advisor)</t>
  </si>
  <si>
    <t>83284-84</t>
  </si>
  <si>
    <t>Bayer Healthcare (Diagnostic Division)</t>
  </si>
  <si>
    <t>Manufacturer of diagnostic products located in Leverkusen, Germany.</t>
  </si>
  <si>
    <t>Diagnostic Equipment*</t>
  </si>
  <si>
    <t>diagnostic care, diagnostic equipment, diagnostic service, diagnostics unit, life science</t>
  </si>
  <si>
    <t>Kaiser-Wilhelm-Allee 1</t>
  </si>
  <si>
    <t>51373</t>
  </si>
  <si>
    <t>The Diagnostic Division of Bayer (ETR: BAYN) was acquired by Siemens (ETR: SIE) for EUR 5.7 billion on July 1, 2006. The business unit is no longer actively tracked by PitchBook.</t>
  </si>
  <si>
    <t>Miebach Consulting(Consulting)</t>
  </si>
  <si>
    <t>98949-52</t>
  </si>
  <si>
    <t>Antero Midstream Partners</t>
  </si>
  <si>
    <t>Antero</t>
  </si>
  <si>
    <t>Antero Midstream Partners LP</t>
  </si>
  <si>
    <t>EnLink Midstream, Enterprise Products Partners, SemGroup, CNX Midstream Partners, DCP Midstream, Magellan Midstream Partners, Williams Partners, Torrent Power, Blueknight Energy Partners, Caliber Midstream, Candor Midstream, Plains All American Pipeline, Tallgrass Energy, Markwest Energy Partners, Bluewing Midstream, Enable Midstream Partners, ARB Midstream, Kinder Morgan</t>
  </si>
  <si>
    <t>Antero Midstream Partners LP is a limited partnership formed by Antero Resources Corporation. It owns, operates and develops midstream energy infrastructure primarily to service Antero Resources' activity in the Appalachian Basin's Marcellus Shale and Utica Shale located in West Virginia and Ohio. The company is organized into two segments, namely Gathering and Processing, and Water Handling and Treatment. The Gathering and Processing segment includes a network of gathering pipelines, compressor stations, and processing and fractionation plants that collect and process natural gas, NGLs, and oil. The company's water handling and treatment segment include systems that deliver fresh water from sources including the Ohio River, local reservoirs as well as several regional waterways.</t>
  </si>
  <si>
    <t>Energy Storage, Energy Transportation*</t>
  </si>
  <si>
    <t>energy midstream service, fresh water distribution, pipeline gathering</t>
  </si>
  <si>
    <t>www.anteromidstream.com</t>
  </si>
  <si>
    <t>2014: 444, 2015: 480, 2016: 480, 2017: 593, 2018: 623</t>
  </si>
  <si>
    <t>Antero Midstream GP</t>
  </si>
  <si>
    <t>11803-60P</t>
  </si>
  <si>
    <t>Paul Rady</t>
  </si>
  <si>
    <t>Chairman of the Board of Directors and Chief Executive Officer</t>
  </si>
  <si>
    <t>prady@anteroresources.com</t>
  </si>
  <si>
    <t>+1 (303) 357-7310</t>
  </si>
  <si>
    <t>1615 Wynkoop Street</t>
  </si>
  <si>
    <t>+1 (303) 357-7315</t>
  </si>
  <si>
    <t>The company raised $171 million in a secondary public offering on the New York Stock Exchange under the ticker symbol of (NYSE: AM) on November 6, 2019. The company is being actively tracked by PitchBook.</t>
  </si>
  <si>
    <t>Tinicum</t>
  </si>
  <si>
    <t>Tinicum(www.tinicum.com)</t>
  </si>
  <si>
    <t>Seaport Global(Advisor: General)</t>
  </si>
  <si>
    <t>Baird Advisors(Advisor: General), Barclays Investment Bank(Underwriter), BMO Capital Markets(Underwriter), Citigroup Global Markets(Underwriter), Credit Suisse(Underwriter), D.A. Davidson Companies(Underwriter), Gibson, Dunn &amp; Crutcher(Legal Advisor), Hunton Andrews Kurth(Legal Advisor), J.P. Morgan(Underwriter), Janney(Advisor: General), KPMG(Accounting), Ladenburg Thalmann Financial Services(Underwriter), Morgan Stanley(Underwriter), Perella Weinberg Partners(Advisor: General), Raymond James Financial(Underwriter), Robert W. Baird &amp; Co(Underwriter), Scotiabank Global Banking and Markets(Underwriter), Sidley Austin(Legal Advisor), The Goldman Sachs Group(Advisor: General), Tudor, Pickering, Holt &amp; Company(Underwriter), Vinson &amp; Elkins(Legal Advisor), Wells Fargo Securities(Underwriter)</t>
  </si>
  <si>
    <t>56373-31</t>
  </si>
  <si>
    <t>Enable Midstream Partners (NYS: ENBL)</t>
  </si>
  <si>
    <t>CenterPoint Energy Field Services</t>
  </si>
  <si>
    <t>Enable Midstream, Enable</t>
  </si>
  <si>
    <t>Enable Midstream Partners LP</t>
  </si>
  <si>
    <t>DCP Midstream, Targa Resources, Tallgrass Energy Partners, The Williams Companies, Superior Energy Services, Pembina Pipeline, NGL Energy Partners, Williams Partners, Open Grid Europe, SemGroup, Plains All American Pipeline, Meritage Midstream, TC Energy, EnLink Midstream, Spectra Energy, Magellan Midstream Partners, Genesis Energy, ChampionX, CNX Midstream Partners, JP Energy Partners, Santa Fe Midstream, AmeriGas Partners, Pegasus Optimization Managers, ONEOK, Kinder Morgan, Enbridge, Summit Midstream Partners, Energy Transfer, Enterprise Products Partners, Blue Roads Solutions, Buckeye Partners, Teekay, Antero Midstream Partners, Schlumberger, Blueknight Energy Partners</t>
  </si>
  <si>
    <t>Enable Midstream Partners LP is a US-based company which owns, operates and develops strategically located natural gas and crude oil infrastructure assets. The company's emerging production areas in the United States include several shale resource plays and local and regional end-user markets in the United States. The company's assets and operations are organized into two business segments, Gathering and Processing, which provides natural gas gathering, processing and fractionation services and crude oil gathering for its producer customers, and Transportation and Storage, which provides interstate and intrastate natural gas pipeline transportation and storage service to natural gas producers, utilities and industrial customers.</t>
  </si>
  <si>
    <t>crude and stabilization, natural gas gathering, natural gas pipeline, natural gas transportation</t>
  </si>
  <si>
    <t>2013: 1900, 2014: 2000, 2015: 1640, 2016: 1600, 2017: 1630, 2018: 1705, 2019: 1735, 2020: 1706</t>
  </si>
  <si>
    <t>ENBL</t>
  </si>
  <si>
    <t>67750-30P</t>
  </si>
  <si>
    <t>Rodney Sailor</t>
  </si>
  <si>
    <t>rodney.sailor@enablemidstream.com</t>
  </si>
  <si>
    <t>+1 (800) 829-9922</t>
  </si>
  <si>
    <t>Oklahoma City, OK</t>
  </si>
  <si>
    <t>499 West Sheridan Avenue</t>
  </si>
  <si>
    <t>Oklahoma City</t>
  </si>
  <si>
    <t>73102</t>
  </si>
  <si>
    <t>The company reached a definitive agreement to be acquired by Energy Transfer Partners (NYS: ETPpC) for $7.2 billion on February 17, 2021. Under the terms of the agreement, the company's common unitholders will receive 0.8595 Energy Transfer Partners common units for each common unit. The acquisition will increase Energy Transfer's footprint across multiple regions and provide increased connectivity for Energy Transfer's natural gas and NGL transportation businesses. Previously, ArcLight Capital Partners sold its stake in the company (NAS:ENBL) for an undisclosed amount on an undisclosed date. The company did not receive any proceeds from the offering. The company is being actively tracked by PitchBook.</t>
  </si>
  <si>
    <t>CenterPoint Energy, OGE Energy</t>
  </si>
  <si>
    <t>ArcLight Capital Partners</t>
  </si>
  <si>
    <t>CenterPoint Energy(www.CenterPointEnergy.com)</t>
  </si>
  <si>
    <t>ArcLight Capital Partners(www.arclight.com)</t>
  </si>
  <si>
    <t>Energy Transfer(www.energytransfer.com)</t>
  </si>
  <si>
    <t>Baker Botts(Legal Advisor), Latham &amp; Watkins(Legal Advisor)</t>
  </si>
  <si>
    <t>Baker Botts(Legal Advisor), Bank of America Merrill Lynch(Underwriter), Barclays Investment Bank(Underwriter), Citigroup Global Markets(Advisor: General), Credit Suisse(Underwriter), Credit Suisse Securities (USA)(Underwriter), Deloitte(Accounting), Deutsche Bank Securities(Underwriter), Gibson, Dunn &amp; Crutcher(Legal Advisor), J.P. Morgan Securities(Underwriter), Jones Day(Legal Advisor), Morgan Stanley(Underwriter), RBC Capital Markets(Underwriter), The Goldman Sachs Group(Underwriter), UBS Group(Advisor: General), UBS Securities (China)(Underwriter), Vinson &amp; Elkins(Legal Advisor), Wells Fargo Securities(Underwriter)</t>
  </si>
  <si>
    <t>Loan - $1.05B (Senior); Revolving Credit Line - $1.40B</t>
  </si>
  <si>
    <t>56437-57</t>
  </si>
  <si>
    <t>GW Pharmaceuticals</t>
  </si>
  <si>
    <t>GW</t>
  </si>
  <si>
    <t>GW Pharmaceuticals Plc</t>
  </si>
  <si>
    <t>Zynerba Pharmaceuticals, Reata Pharmaceuticals, XenoPort, InMed Pharmaceuticals, Zogenix, Skye Bioscience, Thesan Pharmaceuticals, Genus Pharmaceuticals, Grunenthal</t>
  </si>
  <si>
    <t>GW Pharmaceuticals PLC is a biopharmaceutical company focused on discovering, developing and commercializing novel therapeutics from its proprietary cannabinoid product platform in a broad range of disease areas. The company's lead product candidate is Epidiolex, which is a liquid formulation of pure plant-derived cannabidiol used for the treatment of a number of rare childhood-onset epilepsy disorders. The company also develops and markets Sativex, an oromucosal spray for the treatment of spasticity due to multiple sclerosis. Geographically its presence can be seen across the region of UK, Europe, US, Canada, and others.</t>
  </si>
  <si>
    <t>Drug Discovery, Other Healthcare Services, Pharmaceuticals*</t>
  </si>
  <si>
    <t>Cannabis, Life Sciences, Oncology</t>
  </si>
  <si>
    <t>cannabinoid, medicine, medicine research, pharmaceuticals</t>
  </si>
  <si>
    <t>www.gwpharm.co.uk</t>
  </si>
  <si>
    <t>2013: 194, 2014: 265, 2015: 369, 2016: 496, 2017: 583, 2018: 791, 2019: 901, 2020: 1161</t>
  </si>
  <si>
    <t>Jazz Pharmaceuticals</t>
  </si>
  <si>
    <t>150645-43P</t>
  </si>
  <si>
    <t>Scott Giacobello</t>
  </si>
  <si>
    <t>sgiacobello@gwpharm.com</t>
  </si>
  <si>
    <t>+44 (0)12 2326 6800</t>
  </si>
  <si>
    <t>Sovereign House</t>
  </si>
  <si>
    <t>Vision Park, Histon</t>
  </si>
  <si>
    <t>CB24 9BZ</t>
  </si>
  <si>
    <t>+44 (0)12 2323 5667</t>
  </si>
  <si>
    <t>info@gwpharm.com</t>
  </si>
  <si>
    <t>The company was acquired by Jazz Pharmaceuticals (NAS: JAZZ) for $7.2 billion on May 5, 2021. The acquisition diversifies Jazz Pharmaceuticals' commercial portfolio and innovative pipeline with therapies that are complementary to its existing business and strengthens its positions as a global biopharma leader in neuroscience with a worldwide commercial and operational footprint.</t>
  </si>
  <si>
    <t>Lizada Capital</t>
  </si>
  <si>
    <t>Capital Research and Management Company, Great Point Partners, M&amp;G Investments, Mentor Capital, Prospect Investment Management, Prudential UK, Troy Asset Management, Venrock, Viadeo</t>
  </si>
  <si>
    <t>Lizada Capital(www.lizadacapital.com)</t>
  </si>
  <si>
    <t>Great Point Partners(www.gppfunds.com), M&amp;G Investments(www.mandg.com), Mentor Capital(www.mentorcapital.com), Prospect Investment Management(www.piml.co.uk), Prudential UK(www.prudentialplc.com), Troy Asset Management(www.taml.co.uk), Venrock(www.venrock.com), Viadeo(www.viadeo.com)</t>
  </si>
  <si>
    <t>DMH Stallard(Legal Advisor), Numis Securities(Advisor: General), Peel Hunt(Advisor: General), Toft Group(Consulting)</t>
  </si>
  <si>
    <t>Bank of America Merrill Lynch(Underwriter), Canaccord Genuity(Underwriter), Centerview Partners(Advisor: General), Collins Stewart Wealth Management(Underwriter), Cowen &amp; Company(Underwriter), Cravath, Swaine &amp; Moore(Legal Advisor), Deloitte(Auditor), Direct Markets Holdings (merged 2007)(Legal Advisor), Great Point Partners(Advisor: General), J.P. Morgan(Advisor: General), Kahn Swick &amp; Foti(Legal Advisor), Lazard Capital Markets(Underwriter), Livingston Securities(Underwriter), Mayer Brown(Legal Advisor), Morgan Stanley(Underwriter), Piper Sandler(Underwriter), Prospect Investment Management(Advisor: General), ROTH Capital Partners(Underwriter), Slaughter and May(Legal Advisor), The Goldman Sachs Group(Advisor: General), The Goldman Sachs Group(Underwriter), Trout Capital(Advisor: General)</t>
  </si>
  <si>
    <t>41065-30</t>
  </si>
  <si>
    <t>Ingram Micro</t>
  </si>
  <si>
    <t>Ingram Micro-D, Micro-D</t>
  </si>
  <si>
    <t>Ingram Micro Inc.</t>
  </si>
  <si>
    <t>Tech Data, D&amp;H Distributing, Hall-Mark Electronics, Avnet, Lexmark International, AMX, Xerox, NEC Corporation, A2 Global Electronics + Solutions, ScanSource, Elitegroup Computer Systems, Extron Electronics, CDW, SYNNEX, Cisco Systems, Zycko, Northrop Grumman</t>
  </si>
  <si>
    <t>Provider of technology and supply chain services in the United States. The company specializes in supply chain and mobile device lifecycle services, projectors, scanners, printers, digital cameras, video disc players, motherboards and other information technology (IT) products, enabling electronic companies to get a consistent supply of electronic hardware throughout the year.</t>
  </si>
  <si>
    <t>Computers, Parts and Peripherals, Distributors/Wholesale*</t>
  </si>
  <si>
    <t>Supply Chain Tech</t>
  </si>
  <si>
    <t>digital camera, information technology product, lifecycle services, mobility device, scanner</t>
  </si>
  <si>
    <t>corp.ingrammicro.com</t>
  </si>
  <si>
    <t>1996: 9008, 1997: 12000, 1998: 14400, 1999: 15363, 2000: 16500, 2001: 14500, 2002: 12700, 2003: 11300, 2004: 13600, 2005: 13000, 2006: 13700, 2007: 15000, 2008: 14500, 2010: 13750, 2011: 15650, 2012: 20800, 2013: 21800, 2015: 21700, 2016: 27700, 2019: 35000, 2020: 35000, 2021: 35000</t>
  </si>
  <si>
    <t>52759-09P</t>
  </si>
  <si>
    <t>Alain Monie</t>
  </si>
  <si>
    <t>amonie@ingrammicro.com</t>
  </si>
  <si>
    <t>+1 (714) 566-1000</t>
  </si>
  <si>
    <t>3351 Michelson Drive</t>
  </si>
  <si>
    <t>The company, a subsidiary of HNA Technology, was acquired by Platinum Equity through a $7.2 billion LBO on July 7, 2021. Bank of America Merrill Lynch, J.P. Morgan and Morgan Stanley Senior Funding provided debt financing to support the transaction.</t>
  </si>
  <si>
    <t>Platinum Equity</t>
  </si>
  <si>
    <t>Hirzel Capital Management, HNA Technology, Ingram Industries</t>
  </si>
  <si>
    <t>Platinum Equity(www.platinumequity.com)</t>
  </si>
  <si>
    <t>Hirzel Capital Management(www.hirzelcapital.com), HNA Technology(www.tjtmsc.com)</t>
  </si>
  <si>
    <t>B2 Group Global(Consulting), Estudio Echecopar(Legal Advisor), Globalview Advisors(Valuation/Appraiser), Ice Miller(Legal Advisor), Vetus Partners(Advisor: General)</t>
  </si>
  <si>
    <t>Bank of America Merrill Lynch(Advisor: General), China Cinda Asset Management(Advisor: General), Davis Polk(Legal Advisor), GE Capital(Debt Financing), J.P. Morgan(Advisor: General), Morgan Stanley(Advisor: General), Morgan Stanley(Underwriter), Morgan Stanley Senior Funding(Debt Financing), NatWest Group(Advisor: General), Raymond James Financial(Underwriter), Scotiabank(Debt Financing), SunTrust Bank(Debt Financing)</t>
  </si>
  <si>
    <t>10439-02</t>
  </si>
  <si>
    <t>Molex</t>
  </si>
  <si>
    <t>Molex, LLC</t>
  </si>
  <si>
    <t>Hirose Electric Co, Methode Electronics, Acacia Communications, Siemon, Lumentum Holdings, Belden, Amphenol, Conxall, Link Cable Assemblies, CommScope, AFL Telecommunications, Radiall, Ardent Concepts, Applied Micro Circuits, Mellanox Technologies, Brand-Rex, TE Connectivity, Finisar, Menlo Micro, 3D Glass Solutions, Samtec, Anixter International, Avnet, PEI-Genesis</t>
  </si>
  <si>
    <t>Manufacturer of electronic components intended to deliver breakthrough connectivity at scale. Its electronic components include electrical and fiber-optic interconnection products and systems, switches and integrated products, enabling data communications, consumer electronics, industrial, automotive, commercial vehicle and medical industries to solve their electronic challenges.</t>
  </si>
  <si>
    <t>Connectivity Products*</t>
  </si>
  <si>
    <t>customers electronic, electrical product, electronic components, switch</t>
  </si>
  <si>
    <t>www.molex.com</t>
  </si>
  <si>
    <t>1990: 6722, 1991: 6722, 1992: 7483, 1993: 7600, 1994: 8100, 1995: 9500, 1996: 10100, 1997: 12000, 1998: 12455, 1999: 14700, 2000: 17650, 2001: 16845, 2002: 16640, 2003: 13863, 2004: 21225, 2005: 27525, 2006: 32400, 2007: 33200, 2008: 32160, 2009: 25240, 2010: 35519, 2011: 33000, 2012: 34226, 2013: 36000, 2016: 40000, 2018: 45000, 2020: 120000</t>
  </si>
  <si>
    <t>64317-25P</t>
  </si>
  <si>
    <t>Gary Matula</t>
  </si>
  <si>
    <t>Chief Information Officer &amp; Senior Vice President, Information Systems</t>
  </si>
  <si>
    <t>gmatula@molex.com</t>
  </si>
  <si>
    <t>+1 (630) 969-4550</t>
  </si>
  <si>
    <t>Lisle, IL</t>
  </si>
  <si>
    <t>2222 Wellington Court</t>
  </si>
  <si>
    <t>Lisle</t>
  </si>
  <si>
    <t>60532</t>
  </si>
  <si>
    <t>The company was acquired by Koch Equity Development for $7.2 billion on December 9, 2013.</t>
  </si>
  <si>
    <t>BDA Partners(Advisor: General), Bushkin Associates(Advisor: General), JASEC Consulting(Consulting), Leydig, Voit &amp; Mayer(Legal Advisor)</t>
  </si>
  <si>
    <t>Dentons(Legal Advisor), The Goldman Sachs Group(Advisor: General), William Blair &amp; Company(Advisor: General)</t>
  </si>
  <si>
    <t>12138-22</t>
  </si>
  <si>
    <t>Rexam</t>
  </si>
  <si>
    <t>Rexam PLC</t>
  </si>
  <si>
    <t>Ardagh Group, Silgan Holdings, Huhtamaki PPL, Crown Holdings, Owens-Illinois, Huhtamäki</t>
  </si>
  <si>
    <t>REXAM PLC was incorporated on July 13, 1923. It is a consumer packaging group and a beverage can maker. The Company is a manufacturer of beverage cans, the majority of which are made of aluminium. It makes all sorts of cans, in different shapes and sizes with different finishes, decorations and ends. It is based in the UK, and has factories across five continents. It is organised into four operating segments for Beverage Cans based on the geographical locations of Europe, AMEA (Africa, Middle East &amp; Asia), North America and South America. For external reporting, the four operating segments for Beverage Cans are combined into two reportable segments, Americas and Europe &amp; Rest of World. It makes a broad range of can sizes for products such as carbonated soft drinks, beer, energy drinks and other drinks categories. Beverage Cans comprise aluminium and steel cans for a variety of beverages including carbonated soft drinks, beer and energy drinks. The Company's customers include many of the world's favourite brands.</t>
  </si>
  <si>
    <t>Metal Containers and Packaging</t>
  </si>
  <si>
    <t>Metal Containers and Packaging*, Other Containers and Packaging</t>
  </si>
  <si>
    <t>www.rexam.com</t>
  </si>
  <si>
    <t>1985: 24400, 1986: 17400, 1987: 18700, 1988: 20300, 1989: 17500, 1990: 19700, 1991: 18800, 1992: 22100, 1993: 26400, 1994: 27900, 1995: 26500, 1996: 24900, 1997: 21700, 1998: 22700, 1999: 26200, 2000: 23800, 2001: 23000, 2002: 20600, 2003: 21786, 2004: 22286, 2005: 21700, 2006: 20600, 2007: 22300, 2008: 24100, 2009: 20700, 2010: 19600, 2011: 19000, 2012: 18000, 2013: 8000, 2014: 8000, 2015: 8600</t>
  </si>
  <si>
    <t>4 Millbank</t>
  </si>
  <si>
    <t>SW1P 3XR</t>
  </si>
  <si>
    <t>The company (LSE: REX) was acquired by Ball Corporation (NYSE: BLL) for $7.2 billion on June 30, 2016. Under the terms of the scheme, Ball Corp paid $6.2 cash per share and issue 0.04568 new shares per target share. The company is no longer actively tracked by PitchBook.</t>
  </si>
  <si>
    <t>Ball</t>
  </si>
  <si>
    <t>American Consulting Group(Consulting), Blaige &amp; Company(Advisor: General), Strategex(Consulting), The McLean Group(Advisor: General)</t>
  </si>
  <si>
    <t>Bank of America Merrill Lynch(Advisor: General), Barclays Investment Bank(Advisor: General), Credit Suisse(Advisor: General), Freshfields Bruckhaus Deringer(Legal Advisor), Rothschild &amp; Co(Advisor: General), The Goldman Sachs Group(Advisor: General)</t>
  </si>
  <si>
    <t>41736-16</t>
  </si>
  <si>
    <t>Tech Data</t>
  </si>
  <si>
    <t>TDC</t>
  </si>
  <si>
    <t>Tech Data Corporation</t>
  </si>
  <si>
    <t>Ingram Micro, D&amp;H Distributing, Hall-Mark Electronics, GTI Software and Networking, Avnet, ScanSource, Xerox, Jenne, Ingram Micro Distribution, Anixter International, Hewlett-Packard, Mayflex UK, Elitegroup Computer Systems, Sager Electronics, Intcomex, Fortinet, Juniper Networks, SYNNEX, Tri-Northern Security Distribution, IT Way, PEI-Genesis, Cisco Systems, Arrow Electronics, Esprinet</t>
  </si>
  <si>
    <t>Distributor of information technology products to value-added resellers, direct marketers, retailers and corporate resellers. The company acts as an intermediary in the technology supply chain by bringing products from technology vendors to market and providing customers with logistics capabilities and its product mix is broadline products like notebooks, desktops and printers and also includes data center, software, mobility and consumer electronics products.</t>
  </si>
  <si>
    <t>cloud services, computer accessories, information software, it product, supply chain, workstations</t>
  </si>
  <si>
    <t>www.techdata.com</t>
  </si>
  <si>
    <t>1990: 474, 1991: 573, 1992: 690, 1993: 1025, 1994: 1350, 1995: 2265, 1996: 2625, 1997: 3400, 1998: 5075, 1999: 8240, 2000: 9575, 2001: 10500, 2002: 8600, 2003: 7900, 2004: 8400, 2005: 8500, 2006: 8200, 2007: 8000, 2008: 8300, 2009: 8000, 2010: 7600, 2011: 8700, 2012: 8300, 2013: 9100, 2014: 9100, 2015: 8900, 2016: 9000, 2017: 14000, 2018: 14000, 2019: 14000, 2020: 15000, 2021: 22000</t>
  </si>
  <si>
    <t>158251-15P</t>
  </si>
  <si>
    <t>Beth Simonetti</t>
  </si>
  <si>
    <t>Chief Human Resources Officer, Director &amp; Executive Vice President</t>
  </si>
  <si>
    <t>beth.simonetti@techdata.com</t>
  </si>
  <si>
    <t>+1 (727) 539-7429</t>
  </si>
  <si>
    <t>Clearwater, FL</t>
  </si>
  <si>
    <t>5350 Tech Data Drive</t>
  </si>
  <si>
    <t>Clearwater</t>
  </si>
  <si>
    <t>33760</t>
  </si>
  <si>
    <t>The company reached a definitive agreement to be acquired by Synnex (NYS: SNX) for approximately $7.2 billion on March 22, 2021. Upon closing, Apollo Global Management will own approximately 45% of Synnex. Previously, the company was acquired by Apollo Global Management and other undisclosed investors through a public-to-private $6 billion LBO on July 1, 2020. The company is being actively tracked by PitchBook.</t>
  </si>
  <si>
    <t>Apollo Global Management</t>
  </si>
  <si>
    <t>SYNNEX</t>
  </si>
  <si>
    <t>Apollo Global Management(www.apollo.com)</t>
  </si>
  <si>
    <t>SYNNEX(www.synnexcorp.com)</t>
  </si>
  <si>
    <t>BNP Paribas(Debt Financing), Citibank(Debt Financing), Foley &amp; Lardner(Legal Advisor), Latham &amp; Watkins(Legal Advisor), Mizuho Bank(Debt Financing), MUFG Bank(Debt Financing), Orchid Black(Consulting), Paul Hastings(Legal Advisor), PNC(Debt Financing), The Goldman Sachs Group(Advisor: General)</t>
  </si>
  <si>
    <t>Bank of America(Advisor: General), Barclays(Advisor: General), Citigroup(Advisor: General), Cleary Gottlieb(Legal Advisor), Deutsche Bank(Debt Financing), J.P. Morgan(Advisor: General), Kahn Swick &amp; Foti(Legal Advisor), Paul, Weiss, Rifkind, Wharton &amp; Garrison(Legal Advisor), RBC Capital Markets(Advisor: General), Sixth Street Specialty Lending(Debt Financing), Steen &amp; Hamilton(Legal Advisor), Wachtell, Lipton, Rosen &amp; Katz(Legal Advisor), Wells Fargo(Advisor: General)</t>
  </si>
  <si>
    <t>11071-18</t>
  </si>
  <si>
    <t>Trizec Properties</t>
  </si>
  <si>
    <t>TrizecHahn (USA), Trizec (USA) Holdings</t>
  </si>
  <si>
    <t>Trizec Properties, Inc.</t>
  </si>
  <si>
    <t>Operator of real estate investment trust. The company owns and manages a portfolio of office properties.</t>
  </si>
  <si>
    <t>office property, real estate, real estate investment</t>
  </si>
  <si>
    <t>2001: 1193, 2002: 1045, 2003: 920, 2004: 740, 2005: 667, 2006: 501</t>
  </si>
  <si>
    <t>233 South Wacker Drive, 46th Floor</t>
  </si>
  <si>
    <t>+1 (312) 798-6000</t>
  </si>
  <si>
    <t>+1 (312) 798-6270</t>
  </si>
  <si>
    <t>The company was acquired by Brookfield Office Properties and The Blackstone Group for $7.2 billion on October 5, 2006. The company is no longer actively tracked by PitchBook.</t>
  </si>
  <si>
    <t>Brookfield Properties, The Blackstone Group</t>
  </si>
  <si>
    <t>DeSantis Breindel(Advisor: General), PwC(Advisor: General)</t>
  </si>
  <si>
    <t>Davies Ward Phillips &amp; Vineberg(Legal Advisor), Hogan Lovells(Legal Advisor), J.P. Morgan(Advisor: General), PwC(Advisor: General), RBC Capital Markets(Advisor: General)</t>
  </si>
  <si>
    <t>41419-72</t>
  </si>
  <si>
    <t>Grant Prideco</t>
  </si>
  <si>
    <t>Grant Prideco, Inc.</t>
  </si>
  <si>
    <t>Manufacturer of drill pipes. The company's offerings include heavy weight drill pipes, drill stem accessories and drill collars, enabling clients in the oil and gas industry to get burst and collapse resistance characteristics under harsh conditions</t>
  </si>
  <si>
    <t>Industrial Supplies and Parts, Oil and Gas Equipment*</t>
  </si>
  <si>
    <t>drill pipe supplier, drill stem, drill stem components, drilling product, oil and gas drilling equipment</t>
  </si>
  <si>
    <t>www.grantprideco.com</t>
  </si>
  <si>
    <t>2003: 4102, 2004: 4064, 2006: 4857, 2008: 5070</t>
  </si>
  <si>
    <t>95032-54P</t>
  </si>
  <si>
    <t>Clent Rawlinson</t>
  </si>
  <si>
    <t>VP, International Sales and Operations</t>
  </si>
  <si>
    <t>400 North Sam Houston Parkway East</t>
  </si>
  <si>
    <t>77060</t>
  </si>
  <si>
    <t>The company was acquired by National Oilwell Varco (NYSE:NOV) for $7.19 billion on April 21, 2008. Previously, the company underwent an initial public offering in 2000. The company is no longer actively tracked by PitchBook.</t>
  </si>
  <si>
    <t>National Oilwell Varco</t>
  </si>
  <si>
    <t>Lubar &amp; Co.</t>
  </si>
  <si>
    <t>Lubar &amp; Co.(www.lubar.com)</t>
  </si>
  <si>
    <t>84325-15</t>
  </si>
  <si>
    <t>Aventis CropScience</t>
  </si>
  <si>
    <t>Aventis CropScience SA</t>
  </si>
  <si>
    <t>Operator of an agrochemical development firm based in Monheim, Germany.</t>
  </si>
  <si>
    <t>AgTech</t>
  </si>
  <si>
    <t>agrochemical, agrochemical firm, agrochemical product, agrochemicals, pharma</t>
  </si>
  <si>
    <t>2002: 15300</t>
  </si>
  <si>
    <t>Monheim, Germany</t>
  </si>
  <si>
    <t>Monheim</t>
  </si>
  <si>
    <t>The company was acquired by Bayer (ETR: BAYN) for EUR 7.8 billion on June 3, 2002. The sellers were Aventis (76%) and Schering (24%). The company is no longer actively tracked by PitchBook.</t>
  </si>
  <si>
    <t>Aventis, Bayer Schering Pharma</t>
  </si>
  <si>
    <t>Aventis(www.aventis.com), Bayer Schering Pharma(www.schering.de)</t>
  </si>
  <si>
    <t>56824-21</t>
  </si>
  <si>
    <t>Open Grid Europe</t>
  </si>
  <si>
    <t>E.ON Gas Transport, Ruhrgas-Transport</t>
  </si>
  <si>
    <t>OGE</t>
  </si>
  <si>
    <t>Open Grid Europe GmbH</t>
  </si>
  <si>
    <t>Pembina Pipeline, BlueRacer Midstream, EnLink Midstream, Magellan Midstream Partners, Kinder Morgan, Enable Midstream Partners, The Williams Companies, ONEOK, JP Energy Partners, Enbridge, Oncor Electric Delivery, Energy Transfer, Enterprise Products Partners</t>
  </si>
  <si>
    <t>Provider of natural-gas transportation services in Germany and Europe. The company's natural-gas transportation system operates a regional supply network in Germany that includes more than 2,000 kilometers of pipeline along with various related services such as analysis of operating materials, energy calculation, gas quality reconstruction and others, enabling oil and gas companies and distribution network operators throughout Europe to minimize risks and actively support the energy transition.</t>
  </si>
  <si>
    <t>Energy Infrastructure, Energy Transportation*</t>
  </si>
  <si>
    <t>gas transmission, gas transmission pipeline operator, gas transmission service, gas transmission system, gas transmission system operators, pipelines</t>
  </si>
  <si>
    <t>www.oge.net</t>
  </si>
  <si>
    <t>2011: 1542, 2012: 1555, 2019: 1450, 2020: 1450, 2021: 1450</t>
  </si>
  <si>
    <t>Vier Gas Transport GmbH</t>
  </si>
  <si>
    <t>221960-17P</t>
  </si>
  <si>
    <t>Frank Reiners</t>
  </si>
  <si>
    <t>frank.reiners@open-grid-europe.com</t>
  </si>
  <si>
    <t>+49 (0)20 1364 20</t>
  </si>
  <si>
    <t>Kallenbergstr. 5</t>
  </si>
  <si>
    <t>North Rhine-Westphalia</t>
  </si>
  <si>
    <t>45141</t>
  </si>
  <si>
    <t>+49 (0)20 1364 2139 00</t>
  </si>
  <si>
    <t>info@oge.net</t>
  </si>
  <si>
    <t>Macquarie Asset Management is in talks to sell a stake in the company for approximately EUR 6 billion as of March 25, 2021. Previously, the company, a subsidiary of E.ON (ETR: EOAN), was acquired by Vier Gas Transport GmbH, via its financial sponsors, Macquarie Infrastructure, British Columbia Investment Management, Abu Dhabi Investment Authority and Munich Re through EUR 3.2 billion LBO on May 16, 2012. As a part of the transaction, Scotiabank, BNP Paribas, Export Development Canada, Commerzbank, Credit Agricole, ING Group, Royal Bank of Canada, Société Générale and UniCredit provided EUR 2.5 billion of loan financing to support the deal. The company is being actively tracked by PitchBook.</t>
  </si>
  <si>
    <t>British Columbia Investment Management, Macquarie Asset Management, Munich Re, The Abu Dhabi Investment Authority</t>
  </si>
  <si>
    <t>E.ON(www.eon.com)</t>
  </si>
  <si>
    <t>British Columbia Investment Management(www.bci.ca), Macquarie Asset Management(www.macquarie.com/us/corporate/asset-management), Munich Re(www.munichre.com), The Abu Dhabi Investment Authority(www.adia.ae)</t>
  </si>
  <si>
    <t>HKCF Corporate Finance(Advisor: General), PwC(Auditor)</t>
  </si>
  <si>
    <t>BNP Paribas(Debt Financing), Commerzbank(Debt Financing), Credit Agricole(Debt Financing), Export Development Canada(Debt Financing), ING Group(Debt Financing), Royal Bank of Canada(Debt Financing), Scotiabank(Debt Financing), Société Générale(Debt Financing), UniCredit(Debt Financing)</t>
  </si>
  <si>
    <t>Loan - $3.27B</t>
  </si>
  <si>
    <t>13203-37</t>
  </si>
  <si>
    <t>Omnipoint</t>
  </si>
  <si>
    <t>Provider of personal communication services using the Global System for Mobile Communications technology in urban markets in the United States. The company had licenses to serve areas covering nearly 100 million people in the eastern half of the United States.</t>
  </si>
  <si>
    <t>cellular, communication, mobile, pc, telecom, telecommunication</t>
  </si>
  <si>
    <t>2006: 2, 2007: 2, 2008: 2, 2009: 2, 2010: 2</t>
  </si>
  <si>
    <t>Deutsche Telekom</t>
  </si>
  <si>
    <t>22531-69P</t>
  </si>
  <si>
    <t>Charles Johnston</t>
  </si>
  <si>
    <t>+1 (425) 378-4000</t>
  </si>
  <si>
    <t>12920 South East</t>
  </si>
  <si>
    <t>38th Street</t>
  </si>
  <si>
    <t>98006</t>
  </si>
  <si>
    <t>The company (NASDAQ: OMPT) was acquired by VoiceStream (NASDAQ: VSTR) for $7,173,000,000 on February 28, 2000, putting the company valuation at $9,773,000,000. Subsequently, VoiceStream was acquired by Deutsche Telekom (NYSE: DT). The company is no longer actively tracked by PitchBook.</t>
  </si>
  <si>
    <t>T-Mobile (US)</t>
  </si>
  <si>
    <t>First Analysis, Madison Dearborn Partners, TeleSoft Partners, The Argentum Group</t>
  </si>
  <si>
    <t>First Analysis(www.firstanalysis.com), Madison Dearborn Partners(www.mdcp.com), TeleSoft Partners(www.telesoftvc.com), The Argentum Group(www.argentumgroup.com)</t>
  </si>
  <si>
    <t>Ameritraining(Consulting)</t>
  </si>
  <si>
    <t>Allen &amp; Company(Underwriter), Allen &amp; Company(Advisor: General), Baker Botts(Legal Advisor), Brobeck, Phleger &amp; Harrison(Legal Advisor), Donaldson, Lufkin &amp; Jenrette(Underwriter), Lehman Brothers(Advisor: General), Montgomery &amp; Company(Underwriter), PwC(Auditor), Salomon Brothers(Underwriter), The Goldman Sachs Group(Underwriter)</t>
  </si>
  <si>
    <t>97719-67</t>
  </si>
  <si>
    <t>Lafarge-Holcim (Assets)</t>
  </si>
  <si>
    <t>Assets of Lafarge and Holcim. It includes the entire portfolio of assets of both the companies.</t>
  </si>
  <si>
    <t>Building Products, Buildings and Property*, Other Commercial Products</t>
  </si>
  <si>
    <t>assets</t>
  </si>
  <si>
    <t>Certain assets of Lafarge SA and Holcim Ltd. were acquired by CRH (NYSE: CRH) for EUR 6.5 billion on August 3, 2015. The company, Lafarge Tarmac, was acquired as part of this transaction. Lafarge and Holcim were required to sell off these assets to win approval for their $40 billion merger. These assets are no longer actively tracked by PitchBook.</t>
  </si>
  <si>
    <t>CRH</t>
  </si>
  <si>
    <t>Holcim, Lafarge</t>
  </si>
  <si>
    <t>Advent International, Bain Capital, BC Partners, Canada Pension Plan Investment Board, Cemex, Cinven, CriticalPoint Capital, CVC Capital Partners, Dalmia Bharat Group, Government of Singapore Investment Corporation (GIC), HeidelbergCement, Italcementi, Kohlberg Kravis Roberts, Onex, Sabanci Holding, Temasek Holdings, The Abu Dhabi Investment Authority, The Blackstone Group</t>
  </si>
  <si>
    <t>Holcim(www.holcim.com), Lafarge(www.lafarge.com)</t>
  </si>
  <si>
    <t>Advent International(www.adventinternational.com), Bain Capital(www.baincapital.com), BC Partners(www.bcpartners.com), Canada Pension Plan Investment Board(www.cppinvestments.com), Cemex(www.cemex.com), Cinven(www.cinven.com), CriticalPoint Capital(criticalpointcapital.com), CVC Capital Partners(www.cvc.com), Dalmia Bharat Group(www.dalmiabharat.com), Government of Singapore Investment Corporation (GIC)(www.gic.com.sg), HeidelbergCement(www.heidelbergcement.com), Italcementi(www.italcementigroup.com), Kohlberg Kravis Roberts(www.kkr.com), Onex(www.onex.com), Sabanci Holding(www.sabanci.com), Temasek Holdings(www.temasek.com.sg), The Abu Dhabi Investment Authority(www.adia.ae), The Blackstone Group(www.blackstone.com)</t>
  </si>
  <si>
    <t>Janković, Popović &amp; Mitić(Legal Advisor), Schönherr(Legal Advisor)</t>
  </si>
  <si>
    <t>13200-13</t>
  </si>
  <si>
    <t>Panera Bread</t>
  </si>
  <si>
    <t>Saint Louis Bread Company</t>
  </si>
  <si>
    <t>Panera</t>
  </si>
  <si>
    <t>Panera Bread Company</t>
  </si>
  <si>
    <t>Friendly's Ice Cream, Pizza Hut Australia, Corner Bakery Cafe, Potbelly Sandwich Works, WingStreet, Le Pain Quotidien, Voodoo Doughnut, Starbucks Coffee (Thailand), Krispy Kreme Doughnuts, Starbucks (Singapore retail operations), Zoup! Eatery, Taco Bell, California Pizza Kitchen, Duck Donuts, Pizza Hut Japan, Torchy's Tacos, Ritual Coffee Roasters, Au Bon Pain, Perkins Restaurant &amp; Bakery, Secret Recipe Cakes &amp; Cafe, Inspire Brands, Starbucks Cafés do Brasil, Raising Cane's Restaurants, The Quizno's Master, Jack In The Box, Black Bear Diner, Starbucks, Cracker Barrel Old Country Store, Firehouse Subs, Starbucks Coffee Deutschland, The Krystal, Honeygrow, Jimmy John's Franchise, Pret A Manger, California Burrito, Philz Coffee, Tata Starbucks, La Madeleine de Corps, Bob Evans Farms, Popeyes Louisiana Kitchen, President Starbucks Coffee Taiwan, Qdoba Restaurant, Long John Silver's, Denny's, Chipotle Mexican Grill, Chick-fil-A, Church's Chicken, Subway, Starbucks Coffee Chile, Van Houtte, Starbucks Coffee España, Peet's Coffee, Pizza Hut, Tim Hortons</t>
  </si>
  <si>
    <t>Panera Bread is an owner, operator and franchisor of retail bakery-cafes in the United States. The company offers fresh baked goods, soups, salads, custom roasted coffees and other complementary products. It operates through its three business segments including the bakery-cafe operations, franchise operations and fresh dough operations. It offers made-to-order sandwiches built using a variety of artisan breads, including asiago cheese bread, focaccia and its classic sourdough bread. It was founded in 1981 and is headquartered in Saint Louis, Missouri.</t>
  </si>
  <si>
    <t>Food Products, Restaurants and Bars*</t>
  </si>
  <si>
    <t>baked, baker, bakery, bread, food, goods</t>
  </si>
  <si>
    <t>jobs.panerabread.com</t>
  </si>
  <si>
    <t>1991: 650, 1992: 869, 1993: 3269, 1994: 1265, 1995: 1587, 1996: 1656, 1997: 1378, 1998: 712, 1999: 599, 2000: 3891, 2001: 4849, 2002: 5641, 2003: 8002, 2004: 9487, 2005: 13900, 2006: 17400, 2007: 21800, 2008: 23300, 2009: 25300, 2010: 25600, 2011: 32600, 2012: 20800, 2013: 40100, 2014: 45400, 2015: 47200, 2016: 50800, 2017: 100000, 2019: 140000, 2021: 100000</t>
  </si>
  <si>
    <t>152996-86P</t>
  </si>
  <si>
    <t>John Meister</t>
  </si>
  <si>
    <t>Chief Information Officer &amp; Senior Vice President</t>
  </si>
  <si>
    <t>john.meister@panerabread.com</t>
  </si>
  <si>
    <t>3630 South Geyer Road</t>
  </si>
  <si>
    <t>63127</t>
  </si>
  <si>
    <t>The company was acquired by JAB Holding Company and BDT Capital Partners through a $7.16 billion public-to-private LBO on July 18, 2017. As a result of the completion of the acquisition, Panera's common stock will cease trading as of today on the NASDAQ Global Select Market.</t>
  </si>
  <si>
    <t>BDT Capital Partners, JAB Holding Company</t>
  </si>
  <si>
    <t>Shamrock</t>
  </si>
  <si>
    <t>JAB Holding Company(www.jabholco.com)</t>
  </si>
  <si>
    <t>Shamrock(www.shamrockwraps.com)</t>
  </si>
  <si>
    <t>Cresa(Advisor: General), Geraty Investments(Advisor: General), Herbert Mines Associates(Placement Agent), Pacific Management Consulting Group(Consulting), Performance Capital Partners(Consulting), Robert K. Futterman &amp; Associates(Consulting), Telsey Advisory Group(Advisor: General), WilmerHale(Legal Advisor)</t>
  </si>
  <si>
    <t>J.P. Morgan(Debt Financing), Morgan Stanley(Advisor: General), Sullivan &amp; Cromwell(Legal Advisor)</t>
  </si>
  <si>
    <t>Loan - $2.25B (Term Loan A); Revolving Credit Line - $750.00M</t>
  </si>
  <si>
    <t>231397-39</t>
  </si>
  <si>
    <t>Starbuck (supermarket packaged-coffee business)</t>
  </si>
  <si>
    <t>Distributor of packaged coffee.</t>
  </si>
  <si>
    <t>coffee supplier, package coffee, package coffee capsules</t>
  </si>
  <si>
    <t>The supermarket packaged-coffee business of Starbucks (NASDAQ: SBUX) was acquired by Nestlé (SWX: NESN) for $7.15 billion on August 28, 2018. The company is no longer actively tracked by PitchBook.</t>
  </si>
  <si>
    <t>Starbucks</t>
  </si>
  <si>
    <t>Starbucks(www.Starbucks.com)</t>
  </si>
  <si>
    <t>42081-04</t>
  </si>
  <si>
    <t>Mellanox Technologies</t>
  </si>
  <si>
    <t>Mellanox</t>
  </si>
  <si>
    <t>Mellanox Technologies, Inc.</t>
  </si>
  <si>
    <t>Qlogic, Reflex Photonics, Cyberoptics, Arris International, Solarflare, Perle Systems, Acacia Communications, Multi-Tech Systems, EXFO, Applied Optoelectronics, Oclaro, Chelsio Communications, Anixter International, Emulex, Skorpios Technologies, Xilinx, Source Photonics, Meraki, Finisar, Digi International, Broadcom, Nokia Networks, Cavium, Echelon (Business Productivity Software), Mettle Networks, Lumentum Holdings, IN Communications, Harmonic (Other Communications and Networking), Dialog Semiconductor, Cisco Systems, Sagemcom, Viavi Solutions, ScanSource, Adtran</t>
  </si>
  <si>
    <t>Manufacturer and supplier of semiconductor-based connectivity products intended to deliver data faster to applications and unlocking system performance. The company provides the development, manufacturing, marketing and sales of end-to-end Ethernet and InfiniBand intelligent interconnect solutions and services for servers, storage, and hyper-converged infrastructure.</t>
  </si>
  <si>
    <t>Connectivity Products*, Distributors/Wholesale, Electronic Equipment and Instruments</t>
  </si>
  <si>
    <t>adapters chips, copper cable, data transmission, fabless semiconductor, fiber cable, silicon photonics</t>
  </si>
  <si>
    <t>www.mellanox.com</t>
  </si>
  <si>
    <t>2005: 171, 2006: 180, 2007: 266, 2008: 303, 2009: 371, 2010: 508, 2011: 841, 2012: 1263, 2013: 1539, 2014: 1679, 2015: 2119, 2016: 2684, 2017: 2723, 2018: 2446, 2019: 2777, 2020: 1454</t>
  </si>
  <si>
    <t>Nvidia</t>
  </si>
  <si>
    <t>35735-23P</t>
  </si>
  <si>
    <t>Eyal Waldman</t>
  </si>
  <si>
    <t>Chief Executive Officer, President, Borad Member &amp; Founder</t>
  </si>
  <si>
    <t>eyal@mellanox.com</t>
  </si>
  <si>
    <t>+1 (408) 486-2000</t>
  </si>
  <si>
    <t>2788 San Tomas Expressway</t>
  </si>
  <si>
    <t>95051</t>
  </si>
  <si>
    <t>+1 (408) 970-3403</t>
  </si>
  <si>
    <t>The company (NASDAQ: MLNX) was acquired by Nvidia (NAS: NVDA) for $7.13 billion on April 27, 2020. The acquisition provides Nvidia with end-to-end technologies from AI computing to networking, full-stack offerings from processors to software, and significant scale to advance next-generation data centers. The company is no longer actively tracked by PitchBook.</t>
  </si>
  <si>
    <t>Bessemer Venture Partners, Gemini Israel Ventures, IBM Ventures, Intel Capital, Jerusalem Global Ventures, Oracle, Quan Funds, Raza Venture Management, Saints Capital, Saiyed Atiq Raza, Sequoia Capital, Silicom Ventures, Starboard Value, Umesh Padval, US Venture Partners, Yigal Arnon</t>
  </si>
  <si>
    <t>Broadcom, Intel, Microsoft, Xilinx</t>
  </si>
  <si>
    <t>Bessemer Venture Partners(www.bvp.com), Gemini Israel Ventures(www.gemini.co.il), Intel Capital(www.intelcapital.com), Jerusalem Global Ventures(www.jgv.com), Oracle(www.oracle.com), Quan Funds(www.quanfunds.com), Saints Capital(www.saintscapital.com), Sequoia Capital(www.sequoiacap.com), Silicom Ventures(www.silicomventures.com), Starboard Value(www.starboardvalue.com), US Venture Partners(www.usvp.com), Yigal Arnon(www.arnon.co.il)</t>
  </si>
  <si>
    <t>Broadcom(www.broadcom.com), Intel(www.intel.com), Microsoft(www.microsoft.com), Xilinx(www.xilinx.com)</t>
  </si>
  <si>
    <t>FBN Securities(Advisor: General), Kekst CNC(Advisor: Communications), Moore Stephens International(Accounting), Sequoia Consulting Group(Consulting)</t>
  </si>
  <si>
    <t>Compass Lexecon(Advisor: General), Credit Suisse(Underwriter), Herzog Fox &amp; Neeman(Legal Advisor), J.P. Morgan(Underwriter), Jefferies Financial Group(Underwriter), Kligler &amp; Associates(Legal Advisor), Latham &amp; Watkins(Legal Advisor), Piper Sandler(Advisor: General), PwC(Accounting), Thomas Weisel Partners Group(Underwriter), Yigal Arnon(Legal Advisor)</t>
  </si>
  <si>
    <t>187950-79</t>
  </si>
  <si>
    <t>E.ON Sverige (40 Hydropower Plants)</t>
  </si>
  <si>
    <t>A portfolio of 40 hydro-power plants in Sweden. The company's hydro-power assets include renewable and flexible power generation plants.</t>
  </si>
  <si>
    <t>Alternative Energy Equipment, Buildings and Property, Other Energy*</t>
  </si>
  <si>
    <t>hydropower, hydropower plant, power generation, power generation plant</t>
  </si>
  <si>
    <t>40 hydro-power plants of E.ON Sverige were acquired by Statkraft for EUR 4.5 billion on July 24, 2008. Through this agreement, Statkraft will strengthen its position as a flexible and environment-friendly energy provider in the Nordic and Continental markets. The assets are no longer actively tracked by PitchBook</t>
  </si>
  <si>
    <t>Statkraft</t>
  </si>
  <si>
    <t>E.ON Sverige</t>
  </si>
  <si>
    <t>E.ON Sverige(www.eon.se)</t>
  </si>
  <si>
    <t>10645-03</t>
  </si>
  <si>
    <t>Blue Yonder (Arizona)</t>
  </si>
  <si>
    <t>RedPrairie, McHugh Freeman &amp; Associates, Giants Holding, JDA Software Group</t>
  </si>
  <si>
    <t>JDA, BlueYonder</t>
  </si>
  <si>
    <t>Blue Yonder Group, Inc.</t>
  </si>
  <si>
    <t>Epicor Software, Aras, Logility, Steelwedge Software, Infor Global Solutions, TIBCO Software, Centric Software, E2open, Exceedra, Kinaxis, Cyberlogitec, 3PL Central, Agistix, OneSCM, John Galt, Tectonic (Business/Productivity Software), Workwise, Elementum, One Network Enterprises, Activ Technologies, GT Nexus, Tecsys, DataRobot, Looker, LLamasoft, Apptivo, SAP, JustEnough Software, Neogrid Europe, Oracle NetSuite, Omnify Software, Datoin, ShipXpress, Acsis, RELEX Solutions, Fishbowl Inventory, Salesforce.com, Bamboo Rose, FuturMaster, Samsung SDS Company, VMware, Avercast, Manhattan Associates, BusinessOptics, Anaplan, IQMS, Accera Sistemas Estrategicos, ToolsGroup, Aruba Networks, Wiser Solutions, Quintiq, Aptaris, Revionics, o9 Solutions, Terra Technology, American Software, Meridium, Fair Isaac, CommerceIQ, River Logic, SugarCRM, PTC Software, DynaSys, Flexport, 10-4 Systems, HubSpot, Diyotta, Pure Storage, Tellius, Predixion, Feature Labs, Qlik Technologies, Centrify, Oracle, Pentaho, Precisely (New York), Datascience.com, Tableau Software, Zendesk, SigOpt, Alteryx</t>
  </si>
  <si>
    <t>Provider of AI-driven supply chain management services. The company's services include inventory management, order-fulfillment services and workforce management helping its clients optimize delivery to customers by enabling them to predict and shape demand, fulfill faster and more intelligently and improve customer experiences and loyalty.</t>
  </si>
  <si>
    <t>SaaS, Supply Chain Tech, TMT</t>
  </si>
  <si>
    <t>inventory management, ordering fulfillment, supply chain tech, transaction system, workforce management</t>
  </si>
  <si>
    <t>www.blueyonder.com</t>
  </si>
  <si>
    <t>1998: 400, 2006: 738, 2016: 4300, 2018: 4400, 2019: 5000, 2020: 5500</t>
  </si>
  <si>
    <t>122414-95P</t>
  </si>
  <si>
    <t>Kevin Iaquinto</t>
  </si>
  <si>
    <t>Executive Vice President &amp; Chief Marketing Officer</t>
  </si>
  <si>
    <t>kevin.iaquinto@jda.com</t>
  </si>
  <si>
    <t>+1 (480) 308-3000</t>
  </si>
  <si>
    <t>15059 North Scottsdale Road</t>
  </si>
  <si>
    <t>85254-2666</t>
  </si>
  <si>
    <t>info@jda.com</t>
  </si>
  <si>
    <t>The company was acquired by Panasonic (TKS: 6752) for $7.1 billion on April 23, 2021. Panasonic aims to combine the company's AI tech with its own hardware. This acquisition would strengthen Panasonic's supply chain management services and comes notably during the COVID-19 pandemic where companies have had to cope with major disruption.</t>
  </si>
  <si>
    <t>Panasonic</t>
  </si>
  <si>
    <t>Advent International, Element Partners, Francisco Partners, GE Capital, Golden Gate Capital, New Mountain Capital, The Blackstone Group, Vestar Capital Partners</t>
  </si>
  <si>
    <t>Advent International(www.adventinternational.com), Element Partners(www.elementpartners.com), Francisco Partners(www.franciscopartners.com), GE Capital(www.gecapital.com), Golden Gate Capital(www.goldengatecap.com), New Mountain Capital(www.newmountaincapital.com), The Blackstone Group(www.blackstone.com), Vestar Capital Partners(www.vestarcapital.com)</t>
  </si>
  <si>
    <t>Blackstone Capital Company(Advisor: General), BofA Securities(Lead Manager or Arranger), Brunswick Group(Advisor: General), Chatham Financial(Consulting), Matter Communications(Advisor: General), Vaco(Consulting)</t>
  </si>
  <si>
    <t>Ares Capital(Debt Financing), Bank of America(Advisor: General), Bank of America Merrill Lynch(Underwriter), Barings BDC(Debt Financing), Business Development Corporation of America(Debt Financing), CION Investments(Debt Financing), Corporate Capital Trust(Debt Financing), Cravath, Swaine &amp; Moore(Legal Advisor), Credit Suisse(Underwriter), Fried, Frank, Harris, Shriver &amp; Jacobson(Legal Advisor), FS KKR Capital(Debt Financing), Gladstone Capital(Debt Financing), Golub Capital BDC(Debt Financing), Jefferies Group(Advisor: General), JPMorgan Chase(Advisor: General), Needham &amp; Company(Lead Manager or Arranger), Oppenheimer &amp; Company(Lead Manager or Arranger), Oxford Square Capital(Debt Financing), Simpson Thacher &amp; Bartlett(Legal Advisor), SMB-Capital(Advisor: General), The Goldman Sachs Group(Advisor: General), UBS Group(Advisor: General)</t>
  </si>
  <si>
    <t>183379-51</t>
  </si>
  <si>
    <t>Clarica Life Insurance</t>
  </si>
  <si>
    <t>Clarica Life Insurance Co.</t>
  </si>
  <si>
    <t>Provider of life insurance services. The company is engaged in providing life insurance plans such as children's future plans, retirement plans and wealth protection plans.</t>
  </si>
  <si>
    <t>life insurance agency, life insurance policy, life insurance service</t>
  </si>
  <si>
    <t>172932-49P</t>
  </si>
  <si>
    <t>Robert Astley</t>
  </si>
  <si>
    <t>Waterloo, Canada</t>
  </si>
  <si>
    <t>PO BOX 1601</t>
  </si>
  <si>
    <t>Waterloo</t>
  </si>
  <si>
    <t>N2K 4C5</t>
  </si>
  <si>
    <t>The company was acquired by Sun Life Financial (TSE: SLF) for $7.1 billion on May 29, 2002. The company is no longer actively tracked by PitchBook.</t>
  </si>
  <si>
    <t>CI Financial, Sun Life Financial</t>
  </si>
  <si>
    <t>Davies Ward Phillips &amp; Vineberg(Legal Advisor), Heenan Blaikie(Legal Advisor)</t>
  </si>
  <si>
    <t>41147-11</t>
  </si>
  <si>
    <t>Energen</t>
  </si>
  <si>
    <t>Alabama Gas Corporation</t>
  </si>
  <si>
    <t>Energen Corp.</t>
  </si>
  <si>
    <t>RSP Permian, Penn Virginia, Contango Oil &amp; Gas, EXCO Resources, Approach Resources, Centennial Resource Development, Kamchatgazprom, Anadarko Petroleum, Abraxas Petroleum, Laredo Energy IV, Callon Petroleum Company, Gazprom Investproject, Oasis Petroleum, Rice Energy, Newfield Exploration, Chaparral Energy, Lilis Energy, Obsidian Energy, Pengrowth Energy, Grizzly Energy, Energy XXI Gulf Coast, Clayton Williams Energy, Carrizo Oil and Gas, Arc Resources, Matador Resources, W&amp;T Offshore, Chesapeake Energy, Lundin Energy, Apache, QEP Resources, Norris Industries, EOG Resources, Woodside Petroleum, Antero Resources, Devon Energy, Concho Resources, SM Energy, Laredo Petroleum, XTO Energy, California Resources, Cimarex Energy, Lewis Energy Group, WPX Energy, EQT Production Company, Mayan Energy, Santos, G3 Exploration, Cabot Oil &amp; Gas, Chevron, Canadian Natural Resources, Syncrude Canada, Pioneer Natural Resources, Royal Dutch Shell, Erin Energy, Murphy Oil, LINN Energy, Noble Drilling, LukOil, SandRidge Energy, Suncor Energy, Noble Energy, Occidental Petroleum, Gazprom Neft Shelf, Imperial Oil, DCP Midstream, Hess, ConocoPhillips, Total, Southwestern Energy, Gazprom neftekhim Salavat, Enerplus, Zion Oil &amp; Gas</t>
  </si>
  <si>
    <t>Provider of oil and gas exploration services in United States. The company's services include drilling and development of multiple horizontal shale formations in the Delaware and Midland basins, as well as in the Permian Basin of west Texas and New Mexico.</t>
  </si>
  <si>
    <t>gas exploration, gas extraction, oil exploration, oil extraction, oil producer</t>
  </si>
  <si>
    <t>www.energen.com</t>
  </si>
  <si>
    <t>1990: 1505, 1991: 1569, 1992: 1552, 1993: 1568, 1994: 1568, 1995: 55, 1996: 1437, 1997: 1469, 1998: 2842, 1999: 1399, 2000: 1401, 2001: 1485, 2002: 1533, 2003: 1500, 2004: 1484, 2005: 1500, 2006: 1530, 2007: 1542, 2008: 1530, 2009: 1530, 2010: 1530, 2011: 1540, 2012: 1575, 2013: 1434, 2014: 550, 2015: 470, 2016: 390, 2017: 390</t>
  </si>
  <si>
    <t>169976-53P</t>
  </si>
  <si>
    <t>Charles Porter</t>
  </si>
  <si>
    <t>Chief Financial Officer, Treasurer &amp; Vice President</t>
  </si>
  <si>
    <t>Birmingham, AL</t>
  </si>
  <si>
    <t>605 Richard Arrington, Junior Boulevard North</t>
  </si>
  <si>
    <t>Alabama</t>
  </si>
  <si>
    <t>35203</t>
  </si>
  <si>
    <t>The company (NYSE: EGN) was acquired by Diamondback Energy (NASDAQ: FANG) for $8.37 billion on November 29, 2018. Under the terms of the acquisition agreement, EGN shareholders will be entitled to receive 0.6442 of a FANG share for each EGN share they own, representing consideration of $74.26 based on FANG's August 15 trading price. Finally, upon completion of the transaction EGN shareholders will only have a 38% stake in ownership of the combined company. This acquisition represents a transformational moment for both Diamondback, as they are set to benefit from owning the premier large cap Permian independent with industry leading production growth, operating efficiency, margins and capital productivity supporting an increasing capital return program. The deal is expected to close by the end of the fourth quarter of 2018. The company is no longer actively tracked by PitchBook.</t>
  </si>
  <si>
    <t>Diamondback Energy</t>
  </si>
  <si>
    <t>Balyasny Asset Management, ClariVest Asset Management, Corvex Management, DekaBank Deutsche Girozentrale, Elliott Management, Highfields Capital Management, Icahn Enterprises</t>
  </si>
  <si>
    <t>Balyasny Asset Management(www.bamfunds.com), ClariVest Asset Management(www.clarivest.com), DekaBank Deutsche Girozentrale(www.deka.de), Elliott Management(www.elliottmgmt.com), Highfields Capital Management(www.highfieldscapital.com), Icahn Enterprises(www.ielp.com)</t>
  </si>
  <si>
    <t>Citigroup Global Markets(Advisor: General), J.P. Morgan(Advisor: General), Perella Weinberg Partners(Advisor: General), Rigrodsky &amp; Long(Legal Advisor), Tudor, Pickering, Holt &amp; Company(Advisor: General), Wachtell, Lipton, Rosen &amp; Katz(Legal Advisor)</t>
  </si>
  <si>
    <t>10972-72</t>
  </si>
  <si>
    <t>Lightower Fiber Networks</t>
  </si>
  <si>
    <t>Lightower</t>
  </si>
  <si>
    <t>Lightower Fiber Networks LLC</t>
  </si>
  <si>
    <t>United Fiber &amp; Data, CommScope, GlobeNet Cabos Submarinos, FiberLight, Hughes Network Systems, euNetworks, Axiom Fiber Networks, Consolidated Communications, Unite Private Networks, Segra (Charlotte), Lumen Technologies, Gigaclear, FirstLight Fiber, Clearwave Communications, Hibernia Networks, Infinera, MetroNet (Indiana), PS Lightwave, FPL FiberNet, Cross River Fiber, Tata Communications, Alpheus Communications, Expereo International, EarthLink, Maine Fiber Company, GCI Communication, Reliance Communications, OneConnect Services, Telefónica El Salvador, Neutral Path Communications, Telecom Italia Sparkle, Broadview Networks, Silver Peak, Truphone, Towerstream, Ciena, Shentel, NuLink</t>
  </si>
  <si>
    <t>Provider of all-fiber, high-performance networking service intended to provide limitless connectivity to organizations. The company uses a 33,000 miles network throughout the Northeast, Mid-Atlantic and Midwest for providing dense connectivity to thousands of customers in health care, financial services, media and content, cloud infrastructure, carriers and education industry and government organizations. It also provides back-up and recovery, content carriage, and media distribution services to its clients.</t>
  </si>
  <si>
    <t>Fiberoptic Equipment, Wireless Communications Equipment*</t>
  </si>
  <si>
    <t>fiber network, fiber network services, fiber optic, networking service, wireless infrastructure</t>
  </si>
  <si>
    <t>www.lightower.com</t>
  </si>
  <si>
    <t>2015: 510</t>
  </si>
  <si>
    <t>33552-73P</t>
  </si>
  <si>
    <t>Eric Sandman</t>
  </si>
  <si>
    <t>Boxborough, MA</t>
  </si>
  <si>
    <t>80 Central Street</t>
  </si>
  <si>
    <t>Boxborough</t>
  </si>
  <si>
    <t>01719</t>
  </si>
  <si>
    <t>The company was acquired by Crown Castle International (NYSE: CCI) for $7.1 billion on November 1, 2017. The deal will expand Crown's fiber footprint in urban areas of the U.S. northeast. The company is no longer actively tracked by PitchBook.</t>
  </si>
  <si>
    <t>Crown Castle International</t>
  </si>
  <si>
    <t>ABRY Partners, Berkshire Partners, GoldPoint Partners, HarbourVest Partners, M/C Partners, National Grid, Pamlico Capital, Peppertree Capital Management, Ridgemont Equity Partners, Spectrum Equity</t>
  </si>
  <si>
    <t>ABRY Partners(www.abry.com), Berkshire Partners(www.berkshirepartners.com), GoldPoint Partners(www.goldpointpartners.com), HarbourVest Partners(www.harbourvest.com), M/C Partners(www.mcpartners.com), National Grid(www.nationalgrid.com), Pamlico Capital(www.pamlicocapital.com), Peppertree Capital Management(www.peppertreecapital.com), Ridgemont Equity Partners(www.ridgemontep.com), Spectrum Equity(www.spectrumequity.com)</t>
  </si>
  <si>
    <t>Liberty Advisor Group(Advisor: General), Macquarie Asset Management(Advisor: General), Pendo Advisors(Advisor: General), RBS Hoare Govett(Advisor: General)</t>
  </si>
  <si>
    <t>Alston &amp; Bird(Legal Advisor), Citigroup(Advisor: General), Corporate Capital Trust(Debt Financing), Covington Associates(Advisor: General), Edwards Wildman Palmer(Legal Advisor), Evercore Group(Advisor: General), GE Capital(Debt Financing), GE Capital Markets(Debt Financing), GE Capital Telecom Media and Technology(Debt Financing), GE Commercial Finance(Debt Financing), Morgan Stanley(Advisor: General), Pendo Advisors(Advisor: General), Ropes &amp; Gray(Legal Advisor)</t>
  </si>
  <si>
    <t>Revolving Credit Line - $250.00M</t>
  </si>
  <si>
    <t>55440-82</t>
  </si>
  <si>
    <t>Newbridge Networks</t>
  </si>
  <si>
    <t>Newbridge Networks Corp</t>
  </si>
  <si>
    <t>Manufacturer of switches and wireless products for Internet providers based in Kanata, Canada. The company offers ATM, frame relay, ADSL, LMDS and advanced leased line networking solutions.</t>
  </si>
  <si>
    <t>networking product, networking product manufacturer, networking providers, wireless internet, wireless network device</t>
  </si>
  <si>
    <t>www.newbridgenetworks.com</t>
  </si>
  <si>
    <t>Kanata, Canada</t>
  </si>
  <si>
    <t>600 March Road</t>
  </si>
  <si>
    <t>PO Box 13600</t>
  </si>
  <si>
    <t>Kanata</t>
  </si>
  <si>
    <t>K2K 2E6</t>
  </si>
  <si>
    <t>The company was acquired by Alcatel-Lucent for $7.1 billion on February 24, 2000. The company is being actively tracked by PitchBook.</t>
  </si>
  <si>
    <t>Alcatel-Lucent</t>
  </si>
  <si>
    <t>188040-07</t>
  </si>
  <si>
    <t>Perspecta</t>
  </si>
  <si>
    <t>PRSP</t>
  </si>
  <si>
    <t>Perspecta Inc.</t>
  </si>
  <si>
    <t>Dimension Data, Computer Sciences, CGI Group, Coforge, Astadia, NTT Data, Capax Global, Cloud Sherpas, Booz Allen, Unisys, Fujitsu, Security Risk Advisors, Cap Gemini BAS, Oracle, Carahsoft Technology, Nihon Unisys, Seaweed File System, Zoho Corporation, Infosys, Smartronix, Capgemini, Science Applications International, ECS Federal, CACI</t>
  </si>
  <si>
    <t>Perspecta Inc provides IT solutions. The company provides end end-to-end, technology-focused solutions, leveraging the full spectrum of its offerings and industry expertise to ensure broader access to customers, capabilities and contract vehicles.</t>
  </si>
  <si>
    <t>digital transformation support, enterprise operations management, information technology service, it service business, it service provider, mission services</t>
  </si>
  <si>
    <t>www.perspecta.com</t>
  </si>
  <si>
    <t>2017: 7700, 2018: 7700, 2019: 14300, 2020: 14000</t>
  </si>
  <si>
    <t>191580-94P</t>
  </si>
  <si>
    <t>John Kavanaugh</t>
  </si>
  <si>
    <t>Chief Financial Officer, Finance &amp; Senior Vice President</t>
  </si>
  <si>
    <t>john.kavanaugh@perspecta.com</t>
  </si>
  <si>
    <t>Chantilly, VA</t>
  </si>
  <si>
    <t>15052 Conference Center Drive</t>
  </si>
  <si>
    <t>Chantilly</t>
  </si>
  <si>
    <t>20151</t>
  </si>
  <si>
    <t>The company was acquired by Peraton, via its financial sponsor Veritas Capital, through a $7.1 billion public-to-private LBO on May 5, 2021. The combination will create a leading government technology provider that delivers end-to-end capabilities in IT and mission support and serves as the strategic partner of choice across a diverse array of U.S. government customers.The company is no longer actively tracked by PitchBook.</t>
  </si>
  <si>
    <t>Peraton</t>
  </si>
  <si>
    <t>DXC Technology</t>
  </si>
  <si>
    <t>Veritas Capital</t>
  </si>
  <si>
    <t>DXC Technology(www.dxc.technology)</t>
  </si>
  <si>
    <t>Veritas Capital(www.veritascapital.com)</t>
  </si>
  <si>
    <t>Paul, Weiss, Rifkind, Wharton &amp; Garrison(Legal Advisor), Stone Key Partners(Advisor: General), The Goldman Sachs Group(Advisor: General)</t>
  </si>
  <si>
    <t>151690-51</t>
  </si>
  <si>
    <t>Red Back Mining</t>
  </si>
  <si>
    <t>Champion Resources</t>
  </si>
  <si>
    <t>Red Back Mining, Inc.</t>
  </si>
  <si>
    <t>Producer of gold. The company is a Vancouver based mineral resource company that offers gold mine exploration services.</t>
  </si>
  <si>
    <t>canada mineral, gold mine, gold miner, gold ounce, mineral exploration</t>
  </si>
  <si>
    <t>2008: 578, 2016: 11</t>
  </si>
  <si>
    <t>Suite 2101 - 885 West Georgia Street</t>
  </si>
  <si>
    <t>V6C 3E8</t>
  </si>
  <si>
    <t>The company was acquired by Kinross Gold (NYSE: KRC) for $7.1 billion on September 17, 2010. The company is no longer actively tracked by PitchBook.</t>
  </si>
  <si>
    <t>Kinross Gold</t>
  </si>
  <si>
    <t>Blake, Cassels &amp; Graydon(Legal Advisor), CIBC Capital Markets(Advisor: General), Scotiabank Global Banking and Markets(Advisor: General)</t>
  </si>
  <si>
    <t>11357-65</t>
  </si>
  <si>
    <t>Volvo Group (STO: VOLV A)</t>
  </si>
  <si>
    <t>Volvo</t>
  </si>
  <si>
    <t>AB Volvo</t>
  </si>
  <si>
    <t>Eicher Motors, NFI Group, Harmonic Drive Systems, Global Pmx Company, Scania, Crane Carrier Company, REV Group, Iveco, Tata Motors, Kubota, Opel Automobile, MAN Truck &amp; Bus, Mitsubishi Heavy Industries, Vicinity Motor Corp, Freightliner, Volkswagen, Toyota Logistics, Saab</t>
  </si>
  <si>
    <t>Volvo AB is the world's second- largest manufacturer of heavy-duty trucks and largest manufacturer of heavy diesel engines. Its Volvo brand sells medium- and heavy-duty trucks worldwide; the Renault brand sells various types of commercial trucks in Europe and Mack manufactures primarily vocational trucks for sale in North America. Volvo also sells buses, construction equipment, marine drive systems, aircraft engine components, and financial services.</t>
  </si>
  <si>
    <t>Industrial Supplies and Parts, Road*</t>
  </si>
  <si>
    <t>automotive manufacturer, bus manufacturer, commercial transport, commercial truck, construction equipment, transport vehicle, truck manufacturer</t>
  </si>
  <si>
    <t>www.volvogroup.com</t>
  </si>
  <si>
    <t>1991: 78690, 1992: 60635, 1993: 73641, 1994: 60115, 1995: 79050, 1996: 70330, 1997: 79050, 1998: 79820, 1999: 53148, 2000: 54270, 2001: 53470, 2002: 70546, 2003: 73156, 2004: 78196, 2005: 81860, 2006: 83190, 2007: 101698, 2008: 101400, 2009: 97030, 2010: 94250, 2011: 116911, 2012: 115265, 2013: 96031, 2014: 94625, 2015: 104382, 2016: 98644, 2017: 99631, 2018: 105350, 2019: 107329, 2020: 99036, 2021: 98982</t>
  </si>
  <si>
    <t>STO</t>
  </si>
  <si>
    <t>VOLV A</t>
  </si>
  <si>
    <t>90092-98P</t>
  </si>
  <si>
    <t>Jan Gurander</t>
  </si>
  <si>
    <t>Deputy Chief Executive Officer</t>
  </si>
  <si>
    <t>+46 (0)31660000</t>
  </si>
  <si>
    <t>Gothenburg, Sweden</t>
  </si>
  <si>
    <t>Gothenburg</t>
  </si>
  <si>
    <t>405 08</t>
  </si>
  <si>
    <t>A 14.9% stake in the company (STO: VOLV A) was acquired by Geely Automobile Holdings for EUR 5.834 billion on January 26, 2018.</t>
  </si>
  <si>
    <t>Geely Automobile Holdings</t>
  </si>
  <si>
    <t>Cevian Capital</t>
  </si>
  <si>
    <t>Geely Automobile Holdings(www.geelyauto.com.hk)</t>
  </si>
  <si>
    <t>Cevian Capital(www.ceviancapital.com)</t>
  </si>
  <si>
    <t>Axiom Consulting Partners(Consulting), Carnegie Investment Bank(Advisor: General), Deloitte(Auditor), Greenberg Traurig(Legal Advisor), Khaitan &amp; Company(Legal Advisor), NVC Consulting(Advisor: General), Park Place Corporate Finance(Advisor: General), PwC(Auditor), Scopernia(Consulting), Simon-Kucher &amp; Partners(Consulting)</t>
  </si>
  <si>
    <t>Barclays Investment Bank(Underwriter), Nomura International(Underwriter), Park Place Corporate Finance(Advisor: General), PwC(Auditor)</t>
  </si>
  <si>
    <t>64864-09</t>
  </si>
  <si>
    <t>Reynolds American (Assets)</t>
  </si>
  <si>
    <t>Portfolio of cigarette brands and related assets. The portfolio includes several American brands of cigarettes and other tobacco assets.</t>
  </si>
  <si>
    <t>Buildings and Property*, Other Consumer Non-Durables</t>
  </si>
  <si>
    <t>cigarettes, cigarettes branding, reynolds american cigarettes, reynolds cigarettes</t>
  </si>
  <si>
    <t>Winston-Salem, NC</t>
  </si>
  <si>
    <t>Winston-Salem</t>
  </si>
  <si>
    <t>27101</t>
  </si>
  <si>
    <t>American cigarette brands and assets of Reynolds American (NYSE: RAI) were acquired by Imperial Tobacco Group (LSE: IMT) for $7.05 billion on June 12, 2015. The assets are no longer actively tracked by PitchBook.</t>
  </si>
  <si>
    <t>Reynolds American(www.reynoldsamerican.com)</t>
  </si>
  <si>
    <t>63220-87</t>
  </si>
  <si>
    <t>Novartis (Vaccines Business)</t>
  </si>
  <si>
    <t>Provider of vaccines. The business operates as a research and development company with a technology platform based on novel adjuvants and delivery systems primarily for vaccine formulations.</t>
  </si>
  <si>
    <t>Drug Delivery*, Drug Discovery, Other Pharmaceuticals and Biotechnology</t>
  </si>
  <si>
    <t>delivery service, healthcare service, vaccines service</t>
  </si>
  <si>
    <t>32016-61P</t>
  </si>
  <si>
    <t>Jason Brown</t>
  </si>
  <si>
    <t>Head of Financial Planning</t>
  </si>
  <si>
    <t>jason.brown@ge.com</t>
  </si>
  <si>
    <t>Lichstrasse 35</t>
  </si>
  <si>
    <t>4056</t>
  </si>
  <si>
    <t>The Vaccines Business of Novartis (SWX: NOVN) was acquired by GlaxoSmithKline (LSE: GSK) for $7.05 billion on March 2, 2015. The consideration consists of $5.25 billion upfront and $1.8 billion in earn out payments in addition to royalties. The business is no longer actively tracked by PitchBook.</t>
  </si>
  <si>
    <t>Novartis(www.novartis.com)</t>
  </si>
  <si>
    <t>59358-25</t>
  </si>
  <si>
    <t>Frutarom Industries</t>
  </si>
  <si>
    <t>Frutarom Palestine</t>
  </si>
  <si>
    <t>Frutarom</t>
  </si>
  <si>
    <t>Frutarom Industries Ltd.</t>
  </si>
  <si>
    <t>Comax Flavors, Symrise, Parker Products, Wild Flavors, Michael Foods, Chobani, Prinova, Nactis Flavours, INOLEX, Nellson Nutraceutical, Dauper Indústria e Comércio de Biscoitos, Ornua, Brookside Flavors and Ingredients, Indfrag, ZoomEssence, Doehler Group, Omega Protein, Quaker Oats, Campus (Food Ingredients), WhiteWave Foods, Oléos, Mondelēz International, Dean Foods, Sensient Technologies</t>
  </si>
  <si>
    <t>Producer and supplier of flavor and ingredients created to offer tastier and healthier products to its customers. The company's flavor and ingredients include flavor ingredients for spices, confectionery, cosmetics and personal-care products, enabling the personal, food and beverage industry to buy natural and innovative fragrances and ingredients for their production activities.</t>
  </si>
  <si>
    <t>Commodity Chemicals</t>
  </si>
  <si>
    <t>Commodity Chemicals*, Cultivation, Food Products</t>
  </si>
  <si>
    <t>flavors agent, food beverages, food protection product, rosemary extracts</t>
  </si>
  <si>
    <t>www.frutarom.com</t>
  </si>
  <si>
    <t>2007: 1499, 2008: 1450, 2009: 1448, 2010: 1472, 2011: 1644, 2013: 2700, 2014: 3034, 2015: 3734, 2016: 4748, 2017: 5223, 2018: 5600</t>
  </si>
  <si>
    <t>Herzliya, Israel</t>
  </si>
  <si>
    <t>Manofim Street</t>
  </si>
  <si>
    <t>Herzliya</t>
  </si>
  <si>
    <t>2611001</t>
  </si>
  <si>
    <t>The company was acquired by International Flavors &amp; Fragrances (NYSE: IFF) for $7.10 billion on October 4, 2018. This acquisition will lead the acquirer to a faster and more profitable growth, enhanced free cash flow and generate greater returns for their shareholders. Under the deal, the company's shareholders will receive $71.19 in cash and 0.249 of a share of IFF common stock for each Frutarom share. The transaction also includes assumption of approximately $681 million of Frutarom's net debt. The company will de-list its shares post the acquisition. The company is no longer actively tracked by PitchBook.</t>
  </si>
  <si>
    <t>Electrochemical Industries</t>
  </si>
  <si>
    <t>IMAP M&amp;A Consultants(Advisor: General)</t>
  </si>
  <si>
    <t>Bank of America Merrill Lynch(Advisor: General), Greenhill &amp; Co.(Advisor: General)</t>
  </si>
  <si>
    <t>41289-49</t>
  </si>
  <si>
    <t>Coherent (NAS: COHR)</t>
  </si>
  <si>
    <t>Coherent Radiation Laboratories</t>
  </si>
  <si>
    <t>Coherent, Inc.</t>
  </si>
  <si>
    <t>IPG Photonics, Lumentum Holdings, Novanta, Keyence, Toptica Photonics, Datalogic, ZEISS International, NKT Photonics, Amplitude Laser, Banner Engineering, nLIGHT, Precision Castparts, Zygo (Electrical Equipment), Nikon, Kenney &amp; Ross Ltd., II-VI, Newport, TRUMPF, Han's Laser Technology Industry Group Company, Energetiq Technology, Aerotech, Control Laser, Raycus Fiber Laser Technologies, Sick Stegmann, TYKMA, Electro Scientific Industries, Zaber Technologies, 3M India, Allegheny Technologies, Zebra Technologies, BWT Beijing, Bei Precision, Epilog Laser, Dymax (United States), Hiwin Technologies</t>
  </si>
  <si>
    <t>Coherent Inc supplies photonics-based solutions for commercial and scientific research applications. The firm operates in two segments: OEM Laser Sources and Industrial Lasers &amp; Systems. The OEM Laser Sources segment develops and manufactures products for the microelectronics, scientific research, government, and original equipment manufacturer markets. This business contributes the majority of revenue. The Industrial Lasers &amp; Systems segment makes products for the materials processing, OEM components and instrumentation, and microelectronics markets, with a focus on higher-volume products that are sold in set configurations. The majority of Coherent's revenue is generated outside of the United States.</t>
  </si>
  <si>
    <t>Electrical Equipment*, Other Commercial Products</t>
  </si>
  <si>
    <t>CleanTech, Manufacturing, TMT</t>
  </si>
  <si>
    <t>laser solutions, laser technology, laser-based equipment, laser-based product, laser-based sensors, laser-based technology</t>
  </si>
  <si>
    <t>www.coherent.com</t>
  </si>
  <si>
    <t>1990: 1519, 1991: 1594, 1992: 1394, 1993: 1217, 1994: 1291, 1995: 1528, 1996: 1794, 1997: 2131, 1998: 2261, 1999: 2417, 2000: 2839, 2001: 2372, 2002: 2190, 2003: 2136, 2004: 2218, 2005: 2189, 2006: 2345, 2007: 2339, 2008: 2149, 2009: 1712, 2010: 2006, 2011: 2309, 2012: 2328, 2013: 2514, 2014: 2519, 2015: 2586, 2016: 2787, 2017: 5218, 2018: 5418, 2019: 5184, 2020: 4875, 2021: 2190</t>
  </si>
  <si>
    <t>COHR</t>
  </si>
  <si>
    <t>39871-27P</t>
  </si>
  <si>
    <t>Kevin Palatnik</t>
  </si>
  <si>
    <t>kevin.palatnik@coherent.com</t>
  </si>
  <si>
    <t>+1 (800) 527-3786</t>
  </si>
  <si>
    <t>5100 Patrick Henry Drive</t>
  </si>
  <si>
    <t>info@coherent.com</t>
  </si>
  <si>
    <t>The company reached a definitive agreement to be acquired by II-VI (NAS: IIVI) for $7.01 billion on March 25, 2021. The company will receive $220.00 in cash and 0.91 of a share of II-VI common stock for each Coherent share. The company is being actively tracked by PitchBook.</t>
  </si>
  <si>
    <t>Asset Management Ventures, Venrock</t>
  </si>
  <si>
    <t>II-VI, Lumentum Holdings</t>
  </si>
  <si>
    <t>Asset Management Ventures(www.assetman.com), Venrock(www.venrock.com)</t>
  </si>
  <si>
    <t>II-VI(ii-vi.com), Lumentum Holdings(www.lumentum.com)</t>
  </si>
  <si>
    <t>Sidoti &amp; Company(Advisor: General)</t>
  </si>
  <si>
    <t>Bank of America(Advisor: General), Bank of America Merrill Lynch(Advisor: General), Credit Suisse(Advisor: Financial Due Diligence), Kahn Swick &amp; Foti(Legal Advisor), Skadden, Arps, Slate, Meagher &amp; Flom(Legal Advisor)</t>
  </si>
  <si>
    <t>151598-80</t>
  </si>
  <si>
    <t>WMC Resources</t>
  </si>
  <si>
    <t>WMC Resources Ltd</t>
  </si>
  <si>
    <t>Provider of metals and mineral exploration services. The company's metals and mineral exploration services include nickel and copper mining, concentrating, smelting and refining in Australia.</t>
  </si>
  <si>
    <t>copper mining, metal exploration, metal refining, mineral exploration project, nickel mining</t>
  </si>
  <si>
    <t>www.wmc.com.au</t>
  </si>
  <si>
    <t>2002: 2897, 2003: 2897, 2004: 3066</t>
  </si>
  <si>
    <t>GPO Box 860K</t>
  </si>
  <si>
    <t>+61 (0)3 9685 6000</t>
  </si>
  <si>
    <t>The company was acquired by BHP Billiton (ASX: BHP) AUD 9.2 billion on June 3, 2005. The company is no longer actively tracked by PitchBook.</t>
  </si>
  <si>
    <t>Alumina</t>
  </si>
  <si>
    <t>Alumina(www.aluminalimited.com)</t>
  </si>
  <si>
    <t>100061-38</t>
  </si>
  <si>
    <t>Merck (Generics Division)</t>
  </si>
  <si>
    <t>Merck Generics</t>
  </si>
  <si>
    <t>Manufacturer of pharmaceutical products. The business unit specializes in the production of generic drugs.</t>
  </si>
  <si>
    <t>biotherapeutics, chemist, pharma</t>
  </si>
  <si>
    <t>2007: 5000</t>
  </si>
  <si>
    <t>86476-33P</t>
  </si>
  <si>
    <t>Ian McCubbin</t>
  </si>
  <si>
    <t>Global Operations Director</t>
  </si>
  <si>
    <t>Darmstadt, Germany</t>
  </si>
  <si>
    <t>Frankfurter Str. 250</t>
  </si>
  <si>
    <t>Darmstadt</t>
  </si>
  <si>
    <t>64293</t>
  </si>
  <si>
    <t>The company was acquired by Mylan (NYSE: MYL) for $7 billion on October 2, 2007. The company is no longer actively tracked by PitchBook.</t>
  </si>
  <si>
    <t>154302-85</t>
  </si>
  <si>
    <t>ARCO Alaska</t>
  </si>
  <si>
    <t>ARCO Alaska, Inc.</t>
  </si>
  <si>
    <t>Provider of oil and gas services in Alaska. The company provides services such as exploration, extraction and production of oil and natural gas properties.</t>
  </si>
  <si>
    <t>Energy Exploration, Gas Utilities*, Other Utilities</t>
  </si>
  <si>
    <t>oil extraction service</t>
  </si>
  <si>
    <t>Anchorage, AK</t>
  </si>
  <si>
    <t>700 G Street</t>
  </si>
  <si>
    <t>Anchorage</t>
  </si>
  <si>
    <t>Alaska</t>
  </si>
  <si>
    <t>99501</t>
  </si>
  <si>
    <t>The company, a subsidiary of BP (LON: BP), was acquired by Phillips (NYS: PSX) for $7 billion in 2002.</t>
  </si>
  <si>
    <t>Phillips 66</t>
  </si>
  <si>
    <t>40730-41</t>
  </si>
  <si>
    <t>Cheniere Energy (ASE: LNG)</t>
  </si>
  <si>
    <t>Cheniere</t>
  </si>
  <si>
    <t>Cheniere Energy, Inc.</t>
  </si>
  <si>
    <t>MPLX, Targa Resources, Williams Partners, TC Energy, Pembina Pipeline, Kinder Morgan, ONEOK, The Williams Companies, Enterprise Products Partners, Spectra Energy, Energy Transfer, Blue Roads Solutions</t>
  </si>
  <si>
    <t>Cheniere Energy owns and operates the Sabine Pass liquefied natural gas terminal via its stake in Cheniere Partners. It also owns the under-development Corpus Christi LNG terminals as well as Cheniere Marketing, which markets LNG using Cheniere's gas volumes.</t>
  </si>
  <si>
    <t>Energy Infrastructure, Energy Storage, Energy Transportation*</t>
  </si>
  <si>
    <t>gas receiving terminal, liquefaction facilities, liquefied natural gas, lng-related business, natural gas pipeline</t>
  </si>
  <si>
    <t>www.cheniere.com</t>
  </si>
  <si>
    <t>1997: 8, 1998: 9, 1999: 18, 2000: 12, 2001: 12, 2002: 14, 2003: 32, 2004: 63, 2005: 130, 2006: 256, 2007: 378, 2008: 378, 2009: 196, 2010: 196, 2011: 232, 2012: 306, 2013: 423, 2014: 642, 2015: 888, 2016: 911, 2017: 1230, 2018: 1372, 2019: 1530, 2020: 1519</t>
  </si>
  <si>
    <t>ASE</t>
  </si>
  <si>
    <t>LNG</t>
  </si>
  <si>
    <t>84485-53P</t>
  </si>
  <si>
    <t>Leonard Travis</t>
  </si>
  <si>
    <t>Chief Accounting Officer, Accounting &amp; Senior Vice President</t>
  </si>
  <si>
    <t>ltravis@cheniere.com</t>
  </si>
  <si>
    <t>+1 (713) 269-2399</t>
  </si>
  <si>
    <t>700 Milam Street</t>
  </si>
  <si>
    <t>Suite 1900</t>
  </si>
  <si>
    <t>+1 (713) 375-5000</t>
  </si>
  <si>
    <t>+1 (713) 375-6000</t>
  </si>
  <si>
    <t>info@cheniere.com</t>
  </si>
  <si>
    <t>The Blackstone Group (NYS: BX) sold a 48% stake in the company (NYSE: LNG) to Brookfield Asset Management (TSE: BAM.A), The Abu Dhabi Investment Authority and other undisclosed investors for approximately $7 billion on September 24, 2020.</t>
  </si>
  <si>
    <t>Brookfield Asset Management, Carl Icahn, EIG Global Energy Partners, The Abu Dhabi Investment Authority</t>
  </si>
  <si>
    <t>GE Energy Financial Services, RRJ Capital, Scorpion Capital Partners, Temasek Holdings, The Blackstone Group</t>
  </si>
  <si>
    <t>Brookfield Asset Management(www.brookfield.com), Carl Icahn(www.carlicahn.com), EIG Global Energy Partners(www.eigpartners.com), The Abu Dhabi Investment Authority(www.adia.ae)</t>
  </si>
  <si>
    <t>GE Energy Financial Services(www.geenergyfinancialservices.com), RRJ Capital(www.rrjcap.com), Temasek Holdings(www.temasek.com.sg), The Blackstone Group(www.blackstone.com)</t>
  </si>
  <si>
    <t>Credit Suisse(Advisor: General), GE Energy Financial Services(Debt Financing), Sullivan &amp; Cromwell(Legal Advisor), T.R. Winston &amp; Company(Advisor: General)</t>
  </si>
  <si>
    <t>90269-20</t>
  </si>
  <si>
    <t>Concord EFS</t>
  </si>
  <si>
    <t>Concord Computing</t>
  </si>
  <si>
    <t>Concord</t>
  </si>
  <si>
    <t>Concord EFS, Inc.</t>
  </si>
  <si>
    <t>Provider of electronic transaction services. The company's services include acquiring, routing, authorizing, capturing and settling virtually all types of electronic payment and deposit access transactions, enabling the financial institutions and merchants to make payments and other financial transactions faster, efficient and secure than paper-based alternatives.</t>
  </si>
  <si>
    <t>electronic payment service, electronic transaction services, fund transfer</t>
  </si>
  <si>
    <t>www.concordefs.com</t>
  </si>
  <si>
    <t>1990: 302, 1991: 302, 1992: 419, 1993: 412, 1994: 412, 1995: 474, 1996: 447, 1997: 592, 1998: 1102, 1999: 2265, 2000: 2119, 2001: 2628, 2002: 2640</t>
  </si>
  <si>
    <t>Memphis, TN</t>
  </si>
  <si>
    <t>2525 Horizon Lake Drive</t>
  </si>
  <si>
    <t>Suite 120</t>
  </si>
  <si>
    <t>Memphis</t>
  </si>
  <si>
    <t>38133</t>
  </si>
  <si>
    <t>The company was acquired by First Data (NYSE: FDC) for $7 billion in February 2004. The acquisition is a significant step in developing an open and competitive electronic payments system. The company is no longer actively tracked by PitchBook.</t>
  </si>
  <si>
    <t>Kirkland &amp; Ellis(Legal Advisor), The Goldman Sachs Group(Advisor: General), William Blair &amp; Company(Advisor: General)</t>
  </si>
  <si>
    <t>41547-88</t>
  </si>
  <si>
    <t>Dade Behring</t>
  </si>
  <si>
    <t>Behringwerke, Dade International</t>
  </si>
  <si>
    <t>Dade Behring Holdings Inc.</t>
  </si>
  <si>
    <t>Manufacturer of clinical diagnostic instruments, reagents and consumable supplies. The company offers a broad line of products and services and used for clinical chemistry, immunodiagnostics, automated microbiology, hemostasis and coagulation testing, plasma-protein testing, infectious-disease testing, therapeutic drug monitoring, laboratory quality control and testing for drugs of abuse in laboratories.</t>
  </si>
  <si>
    <t>Diagnostic Equipment, Medical Supplies*, Monitoring Equipment</t>
  </si>
  <si>
    <t>automated microbiology, clinical chemistry, laboratory product</t>
  </si>
  <si>
    <t>1994: 1200, 1997: 8700, 2002: 6000, 2003: 6000, 2004: 6000, 2005: 6300, 2006: 6400</t>
  </si>
  <si>
    <t>39060-82P</t>
  </si>
  <si>
    <t>James Anderson</t>
  </si>
  <si>
    <t>james.anderson@dadebehring.com</t>
  </si>
  <si>
    <t>Deerfield, IL</t>
  </si>
  <si>
    <t>1717 Deerfield Road</t>
  </si>
  <si>
    <t>Deerfield</t>
  </si>
  <si>
    <t>The company was acquired by Siemens Healthineers for $7 billion on November 7, 2007. The company went public-to-private through this transaction. The company is no longer actively tracked by PitchBook.</t>
  </si>
  <si>
    <t>Angelo, Gordon &amp; Company, Bain Capital, Baxter International, BNP Paribas, Goldman Sachs Merchant Banking Division, MassVentures, Newfleet Asset Management, Sculptor Capital Management</t>
  </si>
  <si>
    <t>Angelo, Gordon &amp; Company(www.angelogordon.com), Bain Capital(www.baincapital.com), Baxter International(www.baxter.com), BNP Paribas(www.group.bnpparibas), MassVentures(www.mass-ventures.com), Newfleet Asset Management(www.newfleet.com), Sculptor Capital Management(www.sculptor.com)</t>
  </si>
  <si>
    <t>Bain Capital(Debt Financing), Kirkland &amp; Ellis(Legal Advisor), PwC(Auditor)</t>
  </si>
  <si>
    <t>54327-88</t>
  </si>
  <si>
    <t>Excite</t>
  </si>
  <si>
    <t>Architext Software</t>
  </si>
  <si>
    <t>Excite, inc</t>
  </si>
  <si>
    <t>Provider of a Internet navigation network. The company offers a search engine, news, weather information, a web-based email, instant messaging, stock quotes, and a customizable user homepage.</t>
  </si>
  <si>
    <t>Social/Platform Software*</t>
  </si>
  <si>
    <t>instant messaging</t>
  </si>
  <si>
    <t>FY 1995</t>
  </si>
  <si>
    <t>37085-14P</t>
  </si>
  <si>
    <t>Joe Kraus</t>
  </si>
  <si>
    <t>jkraus@gv.com</t>
  </si>
  <si>
    <t>Redwood City, CA</t>
  </si>
  <si>
    <t>555 Broadway</t>
  </si>
  <si>
    <t>Redwood City</t>
  </si>
  <si>
    <t>94063</t>
  </si>
  <si>
    <t>The company was acquired by At Home (NASDAQ: TCOMA) for $7 billion on May 28, 1999. The company is longer actively tracked by PitchBook.</t>
  </si>
  <si>
    <t>At Home</t>
  </si>
  <si>
    <t>Intuit, IVP, Kleiner Perkins, Polaris Partners, Tribune Ventures, Verizon Media Group</t>
  </si>
  <si>
    <t>Intuit(www.intuit.com), IVP(www.ivp.com), Kleiner Perkins(www.kleinerperkins.com), Polaris Partners(www.polarispartners.com), Verizon Media Group(www.verizonmedia.com)</t>
  </si>
  <si>
    <t>Consilium Partners(Advisor: General), E*Law Group(Legal Advisor), EY(Auditor), Fenwick &amp; West(Legal Advisor), Morris, Nichols, Arsht &amp; Tunnell(Legal Advisor), PwC(Auditor), Robertson Stephens (Out of Business in 2017)(Advisor: General)</t>
  </si>
  <si>
    <t>Capitalization</t>
  </si>
  <si>
    <t>57302-11</t>
  </si>
  <si>
    <t>Glencore Xstrata (Copper Mines in Peru)</t>
  </si>
  <si>
    <t>Las Bambas project in Peru</t>
  </si>
  <si>
    <t>Provider of mining services in the region of Peru. The company provides services through the Las Bambas copper project in Peru's Cotabambas and Grau Provinces.</t>
  </si>
  <si>
    <t>copper, las bamba, mining service, peru</t>
  </si>
  <si>
    <t>Las Bambas, Peru</t>
  </si>
  <si>
    <t>Las Bambas</t>
  </si>
  <si>
    <t>Peru</t>
  </si>
  <si>
    <t>Glencore Xstrata (LSE: GLEN) on August 01, 2014 was acquired by Minmetals, MMG (HK: 1208), CITIC Metal and GUOXIN Group for $7 billion. The project is no longer actively tracked by PitchBook.</t>
  </si>
  <si>
    <t>China Minmetals, CITIC Metal, GUOXIN Group, MMG</t>
  </si>
  <si>
    <t>Chinalco Mining, CITIC Capital, Jiangxi Copper Group, Magris Resources, Newmont, Teck Resources, The Blackstone Group</t>
  </si>
  <si>
    <t>Glencore(www.glencore.com)</t>
  </si>
  <si>
    <t>Chinalco Mining(www.chinalco-cmc.com), CITIC Capital(www.citiccapital.com), Jiangxi Copper Group(www.jxcc.com), Magris Resources(www.magrispm.com), Newmont(www.newmontgoldcorp.com), Teck Resources(www.teck.com), The Blackstone Group(www.blackstone.com)</t>
  </si>
  <si>
    <t>China Development Bank(Debt Financing), CLSA(Advisor: General), GRUPO MACRO(Advisor: General)</t>
  </si>
  <si>
    <t>221447-89</t>
  </si>
  <si>
    <t>Impact Biomedicines</t>
  </si>
  <si>
    <t>Impact</t>
  </si>
  <si>
    <t>Impact Biomedicines, Inc.</t>
  </si>
  <si>
    <t>Developer of life-changing treatments for patients with myeloproliferative neoplasms and other cancers. The company's drugs focus on fedratinib, an oral small molecule kinase inhibitor that is being developed initially for the treatment of myelofibrosis and polycythemia vera as well as for acute myeloid leukemia (AML) and colorectal cancer (CRC).</t>
  </si>
  <si>
    <t>acute myeloid leukemia, cancer treatment, colorectal cancer, inhibitors drugs, myelofibrosis, myeloproliferative neoplasms, polycythemia vera</t>
  </si>
  <si>
    <t>www.impactbiomedicines.com</t>
  </si>
  <si>
    <t>172713-07P</t>
  </si>
  <si>
    <t>Raghu Saripalli</t>
  </si>
  <si>
    <t>Chief Financial Officer &amp; Co-Founder</t>
  </si>
  <si>
    <t>+1 (858) 537-1700</t>
  </si>
  <si>
    <t>12526 High Bluff Drive</t>
  </si>
  <si>
    <t>Suite 260</t>
  </si>
  <si>
    <t>The company was acquired by Celgene (NASDAQ: CELG) for $7 billion on February 12, 2018. Celgene will pay $1.1 billion in cash upfront and an additional $1.4 billion, depending on the receipt of U.S. Food and Drug Administration milestone approvals and will make payments depending on sales, with a maximum of $4.5 billion due if annual net sales of Impact's treatments exceed $5 billion. The company is no longer actively tracked by PitchBook.</t>
  </si>
  <si>
    <t>Medicxi, Sanofi</t>
  </si>
  <si>
    <t>Medicxi(www.medicxi.com), Sanofi(www.sanofi.com)</t>
  </si>
  <si>
    <t>Latham &amp; Watkins(Legal Advisor), Oberland Capital(Debt Financing), PJT Partners(Advisor: General)</t>
  </si>
  <si>
    <t>127257-58</t>
  </si>
  <si>
    <t>Meituan (HKG: 03690)</t>
  </si>
  <si>
    <t>Meituan Dianping</t>
  </si>
  <si>
    <t>Beijing Sankuai Online Technology Co., Ltd.</t>
  </si>
  <si>
    <t>Pinduoduo, Didi</t>
  </si>
  <si>
    <t>Meituan is an e-commerce platform. The company's operating segments include Food delivery; In-store, hotel and travel and New initiatives and others. It generates maximum revenue from the Food delivery segment. The Food delivery segment offers food ordering and delivery service through the Group's platform. Revenues from the food delivery segment are primarily derived from platform service to merchants to display the food information and connect transacting users; food delivery service; and online marketing services in various advertising formats provided to merchants.</t>
  </si>
  <si>
    <t>Application Software, Information Services (B2C), Other Services (B2C Non-Financial)*</t>
  </si>
  <si>
    <t>E-Commerce, Mobile, Mobility Tech, Restaurant Technology, TMT</t>
  </si>
  <si>
    <t>food delivery tools, group purchasing, mobility tech, o2o platform, restaurant booking tools</t>
  </si>
  <si>
    <t>about.meituan.com</t>
  </si>
  <si>
    <t>2018: 58390, 2019: 54580, 2020: 69205</t>
  </si>
  <si>
    <t>03690</t>
  </si>
  <si>
    <t>58861-45P</t>
  </si>
  <si>
    <t>Xing Wang</t>
  </si>
  <si>
    <t>wang.xing@meituan.com</t>
  </si>
  <si>
    <t>+86 (0)10 5737 6600</t>
  </si>
  <si>
    <t>Block B&amp;C, Hengjiweiye Building</t>
  </si>
  <si>
    <t>No.4 Wang Jing East Road, Chaoyang District</t>
  </si>
  <si>
    <t>100102</t>
  </si>
  <si>
    <t>ir@meituan.com</t>
  </si>
  <si>
    <t>The company (HKG:03690) is in talks to receive $7 billion of development capital from Tencent Holdings and other undisclosed investors through a private placement as of April 19, 2021. The funds will be used for the research and development of autonomous-delivery vehicles, drones delivery and other innovations, as well as for general corporate purposes. The company is being actively tracked by PitchBook.</t>
  </si>
  <si>
    <t>China Chengtong Holdings, CQY Capital, Darsana Capital Partners, Lansdowne Partners, OppenheimerFunds, Sequoia Capital, Sequoia Capital China, Tencent Holdings</t>
  </si>
  <si>
    <t>Alibaba Capital Partners, Alphabet, Amino Capital, Baillie Gifford, Booking Holdings, Canada Pension Plan Investment Board, Capital Today, Ceyuan Ventures, China Development Bank Capital, China Everbright, China Resources Capital Management, Coatue Management, Dalian Wanda Group, DST Global, EZCapital, Fidelity Investments, FountainVest Partners, FutureX Capital, General Atlantic, Glade Brook Capital Partners, Government of Singapore Investment Corporation (GIC), Hillhouse Capital Group, IDG Capital, Ignition Partners, Lightspeed China Partners, Lightspeed Venture Partners, Mubadala GE Capital, Northern Light Venture Capital, Pagoda Investment, Panda Capital Asia, Qiming Venture Partners, SC Harvest Capital, Shenzhen Capital Group, Sixty Degree Capital, Source Code Capital, Temasek Holdings, The Hina Group, Tiger Global Management, Trustbridge Partners, Walden International, Xiaomi Technology</t>
  </si>
  <si>
    <t>China Chengtong Holdings(www.hk217.com), CQY Capital(www.cqyfund.com), Lansdowne Partners(www.lansdownepartners.com), OppenheimerFunds(www.oppenheimerfunds.com), Sequoia Capital(www.sequoiacap.com), Sequoia Capital China(www.sequoiacap.com/china), Tencent Holdings(www.tencent.com/en-us/index.html)</t>
  </si>
  <si>
    <t>Alibaba Capital Partners(www.alibabacapital.com), Alphabet(www.abc.xyz), Amino Capital(www.aminocapital.com), Baillie Gifford(www.bailliegifford.com), Booking Holdings(www.bookingholdings.com), Canada Pension Plan Investment Board(www.cppinvestments.com), Capital Today(www.capitaltoday.com), Ceyuan Ventures(www.ceyuan.com), China Development Bank Capital(www.cdb-capital.com), China Everbright(www.everbright.com), China Resources Capital Management(www.crcapital.com.hk), Coatue Management(www.coatue.com), Dalian Wanda Group(www.wanda-group.com), DST Global(www.dst-global.com), Fidelity Investments(www.fidelity.com), FountainVest Partners(www.fountainvest.com), FutureX Capital(www.futurex-capital.com), General Atlantic(www.generalatlantic.com), Glade Brook Capital Partners(www.gladebrookcapital.com), Government of Singapore Investment Corporation (GIC)(www.gic.com.sg), Hillhouse Capital Group(www.hillhousecap.com), IDG Capital(en.idgcapital.com), Ignition Partners(www.ignition.vc), Lightspeed China Partners(www.lightspeedcp.com), Lightspeed Venture Partners(www.lsvp.com), Northern Light Venture Capital(www.nlvc.com), Pagoda Investment(www.pagodainv.com), Panda Capital Asia(www.pandavcfund.com/f/indexYW), Qiming Venture Partners(www.qimingvc.com), SC Harvest Capital(www.scharvestcap.com/Homepage), Shenzhen Capital Group(www.szvc.com.cn), Sixty Degree Capital(www.sixtydegreecapital.com), Source Code Capital(www.sourcecodecap.com), Temasek Holdings(www.temasek.com.sg), The Hina Group(www.hinagroup.com), Tiger Global Management(www.tigerglobal.com), Trustbridge Partners(www.trustbridgepartners.com), Walden International(www.waldenintl.com), Xiaomi Technology(www.mi.com)</t>
  </si>
  <si>
    <t>China Renaissance(Advisor: General)</t>
  </si>
  <si>
    <t>Bank of America Merrill Lynch(Underwriter), China Renaissance(Advisor: General), Haitong International Securities Group(Underwriter), Han Kun Law Offices(Legal Advisor), Maples Group(Legal Advisor), Morgan Stanley(Underwriter), PwC(Accounting), Skadden, Arps, Slate, Meagher &amp; Flom(Legal Advisor), The Goldman Sachs Group(Underwriter), Zhong Lun Law Firm(Legal Advisor)</t>
  </si>
  <si>
    <t>154993-69</t>
  </si>
  <si>
    <t>Metlife (Bank Deposits)</t>
  </si>
  <si>
    <t>Portfolio of bank's assets and deposits. The asset includes residential, commercial loans and deposits in New York branches.</t>
  </si>
  <si>
    <t>commercial loans, retail bank</t>
  </si>
  <si>
    <t>200 Park Avenue</t>
  </si>
  <si>
    <t>10166</t>
  </si>
  <si>
    <t>The Bank Deposits was acquired by General Electric (NYSE: GE) for $7 billion in October, 2012. The asset is no longer actively tracked by PitchBook.</t>
  </si>
  <si>
    <t>MetLife(www.metlife.com)</t>
  </si>
  <si>
    <t>41742-64</t>
  </si>
  <si>
    <t>Pepco Holdings</t>
  </si>
  <si>
    <t>PHI</t>
  </si>
  <si>
    <t>Pepco Holdings, Inc.</t>
  </si>
  <si>
    <t>Just Energy Group, CenterPoint Energy, TECO Energy, DTE Energy, Dynegy, Isagen, Ameren Illinois, Peoples Natural Gas, Southern California Edison</t>
  </si>
  <si>
    <t>Distributor of electricity and natural gas through its subsidiaries. The company provide regulated electricity service, natural gas service, energy efficiency and renewable energy services.</t>
  </si>
  <si>
    <t>Electric Utilities, Energy Marketing*, Gas Utilities</t>
  </si>
  <si>
    <t>electricity service, natural gas, renewable energy</t>
  </si>
  <si>
    <t>www.pepcoholdings.com</t>
  </si>
  <si>
    <t>1989: 5400, 1990: 5400, 1991: 5200, 1992: 5100, 1993: 5100, 1994: 5100, 1995: 5100, 1996: 5100, 1997: 4067, 1998: 3716, 1999: 3603, 2000: 2566, 2001: 2449, 2002: 5592, 2003: 5719, 2004: 5592, 2005: 5481, 2006: 5156, 2007: 5131, 2008: 5474, 2009: 5110, 2010: 5014, 2011: 5104, 2012: 5040, 2013: 5025, 2014: 5125, 2015: 5184, 2016: 4602, 2017: 1582, 2018: 1423, 2019: 1389, 2020: 1634</t>
  </si>
  <si>
    <t>Washington, DC</t>
  </si>
  <si>
    <t>701 Ninth Street North West</t>
  </si>
  <si>
    <t>District of Columbia</t>
  </si>
  <si>
    <t>20068</t>
  </si>
  <si>
    <t>The company (NYSE: POM) was acquired by Exelon (NYSE: EXC) for $6.83 billion on March 23, 2016. The company was delisted after the transaction. The company is no longer actively tracked by PitchBook.</t>
  </si>
  <si>
    <t>M/Cap Advisors(Advisor: General), PA Consulting(Consulting), Potter Anderson &amp; Corroon(Legal Advisor)</t>
  </si>
  <si>
    <t>Covington &amp; Burling(Legal Advisor), Lazard Middle Market(Advisor: General), Morgan Stanley(Advisor: General), Sullivan &amp; Cromwell(Legal Advisor)</t>
  </si>
  <si>
    <t>170985-43</t>
  </si>
  <si>
    <t>Petronas (RAPID Refinery Project)</t>
  </si>
  <si>
    <t>RAPID</t>
  </si>
  <si>
    <t>A refining and petrochemical project in Pengerang, Malaysia. The project covers an area of 2,000 hectares and includes a crude oil refinery and petrochemical complex capable of processing 300,000 barrels per day.</t>
  </si>
  <si>
    <t>oil refinery, oil refining, petrochemical complex, petrochemical hub</t>
  </si>
  <si>
    <t>Pengerang, Malaysia</t>
  </si>
  <si>
    <t>Pengerang</t>
  </si>
  <si>
    <t>Johor</t>
  </si>
  <si>
    <t>Malaysia</t>
  </si>
  <si>
    <t>The RAPID Refinery Project of Petronas was acquired by Saudi Aramco for $7 billion on March 28, 2018. The acquisition will allow the acquirer to boost it's downstream business ahead of a planned initial public offering. The asset is no longer actively tracked by PitchBook.</t>
  </si>
  <si>
    <t>PETRONAS, Saudi Aramco</t>
  </si>
  <si>
    <t>PETRONAS(www.petronas.com), Saudi Aramco(www.aramco.com)</t>
  </si>
  <si>
    <t>222696-19</t>
  </si>
  <si>
    <t>R.J. Reynolds (Kool, Maverick, Salem and Winston cigarette brands)</t>
  </si>
  <si>
    <t>A portfolio of four cigarette brands.</t>
  </si>
  <si>
    <t>Buildings and Property*, Personal Products</t>
  </si>
  <si>
    <t>cigarettes branding, cigarettes maker, cigarettes manufacturer</t>
  </si>
  <si>
    <t>The four cigarette brands of R.J. Reynolds Tobacco was acquired by ITG Brands for $7 billion on February 21, 2017. The assets are no longer actively tracked by PitchBook.</t>
  </si>
  <si>
    <t>ITG Brands</t>
  </si>
  <si>
    <t>54692-56</t>
  </si>
  <si>
    <t>Tosco</t>
  </si>
  <si>
    <t>Tosco Corporation</t>
  </si>
  <si>
    <t>Provider and seller of petroleum products. The company is engaged in processing and selling petroleum products, such as transportation fuel and heating oil through its retail distribution network in the United States and other countries.</t>
  </si>
  <si>
    <t>diesel fuel, heating oil seller, petroleum product, transportation fuel</t>
  </si>
  <si>
    <t>www.tosco.com</t>
  </si>
  <si>
    <t>1989: 1680, 1990: 1758, 1991: 1758, 1992: 994, 1993: 2729, 1994: 2729, 1995: 102788, 1996: 20100, 1997: 26200, 1998: 26300, 1999: 24600, 2000: 25500</t>
  </si>
  <si>
    <t>160586-83P</t>
  </si>
  <si>
    <t>Thomas O'Malley</t>
  </si>
  <si>
    <t>72 Cummings Point Road</t>
  </si>
  <si>
    <t>The company was acquired by Phillips 66 for $7 billion on September 17, 2001.</t>
  </si>
  <si>
    <t>41254-93</t>
  </si>
  <si>
    <t>USG (Building Materials)</t>
  </si>
  <si>
    <t>USG</t>
  </si>
  <si>
    <t>USG Corporation</t>
  </si>
  <si>
    <t>CertainTeed, GAF, Ply Gem Industries, DaVinci Roofscapes, National Gypsum, Construction Specialties, Allied Building Products, Continental Building Products, Tamko Building Products, Johns Manville, Del-Pro Building Supplies, Beacon Roofing Supply, Recticel Insulation, Icopal, Braas Monier Building Group, US LBM Holdings, ISI Building Products, Versatex Building Products, Balco USA, SRS Distribution, ABC Supply Company, CalStar Products, Firestone Building Products Company, Oldcastle, Duro-last, Westech Building Products, Soprema, BlueLinx, Xella International, CRH, BMC Stock Holdings, Gaco Western, Demilec, Summit Materials, 84 Lumber, Cedar Creek, Soprema Canada, Azek Building Products, Lake States Lumber, Carlisle Companies, M B Technology Corp.</t>
  </si>
  <si>
    <t>USG manufactures and sells gypsum wallboard (drywall), wallboard finishing materials, tile backers and underlayment, and ceiling tile and grid. The company's products are used to construct walls, ceilings, roofs, and floors in commercial, residential, and institutional structures. Chicago-based USG is the leading wallboard producer in the U.S. with 26% market share and the second- leading ceiling tile producer with 35% market share.</t>
  </si>
  <si>
    <t>building product, flooring product, integrated ceiling systems, sheathing product, wallboard</t>
  </si>
  <si>
    <t>www.usg.com</t>
  </si>
  <si>
    <t>1993: 11900, 1994: 11900, 1995: 12400, 1996: 12400, 1997: 13000, 1998: 13700, 1999: 13700, 2000: 14900, 2001: 14300, 2002: 14100, 2003: 14100, 2004: 13800, 2005: 14100, 2006: 14700, 2007: 14800, 2008: 12800, 2009: 10100, 2010: 9250, 2011: 8780, 2012: 8500, 2013: 8900, 2014: 8900, 2015: 8900, 2016: 6600, 2017: 6800, 2018: 7300, 2019: 8000, 2020: 7000</t>
  </si>
  <si>
    <t>Gebr. Knauf Verwaltungsgesellschaft</t>
  </si>
  <si>
    <t>59505-58P</t>
  </si>
  <si>
    <t>Christopher Griffin</t>
  </si>
  <si>
    <t>cgriffin@usg.com</t>
  </si>
  <si>
    <t>+1 (312) 436-4000</t>
  </si>
  <si>
    <t>550 West Adams Street</t>
  </si>
  <si>
    <t>60661</t>
  </si>
  <si>
    <t>info@usg.com</t>
  </si>
  <si>
    <t>The company was acquired by Gebr. Knauf for $7 billion on April 24, 2019. Under the terms of the agreement, USG shareholders will receive $44 per share, which consists of $43.50 per share in cash payable upon closing of the transaction and a $0.50 per share special dividend that would be paid following shareholder approval of the transaction. The combined company results in a global building materials industry leader that will maximize Knauf and USG's highly complementary businesses, products and global footprint to better meet the needs of both companies' end-market customers. As a result of the transaction, the company went public to private.</t>
  </si>
  <si>
    <t>Berkshire Hathaway, Blum Capital Partners, Fidia Holding</t>
  </si>
  <si>
    <t>Berkshire Hathaway(www.berkshirehathaway.com), Blum Capital Partners(www.blumcapital.com), Fidia Holding(www.fidiaholding.com)</t>
  </si>
  <si>
    <t>Drinker Biddle &amp; Reath(Legal Advisor), Faegre Drinker Biddle &amp; Reath(Legal Advisor), ITECS Innovative(Consulting), Landhouse Group(Consulting), Leydig, Voit &amp; Mayer(Legal Advisor), Lincoln International(Accounting), Manhard Consulting(Consulting), Pegasus Intellectual Capital Solutions(Advisor: General), Strategex(Consulting), TalentRISE(Consulting)</t>
  </si>
  <si>
    <t>Chilmark Partners(Advisor: General), J.P. Morgan(Advisor: General), Jones Day(Legal Advisor), Kahn Swick &amp; Foti(Legal Advisor), Pegasus Intellectual Capital Solutions(Advisor: General), Rigrodsky &amp; Long(Legal Advisor), The Goldman Sachs Group(Advisor: General)</t>
  </si>
  <si>
    <t>41388-85</t>
  </si>
  <si>
    <t>W. R. Grace &amp; Company (NYS: GRA)</t>
  </si>
  <si>
    <t>Grace</t>
  </si>
  <si>
    <t>W. R. Grace &amp; Co.-Conn.</t>
  </si>
  <si>
    <t>Celanese, Eastman Chemical Company, LyondellBasell Industries Holdings, Huntsman, Cabot, Trinseo, Olin, Ashland Global Holdings, PQ Group, Stepan, Quaker Chemical, H.B. Fuller, Reichhold, OMNOVA Solutions, INVISTA, Croda International, Mapei, PPG Industries, Tosoh, NuSil Technology, Wacker Chemie, Lubrizol, Evonik Jayhawk Fine Chemicals Corporation, Sadara Chemical Company, Wanhua Chemical Group Company, Covestro, Borealis, DuBois Chemicals, Addivant, Sika Group, LANXESS Deutschland, Minerals Technologies, Gardenia Química, Air Products and Chemicals, SI Group, Clariant International, Brenntag, Solvay, Elkem Silicones, Johnson Matthey, Aceto, JSR, FMC, Evonik Industries, ChemStation, Synthomer, Dorf Ketal, Arkema, Momentive Performance Materials, GCP Applied Technologies, Svenska Aerogel, American Vanguard, Ferro, Imerys, Zeon Japan, Nufarm, Dow</t>
  </si>
  <si>
    <t>W R Grace &amp; Co, through its subsidiaries, makes and sells chemicals and silica-based materials used in refining, pharma, chemical manufacturing, coating, and various chemical process applications. The company has two reportable business segments: Grace catalysts technologies and Grace material technologies. Most of the company's revenue is generated by the Grace catalysts technologies segment from the sale of oil refining catalysts and catalysts used in petrochemical, refining, and other chemical manufacturing applications, and more than half of the revenue is earned in North America and Europe, Middle East, and Africa.</t>
  </si>
  <si>
    <t>chemical manufacturer, chemicals processing, specialty chemical manufacturer, specialty chemical product, specialty chemicals</t>
  </si>
  <si>
    <t>www.grace.com</t>
  </si>
  <si>
    <t>1997: 6300, 1998: 6300, 1999: 6300, 2000: 6300, 2001: 6300, 2002: 6400, 2003: 6300, 2004: 6500, 2005: 6400, 2006: 6500, 2007: 6500, 2008: 6300, 2009: 5940, 2010: 5970, 2011: 6300, 2012: 6500, 2013: 6700, 2014: 6500, 2015: 6700, 2016: 3700, 2017: 3700, 2018: 3900, 2019: 4000, 2020: 4000, 2021: 4000</t>
  </si>
  <si>
    <t>GRA</t>
  </si>
  <si>
    <t>163840-33P</t>
  </si>
  <si>
    <t>Elizabeth Brown</t>
  </si>
  <si>
    <t>Executive &amp; Senior Vice President</t>
  </si>
  <si>
    <t>elizabeth.brown@grace.com</t>
  </si>
  <si>
    <t>+1 (410) 531-4000</t>
  </si>
  <si>
    <t>7500 Grace Drive</t>
  </si>
  <si>
    <t>21044</t>
  </si>
  <si>
    <t>+1 (410) 531-4367</t>
  </si>
  <si>
    <t>info@grace.com</t>
  </si>
  <si>
    <t>The company reached a definitive agreement to be acquired by Standard Industries for $7 billion on April 26, 2021. Upon the completion of the transaction, the company will be delisted. The company is being actively tracked by PitchBook.</t>
  </si>
  <si>
    <t>40 North Management</t>
  </si>
  <si>
    <t>Standard Industries</t>
  </si>
  <si>
    <t>40 North Management(www.40north.com)</t>
  </si>
  <si>
    <t>Standard Industries(www.standardindustries.com)</t>
  </si>
  <si>
    <t>Allen-Villere Partners(Advisor: General), ATI Capital Partners(Advisor: General), Bank of America Merrill Lynch(Underwriter), Capitalia(Underwriter), Citigroup Global Markets Inc. (Broker)(Underwriter), Goldin Associates(Advisor: General), HSBC Securities (USA)(Underwriter), ITECS Innovative(Consulting), KeyBanc Capital Markets(Underwriter), Landis Rath &amp; Cobb(Legal Advisor), Lincoln International(Advisor: General), Louder Company(Consulting), PNC(Underwriter), Seale &amp; Associates(Advisor: General), Snow &amp; Green(Legal Advisor), Tenzing Consulting(Consulting)</t>
  </si>
  <si>
    <t>Moelis &amp; Company(Advisor: General), The Goldman Sachs Group(Consulting), Wachtell, Lipton, Rosen &amp; Katz(Legal Advisor)</t>
  </si>
  <si>
    <t>166996-72</t>
  </si>
  <si>
    <t>Yangjiang Nuclear Power</t>
  </si>
  <si>
    <t>Yangjiang Nuclear</t>
  </si>
  <si>
    <t>Yangjiang Nuclear Power Co., Ltd.</t>
  </si>
  <si>
    <t>Operator nuclear power project plant in China. The company has three nuclear power station generating units s in commercial operation with a capacity of 1,086MW each and 3 nuclear power generating units under construction with a capacity of 1,086MW each.</t>
  </si>
  <si>
    <t>Energy Infrastructure*, Energy Production</t>
  </si>
  <si>
    <t>nuclear power generating unit, nuclear power generation, nuclear power plant, nuclear power plant asset, nuclear power project</t>
  </si>
  <si>
    <t>www.yjnp.com.cn</t>
  </si>
  <si>
    <t>190231-03P</t>
  </si>
  <si>
    <t>Ouyang Wu</t>
  </si>
  <si>
    <t>Chief Accounting Officer</t>
  </si>
  <si>
    <t>Yangjiang, China</t>
  </si>
  <si>
    <t>Yangjiang Nuclear Power Base</t>
  </si>
  <si>
    <t>Dongping Town, Yangdong</t>
  </si>
  <si>
    <t>Yangjiang</t>
  </si>
  <si>
    <t>529941</t>
  </si>
  <si>
    <t>CGN Power sold a 17% stake in the company to CLP Holdings for RMB 7 billion on December 12, 2017.</t>
  </si>
  <si>
    <t>CLP Holdings</t>
  </si>
  <si>
    <t>CLP Holdings(www.clpgroup.com)</t>
  </si>
  <si>
    <t>63775-72</t>
  </si>
  <si>
    <t>National Commerce Financial</t>
  </si>
  <si>
    <t>National Commerce Bancorporation, UNITED TENNESSEE BANCSHARES CORPORATION, TENNESSEE FINANCIAL CORPORATION</t>
  </si>
  <si>
    <t>NCFC</t>
  </si>
  <si>
    <t>National Commerce Financial Corporation</t>
  </si>
  <si>
    <t>Operator of a bank holding company. The company operates as a bank holding company and is engaged in providing banking services such as demand and time deposits, residential mortgage, accepting deposits and other banking services. It is also engaged in providing money management and investment advisory services, real estate financing, asset-based loans, and residential construction loans to small and medium sized corporations in Memphis, Tennessee.</t>
  </si>
  <si>
    <t>Holding Companies, Regional Banks*</t>
  </si>
  <si>
    <t>bank holding company, bank holding company operator, banking services bank, holding company operator, money management service, residential construction lending, residential mortgage, time deposits</t>
  </si>
  <si>
    <t>www.ncbccorp.com</t>
  </si>
  <si>
    <t>1989: 886, 1990: 886, 1991: 886, 1992: 936, 1993: 936, 1994: 936, 1995: 551, 1996: 839, 1997: 707, 1998: 942, 1999: 1411, 2000: 4694, 2001: 5463, 2002: 5490, 2003: 5440</t>
  </si>
  <si>
    <t>69310-09P</t>
  </si>
  <si>
    <t>John Holcomb</t>
  </si>
  <si>
    <t>+1 (205) 313-8136</t>
  </si>
  <si>
    <t>One Commerce Square</t>
  </si>
  <si>
    <t>4th Floor</t>
  </si>
  <si>
    <t>38150</t>
  </si>
  <si>
    <t>The company was acquired by SunTrust Banks for $6.98 billion on October 1, 2004. The total transaction value of $6.98 billion. The total consideration consists of approximately $1.8 billion in cash and approximately 77.5 million SunTrust shares. The company is no longer actively tracked by PitchBook.</t>
  </si>
  <si>
    <t>Bass, Berry &amp; Sims(Legal Advisor)</t>
  </si>
  <si>
    <t>147355-84</t>
  </si>
  <si>
    <t>MHVC Acquisition Corp.</t>
  </si>
  <si>
    <t>Peraton Corporation</t>
  </si>
  <si>
    <t>Computacenter, CompuCom, ECS Federal, InfoZen, Effekt i Varberg, Navisite, Perspecta, POD (New Mexico), Keyw, Dimension Data, NetApp, The Kemtah Group, Seaweed File System, Technologent, CACI International, Oracle, LGS Innovations, Proofpoint, General Dynamics Information Technology, Astadia, ArdentMC, Computer Task Group, Alion Science and Technology, Unisys, BMC Software</t>
  </si>
  <si>
    <t>Provider of information technology related services in the United States. The company's capabilities include complex software and technology services and solutions, and end-to-end mission operations abilities, including software systems development, cyber, modeling &amp; simulation, mission operations, signal intelligence (SIGINT) and quick reaction capabilities (QRC) or research and development.</t>
  </si>
  <si>
    <t>Other IT Services, Systems and Information Management*</t>
  </si>
  <si>
    <t>Space Technology, TMT</t>
  </si>
  <si>
    <t>communications, deep space network, defense service, engineering, information technology divisions, information technology service, space communication</t>
  </si>
  <si>
    <t>www.peraton.com</t>
  </si>
  <si>
    <t>2017: 3500, 2018: 3500, 2019: 3000, 2020: 3500, 2021: 24000</t>
  </si>
  <si>
    <t>60119-83P</t>
  </si>
  <si>
    <t>Stuart Shea</t>
  </si>
  <si>
    <t>sshea@peraton.com</t>
  </si>
  <si>
    <t>+1 (703) 668-6000</t>
  </si>
  <si>
    <t>Herndon, VA</t>
  </si>
  <si>
    <t>12975 Worldgate Drive</t>
  </si>
  <si>
    <t>Herndon</t>
  </si>
  <si>
    <t>20170-6008</t>
  </si>
  <si>
    <t>The company completed a debt refinancing round on February 1, 2021. Crescent Capital Group provided a loan and J.P. Morgan, KKR Capital Markets, Macquarie Group, Barclays, The Goldman Sachs Group, UBS, FS KKR Capital, Owl Rock Capital Corp II, Owl Rock Capital Corp III, TCG BDC, TCG BDC II and several other lenders provided a $5.92 billion covenant-lite term loan B, a $867.3 million second-lien term loan, a $300 million revolver, a $175 million senior secured second lien, a $9 million senior secured first-lien, a $1 million senior secured first-lien term B loan, a $3.62 million first-lien senior secured loan and $ 24.6 million second-lien debt to the company. Proceeds will be used to acquire Perspecta and Northrop Grumman.</t>
  </si>
  <si>
    <t>L3 Harris Technologies(www.harris.com)</t>
  </si>
  <si>
    <t>Lazard(Advisor: General), Macquarie Capital Advisers(Advisor: General), McDermott Will &amp; Emery(Legal Advisor), New Mountain Finance(Debt Financing)</t>
  </si>
  <si>
    <t>Audax Credit BDC(Debt Financing), Barclays(Debt Financing), Capital Southwest(Debt Financing), Crescent Capital Group(Debt Financing), First Eagle Alternative Credit(Debt Financing), FS KKR Capital(Debt Financing), FS KKR Capital Corp. II(Debt Financing), Garrison Capital(Debt Financing), Hines Global Income Trust(Debt Financing), J.P. Morgan(Debt Financing), KKR Capital Markets(Debt Financing), Macquarie Group(Advisor: General), Main Street Capital(Debt Financing), New Mountain Finance(Debt Financing), Oaktree Strategic Income(Debt Financing), Owl Rock Capital Corp II(Debt Financing), Owl Rock Capital Corp III(Debt Financing), Owl Rock Capital Corporation(Debt Financing), PhenixFIN(Debt Financing), RBC Capital Markets(Debt Financing), Sierra Income(Debt Financing), TCG BDC(Debt Financing), TCG BDC II(Debt Financing), The Carlyle Group(Debt Financing), The Goldman Sachs Group(Debt Financing), UBS Group(Debt Financing)</t>
  </si>
  <si>
    <t>Loan - $19.95M (Secured; Floating); Loan - $30.00M (Floating)</t>
  </si>
  <si>
    <t>Debt Refinancing</t>
  </si>
  <si>
    <t>Loan - $3.62M (Senior First Lien; Floating); Loan - $1.00M (Senior First Lien Term Loan B; Floating); Loan - $9.00M (Senior First Lien; Floating); Loan - $175.00M (Senior Second Lien; Floating); Loan - $24.60M (Second Lien; Floating); Loan (Term Loan); Loan - $855.00M (Second Lien Term Loan); Loan - $5.92B (Term Loan B; Floating); Loan; Revolving Credit Line - $300.00M</t>
  </si>
  <si>
    <t>10815-58</t>
  </si>
  <si>
    <t>Interxion</t>
  </si>
  <si>
    <t>InterXion Holding NV</t>
  </si>
  <si>
    <t>Equinix, DataBank, Trustteam, Webair Internet Development, Cyxtera Technologies, Navisite, DuPont Fabros Technology, vXchnge, Telx Group, 365 Data Centers, NTT Communications, SunGard Availability Services, Global Switch Holdings, Stream Data Centers, eStruxture Data Centers, VIRTUS Data Centres, AirTrunk, NTT Data, Orange Business Services, Quality Technology Services, VMware, Cologix, NetApp, EdgeConneX, DC BLOX, Teraco Data Environments, Aligned Data Centers, Level 3 Communications, Linx Telecommunications, Splunk, 21Vianet Group, Rackspace Technology, Telefonica Usa, OVHcloud, Markley Group, Stack Infrastructure, Interoute Communications, euNetworks, Colt Technology Services, Liquid Web, Lumen Technologies, Towerstream, Zayo Group, Telecom Italia Sparkle, Tata Communications, Telefnica Cloud</t>
  </si>
  <si>
    <t>InterXion Holding NV is a provider of carrier and cloud neutral colocation data center services in Europe. The company's data centers act as content, cloud and connectivity hubs that facilitate the processing, storage, sharing and distribution of data, content, applications and media between carriers and customers, creating an environment that it refers to as a community of interest. InterXion is a core offerer of carrier and cloud neutral colocation services including space, power, cooling and a physically secure environment in which to house its customers' computing, network, storage and IT infrastructure. The company operates through two geographical segments the first being France, Germany, The Netherlands and UK and second being rest of Europe.</t>
  </si>
  <si>
    <t>data center service, data process, infrastructure installation, it services, system integrator</t>
  </si>
  <si>
    <t>www.interxion.com</t>
  </si>
  <si>
    <t>2010: 337, 2011: 358, 2012: 399, 2013: 453, 2014: 500, 2015: 533, 2016: 600, 2017: 658, 2018: 768, 2019: 900, 2020: 2800</t>
  </si>
  <si>
    <t>Digital Realty</t>
  </si>
  <si>
    <t>68484-52P</t>
  </si>
  <si>
    <t>John Doherty</t>
  </si>
  <si>
    <t>+31 (0)20 880 7700</t>
  </si>
  <si>
    <t>Post Office Box 75812</t>
  </si>
  <si>
    <t>1118 ZZ</t>
  </si>
  <si>
    <t>+31 (0)20 880 7601</t>
  </si>
  <si>
    <t>nl.info@interxion.com</t>
  </si>
  <si>
    <t>The company (NYS: INXN) was acquired by Digital Realty (NYS: DLR) for approximately $6.97 billion on March 12, 2020. The merger will create a leading global provider of the data center, colocation, and interconnection solutions.</t>
  </si>
  <si>
    <t>RunTide Capital</t>
  </si>
  <si>
    <t>Akin Gump Technology Ventures, Aman Ventures, aPriori Capital Partners, Baker Capital, Bear Stearns, Cobepa, Continuum Group, Credit Suisse, Enron Broadband Services, Goldman Sachs Merchant Banking Division, Industry Ventures, Irving Place Capital, Morgan Stanley Expansion Capital, Nautic Partners, Parcom Capital, Paribas Deelnemingen, Residentie Investments, Residex, The Goldman Sachs Group</t>
  </si>
  <si>
    <t>CoreSite Realty, CyrusOne, Telecity Group</t>
  </si>
  <si>
    <t>RunTide Capital(www.runtidecapital.com)</t>
  </si>
  <si>
    <t>aPriori Capital Partners(www.aprioricapital.com), Baker Capital(www.bakercapital.com), Bear Stearns(www.bearstearns.com), Cobepa(www.cobepa.com), Continuum Group(www.continuumgroup.com), Credit Suisse(www.credit-suisse.com), Industry Ventures(www.industryventures.com), Irving Place Capital(www.irvingplacecapital.com), Nautic Partners(www.nautic.com), Parcom Capital(www.parcom.com), Residex(www.residex.nl), The Goldman Sachs Group(www.goldmansachs.com)</t>
  </si>
  <si>
    <t>CoreSite Realty(www.coresite.com), CyrusOne(cyrusone.com), Telecity Group(pivotallondon.co.uk)</t>
  </si>
  <si>
    <t>ABN AMRO Rothschild(Underwriter), Akin Gump Strauss Hauer &amp; Feld(Legal Advisor), Allen &amp; Overy(Legal Advisor), Bank of America Merrill Lynch(Underwriter), Barclays Investment Bank(Underwriter), Burke &amp; Quick Partners(Advisor: General), Capitalmind(Advisor: General), Citigroup(Underwriter), CorporateWise(Legal Advisor), Credit Suisse(Underwriter), Debevoise &amp; Plimpton(Legal Advisor), Evercore Group(Underwriter), Gibson, Dunn &amp; Crutcher(Legal Advisor), Greenberg Traurig(Legal Advisor), Guggenheim Partners(Underwriter), Jefferies Financial Group(Underwriter), Joele Frank(Advisor: Communications), KPMG(Auditor), Latham &amp; Watkins(Legal Advisor), Linklaters(Legal Advisor), Merrill Lynch Pierce Fenner &amp; Smith(Advisor: General), Moelis &amp; Company(Advisor: General), Oppenheimer &amp; Company(Underwriter), Perella Weinberg Partners(Advisor: General), Piper Sandler(Underwriter), RBC Capital Markets(Underwriter), Sard Verbinnen(Advisor: Communications)</t>
  </si>
  <si>
    <t>13325-86</t>
  </si>
  <si>
    <t>Asciano</t>
  </si>
  <si>
    <t>Asciano Group</t>
  </si>
  <si>
    <t>Asciano Ltd</t>
  </si>
  <si>
    <t>Patriot Rail Company, Yusen Logistics Company, Mainfreight, Australian Rail Track Corporation, Dhl International, Qube Holdings, Toll Holdings, Pacific National Group, JAS Worldwide, StarTrack, Coyote Logistics, Geodis, R+L Carriers, AIT Worldwide Logistics, OmniTRAX, Panalpina World Transport, K&amp;S Corporation, BDP International, Dynamic Parcel Distribution, Aramex, Deutsche Post DHL Group, DB Schenker, Neovia Logistics Services, Radiant Logistics, DSV, Expeditors International of Washington, Hellmann Worldwide Logistics, SEKO Logistics</t>
  </si>
  <si>
    <t>Provider of national rail freight and ports services in Australia. The company provides logistics, rail transport, inter-modal transport, bulk rail transport, automotive transport, coal haulage, domestic and international grain transport services.</t>
  </si>
  <si>
    <t>Logistics*, Rail</t>
  </si>
  <si>
    <t>freight, freight service, port services, rail freight, rail freight service</t>
  </si>
  <si>
    <t>www.asciano.com.au</t>
  </si>
  <si>
    <t>2014: 8827, 2015: 8173, 2016: 7545</t>
  </si>
  <si>
    <t>Level 4</t>
  </si>
  <si>
    <t>476 Sreet Kilda Road</t>
  </si>
  <si>
    <t>3004</t>
  </si>
  <si>
    <t>The company (ASX: AIO) was acquired by Brookfield Infrastructure Partners (TSE: BIP.UN) and Qube Holdings (ASX: QUB) for AUD 9.15 billion on August 19, 2016. The company is no longer actively tracked by PitchBook.</t>
  </si>
  <si>
    <t>Brookfield Infrastructure Partners, Qube Holdings</t>
  </si>
  <si>
    <t>Antares Capital (Florida), Canada Pension Plan Investment Board, Capital A, Continuity Capital Partners, Global Infrastructure Partners, The Carlyle Group, TNT Express, Toll Holdings, UBS Group</t>
  </si>
  <si>
    <t>British Columbia Investment Management, China Investment Corporation, GE Capital Equity, Government of Singapore Investment Corporation (GIC), Qatar Investment Authority, TPG</t>
  </si>
  <si>
    <t>Antares Capital (Florida)(www.antarescapital.com), Canada Pension Plan Investment Board(www.cppinvestments.com), Capital A(www.capitalapartners.nl), Continuity Capital Partners(www.continuitycp.com), Global Infrastructure Partners(www.global-infra.com), The Carlyle Group(www.carlyle.com), TNT Express(www.tnt.com), Toll Holdings(www.tollgroup.com), UBS Group(www.ubs.com)</t>
  </si>
  <si>
    <t>British Columbia Investment Management(www.bci.ca), China Investment Corporation(www.china-inv.cn), Government of Singapore Investment Corporation (GIC)(www.gic.com.sg), Qatar Investment Authority(www.qia.qa), TPG(www.tpg.com)</t>
  </si>
  <si>
    <t>Clayton Utz(Legal Advisor), Grant Samuel Group(Advisor: General), King &amp; Wood Mallesons(Legal Advisor), Sumitomo Mitsui Banking(Debt Financing), The Goldman Sachs Group(Advisor: General)</t>
  </si>
  <si>
    <t>41547-52</t>
  </si>
  <si>
    <t>Coca-Cola Hellenic Bottling Company (LON: CCH)</t>
  </si>
  <si>
    <t>Hellenic Bottling Company</t>
  </si>
  <si>
    <t>CCH, CCHBC</t>
  </si>
  <si>
    <t>Coca-Cola HBC AG</t>
  </si>
  <si>
    <t>Owens-Illinois, Huhtamäki</t>
  </si>
  <si>
    <t>Coca-Cola HBC AG has the exclusive rights to manufacture and sell Coca-Cola products in its territory, which stretches from Ireland to Russia and from the Arctic Circle to Nigeria. Its territory spans nearly 30 countries across Europe, Asia, and Africa, and the company segments them into established markets, developing markets, and emerging markets. Emerging markets accounts for about half of Coca-Cola HBC's total volume and more than 40% of its total revenue. The company generally buys syrup from Coca-Cola, produces the Coca-Cola beverages with it, and then distributes the finished products. It sells sparkling soft drinks and energy drinks, water, and juice.</t>
  </si>
  <si>
    <t>bottles, bottles manufacturer, packaging bottles</t>
  </si>
  <si>
    <t>2010: 42044, 2011: 41291, 2012: 39736, 2013: 38089, 2014: 36937, 2015: 33670, 2016: 31627, 2017: 29651, 2018: 28957, 2019: 28389, 2020: 28132</t>
  </si>
  <si>
    <t>CCH</t>
  </si>
  <si>
    <t>171848-44P</t>
  </si>
  <si>
    <t>Michalis Imellos</t>
  </si>
  <si>
    <t>Non-Executive Director</t>
  </si>
  <si>
    <t>michalis.imellos@cchellenic.com</t>
  </si>
  <si>
    <t>+41 (0)41 726 0110</t>
  </si>
  <si>
    <t>Steinhausen, Switzerland</t>
  </si>
  <si>
    <t>Turmstrasse 26</t>
  </si>
  <si>
    <t>Steinhausen</t>
  </si>
  <si>
    <t>6312</t>
  </si>
  <si>
    <t>Kar-Tess Holding acquired a minority stake in the company (LON: CCH) for EUR 5.3 billion on June 18, 2013.</t>
  </si>
  <si>
    <t>Kar-Tess Holding</t>
  </si>
  <si>
    <t>FORMATTA(Consulting)</t>
  </si>
  <si>
    <t>Bär &amp; Karrer(Legal Advisor), Credit Suisse(Advisor: General), Jefferies Hoare Govett(Advisor: General), Kyriakides Georgopoulos &amp; Daniolos(Legal Advisor), Linklaters(Legal Advisor), PwC(Advisor: General), Sullivan &amp; Cromwell(Legal Advisor)</t>
  </si>
  <si>
    <t>57878-11</t>
  </si>
  <si>
    <t>Loxo Oncology</t>
  </si>
  <si>
    <t>Loxo</t>
  </si>
  <si>
    <t>Loxo Oncology, Inc.</t>
  </si>
  <si>
    <t>BriaCell Therapeutics, Northwest Biotherapeutics, Ignyta, Kuur Therapeutics, VBI Vaccines(Rehovot), Epizyme, CNS Pharmaceuticals, Madrigal Pharmaceuticals, Portola Pharmaceuticals, Immatics, Seagen, Theravance Biopharma, Agios, CymaBay Therapeutics, Intercept(Biotechnology), Essa Pharma, Regeneron Pharmaceuticals, Zynerba Pharmaceuticals, Boehringer Ingelheim, Alexion, Xenetic Bioscience, Tesaro, Gilead Sciences, Nektar Therapeutics, CytImmune Sciences, Inovio Pharmaceuticals, NGM Biopharmaceuticals, Jounce Therapeutics, BioNTech, Genentech, Ortho-McNeil Pharmaceuticals, Array BioPharma, Diffusion Pharmaceuticals, Aptalis Pharma, Dicerna Pharmaceuticals, Provention Bio, Immune Design, Novartis Gene Therapies, Viriom, Merrimack Pharmaceuticals, Vical, Exelixis, Kesios, ViroPharma, Ocera Therapeutics, The Medicines Company, Chemocentryx, Ziopharm Oncology, ImmunityBio, Sagent Pharmaceuticals, Agenus, Kite Pharma, Baxalta, Sandoz, Biogen, Adaptimmune Therapeutics, Allergan, Amgen</t>
  </si>
  <si>
    <t>Loxo Oncology Inc develops medicines for patients with genetically defined cancers. Its approach is based on the increasing use of genetic testing in cancer clinical medicine and improving chemistry approaches to building inhibitors against single targets in the cancer cell. Its pipeline of products includes Larotrectinib, Loxo etc.</t>
  </si>
  <si>
    <t>Discovery Tools (Healthcare), Drug Discovery, Pharmaceuticals*</t>
  </si>
  <si>
    <t>biopharmaceutical company, cancer therapy, genetic testing product, selective inhibitors, selective medicine</t>
  </si>
  <si>
    <t>www.loxooncology.com</t>
  </si>
  <si>
    <t>2014: 11, 2015: 18, 2016: 29, 2017: 59, 2018: 96, 2021: 75</t>
  </si>
  <si>
    <t>64372-69P</t>
  </si>
  <si>
    <t>Steve Harr</t>
  </si>
  <si>
    <t>+86 (0)21 5078 3699</t>
  </si>
  <si>
    <t>+1 (203) 653-3880</t>
  </si>
  <si>
    <t>info@loxooncology.com</t>
  </si>
  <si>
    <t>The company was acquired by Eli Lilly (NYS: LLY) for approximately $6.92 billion on January 01, 2019. The acquisition expands the breadth of Lilly's portfolio into precision medicines and target cancers that are caused by specific gene abnormalities.</t>
  </si>
  <si>
    <t>Aisling Capital, Array BioPharma, Deerfield Management, Foresite Capital Management, New Enterprise Associates, OrbiMed</t>
  </si>
  <si>
    <t>Aisling Capital(www.aislingcapital.com), Array BioPharma(www.arraybiopharma.com), Deerfield Management(www.deerfield.com), Foresite Capital Management(www.foresitecapital.com), New Enterprise Associates(www.nea.com), OrbiMed(www.orbimed.com)</t>
  </si>
  <si>
    <t>BTIG(Lead Manager or Arranger), Fenwick &amp; West(Legal Advisor)</t>
  </si>
  <si>
    <t>Citigroup Global Markets(Underwriter), CohnReznick(Accounting), Cowen &amp; Company(Underwriter), Fenwick &amp; West(Legal Advisor), JMP Securities(Underwriter), Oppenheimer &amp; Company(Underwriter), Rigrodsky &amp; Long(Legal Advisor), Stifel Financial(Underwriter), The Goldman Sachs Group(Advisor: General), Trout Capital(Underwriter)</t>
  </si>
  <si>
    <t>181548-01</t>
  </si>
  <si>
    <t>China Tower (HKG: 00788)</t>
  </si>
  <si>
    <t>China Tower Corp Ltd</t>
  </si>
  <si>
    <t>China Tower Corp Ltd is a telecommunications tower infrastructure service provider. The business of the company include tower business which include macro cell and small cell business, DAS business which provide indoor distributed antenna systems, maintenance services and power services, and trans sector site application and information business which provide site resource services and site based information services. The company generates majority of revenue from tower business.</t>
  </si>
  <si>
    <t>Other Communications and Networking, Telecommunications Service Providers*</t>
  </si>
  <si>
    <t>Industrials, Infrastructure, Mobile, TMT</t>
  </si>
  <si>
    <t>mobile phone tower, telecom operator, telecom tower, telecommunication service provider, telecommunication services</t>
  </si>
  <si>
    <t>www.china-tower.com</t>
  </si>
  <si>
    <t>2015: 12288, 2016: 14345, 2017: 15007, 2018: 23371, 2019: 23000, 2020: 23300</t>
  </si>
  <si>
    <t>00788</t>
  </si>
  <si>
    <t>No 73 Fucheng Road, Haidian</t>
  </si>
  <si>
    <t>Floor 19, Block A, Yuhui Build</t>
  </si>
  <si>
    <t>The company raised $6.9 billion in its initial public offering on the Hong Kong stock exchange on August 1, 2018. The expected offering range is between $0.16 and $0.20 by selling about 43,11,00,00,000 shares. Hillhouse funds agreed to invest HKD 3.12 billion, while Taobao China Holding has committed to buy about HKD 780 million of shares in the IPO. Och-Ziff Capital Management Group agreed to invest HKD 2.34 billion. Other cornerstone investors include affiliates of China National Petroleum, SAIC Motor and Industrial &amp; Commercial Bank of China. CASH Financial Services Group has earmarked HKD 300 million for China Tower's margin finance while Phillip Security has reserved HKD 55 million. China Tower plans to use 60% of the IPO proceeds to build towers and update existing infrastructure for 5G network construction. The company will use the remainder for loan repayment and general working capital.</t>
  </si>
  <si>
    <t>Alibaba Group, China Mobile, China National Petroleum, China Reform, China Telecom, China Unicom (Hong Kong), Hillhouse Capital Group, Industrial and Commercial Bank of China, SAIC Motor, Sculptor Capital Management, Taobao China</t>
  </si>
  <si>
    <t>Alibaba Group(www.alibabagroup.com), China Mobile(www.chinamobileltd.com), China National Petroleum(www.cnpc.com.cn), China Telecom(www.chinatelecom-h.com), China Unicom (Hong Kong)(www.chinaunicom.com.hk), Hillhouse Capital Group(www.hillhousecap.com), Industrial and Commercial Bank of China(www.icbc.com.cn), SAIC Motor(www.saicmotor.com), Sculptor Capital Management(www.sculptor.com)</t>
  </si>
  <si>
    <t>China International Capital Corporation(Advisor: General), Freshfields Bruckhaus Deringer(Legal Advisor), The Goldman Sachs Group(Advisor: General)</t>
  </si>
  <si>
    <t>12103-21</t>
  </si>
  <si>
    <t>Chase Student Loans</t>
  </si>
  <si>
    <t>CFSL Holdings, Chase Education Finance</t>
  </si>
  <si>
    <t>CFS</t>
  </si>
  <si>
    <t>Collegiate Funding Services, Inc.</t>
  </si>
  <si>
    <t>Provider of integrated education finance. The company engages in originating, financing, marketing and servicing education loans in the United States. It assists consumers in financing and refinancing in the areas of undergraduate, graduate, professional, career and continuing education training.</t>
  </si>
  <si>
    <t>Consumer Finance*, Other Financial Services, Specialized Finance</t>
  </si>
  <si>
    <t>career financing, education finance, education loan portfolio</t>
  </si>
  <si>
    <t>2002: 989, 2003: 989, 2004: 806</t>
  </si>
  <si>
    <t>Fredericksburg, VA</t>
  </si>
  <si>
    <t>10304 Spotsylvania Avenue</t>
  </si>
  <si>
    <t>Fredericksburg</t>
  </si>
  <si>
    <t>The company was acquired by Navient (NASDAQ: NAVI) for $6.9 billion on April 18, 2017. The company is no longer actively tracked by PitchBook.</t>
  </si>
  <si>
    <t>Navient</t>
  </si>
  <si>
    <t>Crescent Capital Group, GE Capital, J.P. Morgan, Le Centre CDP Capital, Lightyear Capital, The TCW Group</t>
  </si>
  <si>
    <t>Crescent Capital Group(www.crescentcap.com), GE Capital(www.gecapital.com), J.P. Morgan(www.jpmorgan.com), Le Centre CDP Capital(www.centrecdpcapital.com), Lightyear Capital(www.lycap.com), The TCW Group(www.tcw.com)</t>
  </si>
  <si>
    <t>Cappello Global(Advisor: General)</t>
  </si>
  <si>
    <t>Bank of America Merrill Lynch(Underwriter), Citigroup Global Markets(Underwriter), Credit Suisse(Underwriter), EY(Accounting), J.P. Morgan(Underwriter), Keefe, Bruyette &amp; Woods(Underwriter), Latham &amp; Watkins(Legal Advisor), Simpson Thacher &amp; Bartlett(Legal Advisor), Sullivan &amp; Cromwell(Legal Advisor), The Goldman Sachs Group(Advisor: General), UBS Group(Advisor: General)</t>
  </si>
  <si>
    <t>Management Buy-In</t>
  </si>
  <si>
    <t>63865-36</t>
  </si>
  <si>
    <t>GE Capital (Canadian fleet portfolio)</t>
  </si>
  <si>
    <t>Fleet management services. The asset is used to offer vehicle fleet financing and management services.</t>
  </si>
  <si>
    <t>Buildings and Property*, Other Commercial Services, Other Financial Services</t>
  </si>
  <si>
    <t>equipment leasing, fleet management service, vehicle fleet financing</t>
  </si>
  <si>
    <t>The Canadian fleet portfolio of GE Capital was acquired by Element Financial (TSX: EFN) for $6.9 billion on June 28, 2013. The asset is no longer actively tracked by PitchBook.</t>
  </si>
  <si>
    <t>Element Fleet Management</t>
  </si>
  <si>
    <t>168435-01</t>
  </si>
  <si>
    <t>Knoll Pharmaceutical</t>
  </si>
  <si>
    <t>Knoll Pharmaceutical Co.</t>
  </si>
  <si>
    <t>Provider of medical services based in Ludwigshafen, Germany. The company operates in the fields of metabolic diseases, cardiovascular diseases, immunology and pain therapy.</t>
  </si>
  <si>
    <t>cardiovascular disease, medical services, metabolic disease, pain therapy, pharmaceutical company</t>
  </si>
  <si>
    <t>2001: 10700</t>
  </si>
  <si>
    <t>215321-95P</t>
  </si>
  <si>
    <t>Samuel Catanzaro</t>
  </si>
  <si>
    <t>+1 (973) 426-2600</t>
  </si>
  <si>
    <t>Mount Olive, NJ</t>
  </si>
  <si>
    <t>3000 Continental Drive North</t>
  </si>
  <si>
    <t>Mount Olive</t>
  </si>
  <si>
    <t>07828</t>
  </si>
  <si>
    <t>The pharmaceuticals business of BASF (NYSE: BF) was acquired by Abbott Laboratories for $6.9 billion in 2001. The acquisition offers significant synergies to Abbott Laboratories. The company is no longer actively tracked by PitchBook.</t>
  </si>
  <si>
    <t>60328-72</t>
  </si>
  <si>
    <t>Pavilion Energy</t>
  </si>
  <si>
    <t>Pavilion Energy Pte. Ltd.</t>
  </si>
  <si>
    <t>Provider of energy resources focusing on natural gas and liquefied natural gas. The company specializes in trading &amp; shipping optimization, marine fuels and energy financial services.</t>
  </si>
  <si>
    <t>energy resources, energy resources management, marine fuel, natural gas, natural gas resources</t>
  </si>
  <si>
    <t>www.pavilionenergy.com</t>
  </si>
  <si>
    <t>2002: 36, 2003: 27, 2004: 8, 2010: 2, 2011: 2</t>
  </si>
  <si>
    <t>206445-52P</t>
  </si>
  <si>
    <t>Frederic Barnaud</t>
  </si>
  <si>
    <t>fbarnaud@pavilionenergy.com</t>
  </si>
  <si>
    <t>+65 6228 8100</t>
  </si>
  <si>
    <t>12 Marina Boulevard</t>
  </si>
  <si>
    <t>37-02 Marina Bay Financial Centre Tower 3</t>
  </si>
  <si>
    <t>018982</t>
  </si>
  <si>
    <t>+65 6225 1000</t>
  </si>
  <si>
    <t>info@pavilionenergy.com</t>
  </si>
  <si>
    <t>The company was created as a platform by Temasek Holdings and Government of Singapore Investment Corporation (GIC) on April, 2013.</t>
  </si>
  <si>
    <t>Government of Singapore Investment Corporation (GIC), Temasek Holdings</t>
  </si>
  <si>
    <t>Government of Singapore Investment Corporation (GIC)(www.gic.com.sg), Temasek Holdings(www.temasek.com.sg)</t>
  </si>
  <si>
    <t>Intermediate Capital Group(Debt Financing)</t>
  </si>
  <si>
    <t>222305-05</t>
  </si>
  <si>
    <t>PayPal (US Credit Portfolio)</t>
  </si>
  <si>
    <t>PayPal (U.S. Consumer Credit Receivables portfolio)</t>
  </si>
  <si>
    <t>A portfolio of consumer credit receivables. The assets are worth $5.8 billion and consist of receivables on loans from credit cards.</t>
  </si>
  <si>
    <t>consumer credit, consumer credit loan, consumer credit market, consumer credit receivable, consumer credit receivables</t>
  </si>
  <si>
    <t>The US Credit Portfolio of Paypal (NASDAQ: PYPL) was acquired by Synchrony Financial (NYSE: SYF) for an estimated $6.9 billion on July 2, 2018. The asset is no longer actively tracked by PitchBook.</t>
  </si>
  <si>
    <t>Synchrony Financial</t>
  </si>
  <si>
    <t>PayPal Holdings</t>
  </si>
  <si>
    <t>PayPal Holdings(www.paypal.com)</t>
  </si>
  <si>
    <t>41092-93</t>
  </si>
  <si>
    <t>Scientific Atlanta</t>
  </si>
  <si>
    <t>SFA</t>
  </si>
  <si>
    <t>Scientific Atlanta, Inc.</t>
  </si>
  <si>
    <t>Manufacturer of cable television related products. The company provides transmission networks for broadband access to the home, set-top cable boxes, cable modems and digital interactive subscriber systems for video, high-speed Internet, voice over IP (VoIP) networks, and worldwide customer service and support.</t>
  </si>
  <si>
    <t>broadband network industry, cable television, end-to-end networking product</t>
  </si>
  <si>
    <t>1979: 2700, 1990: 3600, 1991: 3000, 1992: 3200, 1993: 3600, 1994: 4000, 1995: 4000, 1996: 4837, 1997: 5343, 1998: 5736, 1999: 6502, 2000: 6502, 2001: 8159, 2002: 5700, 2003: 6889, 2004: 7690, 2005: 7652, 2007: 9784</t>
  </si>
  <si>
    <t>Lawrenceville, GA</t>
  </si>
  <si>
    <t>5030 Sugarloaf Parkway</t>
  </si>
  <si>
    <t>Lawrenceville</t>
  </si>
  <si>
    <t>30044</t>
  </si>
  <si>
    <t>The company was acquired by Cisco Systems for $6.9 billion on February 27, 2006. The company is no longer actively tracked by PitchBook.</t>
  </si>
  <si>
    <t>Cisco Systems</t>
  </si>
  <si>
    <t>Burr &amp; Forman(Legal Advisor)</t>
  </si>
  <si>
    <t>Credit Suisse(Advisor: General), Evercore Group(Advisor: General), EY(Auditor), Jones Day(Legal Advisor), Lehman Brothers(Advisor: General), Skadden, Arps, Slate, Meagher &amp; Flom(Legal Advisor)</t>
  </si>
  <si>
    <t>95256-37</t>
  </si>
  <si>
    <t>TracFone Wireless</t>
  </si>
  <si>
    <t>Topp Telecom</t>
  </si>
  <si>
    <t>Trac Fone Wireless, Trac-Fone Wireless</t>
  </si>
  <si>
    <t>TracFone Wireless, Inc.</t>
  </si>
  <si>
    <t>Virgin Mobile USA, Tunisie Telecom, Cricket Wireless, Telecom Liechtenstein, Kazakhtelecom, Consolidated Communications, Altice Portugal, Boost Mobile, Lebara Mobile, T-Mobile Netherlands, Truconnect, Republic Wireless, Telecom Argentina, Sprint, Red Pocket Mobile, U.S. Cellular, AT&amp;T, Telecom Cook Islands, Verizon Communications, Orange, T-Mobile (US), Vodafone Group, Atlant Telecom, Mediacom, MariTEL, T-Mobile Czech Republic, Magenta (Electronic Marketplace), Truphone</t>
  </si>
  <si>
    <t>Provider of prepaid telecommunications services in the United States of America. The company offers its services as a no-contract plan, offering unlimited carryover allowing customers to keep all your unused data, texts and minutes.</t>
  </si>
  <si>
    <t>telecommunication service, telecommunication service operator, telecommunication service provider, telecommunication services, telecommunications-service</t>
  </si>
  <si>
    <t>www.tracfone.com</t>
  </si>
  <si>
    <t>2020: 850</t>
  </si>
  <si>
    <t>240741-64P</t>
  </si>
  <si>
    <t>Margarita Estrella</t>
  </si>
  <si>
    <t>Assistant to Chief Financial Officer</t>
  </si>
  <si>
    <t>margarita@tracfone.com</t>
  </si>
  <si>
    <t>+1 (800) 867-7183</t>
  </si>
  <si>
    <t>9700 North West</t>
  </si>
  <si>
    <t>112th Avenue</t>
  </si>
  <si>
    <t>33178</t>
  </si>
  <si>
    <t>Verizon Communications (NYS: VZ) reached a definitive agreement to acquire the company, a subsidiary of América Móvil (MEX: AMXA), for $6.9 billion on September 14, 2020. Verizon will pay $3.125 billion in cash and $3.125 billion in stock, América Móvil will receive a contingent payout of $650 million upon the completion of future performance terms. The acquisition expands Verizon's portfolio into the value segment, bringing access to its wireless network and comprehensive suite of mobility products and services to a new customer base. The company is being actively tracked by PitchBook.</t>
  </si>
  <si>
    <t>Verizon Communications(www.verizon.com)</t>
  </si>
  <si>
    <t>65679-31</t>
  </si>
  <si>
    <t>Shell Canada</t>
  </si>
  <si>
    <t>Shell Oil Company</t>
  </si>
  <si>
    <t>Shell Canada Ltd.</t>
  </si>
  <si>
    <t>Operator of oil and gas company. The company's upstream businesses explore for and extract natural gas, and distribute natural gas and power, downstream business refines, supplies, trades and ships crude oil worldwide and manufactures and distribute a range of products, including fuels, lubricants, bitumen and liquified petroleum gas for home, transport and industrial use.</t>
  </si>
  <si>
    <t>Energy Marketing*, Gas Utilities</t>
  </si>
  <si>
    <t>energy product, energy sources, fuel lubricants</t>
  </si>
  <si>
    <t>www.shell.ca</t>
  </si>
  <si>
    <t>2020: 4000</t>
  </si>
  <si>
    <t>155207-71P</t>
  </si>
  <si>
    <t>Michael Crothers</t>
  </si>
  <si>
    <t>President, Vice President, &amp; Country Chair</t>
  </si>
  <si>
    <t>+1 (403) 691-3111</t>
  </si>
  <si>
    <t>P.O. Box 100 Station M</t>
  </si>
  <si>
    <t>T2P 2H5</t>
  </si>
  <si>
    <t>generalpublicenquiries-ca@shell.com</t>
  </si>
  <si>
    <t>The company received CAD 7.7 billion of financing from Royal Dutch Shell (LON: RDSA) on October 2006.</t>
  </si>
  <si>
    <t>PLS Energy Advisors(Advisor: General), Russell Investments Group(LP Consultant: General)</t>
  </si>
  <si>
    <t>Paul, Weiss, Rifkind, Wharton &amp; Garrison(Legal Advisor)</t>
  </si>
  <si>
    <t>11558-35</t>
  </si>
  <si>
    <t>CNP Assurances (PAR: CNP)</t>
  </si>
  <si>
    <t>CNP</t>
  </si>
  <si>
    <t>CNP Assurances S.A.</t>
  </si>
  <si>
    <t>Bare Agency, Massmutual Southern New England, MassMutual Financial Group, AIG Israel Insurance Company, HDI Seguros México, MassMutual Mississippi, Safeco, Massmutual Pittsburgh, Vanguard Dealer Services, Massmutual Long Island Metro, Massmutual Louisiana, Massmutual Silicon Valley, Massmutual Piedmont Triad, Old Republic International, MassMutual Life Insurance Company, United States Warranty, Onebeacon Insurance Group, Unum Group, Allianz Group, Radian Group, Prudential Financial</t>
  </si>
  <si>
    <t>CNP Assurances is France's largest personal lines life insurer, holding significant distribution relationships with its four main distribution partners.</t>
  </si>
  <si>
    <t>Life and Health Insurance*, Other Financial Services, Other Insurance</t>
  </si>
  <si>
    <t>health insurance, insurance service provider, insurance services, personal risk insurance, term creditors insurance</t>
  </si>
  <si>
    <t>www.cnp.fr</t>
  </si>
  <si>
    <t>2006: 105192, 2007: 3261, 2011: 3077, 2012: 4842, 2013: 4809, 2014: 4705, 2015: 4740, 2016: 5035, 2018: 5243, 2019: 5353, 2020: 5156</t>
  </si>
  <si>
    <t>La Banque Postale</t>
  </si>
  <si>
    <t>206038-54P</t>
  </si>
  <si>
    <t>Olivier Guigné</t>
  </si>
  <si>
    <t>Chief Investment Officer and Member of the Executive Committee</t>
  </si>
  <si>
    <t>olivier.guigne@cnp.fr</t>
  </si>
  <si>
    <t>+33 (0)1 42 18 88 88</t>
  </si>
  <si>
    <t>4 Place Raoul Dautry</t>
  </si>
  <si>
    <t>infofi@cnp.fr</t>
  </si>
  <si>
    <t>The company was acquired by La Banque Postale, a subsidiary of Le Groupe, for $ 6.3 billion on March 4, 2020.</t>
  </si>
  <si>
    <t>Groupe BPCE</t>
  </si>
  <si>
    <t>Groupe BPCE(www.groupebpce.com)</t>
  </si>
  <si>
    <t>Mazars(Auditor), PwC(Auditor)</t>
  </si>
  <si>
    <t>Cleary Gottlieb(Legal Advisor)</t>
  </si>
  <si>
    <t>41129-02</t>
  </si>
  <si>
    <t>Scana</t>
  </si>
  <si>
    <t>SCANA Corporation</t>
  </si>
  <si>
    <t>NV Energy, Enbridge, Just Energy Group, Piedmont Natural Gas Company, SSE, CenterPoint Energy, Idacorp, DTE Energy, Puget Sound Energy, Southern Company, Allete, Cleco Corporate Holdings, TECO Energy, Portland General Electric, Gas South, Pembina Pipeline, EnLink Midstream, Energy Transfer, Entergy, PPL, Oncor Electric Delivery, Southern California Edison, APR Energy, Gexa Energy, Great River Energy, Vivint Solar, Ameren Illinois, National Grid, OGE Energy</t>
  </si>
  <si>
    <t>Operator of an energy-based holding company. The company's subsidiaries are engaged in electric and natural gas utility operations and other non-regulated energy-related businesses like natural gas services, gas marketing, and energy marketing in South Carolina, North Carolina and Georgia.</t>
  </si>
  <si>
    <t>Electric Utilities, Energy Marketing, Gas Utilities*</t>
  </si>
  <si>
    <t>electric utility, energy marketing service, natural gas utility</t>
  </si>
  <si>
    <t>www.scana.com</t>
  </si>
  <si>
    <t>1989: 4287, 1990: 4287, 1991: 4287, 1992: 4787, 1993: 4849, 1994: 4849, 1995: 4300, 1996: 4285, 1997: 4545, 1998: 4697, 1999: 5488, 2000: 5488, 2001: 5488, 2002: 5361, 2003: 5458, 2004: 5549, 2005: 5628, 2006: 5683, 2007: 5703, 2008: 5786, 2010: 5877, 2011: 5889, 2012: 5842, 2013: 5989, 2014: 5886, 2015: 5829, 2016: 5910, 2017: 5228, 2018: 5200, 2019: 6000</t>
  </si>
  <si>
    <t>89110-36P</t>
  </si>
  <si>
    <t>Jimmy Addison</t>
  </si>
  <si>
    <t>Cayce, SC</t>
  </si>
  <si>
    <t>220 Operations Way</t>
  </si>
  <si>
    <t>Cayce</t>
  </si>
  <si>
    <t>South Carolina</t>
  </si>
  <si>
    <t>29033</t>
  </si>
  <si>
    <t>The company was acquired by Dominion Resources (NYSE: D) for $6.84 billion on January 1, 2019. SCANA shareholders would receive 0.6690 shares of Dominion Energy common stock for each share of SCANA common stock. The combination with SCANA would solidify Dominion Energy's position among the nation's largest and fastest-growing energy utility companies by adding significantly to its presence in the expanding Southeast markets.</t>
  </si>
  <si>
    <t>Dominion Energy</t>
  </si>
  <si>
    <t>Kahn Swick &amp; Foti(Legal Advisor)</t>
  </si>
  <si>
    <t>Kahn Swick &amp; Foti(Legal Advisor), Mayer Brown(Legal Advisor), Morgan Stanley(Advisor: Financial Due Diligence), RBC Capital Markets(Advisor: Financial Due Diligence), Rigrodsky &amp; Long(Legal Advisor)</t>
  </si>
  <si>
    <t>60234-58</t>
  </si>
  <si>
    <t>GE Capital Fleet Services</t>
  </si>
  <si>
    <t>GE Capital Fleet Services, Inc.</t>
  </si>
  <si>
    <t>Provider of commercial car, truck financing and fleet management services. The company offers driver safety services that includes a system to improve safety by notifying drivers of accidents, as well as analyze forward collision, following time and lane departure hazards in real time issuing visual and audio alerts.</t>
  </si>
  <si>
    <t>Other Commercial Services*, Other Transportation, Road</t>
  </si>
  <si>
    <t>fleet management, truck financing</t>
  </si>
  <si>
    <t>www.gefleet.com</t>
  </si>
  <si>
    <t>56168-56P</t>
  </si>
  <si>
    <t>Teresa LeGrand</t>
  </si>
  <si>
    <t>Eden Prairie, MN</t>
  </si>
  <si>
    <t>Three Capital Drive</t>
  </si>
  <si>
    <t>Eden Prairie</t>
  </si>
  <si>
    <t>55344</t>
  </si>
  <si>
    <t>The company was acquired by Element Financial (TSE: EFN) for CAD 8917.38 Million on August 31, 2015. The company is no longer actively tracked by PitchBook.</t>
  </si>
  <si>
    <t>10682-38</t>
  </si>
  <si>
    <t>Belle International</t>
  </si>
  <si>
    <t>Belle</t>
  </si>
  <si>
    <t>Belle International Holdings Limited</t>
  </si>
  <si>
    <t>Manufacturer and retailer of footwear, sportswear and apparel in China. The company sells a broad range of footwear and apparel products under their own brand names and also distributes products to other retail brand outlets.</t>
  </si>
  <si>
    <t>E-Commerce, Manufacturing</t>
  </si>
  <si>
    <t>apparel retail platform, footwear branding, footwear business, footwear retailer, sportswear retail</t>
  </si>
  <si>
    <t>www.belleintl.com</t>
  </si>
  <si>
    <t>2007: 48495, 2009: 71780, 2010: 87619, 2011: 103809, 2012: 116263, 2013: 124047, 2014: 120727, 2015: 123500, 2016: 119061, 2017: 111737, 2020: 80000, 2021: 100000</t>
  </si>
  <si>
    <t>94875-22P</t>
  </si>
  <si>
    <t>Tang Yiu</t>
  </si>
  <si>
    <t>tyiu@belleintl.com</t>
  </si>
  <si>
    <t>+86 (0)755 8287 7388</t>
  </si>
  <si>
    <t>Belle Tower, No.8 Lanxiang 1st Street</t>
  </si>
  <si>
    <t>Yuehai Sub-district, Nanshan District</t>
  </si>
  <si>
    <t>The company was acquired by Hillhouse Capital, CDH Investments, Mr. Yu Wu and Mr. Sheng Fang through a HKD 53.1 billion public-to-private LBO on July 25, 2017.</t>
  </si>
  <si>
    <t>CDH Investments, Hillhouse Capital Group</t>
  </si>
  <si>
    <t>Cowin Capital, Credit Suisse, Crescent HydePark, Morgan Stanley Private Equity Asia</t>
  </si>
  <si>
    <t>CDH Investments(www.cdhfund.com), Hillhouse Capital Group(www.hillhousecap.com)</t>
  </si>
  <si>
    <t>Cowin Capital(www.cowincapital.com.cn), Credit Suisse(www.credit-suisse.com), Crescent HydePark(www.chp.vc)</t>
  </si>
  <si>
    <t>Anglo Chinese Corporate Finance(Advisor: General), Bank of America(Debt Financing), China International Capital Corporation(Underwriter), CIMB Securities(Underwriter), Conyers Dill &amp; Pearman(Legal Advisor), Credit Suisse(Underwriter), DBS Asia Capital(Underwriter), First Shanghai Securities(Underwriter), Jun He Law Offices(Legal Advisor), Kingsway Financial Services(Underwriter), Morgan Stanley(Underwriter), Norton Rose Fulbright(Legal Advisor), Polaris Capital (Asia)(Underwriter), PwC(Accounting), Simpson Thacher &amp; Bartlett(Legal Advisor), VC Brokerage(Underwriter)</t>
  </si>
  <si>
    <t>Loan - $3.59B (Senior)</t>
  </si>
  <si>
    <t>82082-62</t>
  </si>
  <si>
    <t>A. G. Edwards</t>
  </si>
  <si>
    <t>A.G. Edwards &amp; Son Stock and Bond Traders</t>
  </si>
  <si>
    <t>A. G. Edwards, Inc.</t>
  </si>
  <si>
    <t>Provider of stock and retail brokerage services intended to improve investment performances. The company's services include trust services, asset management, financial and retirement planning, private client services, investment management along with offering a wide range of investment products, powerful online trading platforms and market research tools, enabling clients to achieve one's investing and trading goals at a lower commission rate and make informed business decisions.</t>
  </si>
  <si>
    <t>Brokerage*, Investment Banks</t>
  </si>
  <si>
    <t>fund management, investment advisory, investment banking, shares brokerage</t>
  </si>
  <si>
    <t>www.agedwards.com</t>
  </si>
  <si>
    <t>1990: 6694, 1991: 8068, 1992: 8736, 1993: 9487, 1994: 9487, 1995: 10741, 1996: 11279, 1997: 12031, 1998: 12967, 1999: 12967, 2000: 12967, 2001: 17086, 2002: 16700, 2003: 16100, 2004: 15900, 2005: 15400, 2006: 15480, 2007: 15338</t>
  </si>
  <si>
    <t>1 North Jefferson Avenue</t>
  </si>
  <si>
    <t>63103</t>
  </si>
  <si>
    <t>The company (NYSE: AGE) was acquired by Wachovia Bank for $6.8 billion on October 1, 2007. The acquisition will enable the acquirer to expand its financial brokerage business across the United States. The company is no longer actively tracked by PitchBook.</t>
  </si>
  <si>
    <t>10553-32</t>
  </si>
  <si>
    <t>Cephalon</t>
  </si>
  <si>
    <t>Cephalon, Inc.</t>
  </si>
  <si>
    <t>Cephalon was a provider and developer of medicines for central nervous system disorders, pain and cancer. The company's research, development, manufacturing, and marketing activities focused on therapies for central nervous system disorders, cancer, pain and inflammatory disease. It offered its products through distributors in the United States and internationally. The company was founded in 1987 and was headquartered in Frazer, Pennsylvania.</t>
  </si>
  <si>
    <t>apnea, biopharmaceutical, medicine and drugs, multiple sclerosis, nerve disorder</t>
  </si>
  <si>
    <t>www.cephalon.com</t>
  </si>
  <si>
    <t>1991: 85, 1992: 97, 1993: 158, 1994: 158, 1995: 158, 1996: 303, 1997: 282, 1998: 295, 1999: 382, 2000: 513, 2001: 1127, 2002: 1271, 2003: 1646, 2004: 2173, 2005: 2895, 2006: 2895, 2007: 2796, 2008: 2780, 2009: 3026, 2010: 3726, 2014: 800</t>
  </si>
  <si>
    <t>41 Moores Road</t>
  </si>
  <si>
    <t>Frazer</t>
  </si>
  <si>
    <t>The company was acquired by Teva Pharmaceutical Industries (NYSE: TEVA) for $6.8 billion on October 14, 2011. The acquirer was backed by Soros Fund Management at the time of the transaction. The company is no longer actvely tracked by PitchBook.</t>
  </si>
  <si>
    <t>Ben Franklin Technology Partner of Southeastern Pennsylvania, New Leaf Venture, New Science Ventures, Oak Investment Partners, Sprout Group, SR One</t>
  </si>
  <si>
    <t>Ben Franklin Technology Partner of Southeastern Pennsylvania(www.sep.benfranklin.org), New Leaf Venture(www.nlvpartners.com), New Science Ventures(www.newscienceventures.com), Oak Investment Partners(www.oakinv.com), Sprout Group(www.sproutgroup.com), SR One(www.srone.com)</t>
  </si>
  <si>
    <t>WilmerHale(Legal Advisor)</t>
  </si>
  <si>
    <t>Bank of America Merrill Lynch(Advisor: General), Deutsche Bank(Advisor: General), Skadden, Arps, Slate, Meagher &amp; Flom(Legal Advisor)</t>
  </si>
  <si>
    <t>115320-88</t>
  </si>
  <si>
    <t>GE Insurance Solutions</t>
  </si>
  <si>
    <t>Employers Indemnity Exchange, Employers Indemnity Corp., Employers Reinsurance Corp.</t>
  </si>
  <si>
    <t>GE Insurance Solutions Corp.</t>
  </si>
  <si>
    <t>Provider of insurance services. The company provides life, personal, commercial, employee benefit, insurance counseling services to corporations, closely held businesses, high net worth individuals, professionals and executives.</t>
  </si>
  <si>
    <t>Commercial/Professional Insurance</t>
  </si>
  <si>
    <t>Commercial/Professional Insurance*, Insurance Brokers, Other Insurance</t>
  </si>
  <si>
    <t>insurance counseling, insurance policy, reinsurance services</t>
  </si>
  <si>
    <t>www.geinsurancesolutions.com</t>
  </si>
  <si>
    <t>52379-65P</t>
  </si>
  <si>
    <t>Ronald Pressman</t>
  </si>
  <si>
    <t>+1 (441) 295-8201</t>
  </si>
  <si>
    <t>9201 State Line Road</t>
  </si>
  <si>
    <t>64114</t>
  </si>
  <si>
    <t>The company was acquired by Swiss Re for $6.8 billion on June 12, 2006. The company is no longer actively tracked by PitchBook.</t>
  </si>
  <si>
    <t>Swiss Re Group</t>
  </si>
  <si>
    <t>General Electric, Getty Oil, Texaco</t>
  </si>
  <si>
    <t>General Electric(www.ge.com), Getty Oil(www.gettyoil.com), Texaco(www.texaco.com)</t>
  </si>
  <si>
    <t>A&amp;L Goodbody(Legal Advisor), Clifford Chance(Legal Advisor), LeBoeuf Lamb Greene &amp; MacRae(Legal Advisor), Slaughter and May(Legal Advisor), The Goldman Sachs Group(Advisor: General), Weil, Gotshal &amp; Manges(Legal Advisor)</t>
  </si>
  <si>
    <t>50961-52</t>
  </si>
  <si>
    <t>IDEC Pharmaceuticals</t>
  </si>
  <si>
    <t>IDEC Pharmaceuticals Corp.</t>
  </si>
  <si>
    <t>Developer of products for the treatment of cancer and autoimmune diseases. The company was founded with the intent of developing and commercializing monoclonal antibodies. The company looks to find patient specific approaches in treating non-Hodgkin's lymphoma.</t>
  </si>
  <si>
    <t>cancer and autoimmune disease, monoclonal antibody, patient specific, treating lymphoma</t>
  </si>
  <si>
    <t>www.idecpharm.com</t>
  </si>
  <si>
    <t>58357-81P</t>
  </si>
  <si>
    <t>Ron Levy</t>
  </si>
  <si>
    <t>+1 (858) 431-8500</t>
  </si>
  <si>
    <t>3030 Callan Road</t>
  </si>
  <si>
    <t>The company was merged with Biogen to form Biogen IDEC on November 12, 2003. The company is no longer actively tracked by PitchBook.</t>
  </si>
  <si>
    <t>Abingworth Management, ABS Ventures, Alloy Ventures, EuclidSR Partners, Kleiner Perkins, Sorrento Associates, SR One, Venrock, Western Technology Investment, Zenyaku Kogyo</t>
  </si>
  <si>
    <t>Abingworth Management(www.abingworth.com), ABS Ventures(www.absventures.com), Alloy Ventures(www.alloyventures.com), EuclidSR Partners(www.euclidpartners.com), Kleiner Perkins(www.kleinerperkins.com), Sorrento Associates(www.sorrentoventures.com), SR One(www.srone.com), Venrock(www.venrock.com), Western Technology Investment(www.westerntech.com), Zenyaku Kogyo(www.zenoaq.jp)</t>
  </si>
  <si>
    <t>Western Technology Investment(Debt Financing)</t>
  </si>
  <si>
    <t>159686-74</t>
  </si>
  <si>
    <t>Lionore Mining International</t>
  </si>
  <si>
    <t>Lionore</t>
  </si>
  <si>
    <t>Lionore Mining International Ltd</t>
  </si>
  <si>
    <t>Provider of metal exploration services. The company is engaged in exploration, development and mining of nickel and gold properties in Australia, Botswana and South Africa.</t>
  </si>
  <si>
    <t>gold mine property, nickle mining</t>
  </si>
  <si>
    <t>www.lionore.com</t>
  </si>
  <si>
    <t>156917-35P</t>
  </si>
  <si>
    <t>Colin Steyn</t>
  </si>
  <si>
    <t>Director, President &amp; Chief Executive Officer</t>
  </si>
  <si>
    <t>20 Toronto Street</t>
  </si>
  <si>
    <t>12th Floor</t>
  </si>
  <si>
    <t>M5C 2B8</t>
  </si>
  <si>
    <t>The company was acquired by Norilsk Nickel (MCX: GMKN) for $6.8 billion on June 29, 2007. The company is no longer actively tracked by PitchBook.</t>
  </si>
  <si>
    <t>Norilsk Nickel</t>
  </si>
  <si>
    <t>135552-70</t>
  </si>
  <si>
    <t>Bayer Healthcare Animal Health</t>
  </si>
  <si>
    <t>Bayer Animal Health GmbH</t>
  </si>
  <si>
    <t>Provider of animal health treatment intended to care for animals and the people interacting with them. The company develops new products, therapies and improved forms of administration for animal health and pest control, enabling animal owners and professionals to treat their animals in a safe and humane way.</t>
  </si>
  <si>
    <t>Animal Husbandry, Other Services (B2C Non-Financial)*</t>
  </si>
  <si>
    <t>animal medicine, animal treatment, pet medicine, pet treatment, veterinary care</t>
  </si>
  <si>
    <t>www.animalhealth.bayer.com</t>
  </si>
  <si>
    <t>2019: 3700</t>
  </si>
  <si>
    <t>Zentraler Besucherempfang</t>
  </si>
  <si>
    <t>Kaiser-Wilhelm-Allee</t>
  </si>
  <si>
    <t>The company, a subsidiary of Bayer, was acquired by Elanco (NYS: ELAN) for $6.67 billion on August 1, 2020. The deal strengthens and accelerates Elanco's Innovation, Portfolio, and Productivity (IPP) strategy, creating the second largest animal health leader by global revenue.</t>
  </si>
  <si>
    <t>Elanco Animal Health</t>
  </si>
  <si>
    <t>Credit Suisse(Advisor: General)</t>
  </si>
  <si>
    <t>64036-45</t>
  </si>
  <si>
    <t>WestConnex toll road</t>
  </si>
  <si>
    <t>A toll road in Sydney, Australia. The highway project comprises of a series of interconnected motorways and road upgrades.</t>
  </si>
  <si>
    <t>Buildings and Property*, Infrastructure</t>
  </si>
  <si>
    <t>highway, toll road, toll road assets, toll road operator, toll road project</t>
  </si>
  <si>
    <t>The WestConnex toll road was acquired by Transurban, AustralianSuper, Canadian Pension Plan Investment Board and Abu Dhabi Investment Authority through an LBO for AUD 9.26 billion on August 30, 2018. The NSW Government will continue to own the remaining 49% stake.</t>
  </si>
  <si>
    <t>AustralianSuper, Canada Pension Plan Investment Board, The Abu Dhabi Investment Authority, Transurban</t>
  </si>
  <si>
    <t>AustralianSuper(www.australiansuper.com), Canada Pension Plan Investment Board(www.cppinvestments.com), The Abu Dhabi Investment Authority(www.adia.ae), Transurban(www.transurban.com)</t>
  </si>
  <si>
    <t>Allens(Legal Advisor), Ansarada(Auditor)</t>
  </si>
  <si>
    <t>AquAsia(Advisor: General)</t>
  </si>
  <si>
    <t>188045-02</t>
  </si>
  <si>
    <t>Sydney Motorway</t>
  </si>
  <si>
    <t>SMC</t>
  </si>
  <si>
    <t>Sydney Motorway Corp.</t>
  </si>
  <si>
    <t>Provider of infrastructure services based in Sydney, Australia. The company's infrastructure services include finance, deliver, operate and maintain major infrastructure projects.</t>
  </si>
  <si>
    <t>infrastructure developer, infrastructure services</t>
  </si>
  <si>
    <t>www.sydneymotorway.com.au</t>
  </si>
  <si>
    <t>GPO Box 3905</t>
  </si>
  <si>
    <t>The company, a subisidiary of Government of New South Wales, was acquired by Transurban (ASX: TCL) for AUD 9.26 billion on September 3, 2018. The NSW government will use the proceeds from the divestment of the 51% stake to fund the remaining part of Westconnex. The company is no longer actively tracked by PitchBook.</t>
  </si>
  <si>
    <t>Government of New South Wales</t>
  </si>
  <si>
    <t>Transurban</t>
  </si>
  <si>
    <t>Ansarada(Consulting)</t>
  </si>
  <si>
    <t>128152-18</t>
  </si>
  <si>
    <t>Hinkley Point C nuclear power station in Somerset</t>
  </si>
  <si>
    <t>Nuclear power station in England. The project is a 3,200-megawatt power station with two European pressurized reactors. It is located in Somerset.</t>
  </si>
  <si>
    <t>nuclear energy, power station, pressurized reactor</t>
  </si>
  <si>
    <t>169996-78P</t>
  </si>
  <si>
    <t>Stuart Crooks</t>
  </si>
  <si>
    <t>General Nuclear International, a subsidiary of China General Nuclear Power acquired a 33.5% stake in Hinkley Point C nuclear power station of EDF Energy (EPA: EDF) for EUR 6 billion on September 15, 2016.</t>
  </si>
  <si>
    <t>Électricité de France, General Nuclear International</t>
  </si>
  <si>
    <t>Clarke Willmott(Legal Advisor)</t>
  </si>
  <si>
    <t>41714-74</t>
  </si>
  <si>
    <t>Business Objects</t>
  </si>
  <si>
    <t>Business Objects S.A</t>
  </si>
  <si>
    <t>MicroStrategy, Spotfire</t>
  </si>
  <si>
    <t>Provider of business intelligence software and services. The company offers various software tools that let users extract, share and manage information stored in a variety of databases.</t>
  </si>
  <si>
    <t>Application Software*, Database Software, IT Consulting and Outsourcing</t>
  </si>
  <si>
    <t>business intelligence software, business performance measurement</t>
  </si>
  <si>
    <t>www.businessobjects.com</t>
  </si>
  <si>
    <t>1993: 181, 1994: 214, 1995: 350, 1996: 552, 1997: 757, 1998: 977, 1999: 1321, 2000: 1888, 2001: 1888, 2002: 2162, 2003: 3924, 2004: 3834, 2005: 4418, 2006: 5402</t>
  </si>
  <si>
    <t>Levallois-Perret, France</t>
  </si>
  <si>
    <t>157/159 rue Anatole France</t>
  </si>
  <si>
    <t>Levallois-Perret</t>
  </si>
  <si>
    <t>92300</t>
  </si>
  <si>
    <t>The company was acquired by SAP (NYSE: SAP) for approximately EUR 4.8 billion on October 7, 2007. The company is no longer actively tracked by PitchBook.</t>
  </si>
  <si>
    <t>Atlas Venture, August Capital, CCMP Capital Advisors, Innovacom (Paris), Integral Capital Partners, Partech, Silver Lake, The Goldman Sachs Group, TPG</t>
  </si>
  <si>
    <t>Atlas Venture(www.atlasventure.com), August Capital(www.augustcap.com), CCMP Capital Advisors(www.ccmpcapital.com), Innovacom (Paris)(www.innovacom.com), Integral Capital Partners(www.icp.com), Partech(www.partechpartners.com), Silver Lake(www.silverlake.com), The Goldman Sachs Group(www.goldmansachs.com), TPG(www.tpg.com)</t>
  </si>
  <si>
    <t>EY(Accounting), Lehman Brothers(Advisor: General), Morgan Stanley(Advisor: General), Wilson Sonsini Goodrich &amp; Rosati(Legal Advisor)</t>
  </si>
  <si>
    <t>60822-91</t>
  </si>
  <si>
    <t>Crown Resorts (ASX: CWN)</t>
  </si>
  <si>
    <t>Crown Resorts Limited</t>
  </si>
  <si>
    <t>Wynn Resorts</t>
  </si>
  <si>
    <t>Crown Resorts is Australia's largest hotel-casino company. Its flagship property is Crown Melbourne, an integrated complex with more than 2,600 electronic game machines, or EGMs, 540 tables, and three hotels. Crown also operates Crown Perth, a property with more than 2,500 EGMs, 350 tables, and three hotels. Crown has also obtained a licence to operate Sydney's second casino, Crown Sydney, centred on the VIP and premium gaming market. The company also operates Aspinall's, a boutique, premium-focused casino in London.</t>
  </si>
  <si>
    <t>Casinos and Gaming*, Hotels and Resorts</t>
  </si>
  <si>
    <t>casino operations, casino operator, entertainment facility, integrated resort, resort operator</t>
  </si>
  <si>
    <t>www.crownresorts.com.au</t>
  </si>
  <si>
    <t>2007: 7757, 2015: 11819, 2016: 12453, 2017: 11835, 2018: 12169, 2019: 12500, 2021: 4102</t>
  </si>
  <si>
    <t>CWN</t>
  </si>
  <si>
    <t>254283-58P</t>
  </si>
  <si>
    <t>Alan McGregor</t>
  </si>
  <si>
    <t>Chief Financial Officer &amp; Interim Company Secretary</t>
  </si>
  <si>
    <t>alan.mcgregor@crownresorts.com.au</t>
  </si>
  <si>
    <t>+61 (0)3 9292 8888</t>
  </si>
  <si>
    <t>Level 3, Crown Tower</t>
  </si>
  <si>
    <t>8 Whiteman Street</t>
  </si>
  <si>
    <t>+61 (0)3 9292 5515</t>
  </si>
  <si>
    <t>The company was in talks to be acquired by The Star Entertainment Group for AUD 9 billion as of May 9, 2021. The Star Entertainment Group had offered 2.68 of its own shares for each of the company's shares as well as an alternative cash option of AUD 12.50 per share for up to 25% of the company shares on issue. The merger would have allowed The Star Entertainment Group to build a stronger and more capable team by broadening its employee talent pools, adding management depth and facilitating capabilities and culture across a number of key operational and customer service areas. Subsequently, the deal was canceled on July 23, 2021.</t>
  </si>
  <si>
    <t>Consolidated Press Holdings (CPH), The Blackstone Group</t>
  </si>
  <si>
    <t>Melco Resorts and Entertainment (Philippines)</t>
  </si>
  <si>
    <t>The Star Entertainment Group</t>
  </si>
  <si>
    <t>Melco Resorts and Entertainment (Philippines)(www.melco-resorts-philippines.com)</t>
  </si>
  <si>
    <t>The Star Entertainment Group(www.starentertainmentgroup.com.au)</t>
  </si>
  <si>
    <t>ON Partners(Advisor: General)</t>
  </si>
  <si>
    <t>Allens(Legal Advisor), Ashurst(Legal Advisor), Deutsche Bank(Advisor: General), UBS Group(Advisor: General)</t>
  </si>
  <si>
    <t>41058-46</t>
  </si>
  <si>
    <t>B/E Aerospace</t>
  </si>
  <si>
    <t>B/E Avionics, Bach Engineering</t>
  </si>
  <si>
    <t>B/E Aerospace, Inc.</t>
  </si>
  <si>
    <t>AIM Aerospace, Airbus, International Aero, Ontic Engineering &amp; Manufacturing, Tactair Fluid Controls, Esterline Technologies, Airbus Group, GE Aviation, Rafael Advanced Defense Systems, Pratt &amp; Whitney, The NORDAM Group, Kearfott, Zodiac Aerospace, ETA Global, Meggitt, Sargent Aerospace &amp; Defense, Gulfstream Aerospace, Firstmark (Chatsworth), Safran Group, Korea Aerospace Industries, Astronautics Corporation of America, StandardAero, Northrop Grumman, Woodward, Universal Avionics Systems, Thales Group, Sonaca Group, Satair, Orbital ATK, Sequa, Kansas Aviation of Independence, Marotta Controls, GKN Group, OHB, Collins Aerospace, A-T Controls, Rolls-Royce, Triumph Group, Wesco Aircraft Hardware, Cobham, Lockheed Martin, Garmin, BAE Systems, Raytheon</t>
  </si>
  <si>
    <t>Manufacturer of aircraft cabin interior products. The company designs, develops and manufactures a broad range of products like aircraft cabin seating, lighting systems, oxygen systems, food and beverage preparation and storage equipment, galley systems, and modular lavatory systems for both commercial aircraft and business jets.</t>
  </si>
  <si>
    <t>aerospace product, aerospace product design, aircraft cabin interior, aircraft cabin seating, aircraft product</t>
  </si>
  <si>
    <t>www.beaerospace.com</t>
  </si>
  <si>
    <t>1990: 179, 1991: 155, 1992: 155, 1993: 1498, 1994: 1800, 1995: 1800, 1996: 2714, 1997: 3140, 1998: 3600, 1999: 5600, 2000: 4500, 2001: 4300, 2002: 4100, 2003: 3700, 2004: 3500, 2005: 3980, 2006: 5058, 2007: 6298, 2008: 6548, 2009: 5500, 2010: 6650, 2011: 7700, 2012: 9500, 2013: 10285, 2014: 9617, 2015: 10057, 2016: 10875</t>
  </si>
  <si>
    <t>114068-35P</t>
  </si>
  <si>
    <t>Jim Grace</t>
  </si>
  <si>
    <t>Director of Business Development - Macrolink</t>
  </si>
  <si>
    <t>jim.grace@beaerospace.com</t>
  </si>
  <si>
    <t>Wellington, FL</t>
  </si>
  <si>
    <t>1400 Corporate Center Way</t>
  </si>
  <si>
    <t>Wellington</t>
  </si>
  <si>
    <t>33414</t>
  </si>
  <si>
    <t>The company (NAS: BEAV) was acquired by Rockwell Collins (NYS: COL) for $6.7 billion on April 13, 2017. Rockwell Collins financed the cash portion of the transaction with debt financing of approximately $1.9 million. The company is no longer actively tracked by PitchBook.</t>
  </si>
  <si>
    <t>Auriga Partners</t>
  </si>
  <si>
    <t>General Electric, Honeywell, Raytheon Technologies</t>
  </si>
  <si>
    <t>Auriga Partners(www.aurigapartners.net)</t>
  </si>
  <si>
    <t>General Electric(www.ge.com), Honeywell(www.honeywell.com), Raytheon Technologies(www.rtx.com)</t>
  </si>
  <si>
    <t>Adams &amp; Royer(Advisor: General), Gunster(Legal Advisor), Irell &amp; Manella(Legal Advisor), Knobbe Martens(Legal Advisor), Leonis Partners(Advisor: General), Oppenheimer &amp; Company(Advisor: General), Pacific Program Management(Advisor: General), The JetCapital(Advisor: General), Tonex(Consulting), White Peak Capital(Debt Financing), Winston &amp; Strawn(Legal Advisor)</t>
  </si>
  <si>
    <t>Citigroup(Advisor: General), Cleary Gottlieb(Legal Advisor), Columbia West Capital(Advisor: General), Morris, Nichols, Arsht &amp; Tunnell(Legal Advisor), O'Keeffe &amp; O'Malley(Advisor: General), Shearman &amp; Sterling(Legal Advisor), The Goldman Sachs Group(Advisor: General)</t>
  </si>
  <si>
    <t>Loan - $1.90M</t>
  </si>
  <si>
    <t>42254-92</t>
  </si>
  <si>
    <t>Quality Technology Services (NYS: QTS)</t>
  </si>
  <si>
    <t>e^deltacom</t>
  </si>
  <si>
    <t>QTS</t>
  </si>
  <si>
    <t>QTS Realty Trust, Inc.</t>
  </si>
  <si>
    <t>CoreSite Realty, CyrusOne, Vantage Data Centers, Stream Data Centers, Cyxtera Technologies, Flexential, 365 Data Centers, C7 Data Centers, Supernap Italia, AirTrunk, T5 Data Centers, Internap, vXchnge, DuPont Fabros Technology, eStruxture Data Centers, Upminster, Compass Datacenters, EdgeConneX, Rackspace Technology, Aligned Data Centers, Stack Infrastructure, Hostway Services, Equinix, NFINIT, ByteGrid Holdings, Tarsus On Demand, NaviSite (Acquire), Data Foundry, DataBank, LightBound, Aptum Technologies, Datapipe, Ajubeo, Cologix, Pulsant, DC BLOX, OnRamp Access, Interxion, Navisite, TekLinks, ZeroLag, INetU, ServerCentral Turing Group, TierPoint, H5 Data Centers</t>
  </si>
  <si>
    <t>QTS Realty Trust Inc is a real estate investment trust involved in the ownership and management of data centers located throughout the United States. The company provides data center solutions and cloud-managed services to customers through its facilities. QTS' Customer Data Center and Colocation Services business lines, cumulatively, contribute the majority of its total revenue. In each of these, QTS provides its tenants with the services and rental space necessary to house, power, and cool their networking equipment and computer systems. Most of the company's real estate portfolio is located in the Richmond, Dallas-Fort Worth, and Northeastern Georgia regions in terms of total square footage and rental revenue. Companies in the technology industry represent QTS' largest source of income.</t>
  </si>
  <si>
    <t>data center, data center hosting, data center network, data center sevrvice, disaster recovery, system management</t>
  </si>
  <si>
    <t>www.qtsdatacenters.com</t>
  </si>
  <si>
    <t>2006: 322, 2007: 322, 2008: 322, 2009: 300, 2010: 322, 2013: 415, 2014: 460, 2015: 720, 2016: 780, 2017: 818, 2018: 606, 2019: 612, 2020: 634, 2021: 731</t>
  </si>
  <si>
    <t>29876-95P</t>
  </si>
  <si>
    <t>Jeffrey Berson</t>
  </si>
  <si>
    <t>jeff.berson@qtsdatacenters.com</t>
  </si>
  <si>
    <t>+1 (913) 814-9988</t>
  </si>
  <si>
    <t>Overland Park, KS</t>
  </si>
  <si>
    <t>12851 Foster Street</t>
  </si>
  <si>
    <t>Overland Park</t>
  </si>
  <si>
    <t>66213</t>
  </si>
  <si>
    <t>inforequest@qtsdatacenters.com</t>
  </si>
  <si>
    <t>The company entered into a definitive agreement to be acquired by The Blackstone Group through an estimated $6.7 billion LBO on June 8, 2021. The transaction values the company at $10 billion. The company is being actively tracked by PitchBook.</t>
  </si>
  <si>
    <t>General Atlantic</t>
  </si>
  <si>
    <t>General Atlantic(www.generalatlantic.com)</t>
  </si>
  <si>
    <t>KeyBank(Underwriter)</t>
  </si>
  <si>
    <t>Bank of America Merrill Lynch(Underwriter), Berenberg Bank(Advisor: General), BMO Capital Markets(Advisor: General), Capital One Securities(Advisor: General), Citizens Capital(Underwriter), Credit Suisse(Advisor: General), Deutsche Bank Securities(Underwriter), Evercore Group(Underwriter), EY(Accounting), Hogan Lovells(Legal Advisor), J.P. Morgan(Underwriter), J.P. Morgan Securities(Underwriter), Jefferies Financial Group(Underwriter), KeyBanc Capital Markets(Advisor: General), KeyBank(Underwriter), Mizuho Securities(Advisor: General), Morgan Stanley(Advisor: General), Paul, Weiss, Rifkind, Wharton &amp; Garrison(Legal Advisor), PNC(Underwriter), RBC Capital Markets(Underwriter), Regions Securities(Advisor: General), Robert W. Baird &amp; Co(Underwriter), Santander Corporate &amp; Investment Banking(Advisor: General), Stifel Financial(Advisor: General), SunTrust Robinson Humphrey(Underwriter), Synovus Securities(Advisor: General), TD Securities(Underwriter), The Goldman Sachs Group(Underwriter)</t>
  </si>
  <si>
    <t>10547-20</t>
  </si>
  <si>
    <t>TDC (PINX: TDCAF)</t>
  </si>
  <si>
    <t>Tele Danmark</t>
  </si>
  <si>
    <t>TDC A/S</t>
  </si>
  <si>
    <t>Telenor Group, Telecom Argentina, Great Plains Communications (Nebraska), Alaska Communications Systems, Telemach, ADC Telecommunications, Kazakhtelecom, Millicom International Cellular, DNA (Finland), Telenor India, Zayo Group, MegaFon, Phonero, TalkTalk Telecom Group, Tele2 Telecommunication, AT&amp;T, Consolidated Communications, Altice Portugal, Voxbone, Atlant Telecom, TPG Telecom, ISP Fuel Broadband, Mediacom, Telecom Liechtenstein, Tele2 Russia, Get, ALLO Communications, Rise Broadband, Tele2 Belgium, Orange, Summit Broadband, Comfone, Tele2, Telenor Myanmar, WideOpenWest, Belgacom International Carrier Services, Quintillion Subsea Holdings, Tele2 Kazakhstan, Veon, Colt Technology Services, Elisa, Tele2 Netherlands, EarthLink, Sinch, Level 3 Communications, Comcast, BT Group (UK), tyntec</t>
  </si>
  <si>
    <t>TDC A/S is a triple-play telecommunications provider. It generates revenue from the provision of mobile, broadband, and fixed-line voice services. The company operates through following segments Consumer, dedicated to residential households in Denmark; Business, dedicated to the business market in Denmark; and Wholesale, delivering services to service providers in Denmark. Other operations consists of the three operating segments Operations, Digital and Headquarters and includes shared Danish functions such as, IT, procurement, and installation.</t>
  </si>
  <si>
    <t>data transmission, landline network, mobile broadband, mobile service, wireless broadband</t>
  </si>
  <si>
    <t>www.tdcgroup.com</t>
  </si>
  <si>
    <t>2008: 14745, 2009: 8033, 2010: 12381, 2011: 10231, 2012: 9395, 2013: 9114, 2014: 8811, 2015: 8854, 2016: 8812, 2017: 8212, 2018: 15979, 2019: 7327, 2020: 7038</t>
  </si>
  <si>
    <t>PINX</t>
  </si>
  <si>
    <t>TDCAF</t>
  </si>
  <si>
    <t>75014-56P</t>
  </si>
  <si>
    <t>Lasse Pilgaard</t>
  </si>
  <si>
    <t>Member of Executive Committee, Chief Financial Officer and Senior Executive Vice President</t>
  </si>
  <si>
    <t>+45 2830 2845</t>
  </si>
  <si>
    <t>København, Denmark</t>
  </si>
  <si>
    <t>Teglholmsgade 1</t>
  </si>
  <si>
    <t>København</t>
  </si>
  <si>
    <t>0900</t>
  </si>
  <si>
    <t>+45 7011 0330</t>
  </si>
  <si>
    <t>The company was acquired by The ATP Group, PFA Pension, Pensionskassernes Administration and Macquarie Infrastructure and Real Assets (MIRA) through a $6.7 billion public-to-private LBO on May 4, 2018. A 90% shareholding will allow the consortium to force a delisting of the company. The company later acquired the remaining 708,680 shares of the company.</t>
  </si>
  <si>
    <t>Macquarie Infrastructure and Real Assets, Pensionskassernes Administration, PFA Pension, The ATP Group</t>
  </si>
  <si>
    <t>Apax Partners, Kohlberg Kravis Roberts, Morgan Stanley, Permira, Providence Equity Partners, Reiten &amp; Co, Stockwell Capital, The Blackstone Group</t>
  </si>
  <si>
    <t>Macquarie Infrastructure and Real Assets(www.mirafunds.com), Pensionskassernes Administration(www.pka.dk), PFA Pension(www.pfa.dk/privat), The ATP Group(www.atp.dk)</t>
  </si>
  <si>
    <t>Apax Partners(www.apax.com), Kohlberg Kravis Roberts(www.kkr.com), Morgan Stanley(www.morganstanley.com), Permira(www.permira.com), Providence Equity Partners(www.provequity.com), Reiten &amp; Co(www.reitenco.com), Stockwell Capital(www.stockwellcapital.com), The Blackstone Group(www.blackstone.com)</t>
  </si>
  <si>
    <t>Alexander Partners(Advisor: General), Bruun &amp; Hjejle(Legal Advisor)</t>
  </si>
  <si>
    <t>Barclays Investment Bank(Debt Financing), Barings(Debt Financing), BNP Paribas(Underwriter), Carnegie Investment Bank(Underwriter), CIC Private Debt(Debt Financing), Clifford Chance(Legal Advisor), Credit Suisse(Debt Financing), Danske Bank(Underwriter), Deutsche Bank(Advisor: General), FIH Partners(Advisor: General), HSBC Holdings(Advisor: General), J.P. Morgan(Advisor: General), Kromann Reumert(Legal Advisor), LionTree Advisors(Advisor: General), Morgan Stanley(Underwriter), NatWest Group(Debt Financing), Nomura Securities(Underwriter), Nordea Bank(Underwriter), Skandinaviska Enskilda Banken(Advisor: General), STJ Advisors(Advisor: General), The Goldman Sachs Group(Advisor: General), UBS Group(Advisor: General)</t>
  </si>
  <si>
    <t>Loan - $3.78B (Senior)</t>
  </si>
  <si>
    <t>Loan; Loan (First Lien)</t>
  </si>
  <si>
    <t>10164-88</t>
  </si>
  <si>
    <t>Dresser-Rand Group</t>
  </si>
  <si>
    <t>Dresser-Rand, DRG, DRC</t>
  </si>
  <si>
    <t>Dresser-Rand Group, Inc.</t>
  </si>
  <si>
    <t>The Elliott Group, Havells, Schneider Electric, Petroleum Technology Company, Ebara, Monbat, Power Systems Manufacturing, Forum Energy Technologies, Red Valve Company, Flowserve, Velan, Tecumseh Products Company, Danfoss, Gates, Rolls-Royce, Sick Stegmann, Omb Valves, Aesseal, Exterran, F.W. Webb, Colonial Engineering</t>
  </si>
  <si>
    <t>Manufacturer and supplier of mission-critical, high-speed rotating equipment solutions to the worldwide oil, gas, petrochemical, and process industries. The company's products include turbo and reciprocating compressors, steam turbines, industrial and aero-derivative gas turbines, high-speed engines and modular power substations, enabling industries in various countries to meet their needs and run their daily operations smoothly.</t>
  </si>
  <si>
    <t>Electrical Equipment*, Oil and Gas Equipment</t>
  </si>
  <si>
    <t>energy equipment, gas turbine, reciprocating compressors, steam turbine, turbo</t>
  </si>
  <si>
    <t>www.dresser-rand.com</t>
  </si>
  <si>
    <t>2004: 4680, 2005: 5277, 2006: 5612, 2007: 6000, 2008: 6400, 2009: 6100, 2010: 6200, 2011: 7506, 2012: 7976, 2013: 8100, 2014: 7900</t>
  </si>
  <si>
    <t>West 8 Tower, 10205 Westheimer Road</t>
  </si>
  <si>
    <t>77042</t>
  </si>
  <si>
    <t>The company (NYSE: DRC) was acquired by Siemens (XETRA: SIE) for EUR 5.98 billion on June 30, 2015. The company is no longer actively tracked by PitchBook.</t>
  </si>
  <si>
    <t>Baker Botts(Legal Advisor), Bear Stearns(Underwriter), Blaylock Van(Underwriter), Chatsworth Securities(Underwriter), Citigroup(Underwriter), CMG Institutional Trading(Underwriter), Gibson, Dunn &amp; Crutcher(Legal Advisor), Howard Weil(Underwriter), Lehman Brothers(Underwriter), Morgan Stanley(Underwriter), Natixis Securities Americas(Underwriter), Osler, Hoskin &amp; Harcourt(Legal Advisor), PwC(Accounting), Simmons Energy(Underwriter), Simpson Thacher &amp; Bartlett(Legal Advisor), The Goldman Sachs Group(Underwriter), UBS Group(Underwriter), Wachtell, Lipton, Rosen &amp; Katz(Legal Advisor), Zaoui &amp; Co.(General Business Banking)</t>
  </si>
  <si>
    <t>13295-17</t>
  </si>
  <si>
    <t>Plains Exploration &amp; Production</t>
  </si>
  <si>
    <t>PXP</t>
  </si>
  <si>
    <t>SM Energy, Oasis Petroleum, Tullow Oil, Anadarko Petroleum, Occidental Petroleum, Chesapeake Energy, Newfield Exploration, Southwestern Energy, Penn Virginia, Abraxas Petroleum, Sasol, EOG Resources, Gazprom, Concho Resources, Apache, LukOil, Total, Equinor, XTO Energy, Royal Dutch Shell, Hess, Devon Energy, Eni, Tengasco, SandRidge Energy</t>
  </si>
  <si>
    <t>Provider of oil and gas properties primarily in the United States. The company acquires, develops, explores and produces oil and gas properties</t>
  </si>
  <si>
    <t>gas property, oil exploration, oil production, oil property</t>
  </si>
  <si>
    <t>2002: 354, 2003: 424, 2004: 696, 2005: 640, 2006: 610, 2007: 775, 2008: 806, 2009: 808, 2010: 826, 2011: 880, 2012: 906</t>
  </si>
  <si>
    <t>700 Milam</t>
  </si>
  <si>
    <t>+1 (713) 579-6000</t>
  </si>
  <si>
    <t>+1 (713) 579-6611</t>
  </si>
  <si>
    <t>investor@pxp.com</t>
  </si>
  <si>
    <t>The company (NYSE: PXP) was acquired by Freeport-McMoRan Copper &amp; Gold (NYSE: FCX) for $6.639 billion on May 31, 2013. The company is no longer actively tracked by PitchBook.</t>
  </si>
  <si>
    <t>EIG Global Energy Partners, Plains Resources, SAC Private Capital Group, Triangle Peak Partners</t>
  </si>
  <si>
    <t>EIG Global Energy Partners(www.eigpartners.com), Plains Resources(www.plainsresources.com), SAC Private Capital Group(www.careers.sac.com), Triangle Peak Partners(www.trianglepeakpartners.com)</t>
  </si>
  <si>
    <t>Barclays Investment Bank(Advisor: General), Glass Lewis(Advisor: General), Institutional Shareholder Services(Advisor: General), Invesco(Debt Financing), J.P. Morgan(Advisor: General), Jefferies Financial Group(Advisor: General), Latham &amp; Watkins(Legal Advisor), Richards Layton &amp; Finger(Legal Advisor)</t>
  </si>
  <si>
    <t>59162-77</t>
  </si>
  <si>
    <t>Norddeutsche Landesbank</t>
  </si>
  <si>
    <t>NORD/LB</t>
  </si>
  <si>
    <t>Norddeutsche Landesbank Girozentrale</t>
  </si>
  <si>
    <t>Provider of asset management and financial advisory services intended to manage diverse portfolio of investments. The company's asset management services offer investment management, wealth management and other related services that combines the investment talent and entrepreneurialism of leading asset management boutiques with the resources and capabilities of a larger firm, enabling clients to obtain optimum long-term returns.</t>
  </si>
  <si>
    <t>investment manager, investment portfolio, investment stratergies, portfolio management sevice</t>
  </si>
  <si>
    <t>www.nordlb.com</t>
  </si>
  <si>
    <t>2006: 3377, 2007: 3495, 2008: 3678, 2009: 3791, 2010: 4041, 2011: 4265, 2012: 4271, 2013: 4291, 2014: 4221, 2015: 4070, 2016: 3991, 2017: 5167, 2019: 5900, 2021: 4500</t>
  </si>
  <si>
    <t>78739-39P</t>
  </si>
  <si>
    <t>Edward Weber</t>
  </si>
  <si>
    <t>edward.weber@nordlb.com</t>
  </si>
  <si>
    <t>Hanover, Germany</t>
  </si>
  <si>
    <t>Friedrichswall 10</t>
  </si>
  <si>
    <t>Hanover</t>
  </si>
  <si>
    <t>30159</t>
  </si>
  <si>
    <t>+49 (0)51 1361 0</t>
  </si>
  <si>
    <t>+49 (0)51 1361 2502</t>
  </si>
  <si>
    <t>The company had received bids to receive EUR 5.81 billion of development capital from Cerberus Capital Management and Centerbridge Partners on October 8, 2018. Subsequently the deal was cancelled on January 31, 2019. Previously, the company was acquired by M.M. Warburg &amp; Company for an undisclosed amount on February 1, 2018. The acquisition will further strengthen the acquirer's successful performance in asset management and continue their focus on the German market.</t>
  </si>
  <si>
    <t>M.M. Warburg &amp; Co.</t>
  </si>
  <si>
    <t>Advent International, Apollo Global Management, Centerbridge Partners, Cerberus Capital Management, Christofferson, Robb &amp; Company</t>
  </si>
  <si>
    <t>Advent International(www.adventinternational.com), Apollo Global Management(www.apollo.com), Centerbridge Partners(www.centerbridge.com), Cerberus Capital Management(www.cerberus.com), Christofferson, Robb &amp; Company(www.christoffersonrobb.com)</t>
  </si>
  <si>
    <t>Androschin &amp; Partner Management Consulting(Advisor: General), EY(Auditor), KPMG(Auditor), PwC(Auditor), Shepherd and Wedderburn(Legal Advisor)</t>
  </si>
  <si>
    <t>Houlihan Lokey(Advisor: General), J.P. Morgan(Advisor: General)</t>
  </si>
  <si>
    <t>57508-75</t>
  </si>
  <si>
    <t>GrandVision (Netherlands) (AMS: GVNV)</t>
  </si>
  <si>
    <t>Pearle Europe</t>
  </si>
  <si>
    <t>GrandVision</t>
  </si>
  <si>
    <t>GrandVision N.V.</t>
  </si>
  <si>
    <t>Mister Spex, Frames For America, MyOptique Group, Lensabl, GlassesUSA, Brille24, Eponym, EyeBuyDirect, Hawkers, Frameri, Glasses.com, Zenni Optical, Luxottica Group</t>
  </si>
  <si>
    <t>GrandVision NV is an optical retailer present in various countries in Europe, the Americas, and Asia. The company provides expert optical services, prescription glasses, frames, lenses, contact lenses, and sunglasses through a portfolio of optical retail banners. The company's exclusive portfolio contains the following brands: Miki Ninn, The One, Play, LightFly, Activ, and Enzzo, among others, for frames; Heritage, Seen, Solaris, and Unofficial for sunglasses; and EyeExpert and iWear for contact lenses. The assortment covers the full consumer spectrum, from well-known international brands to more-affordable in-house brands.</t>
  </si>
  <si>
    <t>Accessories, Specialty Retail*</t>
  </si>
  <si>
    <t>ophthalmic product, optical branding, optical store chain, spectacle, spectacle and sunglass</t>
  </si>
  <si>
    <t>www.grandvision.com</t>
  </si>
  <si>
    <t>2011: 19800, 2013: 21600, 2014: 25776, 2015: 27510, 2016: 28766, 2017: 36518, 2018: 37457, 2019: 39981, 2020: 33542</t>
  </si>
  <si>
    <t>AMS</t>
  </si>
  <si>
    <t>GVNV</t>
  </si>
  <si>
    <t>185347-63P</t>
  </si>
  <si>
    <t>Stephan Borchert</t>
  </si>
  <si>
    <t>stephan.borchert@grandvision.com</t>
  </si>
  <si>
    <t>+31 (0)88 887 0100</t>
  </si>
  <si>
    <t>Schiphol, Netherlands</t>
  </si>
  <si>
    <t>The Base, Evert van de Beekstraat 1-80</t>
  </si>
  <si>
    <t>Tower C, 6th floor</t>
  </si>
  <si>
    <t>Schiphol</t>
  </si>
  <si>
    <t>1118 CL</t>
  </si>
  <si>
    <t>info@grandvision.com</t>
  </si>
  <si>
    <t>The company was acquired by Essilor (PAR: EL) for EUR 5.5 billion on July 1, 2021.</t>
  </si>
  <si>
    <t>HAL Investments, Luxottica Group, Pearle Vision</t>
  </si>
  <si>
    <t>HAL Investments(www.halinvestments.nl), Luxottica Group(www.luxottica.com), Pearle Vision(www.pearlevision.com)</t>
  </si>
  <si>
    <t>CFF Communications(Advisor: Communications), North Beta Capital(Advisor: General)</t>
  </si>
  <si>
    <t>ABN AMRO Bank(Underwriter), Barclays Investment Bank(Underwriter), BNP Paribas(Underwriter), Davis Polk(Legal Advisor), De Brauw Blackstone Westbroek(Legal Advisor), HSBC Holdings(Underwriter), ING Group(Advisor: General), J.P. Morgan(Underwriter), Kempen &amp; Co(Placement Agent), PwC(Accounting)</t>
  </si>
  <si>
    <t>41890-60</t>
  </si>
  <si>
    <t>Go Via Network</t>
  </si>
  <si>
    <t>Queensland Motorways Management Pty Ltd</t>
  </si>
  <si>
    <t>A 70 kilometer long network of toll roads in Australia. The property is a network of toll roads, bridges and other infrastructure including the Go Between Bridge, CLEM7, Gateway, Gateway Extension and Logan motorways providing a transport network across the greater Brisbane area.</t>
  </si>
  <si>
    <t>motorway, toll bridges, toll road</t>
  </si>
  <si>
    <t>www.govianetwork.com.au</t>
  </si>
  <si>
    <t>2014: 500</t>
  </si>
  <si>
    <t>Mansfield, Australia</t>
  </si>
  <si>
    <t>P.O. Box 2125</t>
  </si>
  <si>
    <t>Mansfield</t>
  </si>
  <si>
    <t>4122</t>
  </si>
  <si>
    <t>+61 (0)7 3323 0000</t>
  </si>
  <si>
    <t>+61 (0)13 0055 9920</t>
  </si>
  <si>
    <t>The property was acquired by Transurban (ASX: TCL) for AUD 7.1 billion on April 24, 2014.</t>
  </si>
  <si>
    <t>QIC</t>
  </si>
  <si>
    <t>Abertis, APG Group, IFM Investors, Kuwait Investment Authority, OMERS Infrastructure Management, Ontario Teachers' Pension Plan, Vantage Infrastructure</t>
  </si>
  <si>
    <t>QIC(www.qic.com)</t>
  </si>
  <si>
    <t>Abertis(www.abertis.com), APG Group(www.apg.nl), IFM Investors(www.ifminvestors.com), Kuwait Investment Authority(www.kia.gov.kw), OMERS Infrastructure Management(www.omersinfrastructure.com), Ontario Teachers' Pension Plan(www.otpp.com), Vantage Infrastructure(www.vantageinfra.com)</t>
  </si>
  <si>
    <t>12491-47</t>
  </si>
  <si>
    <t>Mobile Mini</t>
  </si>
  <si>
    <t>Mobile Mini Storage Systems</t>
  </si>
  <si>
    <t>Mobile Mini, Inc.</t>
  </si>
  <si>
    <t>Mobile Mini Inc manufactures, rents, and sells portable storage containers. It generates the vast majority of its revenue from the rental of storage containers. The company's products are organized into two primary categories. Portable storage containers are dropped off at a customers' location by Mobile Mini and used by businesses in the retail, manufacturing, and construction industries. Tank and Pump Solutions consists of liquid and solid containers, as well as pumps and filtration equipment used by companies in the chemicals manufacturing, refining, mining, and the oil and gas industries. The company organizes itself into three segments based on geography: North America, United Kingdom, and Tank and Pump Solutions. The majority of revenue comes from the North America segment.</t>
  </si>
  <si>
    <t>industry container, portable storage container, portable storage solutions, storage container, storage solutions manufacturer</t>
  </si>
  <si>
    <t>www.mobilemini.com</t>
  </si>
  <si>
    <t>1994: 743, 1995: 600, 1996: 800, 1997: 800, 1998: 900, 1999: 1000, 2000: 1225, 2001: 1355, 2002: 1420, 2003: 1455, 2004: 1556, 2005: 1650, 2006: 1943, 2007: 2095, 2008: 2155, 2009: 1475, 2010: 1458, 2011: 1579, 2012: 1546, 2013: 1538, 2014: 1921, 2015: 1982, 2016: 1998, 2017: 2008, 2018: 2049, 2019: 2042</t>
  </si>
  <si>
    <t>WillScot Corporation</t>
  </si>
  <si>
    <t>211883-68P</t>
  </si>
  <si>
    <t>Graeme Parkes</t>
  </si>
  <si>
    <t>gparkes@mobilemini.com</t>
  </si>
  <si>
    <t>+1 (480) 894-6311</t>
  </si>
  <si>
    <t>4646 East Van Buren Street</t>
  </si>
  <si>
    <t>85008</t>
  </si>
  <si>
    <t>The company was acquired by WillScot Corporation (NAS: WSC) for $6.6 billion on July 1, 2020. The company's stockholders will receive 2.4050 shares of WillScot common stock for each share of the company's common stock in an all-stock merger of equals transaction.</t>
  </si>
  <si>
    <t>Oppenheimer &amp; Company(Advisor: General), Sidoti &amp; Company(Advisor: General), Tallwave(Consulting), Triton Value Partners(Advisor: General)</t>
  </si>
  <si>
    <t>Barclays Investment Bank(Advisor: General), Davis Polk(Legal Advisor), The Goldman Sachs Group(Advisor: General), White &amp; Case(Legal Advisor)</t>
  </si>
  <si>
    <t>60435-73</t>
  </si>
  <si>
    <t>Siam Makro Public Company (BKK: MAKRO)</t>
  </si>
  <si>
    <t>Siam Makro Public Company Ltd</t>
  </si>
  <si>
    <t>Siam Makro PCL operates Makro brand stores and frozen food shops across Thailand. Segments through which the company operates its business include Cash and Carry centers, Food Services, and Others. Products offered include both food and non-food items. The firm from over 90 stores offers products to small and medium size businesses, retailers, caterers, professional sectors, and institutions. It generates a majority of its revenue from Cash and carry segment.</t>
  </si>
  <si>
    <t>General Merchandise Stores*</t>
  </si>
  <si>
    <t>grocery company</t>
  </si>
  <si>
    <t>www.siammakro.co.th</t>
  </si>
  <si>
    <t>BKK</t>
  </si>
  <si>
    <t>MAKRO</t>
  </si>
  <si>
    <t>CP All Public Company</t>
  </si>
  <si>
    <t>126643-42P</t>
  </si>
  <si>
    <t>Saowaluck Thithapant</t>
  </si>
  <si>
    <t>thithapant@siammakro.co.th</t>
  </si>
  <si>
    <t>+66 (0)2 7231000</t>
  </si>
  <si>
    <t>3498 2nd floor Klongchan Road</t>
  </si>
  <si>
    <t>Bangkapi</t>
  </si>
  <si>
    <t>10240</t>
  </si>
  <si>
    <t>+66 (0)2 7342141</t>
  </si>
  <si>
    <t>info@siammakro.co.th</t>
  </si>
  <si>
    <t>The company was acquired by CP All Public Company (TB: CPALL) for 6.6 billion on August 5, 2013.</t>
  </si>
  <si>
    <t>SHV Holdings</t>
  </si>
  <si>
    <t>SHV Holdings(www.shv.nl)</t>
  </si>
  <si>
    <t>Jay Capital Advisory(Advisor: General)</t>
  </si>
  <si>
    <t>KPMG(Advisor: General), Phatra Capital(Advisor: General), PwC(Auditor)</t>
  </si>
  <si>
    <t>13960-90</t>
  </si>
  <si>
    <t>Stamps.com (NAS: STMP)</t>
  </si>
  <si>
    <t>StampMaster</t>
  </si>
  <si>
    <t>Stamps.com Inc.</t>
  </si>
  <si>
    <t>Pitney Bowes, Endicia</t>
  </si>
  <si>
    <t>Stamps.com Inc is a provider of Internet-based mailing and shipping solutions. The company's operating segments are Stamps.com and MetaPack. The Stamps.com segment makes up more than 90% of the company's revenue. This segment derives revenue from online postage and shipping software solutions offered to consumers, small businesses, e-commerce shippers, enterprise mailers, and high volume shippers. Stamps.com's customers are primarily located in the U.S. MetaPack derives revenue from multi-carrier enterprise-level shipping software solutions for large e-commerce retailers and brands. MetaPack's customers are primarily located outside the U.S.</t>
  </si>
  <si>
    <t>Other Retail</t>
  </si>
  <si>
    <t>Other Consumer Products and Services, Other Retail*</t>
  </si>
  <si>
    <t>digital postage service, internet-based mailing, online postage, postage, postage scale</t>
  </si>
  <si>
    <t>www.stamps.com</t>
  </si>
  <si>
    <t>1998: 77, 1999: 216, 2000: 150, 2001: 150, 2002: 100, 2003: 100, 2004: 100, 2005: 155, 2006: 165, 2007: 175, 2008: 190, 2009: 210, 2010: 220, 2011: 226, 2012: 233, 2013: 250, 2014: 343, 2015: 600, 2016: 700, 2017: 825, 2018: 1179, 2019: 1313, 2020: 1482, 2021: 495</t>
  </si>
  <si>
    <t>STMP</t>
  </si>
  <si>
    <t>56589-94P</t>
  </si>
  <si>
    <t>Kenneth McBride</t>
  </si>
  <si>
    <t>kenneth.mcbride@stamps.com</t>
  </si>
  <si>
    <t>+1 (310) 482-5800</t>
  </si>
  <si>
    <t>1990 East Grand Avenue</t>
  </si>
  <si>
    <t>+1 (302) 674-5266</t>
  </si>
  <si>
    <t>info@stamps.com</t>
  </si>
  <si>
    <t>The company entered into a definitive agreement to be acquired by Thoma Bravo through a $6.6 billion public to private LBO on July 9, 2021. Debt was provided by Blackstone Credit, Ares Management, PSP Investments Credit and Thoma Bravo to support the transaction. Previously, existing shareholders sold their stake in the company (NAS:STMP) for an undisclosed amount. The company is being actively tracked by PitchBook.</t>
  </si>
  <si>
    <t>Brentwood Venture Capital, Chase Venture Capital Associates, Enterprise Partners Venture Capital, Forrest Binkley &amp; Brown, Vulcan Medical Ventures</t>
  </si>
  <si>
    <t>Enterprise Partners Venture Capital(www.epvc.com), Vulcan Medical Ventures(www.vmvnet.com)</t>
  </si>
  <si>
    <t>Kahn Swick &amp; Foti(Legal Advisor), Manatt Phelps &amp; Phillips(Legal Advisor), Sidoti &amp; Company(Advisor: General)</t>
  </si>
  <si>
    <t>Andersen Global(Accounting), Ares Management(Debt Financing), Blackstone Credit(Debt Financing), Brobeck, Phleger &amp; Harrison(Legal Advisor), C.E. Unterberg, Towbin Holdings(Underwriter), J.P. Morgan Securities(Advisor: General), Proskauer Rose(Legal Advisor), PSP Investments Credit USA(Debt Financing), Robertson Stephens (Out of Business in 2017)(Underwriter), Thoma Bravo(Debt Financing), Thomas Weisel Partners(Underwriter), Volpe Brown Whelan(Underwriter), William Blair &amp; Company(Underwriter), Wit Capital(Underwriter)</t>
  </si>
  <si>
    <t>42133-51</t>
  </si>
  <si>
    <t>Telmex Internacional</t>
  </si>
  <si>
    <t>Telint</t>
  </si>
  <si>
    <t>Telmex</t>
  </si>
  <si>
    <t>Telmex Internacional, S.A.B. de C.V.</t>
  </si>
  <si>
    <t>Provider of telecommunication services. The company provides telecommunication services such as communication network, voice services, telephony services and other communication related services.</t>
  </si>
  <si>
    <t>data services, public telephony</t>
  </si>
  <si>
    <t>2007: 26321, 2008: 28477, 2013: 24769</t>
  </si>
  <si>
    <t>73503-73P</t>
  </si>
  <si>
    <t>Oscar Von Hauske Solis</t>
  </si>
  <si>
    <t>Chief Executive Officer &amp; Director</t>
  </si>
  <si>
    <t>oscar.vonhauskesolis@americamovil.com</t>
  </si>
  <si>
    <t>+52 (01)55 2581 3700</t>
  </si>
  <si>
    <t>Plaza CARSO Lago Zurich 245 Piso 15</t>
  </si>
  <si>
    <t>Edificio América Móvil Col Ampliación Granada, Delegación Miguel, Hidalgo</t>
  </si>
  <si>
    <t>DF 11529</t>
  </si>
  <si>
    <t>+52 (01)55 5223 3200</t>
  </si>
  <si>
    <t>+52 (01)55 5244 0367</t>
  </si>
  <si>
    <t>Carso Global Telecom sold a 39.3% stake in the company to America Movil for $6600 million on June 16, 2010. The company is no longer actively tracked by PitchBook.</t>
  </si>
  <si>
    <t>Bank of America Merrill Lynch(Advisor: General), Brava Negócios(Advisor: General), Lehman Brothers(Advisor: General)</t>
  </si>
  <si>
    <t>10317-52</t>
  </si>
  <si>
    <t>VWR International</t>
  </si>
  <si>
    <t>John Taylor Company</t>
  </si>
  <si>
    <t>VWR</t>
  </si>
  <si>
    <t>VWR International LLC</t>
  </si>
  <si>
    <t>Sysmex Nederland, Shimadzu, Abbott Diagnostics, PerkinElmer</t>
  </si>
  <si>
    <t>Distributor of laboratory consumables, equipment and chemicals intended to supply what is needed to bring science to life. The company's products offering includes chemicals, glassware and plastic-ware, equipment and instruments, furniture, protective apparel, production and safety products and other life science and laboratory products and supplies for customers in the pharmaceutical, biotechnology, industrial, education, government and healthcare industries.</t>
  </si>
  <si>
    <t>Medical Supplies, Other Chemicals and Gases, Other Commercial Products*</t>
  </si>
  <si>
    <t>glassware, lab equiptment, life science, plasticware, research laboratory</t>
  </si>
  <si>
    <t>www.vwr.com</t>
  </si>
  <si>
    <t>2007: 6100, 2008: 6500, 2014: 8800, 2015: 9300, 2016: 10200, 2017: 10200</t>
  </si>
  <si>
    <t>Avantor</t>
  </si>
  <si>
    <t>31765-78P</t>
  </si>
  <si>
    <t>Gregory Cowan</t>
  </si>
  <si>
    <t>greg.cowan@vwr.com</t>
  </si>
  <si>
    <t>+1 (800) 932-5000</t>
  </si>
  <si>
    <t>Radnor, PA</t>
  </si>
  <si>
    <t>Radnor Corporate Center, Building One</t>
  </si>
  <si>
    <t>100 Matsonford Road, Suite 200</t>
  </si>
  <si>
    <t>Radnor</t>
  </si>
  <si>
    <t>info@vwr.com</t>
  </si>
  <si>
    <t>The company was acquired by Avantor Performance Materials, via its Financial sponsors New Mountain Capital and Apollo Investment through a $6.6 billion public-to-private LBO on November 21, 2017. Goldman Sachs Merchant Banking Division also invested in this round. As a result of the closing of the transaction, VWR common stock will cease trading today on the Nasdaq Stock Market. The combination of Avantor and VWR creates a vertically integrated global company, optimally positioned to drive growth in dynamic sectors and serve an expanding global customer base.</t>
  </si>
  <si>
    <t>Avista Capital Partners, Clayton, Dubilier &amp; Rice, Dancap Family Investment Office, Madison Dearborn Partners, Norwest Equity Partners, Ridgemont Equity Partners</t>
  </si>
  <si>
    <t>Apollo Investment, Goldman Sachs Merchant Banking Division, New Mountain Capital</t>
  </si>
  <si>
    <t>Avista Capital Partners(www.avistacap.com), Clayton, Dubilier &amp; Rice(www.cdr-inc.com), Dancap Family Investment Office(www.dancap.ca), Madison Dearborn Partners(www.mdcp.com), Norwest Equity Partners(www.nep.com), Ridgemont Equity Partners(www.ridgemontep.com)</t>
  </si>
  <si>
    <t>Apollo Investment(www.apolloic.com), New Mountain Capital(www.newmountaincapital.com)</t>
  </si>
  <si>
    <t>Solebury Capital Group(Advisor: General)</t>
  </si>
  <si>
    <t>American Capital (ACAS)(Debt Financing), Apollo Investment(Debt Financing), Bank of America Merrill Lynch(Underwriter), Barclays Investment Bank(Underwriter), Bear Stearns(Advisor: General), Citigroup(Advisor: General), Corporate Capital Trust(Debt Financing), Cowen &amp; Company(Underwriter), Deutsche Bank(Advisor: General), Drexel Hamilton(Underwriter), J.P. Morgan(Underwriter), Jefferies Financial Group(Underwriter), Kirkland &amp; Ellis(Legal Advisor), KPMG(Accounting), Loop Capital Markets(Underwriter), Mizuho Securities(Underwriter), SMBC Nikko Securities America(Underwriter), The Goldman Sachs Group(Underwriter), William Blair &amp; Company(Underwriter)</t>
  </si>
  <si>
    <t>Loan - $1.26B</t>
  </si>
  <si>
    <t>53796-70</t>
  </si>
  <si>
    <t>Zalando (ETR: ZAL)</t>
  </si>
  <si>
    <t>Ifansho</t>
  </si>
  <si>
    <t>Zalando SE</t>
  </si>
  <si>
    <t>ASOS, Farfetch, Sarenza</t>
  </si>
  <si>
    <t>Zalando, founded in 2008, is Europe's biggest pure-play online fashion platform. Zalando is present in 17 European countries, and its major market is the DACH region, comprising Germany, Austria, and Switzerland, which accounts for slightly less than half of revenue. The company commands 3% of European apparel sales and 12% market share in European online apparel sales. It has 10 fulfilment centres and presents over 3,500 brands on its platform. In 2020, Zalando had 38 million active users (9% of the population in countries where the firm has a presence) and over 5 billion site visits.</t>
  </si>
  <si>
    <t>Clothing, Internet Retail, Specialty Retail*</t>
  </si>
  <si>
    <t>crosses platform stores, ecommerce, fashion accessories, multi-service platform, online apparel, online market pace</t>
  </si>
  <si>
    <t>www.zalando.com</t>
  </si>
  <si>
    <t>2014: 7588, 2015: 9987, 2016: 11998, 2017: 15091, 2018: 15619, 2019: 15528, 2020: 14194, 2021: 14986</t>
  </si>
  <si>
    <t>ZAL</t>
  </si>
  <si>
    <t>51425-29P</t>
  </si>
  <si>
    <t>Robert Gentz</t>
  </si>
  <si>
    <t>Co-Founder &amp; Co-Chief Executive Officer</t>
  </si>
  <si>
    <t>robert@zalando.de</t>
  </si>
  <si>
    <t>Valeska-Gert-Straße 5</t>
  </si>
  <si>
    <t>10243</t>
  </si>
  <si>
    <t>+49 (0)30 2759 4693</t>
  </si>
  <si>
    <t>Kinnevik reached a definitive agreement to sell a 21% stake in the company to undisclosed investors for SEK 55.1 billion on February 17, 2021. The company is being actively tracked by PitchBook.</t>
  </si>
  <si>
    <t>Bestseller, Kinnevik</t>
  </si>
  <si>
    <t>Access Technology Ventures, AI European Holdings, DST Global, Felix Jahn, Florian Heinemann, Global Founders Capital, HV Capital, JP Morgan Asset Management, Ontario Teachers' Pension Plan, Quadrant Capital Advisors, Rocket Internet, SevenVentures, TEV Ventures, Verdere</t>
  </si>
  <si>
    <t>Bestseller(about.bestseller.com), Kinnevik(www.kinnevik.com)</t>
  </si>
  <si>
    <t>Access Technology Ventures(www.accesstechnologyventures.com), DST Global(www.dst-global.com), Global Founders Capital(www.globalfounderscapital.com), HV Capital(www.hvcapital.com), JP Morgan Asset Management(am.jpmorgan.com), Ontario Teachers' Pension Plan(www.otpp.com), Rocket Internet(www.rocket-internet.com), SevenVentures(www.sevenventures.de), TEV Ventures(www.tev.de)</t>
  </si>
  <si>
    <t>Business Sweden(Consulting), ByrneWallace(Legal Advisor), Hoesch &amp; Partner(Advisor: General), Karen Harvey Consulting Group(Consulting), MadsenScripps(Consulting), Parker Remick(Consulting)</t>
  </si>
  <si>
    <t>Commerzbank(Debt Financing), Credit Suisse(Underwriter), Deutsche Bank(Underwriter), Freshfields Bruckhaus Deringer(Legal Advisor), J.P. Morgan(Advisor: General), Jefferies Financial Group(Underwriter), KfW Group(Debt Financing), Morgan Stanley(Advisor: General), Sparkasse Mittelthüringen(Debt Financing), Stifel Financial(Underwriter), The Goldman Sachs Group(Advisor: General)</t>
  </si>
  <si>
    <t>151985-80</t>
  </si>
  <si>
    <t>Boehringer Ingelheim (consumer healthcare business)</t>
  </si>
  <si>
    <t>10 pharmaceutical brand names. The Consumer Health Care business includes the following brand names like Antistax®, Bisolvon®, Buscopan®, Dulcolax®, Eve®, Mucoangin®, Mucosolvan®, Pharmaton®, Thomapyrin® and Zantac®. These medicines are effective for cough and cold, sore throat, general pain, gastro-intestinal disorders and vitamins and minerals for physical and mental well-being.</t>
  </si>
  <si>
    <t>Other Pharmaceuticals and Biotechnology, Pharmaceuticals*</t>
  </si>
  <si>
    <t>cold medicine, cough syrup, pharmaceutical branding</t>
  </si>
  <si>
    <t>Ingelheim / Rhein, Germany</t>
  </si>
  <si>
    <t>Binger Strasse 173</t>
  </si>
  <si>
    <t>Ingelheim / Rhein</t>
  </si>
  <si>
    <t>55216</t>
  </si>
  <si>
    <t>Boehringer Ingelheim sold its Consumer Healthcare Business to Sanofi (PAR: SAN) for EUR 6.24 billion on January 1, 2017. The business unit is no longer actively tracked by PitchBook.</t>
  </si>
  <si>
    <t>Boehringer Ingelheim</t>
  </si>
  <si>
    <t>Boehringer Ingelheim(www.boehringer-ingelheim.com)</t>
  </si>
  <si>
    <t>Sayenko Kharenko(Legal Advisor)</t>
  </si>
  <si>
    <t>41205-34</t>
  </si>
  <si>
    <t>National Semiconductor</t>
  </si>
  <si>
    <t>National Semiconductor Corporation</t>
  </si>
  <si>
    <t>Linear Technology, Texas Instruments</t>
  </si>
  <si>
    <t>Manufacturer of semiconductors. The company produces power-management integrated circuits, display drivers, audio and operational amplifiers, communication interface products and data conversion products.</t>
  </si>
  <si>
    <t>data conversion product, display drivers, semiconductor product</t>
  </si>
  <si>
    <t>1990: 32200, 1991: 29800, 1992: 27200, 1993: 23400, 1994: 22300, 1995: 22400, 1996: 20300, 1997: 12400, 1998: 13000, 1999: 11600, 2000: 10500, 2001: 10300, 2002: 10100, 2003: 9800, 2004: 9700, 2005: 8500, 2006: 8500, 2007: 7600, 2008: 7300, 2009: 5800, 2010: 5800, 2011: 5700</t>
  </si>
  <si>
    <t>186921-82P</t>
  </si>
  <si>
    <t>David Handorf</t>
  </si>
  <si>
    <t>2900 Semiconductor Drive</t>
  </si>
  <si>
    <t>The company was acquired by Texas Instruments (NYSE: TXN) for $6.3 billion on September 23, 2011. The company is no longer actively tracked by PitchBook.</t>
  </si>
  <si>
    <t>Garrett Group Finance(Advisor: General), Harvest Management Partners(Advisor: General), Stonecroft Capital(Advisor: General), The Mentor Group(Advisor: General)</t>
  </si>
  <si>
    <t>Latham &amp; Watkins(Legal Advisor), Qatalyst Partners(Advisor: General), The Goldman Sachs Group(Advisor: General)</t>
  </si>
  <si>
    <t>12363-85</t>
  </si>
  <si>
    <t>AXIS Capital (NYS: AXS)</t>
  </si>
  <si>
    <t>AXIS Specialty</t>
  </si>
  <si>
    <t>Axis, AXIS Capital Group</t>
  </si>
  <si>
    <t>AXIS Capital Holdings Limited</t>
  </si>
  <si>
    <t>RenaissanceRe Holdings, Scor, Allied World, PartnerRe, Odyssey Re Holdings, Liberty Mutual Insurance Company, The Hartford Financial Services Group, XL Group, W.R. Berkley, Travelers Companies, CNA Financial, Capsicum Re, Kenya Reinsurance Corporation, Validus Group, Chubb, Manulife Holdings, American International Group, Prudential Financial, Philadelphia Insurance Companies, AIG Korea</t>
  </si>
  <si>
    <t>Axis Capital Holdings Ltd is a property and casualty insurance company that provides various products and services to clients and distribution partners. The company has operating subsidiaries and branch networks based in Bermuda, the United States, Canada, Europe, and Singapore. Its business consists of two distinct global underwriting platforms, AXIS Insurance, and AXIS Reinsurance. The company manages its portfolio holistically, aiming to construct an optimum consolidated portfolio of funded and unfunded risks.</t>
  </si>
  <si>
    <t>Multi-line Insurance*, Property and Casualty Insurance, Re-Insurance</t>
  </si>
  <si>
    <t>health insurance platform, reinsurance product, risk management</t>
  </si>
  <si>
    <t>www.axiscapital.com</t>
  </si>
  <si>
    <t>2002: 227, 2003: 308, 2004: 382, 2005: 441, 2006: 570, 2007: 730, 2008: 801, 2009: 882, 2010: 1000, 2011: 1100, 2012: 1100, 2013: 1200, 2014: 1250, 2015: 1225, 2016: 1325, 2017: 1647, 2018: 1567, 2019: 1667, 2020: 1921</t>
  </si>
  <si>
    <t>AXS</t>
  </si>
  <si>
    <t>70939-54P</t>
  </si>
  <si>
    <t>David Phillips</t>
  </si>
  <si>
    <t>Chief Investment Officer, Investments</t>
  </si>
  <si>
    <t>david.phillips@axiscapital.com</t>
  </si>
  <si>
    <t>+1 (212) 500-7693</t>
  </si>
  <si>
    <t>92 Pitts Bay Road</t>
  </si>
  <si>
    <t>AXIS House</t>
  </si>
  <si>
    <t>+1 (441) 496-2600</t>
  </si>
  <si>
    <t>+1 (441) 405-2600</t>
  </si>
  <si>
    <t>The company was in talks to be acquired by Arch Capital (NAS: ACGL) for $6.56 billion on May 7, 2015. Subsequently, the deal was cancelled. Previously, the company raised $199.92 million in its second public offering on the NYSE stock exchange under the ticker symbol of AXS on November 17, 2005. A total of 6,800,000 shares were sold at $29.4 per share. After the offering, there was a total of 150,002,073 outstanding shares (excluding the over-allotment option) priced at $29.4 per share, valuing the company at $4.41 billion. The total proceeds, before expenses, to the company was $199.6 million.</t>
  </si>
  <si>
    <t>Acorn Capital, aPriori Capital Partners, Asset Management Private Equity, Bain Capital Credit, Bain Capital Public Equity, BCIP Associates, CCMP Capital Advisors, Centurion, Corsair Capital, Credit Suisse, DLJMB Overseas Partners, Federal Insurance Company, GE Capital, Geyser Business Enterprise, Hasso Plattner Ventures, J.P. Morgan, Lockheed Martin, Marsh &amp; Mclennan Companies, Merrill Lynch Ventures, Millennium Management, Mitsui &amp; Co. Europe, Northaven Management, Originators Investment, Pamlico Capital, Princes Gate Investors, Putnam Investments, Recruit Holdings, Robco Partner, Sompo Japan Nipponkoa Insurance, Stone Point Capital, Teachers Insurance and Annuity Association of America, The Blackstone Group, Thomas H. Lee Partners</t>
  </si>
  <si>
    <t>Arch Capital Group</t>
  </si>
  <si>
    <t>Acorn Capital(www.acorncapital.com.au), aPriori Capital Partners(www.aprioricapital.com), Bain Capital Credit(www.baincapitalcredit.com), Bain Capital Public Equity(www.baincapitalpublicequity.com), CCMP Capital Advisors(www.ccmpcapital.com), Corsair Capital(www.corsair-capital.com), Credit Suisse(www.credit-suisse.com), GE Capital(www.gecapital.com), Hasso Plattner Ventures(www.hp-ventures.com), J.P. Morgan(www.jpmorgan.com), Lockheed Martin(www.lockheedmartin.com), Marsh &amp; Mclennan Companies(www.mmc.com), Millennium Management(www.mlp.com), Northaven Management(www.northavenmgt.com), Pamlico Capital(www.pamlicocapital.com), Putnam Investments(www.putnam.com), Recruit Holdings(www.recruit-holdings.com), Sompo Japan Nipponkoa Insurance(sompo-japan.co.jp), Stone Point Capital(www.stonepoint.com), The Blackstone Group(www.blackstone.com), Thomas H. Lee Partners(www.thl.com)</t>
  </si>
  <si>
    <t>Arch Capital Group(www.archcapgroup.com)</t>
  </si>
  <si>
    <t>Kekst CNC(Advisor: Communications)</t>
  </si>
  <si>
    <t>Bank of America Merrill Lynch(Underwriter), Barclays Investment Bank(Advisor: General), Bär &amp; Karrer(Legal Advisor), Citigroup(Debt Financing), Cochran, Caronia Securities(Underwriter), Conyers Dill &amp; Pearman(Legal Advisor), Credit Suisse(Underwriter), David King(Legal Advisor), Deloitte(Auditor), Dowling &amp; Partners(Underwriter), Fox-Pitt Kelton Cochran Caronia Waller(Underwriter), HSBC Holdings(Advisor: General), J.P. Morgan(Underwriter), LeBoeuf Lamb Greene &amp; MacRae(Legal Advisor), Morgan Stanley(Underwriter), Simpson Thacher &amp; Bartlett(Legal Advisor), Skadden, Arps, Slate, Meagher &amp; Flom(Legal Advisor), Wachovia Bank(Underwriter), William Fry(Legal Advisor)</t>
  </si>
  <si>
    <t>53738-56</t>
  </si>
  <si>
    <t>Fox Entertainment Group</t>
  </si>
  <si>
    <t>FEG</t>
  </si>
  <si>
    <t>Fox Entertainment Group, Inc.</t>
  </si>
  <si>
    <t>Disney/ABC Television Group, Fox Family Worldwide, Fox Sports Southeast, Showtime Networks, USA Networks, DirecTV, Axs Tv, Turner Broadcasting System, Cable News Network, The CW Television Network, In Demand, Amazon Studios, Hulu, AMC Networks, LionsGate Entertainment, Paramount Pictures, Viacom, Cox Communications, Discovery, American Music Center, Starz Entertainment, MSNBC Cable, The Walt Disney Company, ViacomCBS</t>
  </si>
  <si>
    <t>Provider of film entertainment and television broadcasting services intended to feature drama, soaps, comedy, children's programmes and films. The Company's film entertainment and television broadcasting services include cable, satellite and digital terrestrial broadcasting of global entertainment, news, music, regional movies and reality programs, enabling viewers to entertain themselves through a wide range of local and regional television channels.</t>
  </si>
  <si>
    <t>film entertainment, film entertainment service, television broadcasting service, television channel, television program</t>
  </si>
  <si>
    <t>www.fox.com</t>
  </si>
  <si>
    <t>1998: 10000, 1999: 11000, 2000: 12000, 2001: 11700, 2002: 12800, 2003: 12900, 2004: 12500</t>
  </si>
  <si>
    <t>News Corp</t>
  </si>
  <si>
    <t>147253-78P</t>
  </si>
  <si>
    <t>Charlie Collier</t>
  </si>
  <si>
    <t>charlie.collier@fox.com</t>
  </si>
  <si>
    <t>+1 (310) 369-3921</t>
  </si>
  <si>
    <t>2121 Avenue of the Stars</t>
  </si>
  <si>
    <t>90067</t>
  </si>
  <si>
    <t>+1 (212) 852-7145</t>
  </si>
  <si>
    <t>A 17.9% stake in the company was acquired by News Corp (NASDAQ: NWSA) for $6.55 billion on March 23, 2005.</t>
  </si>
  <si>
    <t>Point Financial</t>
  </si>
  <si>
    <t>News Corp(www.newscorp.com)</t>
  </si>
  <si>
    <t>Point Financial(www.pointfin.com)</t>
  </si>
  <si>
    <t>Vaco(Consulting)</t>
  </si>
  <si>
    <t>ABN AMRO Bank(Underwriter), Allen &amp; Company(Underwriter), Andersen Global(Accounting), Bear Stearns(Underwriter), Blaylock Van(Underwriter), BT Alex Brown International(Underwriter), Chatsworth Securities(Underwriter), Credit Lyonnais Private Equity(Underwriter), Credit Suisse First Boston Corporation(Underwriter), Crowell, Weedon &amp; Co.(Underwriter), Dain Rauscher Wessels(Underwriter), Doley Securities(Underwriter), Donaldson, Lufkin &amp; Jenrette(Advisor: General), Gerard Klauer Mattison &amp; Co.(Underwriter), ING Barings Private Equity(Underwriter), J.P. Morgan Securities(Underwriter), Lazard Middle Market(Underwriter), Lehman Brothers(Underwriter), Merrill Lynch South Africa(Underwriter), Morgan Stanley(Underwriter), NationsBanc Montgomery Securities(Underwriter), PaineWebber Group(Underwriter), Prudential Equity Group(Underwriter), Rossoff &amp; Company(Advisor: General), Salomon Brothers(Underwriter), Sands Brothers &amp; Co(Underwriter), Sanford C. Bernstein(Underwriter), Schroders(Underwriter), Squadron Ellenoff Plesent &amp; Sheinfeld(Legal Advisor), TD Securities(Underwriter), The Goldman Sachs Group(Underwriter), Tucker Anthony Sutro(Underwriter), Utendahl Capital Partners(Underwriter), Warburg Dillon Read(Underwriter), Wasserstein Perella &amp; Company(Underwriter), Wells Fargo Advisors(Underwriter), Wheat First Butcher Singer(Underwriter)</t>
  </si>
  <si>
    <t>10991-53</t>
  </si>
  <si>
    <t>Semiconductor Manufacturing International (HKG: 00981)</t>
  </si>
  <si>
    <t>SMIC</t>
  </si>
  <si>
    <t>Semiconductor Manufacturing International Corp.</t>
  </si>
  <si>
    <t>Tong Hsing Electronic Industries, STATS ChipPAC, Broadcom, Taiwan Semiconductor Manufacturing Company, Amkor Technology, Intel</t>
  </si>
  <si>
    <t>Founded in 2000, Semiconductor Manufacturing International Corp. is the largest Chinese foundry and the fifth-largest globally, after TSMC, Samsung Electronics, GlobalFoundries and UMC. The company's headquarters and foundry is in Shanghai; with additional foundries in Beijing, Tianjin, and Shenzhen; offices in the United States, Europe, Japan, Taiwan and Hong Kong. Its products are used in artificial intelligence, or AI, data centers, automotive, consumer electronics, memory, and "Internet of Things" products. SMIC employs over 17,000 people.</t>
  </si>
  <si>
    <t>Application Specific Semiconductors, General Purpose Semiconductors, Production (Semiconductors)*</t>
  </si>
  <si>
    <t>integrated circuit, semiconductor foundry, semiconductor maker, semiconductor manufacturer, wafers fabrication</t>
  </si>
  <si>
    <t>www.smics.com</t>
  </si>
  <si>
    <t>2003: 4443, 2004: 7640, 2005: 9096, 2006: 10048, 2007: 10509, 2008: 10598, 2009: 10307, 2019: 15946, 2020: 17354</t>
  </si>
  <si>
    <t>00981</t>
  </si>
  <si>
    <t>67441-96P</t>
  </si>
  <si>
    <t>Haijun Zhao</t>
  </si>
  <si>
    <t>haijun_zhao@smics.com</t>
  </si>
  <si>
    <t>+86 (0)121 3861 0000</t>
  </si>
  <si>
    <t>Number 18 Zhangjiang Road</t>
  </si>
  <si>
    <t>Pudong New Area</t>
  </si>
  <si>
    <t>201203</t>
  </si>
  <si>
    <t>+86 (0)21 5080 2868</t>
  </si>
  <si>
    <t>info@smics.com</t>
  </si>
  <si>
    <t>The company raised CNY 46.13 billion in its secondary public offering on the Shanghai Stock Exchange under the ticker symbol of 688981 on July 16, 2020. A total of 1,680,000,000 shares were sold at CNY 27.46 per share. The underwriters were granted an option to purchase up to an additional 260,000,000 shares from the company to cover over-allotments, if any.</t>
  </si>
  <si>
    <t>Shanghai Industrial Holdings, Sino IC Capital, SummitView Capital, The CID Group</t>
  </si>
  <si>
    <t>AsiaVest Partners TCW/YFY, CMF Venture Capital, DCM Ventures, Deutsche China Capital, Funding Global Innovation, H&amp;Q Asia Pacific, New Enterprise Associates, Oak Investment Partners, Shenzhen Capital Group, SIIC Investment, Sycamore Ventures, The Goldman Sachs Group, UOB Venture Management, Vertex Ventures Israel, Walden International, ZJ Innopark</t>
  </si>
  <si>
    <t>Shanghai Industrial Holdings(www.sihl.com.hk), Sino IC Capital(icfund.com.cn), SummitView Capital(www.summitviewcapital.com), The CID Group(www.cidgroup.com)</t>
  </si>
  <si>
    <t>AsiaVest Partners TCW/YFY(www.asiavest.com), DCM Ventures(www.dcm.com), H&amp;Q Asia Pacific(www.hqap.com), New Enterprise Associates(www.nea.com), Oak Investment Partners(www.oakinv.com), Shenzhen Capital Group(www.szvc.com.cn), SIIC Investment(siic-investment.com), Sycamore Ventures(www.sycaventures.com), The Goldman Sachs Group(www.goldmansachs.com), UOB Venture Management(www.uobvm.com.sg), Vertex Ventures Israel(www.vertexventures.co.il), Walden International(www.waldenintl.com)</t>
  </si>
  <si>
    <t>Conyers Dill &amp; Pearman(Legal Advisor), Garrett Group Finance(Advisor: General), Rosenblatt Securities(Advisor: General)</t>
  </si>
  <si>
    <t>ABN AMRO Rothschild(Underwriter), Barclays Bank UK(Advisor: General), Bear Stearns(Underwriter), Cowen &amp; Company(Underwriter), Credit Suisse(Underwriter), DBS Bank(Underwriter), Deloitte(Accounting), Deutsche Bank(Underwriter), Deutsche Bank Securities(Advisor: General), DLA Piper(Legal Advisor), J.P. Morgan(Advisor: General), Jingtian &amp; Gongcheng(Legal Advisor), Maples Group(Legal Advisor), Needham &amp; Company(Underwriter), Nomura Securities(Underwriter), Shearman &amp; Sterling(Legal Advisor), Slaughter and May(Legal Advisor), ThinkEquity Partners(Underwriter), Thomas Weisel Partners Group(Underwriter), Vaquero Capital(Placement Agent), WR Hambrecht + Co.(Underwriter)</t>
  </si>
  <si>
    <t>265775-86</t>
  </si>
  <si>
    <t>DZ Bank (Aviation Financing business)</t>
  </si>
  <si>
    <t>Provider of asset financing products and services based in Frankfurt, Germany. The company provides Structured Asset Lending, Investment Management, Asset Management, Financial Consultancy, Corporate Finance, Asset &amp; Market Research for aircraft and related equipment allowing to offer clients far more than the traditional range of banking services.</t>
  </si>
  <si>
    <t>asset management advisory, assets financing, assets lending, corporate finance, structured assets lending</t>
  </si>
  <si>
    <t>Platz der Republik 6</t>
  </si>
  <si>
    <t>60325</t>
  </si>
  <si>
    <t>The business unit of DVB Bank was acquired by MUFG Bank, a subsidiary of Mitsubishi UFJ Financial Group (TKS: 8306), for JPY 710 billion on November 18, 2019. The acquisition will help Mitsubishi to enhance its Global CIB Business platform in terms of higher returns, portfolio diversification and solution offering to their clients. The company is no longer actively tracked by PitchBook.</t>
  </si>
  <si>
    <t>MUFG Bank</t>
  </si>
  <si>
    <t>DVB Bank</t>
  </si>
  <si>
    <t>DVB Bank(www.dvbbank.com)</t>
  </si>
  <si>
    <t>114917-05</t>
  </si>
  <si>
    <t>Homeplus Co.</t>
  </si>
  <si>
    <t>Samsung Tesco Company</t>
  </si>
  <si>
    <t>Homeplus</t>
  </si>
  <si>
    <t>Homeplus Co., Ltd.</t>
  </si>
  <si>
    <t>E-Mart</t>
  </si>
  <si>
    <t>Operator of a chain of hypermarkets and retail stores across South Korea. The company owns and operates a chain of retail stores that offers groceries, clothes and appliances. It also offers its wide range of products through its website.</t>
  </si>
  <si>
    <t>Department Stores*, General Merchandise Stores</t>
  </si>
  <si>
    <t>retail chain, supermarket chain, supermarket network, supermarket opertor, supermarket retail</t>
  </si>
  <si>
    <t>www.homeplus.co.kr</t>
  </si>
  <si>
    <t>2014: 26000</t>
  </si>
  <si>
    <t>124111-09P</t>
  </si>
  <si>
    <t>Seung-Han Lee</t>
  </si>
  <si>
    <t>seunghan.lee@homeplus.co.kr</t>
  </si>
  <si>
    <t>+82 (0)23 459 8000</t>
  </si>
  <si>
    <t>398, Hwagok-ro</t>
  </si>
  <si>
    <t>Gangseo-gu</t>
  </si>
  <si>
    <t>Deungchon-dong</t>
  </si>
  <si>
    <t>The company, a subsidiary of Tesco (UK), was acquired by MBK Partners, Canada Pension Plan Investment Board, National Pension Service, Public Sector Pension Investment Board and Temasek Holdings through an LBO for GBP 4.2 billion on September 7, 2015. As a part of the transaction, National Pension Service provided an undisclosed amount of mezzanine financing and UBS provided an undisclosed amount of loan financing to support the deal.</t>
  </si>
  <si>
    <t>Canada Pension Plan Investment Board, MBK Partners, National Pension Service, Public Sector Pension Investment Board, Temasek Holdings</t>
  </si>
  <si>
    <t>Affinity Equity Partners, CVC Capital Partners, Goldman Sachs Merchant Banking Division, Government of Singapore Investment Corporation (GIC), Kohlberg Kravis Roberts, Orion International Euro, The Carlyle Group, TPG</t>
  </si>
  <si>
    <t>Canada Pension Plan Investment Board(www.cppinvestments.com), MBK Partners(www.mbkpartnerslp.com), National Pension Service(www.nps.or.kr), Public Sector Pension Investment Board(www.investpsp.com), Temasek Holdings(www.temasek.com.sg)</t>
  </si>
  <si>
    <t>Affinity Equity Partners(www.affinityequity.com), CVC Capital Partners(www.cvc.com), Government of Singapore Investment Corporation (GIC)(www.gic.com.sg), Kohlberg Kravis Roberts(www.kkr.com), Orion International Euro(www.en.orionworld.ru), The Carlyle Group(www.carlyle.com), TPG(www.tpg.com)</t>
  </si>
  <si>
    <t>National Pension Service(Debt Financing), UBS Group(Debt Financing)</t>
  </si>
  <si>
    <t>Loan; Loan (Mezzanine)</t>
  </si>
  <si>
    <t>50926-96</t>
  </si>
  <si>
    <t>LSI</t>
  </si>
  <si>
    <t>LSI Logic</t>
  </si>
  <si>
    <t>LSI Corporation</t>
  </si>
  <si>
    <t>Advanced Micro Devices, Maxim Integrated Products, Broadcom, QuickLogic, Montage Technology, Lattice Semiconductor, Cypress Semiconductor, Solarflare, Xilinx, Intel</t>
  </si>
  <si>
    <t>Designer of software and semiconductors. The company designs its products to accelerate storage and networking in data centers, mobile networks and client computing.</t>
  </si>
  <si>
    <t>Computers, Parts and Peripherals, General Purpose Semiconductors, Production (Semiconductors)*</t>
  </si>
  <si>
    <t>Mobile, SaaS, TMT</t>
  </si>
  <si>
    <t>information technology, mobile network, networking semiconductor, software designer</t>
  </si>
  <si>
    <t>www.lsi.com</t>
  </si>
  <si>
    <t>92538-10P</t>
  </si>
  <si>
    <t>Susan St. Laurent</t>
  </si>
  <si>
    <t>1320 Ridder Park Drive</t>
  </si>
  <si>
    <t>The company (NASDAQ: LSI) was acquired by Avago Technologies (NASDAQ: AVGO) for $6.518 billion on May 6, 2014. The company is no longer actively tracked by PitchBook.</t>
  </si>
  <si>
    <t>Berkeley VC International, IVP, Kleiner Perkins, Mayfield (Private Equity), Menlo Ventures, Sequoia Capital, Sutter Hill Ventures</t>
  </si>
  <si>
    <t>Berkeley VC International(www.berkeleyvc.com), IVP(www.ivp.com), Kleiner Perkins(www.kleinerperkins.com), Mayfield (Private Equity)(www.mayfield.com), Menlo Ventures(www.menlovc.com), Sequoia Capital(www.sequoiacap.com), Sutter Hill Ventures(www.shv.com)</t>
  </si>
  <si>
    <t>Brodies(Legal Advisor), Garrett Group Finance(Advisor: General), Hayden Bergman, Professional Corporation(Legal Advisor), Network Control(Consulting), Pagemill Partners(Advisor: General)</t>
  </si>
  <si>
    <t>Morgan Stanley(Underwriter), Qatalyst Partners(Advisor: General), Skadden, Arps, Slate, Meagher &amp; Flom(Legal Advisor), Tekla Capital Management(Underwriter)</t>
  </si>
  <si>
    <t>106946-92</t>
  </si>
  <si>
    <t>Magneti Marelli</t>
  </si>
  <si>
    <t>Magneti Marelli S.p.A</t>
  </si>
  <si>
    <t>Benteler International, Valeo, Lear, TRUMPF Photonic Components, Aisin Seiki, Getrag, Spectra Premium Industries, Harman International Industries, AxleTech, Siemens India Ltd, 3M India, Reydel Automotive, American Axle &amp; Manufacturing, Magna International, North American Lighting, Azbil, Hanon Systems, Grupo Antolin, Knorr-Bremse, NYX (USA), Hilti Manufacturing India, Cognex, Panduit, AMX, Milwaukee Electric Tool, Hella, Craftsman</t>
  </si>
  <si>
    <t>Manufacturer and designer of automotive systems intended to develop hi-tech systems and components for the automotive sector based in Italy. The company offers electronic systems, automotive lighting systems, powertrains, suspension systems, exhaust systems and aftermarket parts and services, enabling automotive manufacturers to develop intelligent systems and solutions that contribute to the advancement of mobility through environmental sustainability, safety and quality of life on board the vehicles.</t>
  </si>
  <si>
    <t>Application Specific Semiconductors, Industrial Supplies and Parts*</t>
  </si>
  <si>
    <t>Industrials, Manufacturing, TMT</t>
  </si>
  <si>
    <t>auto parts, exhaust system, infotainment, powertrain, satellite navigation</t>
  </si>
  <si>
    <t>www.magnetimarelli.com</t>
  </si>
  <si>
    <t>2015: 38000, 2016: 40500, 2017: 43000, 2018: 43000, 2019: 43000</t>
  </si>
  <si>
    <t>Viale Aldo Borletti, 61/63</t>
  </si>
  <si>
    <t>Corbetta</t>
  </si>
  <si>
    <t>20011</t>
  </si>
  <si>
    <t>The company, a subsidiary of Fiat Chrysler Automobiles (MIL: FCA), was acquired by Marelli, via its financial sponsor Kohlberg Kravis Roberts, through an approximate EUR 5.8 billion LBO on May 2, 2018. The agreement allows Marelli to cut costs through synergies and expand its customer base. The company is no longer actively tracked by PitchBook.</t>
  </si>
  <si>
    <t>Marelli</t>
  </si>
  <si>
    <t>Kohlberg Kravis Roberts, Samsung Electronics</t>
  </si>
  <si>
    <t>Kohlberg Kravis Roberts(www.kkr.com), Samsung Electronics(www.sec.co.kr)</t>
  </si>
  <si>
    <t>Burke &amp; Quick Partners(Advisor: General), Jefferies Financial Group(Advisor: General), JPMorgan Chase(Underwriter), Legance - Avvocati Associati(Legal Advisor), Sullivan &amp; Cromwell(Legal Advisor), The Goldman Sachs Group(Underwriter)</t>
  </si>
  <si>
    <t>91432-72</t>
  </si>
  <si>
    <t>GreenPoint Financial</t>
  </si>
  <si>
    <t>GreenPoint Financial Corp.</t>
  </si>
  <si>
    <t>Provider of financial services. The company provides mortgage lending, consumer banking and manufactured housing finance services in United States.</t>
  </si>
  <si>
    <t>Consumer Finance*, Other Financial Services</t>
  </si>
  <si>
    <t>consumer banking, housing finance, mortgage lending</t>
  </si>
  <si>
    <t>greenpoint.financial</t>
  </si>
  <si>
    <t>1994: 1392, 1995: 1392, 1996: 2135, 1997: 1739, 1998: 3188, 1999: 3188, 2000: 3909, 2001: 4755, 2002: 4742, 2003: 4631, 2016: 1001</t>
  </si>
  <si>
    <t>186134-95P</t>
  </si>
  <si>
    <t>Sanjay Sharma</t>
  </si>
  <si>
    <t>sanjay.sharma@greenpoint.financial</t>
  </si>
  <si>
    <t>The company was acquired by North Fork Bancorp for $6.5 billion on October 1, 2004. The company is no longer actively tracked by PitchBook.</t>
  </si>
  <si>
    <t>North Fork Bancorporation</t>
  </si>
  <si>
    <t>JPMorgan Chase(Advisor: General), Keefe, Bruyette &amp; Woods(Advisor: General), Lehman Brothers(Advisor: General), PwC(Auditor), Wachtell, Lipton, Rosen &amp; Katz(Legal Advisor)</t>
  </si>
  <si>
    <t>12131-29</t>
  </si>
  <si>
    <t>AdvancePCS</t>
  </si>
  <si>
    <t>Advance Paradigm</t>
  </si>
  <si>
    <t>Provider of pharmacy benefits services. The company administers prescription drug benefits to its members and beneficiaries of the plans. It also offers tools to its customers to assist in managing their prescription drug expenditures, including on-line claims adjudication, discounted retail networks, discounted mail pharmacy services, formulary development, rebate negotiation and management. In addition, it also offers specialty pharmacy services and disease management and prescription discount cards for the uninsured and under-insured.</t>
  </si>
  <si>
    <t>Life and Health Insurance*, Other Healthcare Services</t>
  </si>
  <si>
    <t>specialty pharmacy</t>
  </si>
  <si>
    <t>www.AdvancePCSrx.com</t>
  </si>
  <si>
    <t>1996: 312, 1997: 336, 1998: 697, 1999: 891, 2000: 1370, 2001: 4534, 2002: 5655, 2003: 6500</t>
  </si>
  <si>
    <t>750 West John Carpenter Freeway</t>
  </si>
  <si>
    <t>75039</t>
  </si>
  <si>
    <t>+1 (469) 524-4700</t>
  </si>
  <si>
    <t>+1 (469) 524-4702</t>
  </si>
  <si>
    <t>The company was acquired by Caremark Rx (NYSE: CMX) for $6.5 billion on March 24, 2004. Caremark Rx is backed by Frontenac Company and Venrock. The company is no longer actively tracked by PitchBook.</t>
  </si>
  <si>
    <t>Canaan Partners, JLL Partners</t>
  </si>
  <si>
    <t>Canaan Partners(www.canaan.com), JLL Partners(www.jllpartners.com)</t>
  </si>
  <si>
    <t>Andersen Global(Auditor), Bank of America Merrill Lynch(Advisor: General), Debevoise &amp; Plimpton(Legal Advisor), Morris, Nichols, Arsht &amp; Tunnell(Legal Advisor), Skadden, Arps, Slate, Meagher &amp; Flom(Legal Advisor)</t>
  </si>
  <si>
    <t>64648-00</t>
  </si>
  <si>
    <t>Auth0</t>
  </si>
  <si>
    <t>Auth0, Inc.</t>
  </si>
  <si>
    <t>QuickLaunch, OneLogin, Ping Identity, Intrinsic-ID, Centrify, Netskope, Duo Security, Cognito (Network Management Software), Bitium, Fischer Identity, Secret Double Octopus, BeyondTrust, Tools4Ever, OverWatchID, JumpCloud, UnifyID, ScaleFT, SecureAuth, PhishingBox, Okta, Identity Automation, Encap Security, Secure Thingz, Polyverse, ThycoticCentrify, Venafi, TeleSign, SecuredTouch, Cymulate, Avatier, Unloq, Entrust Datacard, Yubico, StudyStream, SAASPASS, Lockpath, Forcepoint, Unbotify, ForgeRock, CrowdStrike, Ubisecure Solutions, Iovation, Charismathics, BioCatch, Zendesk, McAfee, ThreatMark, Zoomdata, Authy, Digital Guardian, Cybereason, Jaggaer, Forticode, Stormpath, Trillium System, Zscaler, Security Innovation (Network Management Software), Logi Analytics, Integris Software, InAuth, Salesforce.com, Pagero, BehavioSec, Dellfer, Core Security (Acquired 2015), Gigya, TypingDNA, iWelcome, Board International, Hitachi ID Systems, 2FA, Signifyd, LoginRadius, Karamba Security, Janrain, Tuebora, Blackberry, Onspring, Opswat, SAP, Nexthink, Citrix Systems, SAS Institute, Feedzai, Sophos, Core Security, Odoo</t>
  </si>
  <si>
    <t>Developer of identity and authentication platform designed to verify users and tackle identity fraud. The company's platform provides login and authentication for a bevy of device types in a variety of formats, including single-sign-on, multi-factor authentication, and passwordless logins, enabling third-party websites to securely verify the users who access their websites.</t>
  </si>
  <si>
    <t>Business/Productivity Software, Network Management Software*</t>
  </si>
  <si>
    <t>Cybersecurity, Internet of Things, SaaS, TMT</t>
  </si>
  <si>
    <t>cloud authentication, cybersecurity software, cybersecurity software developer, identity infrastructure, identity management platform, iot security, passwordless authentication</t>
  </si>
  <si>
    <t>www.auth0.com</t>
  </si>
  <si>
    <t>2016: 175, 2017: 265, 2018: 400, 2019: 500, 2020: 802, 2021: 935</t>
  </si>
  <si>
    <t>Okta</t>
  </si>
  <si>
    <t>71836-21P</t>
  </si>
  <si>
    <t>Eugenio Pace</t>
  </si>
  <si>
    <t>eugeniop@auth0.com</t>
  </si>
  <si>
    <t>+1 (888) 235-2699</t>
  </si>
  <si>
    <t>10800 North East 8th Street</t>
  </si>
  <si>
    <t>Suite 700</t>
  </si>
  <si>
    <t>+1 (425) 312-6521</t>
  </si>
  <si>
    <t>info@auth0.com</t>
  </si>
  <si>
    <t>The company was acquired by Okta (NAS: OKTA) for $6.5 billion on May 3, 2021.</t>
  </si>
  <si>
    <t>Bessemer Venture Partners, Cygnus Capital, DTCP, Founders Circle Capital, Founders' Co-op, K9 Ventures, Meritech Capital Partners, NTT Docomo Ventures, NXTP Ventures, Portland Seed Fund, Salesforce Ventures, Sapphire Ventures, Silicon Valley Bank, STEADFAST Capital Ventures, Steve Coast, Telstra Ventures, Trinity Ventures, World Innovation Lab</t>
  </si>
  <si>
    <t>Rauch Guillermo</t>
  </si>
  <si>
    <t>Bessemer Venture Partners(www.bvp.com), Cygnus Capital(www.cygnusvc.com), DTCP(www.dtcp.capital), Founders Circle Capital(www.founderscircle.com), Founders' Co-op(www.founderscoop.com), K9 Ventures(www.k9ventures.com), Meritech Capital Partners(www.meritechcapital.com), NTT Docomo Ventures(www.nttdocomo-v.com), NXTP Ventures(www.nxtp.vc), Portland Seed Fund(www.portlandseedfund.com), Sapphire Ventures(www.sapphireventures.com), Silicon Valley Bank(www.svb.com), Telstra Ventures(www.telstraventures.com), Trinity Ventures(www.trinityventures.com), World Innovation Lab(www.wilab.com)</t>
  </si>
  <si>
    <t>FutureEngine(Consulting), Herd Freed Hartz(Consulting), Matter Communications(Advisor: General)</t>
  </si>
  <si>
    <t>Lowenstein Sandler(Legal Advisor), Perkins Coie(Legal Advisor), Qatalyst Partners(Advisor: General)</t>
  </si>
  <si>
    <t>13096-72</t>
  </si>
  <si>
    <t>Dyax</t>
  </si>
  <si>
    <t>Dyax Corp.</t>
  </si>
  <si>
    <t>Developer of biopharmaceuticals for oncology and inflammatory indications. The company offers drug discovery technology, known as phage display to identify antibody, small protein and peptide compounds for clinical development and provides chromatography separations systems and products that are used in laboratories and pharmaceutical manufacturing to separate molecules in liquid mixtures.</t>
  </si>
  <si>
    <t>Discovery Tools (Healthcare)</t>
  </si>
  <si>
    <t>Discovery Tools (Healthcare)*, Drug Discovery, Pharmaceuticals</t>
  </si>
  <si>
    <t>biopharmaceutical, chromatography product, drug discovery technology, oncology service</t>
  </si>
  <si>
    <t>1999: 152, 2000: 186, 2001: 239, 2002: 244, 2003: 109, 2004: 131, 2005: 144, 2006: 161, 2007: 177, 2008: 164, 2009: 121, 2010: 137, 2011: 120, 2012: 125, 2013: 120, 2014: 124, 2015: 172, 2016: 203</t>
  </si>
  <si>
    <t>55 Network Drive</t>
  </si>
  <si>
    <t>The company was acquired by Shire Pharmaceuticals (LSE: SHP) for $6.5 billion on January 22, 2016. As the part of the transaction the company will be no longer traded on NASDAQ under the ticker symbol DYAX. The company is no longer actively tracked by PitchBook.</t>
  </si>
  <si>
    <t>Alta Partners, Baker Bros. Advisors, BancBoston Capital, BancBoston Ventures, Federated Investors and Affiliates, Federated Kaufmann Fund, Fidelity Investments, Focus Ventures, Foresite Capital Management, Gemini Investors, GMM Investors, GoldPoint Partners, HealthCare Royalty Partners, HealthCare Ventures, ING Barings Private Equity, Lancet Capital, Loeb Partners, Oak Investment Partners, Panorama Capital, Paul Capital, Prince Ventures, RA Capital Management, Rho Ventures, Sanofi Genzyme, Tekla Capital Management, Two Rivers Associates, Venrock</t>
  </si>
  <si>
    <t>Alta Partners(www.altapartners.com), BancBoston Ventures(www.bancboscap.com), Fidelity Investments(www.fidelity.com), Focus Ventures(www.focusventures.com), Foresite Capital Management(www.foresitecapital.com), Gemini Investors(www.gemini-investors.com), GoldPoint Partners(www.goldpointpartners.com), HealthCare Royalty Partners(www.healthcareroyalty.com), HealthCare Ventures(www.hcven.com), Lancet Capital(www.lancetcapital.com), Loeb Partners(www.loebpartners.com), Oak Investment Partners(www.oakinv.com), Panorama Capital(www.panoramacapital.com), Paul Capital(www.paulcap.com), Prince Ventures(www.princeventures.com), RA Capital Management(www.racap.com), Rho Ventures(www.rhoventures.com), Sanofi Genzyme(www.sanofigenzyme.com), Tekla Capital Management(www.teklacap.com), Two Rivers Associates(www.tworiversassociates.com), Venrock(www.venrock.com)</t>
  </si>
  <si>
    <t>Needham &amp; Company(Advisor: General), Oppenheimer &amp; Company(Advisor: General), Strawn Arnold &amp; Associates(Consulting), Wedbush Securities(Advisor: General)</t>
  </si>
  <si>
    <t>Centerview Partners(Advisor: General), Deutsche Bank(Advisor: General), ING Barings Private Equity(Advisor: General), J.P. Morgan(Underwriter), Lehman Brothers(Underwriter), Locke Lord(Legal Advisor), Morgan Stanley(Advisor: General), Pacific Growth Equities(Advisor: General), Reedland Capital Partners(Placement Agent), Sullivan &amp; Cromwell(Legal Advisor)</t>
  </si>
  <si>
    <t>51161-77</t>
  </si>
  <si>
    <t>GlobalCenter</t>
  </si>
  <si>
    <t>GlobalCenter, Inc.</t>
  </si>
  <si>
    <t>Provider of web hosting services. The company offers web site distribution and data-distribution services to internet customers such as Netscape Communication, Yahoo!, USA Today and Playboy.</t>
  </si>
  <si>
    <t>Internet Service Providers*</t>
  </si>
  <si>
    <t>data distribution, internet service provider, web hosting</t>
  </si>
  <si>
    <t>www.globalcenter.net</t>
  </si>
  <si>
    <t>1998: 240</t>
  </si>
  <si>
    <t>65471-32P</t>
  </si>
  <si>
    <t>Nathan Raciborski</t>
  </si>
  <si>
    <t>141 Caspian Court</t>
  </si>
  <si>
    <t>94089</t>
  </si>
  <si>
    <t>The company was acquired by Exodus Communications (NASDAQ: EXDS) for $6.5 billion on January 10, 2001. The company is no longer actively tracked by PitchBook.</t>
  </si>
  <si>
    <t>EXDS</t>
  </si>
  <si>
    <t>Frontier Communications, Hummer Winblad Venture Partners, KG Investments, Sequoia Capital</t>
  </si>
  <si>
    <t>Frontier Communications(www.frontier.com), Hummer Winblad Venture Partners(www.hwvp.com), KG Investments(www.kginvest.net), Sequoia Capital(www.sequoiacap.com)</t>
  </si>
  <si>
    <t>Gibson, Dunn &amp; Crutcher(Legal Advisor), Morgan Stanley(Advisor: General), Simpson Thacher &amp; Bartlett(Legal Advisor)</t>
  </si>
  <si>
    <t>11098-81</t>
  </si>
  <si>
    <t>Spear Leeds &amp; Kellogg Specialist</t>
  </si>
  <si>
    <t>SLK, Spear Leeds &amp; Kellogg, Spear Leeds &amp; Kellogg Specialist Limited Liability Copany</t>
  </si>
  <si>
    <t>Spear Leeds &amp; Kellogg Specialist LLC</t>
  </si>
  <si>
    <t>Provider of execution and clearing services to the investment community located in New York. The company's portfolio is comprised of domestic and international companies providing stock brokerage, capital markets, first options trading, prime brokerage and clearing services thereby helping clients benefit from the high standard of trading services.</t>
  </si>
  <si>
    <t>Brokerage*, Other Capital Markets/Institutions, Other Financial Services</t>
  </si>
  <si>
    <t>clearing service, stock brokerage, stock brokerage firm, trading broker, trading market</t>
  </si>
  <si>
    <t>www.slk.com</t>
  </si>
  <si>
    <t>120 Broadway</t>
  </si>
  <si>
    <t>21st Floor</t>
  </si>
  <si>
    <t>10271</t>
  </si>
  <si>
    <t>The company was acquired by The Goldman Sachs Group (NYS: GS) for $6.5 billion on September 11, 2000. The transaction valued at $6.5 billion, comprised of $4.4 billion of Goldman Sachs common stock (34 million shares) and &amp; $2.1 billion in cash. The acquisition will help Goldman to extend their leadership in key areas specifically, market making, execution and clearing and will provide tangible benefits for their clients. The company is no longer actively tracked by PitchBook.</t>
  </si>
  <si>
    <t>10897-93</t>
  </si>
  <si>
    <t>TECO Energy</t>
  </si>
  <si>
    <t>TECO Energy, Inc.</t>
  </si>
  <si>
    <t>Energy Future Holdings, Enel, Centrica, AES, Isagen, Duke Energy, Vistra Energy, Vectren, Enbridge, Talen Energy, Great Plains Energy, Sempra Energy, Idacorp, Edison, Dynegy, Allete, NRG Energy, Alabama Power, Sithe Global Power, Tesla Energy Operations, Iberdrola (French Renewables Unit), Florida Power &amp; Light, El Paso Electric, Verde Energy, Solarcentury, DTE Energy, Great River Energy, Vivint Solar</t>
  </si>
  <si>
    <t>A holding company focused on energy and utility companies. The company invests in electricity generation, transmission and distribution, gas transmission, and utility energy services with a strategic focus on the transformation from high carbon to low carbon energy sources.</t>
  </si>
  <si>
    <t>Electric Utilities, Energy Production, Energy Transportation, Gas Utilities, Holding Companies*</t>
  </si>
  <si>
    <t>diversified utility, electric energy, energy holdings, holding company, operating assets, utility holding company</t>
  </si>
  <si>
    <t>www.tecoenergy.com</t>
  </si>
  <si>
    <t>1989: 4400, 1990: 4587, 1991: 4640, 1992: 4744, 1993: 4846, 1994: 4440, 1995: 4465, 1996: 4358, 1997: 5643, 1998: 5470, 1999: 5487, 2000: 5487, 2001: 6513, 2002: 6319, 2003: 5753, 2004: 5543, 2005: 4998, 2006: 5200, 2007: 4300, 2008: 4400, 2009: 4073, 2010: 4233, 2011: 4290, 2012: 3900, 2013: 3900, 2014: 4400, 2015: 3713, 2016: 3700, 2020: 2500</t>
  </si>
  <si>
    <t>Emera</t>
  </si>
  <si>
    <t>107099-20P</t>
  </si>
  <si>
    <t>Phil Barringer</t>
  </si>
  <si>
    <t>Chief Human Resources Officer &amp; Senior Vice President, Corporate Services</t>
  </si>
  <si>
    <t>phil.barringer@tecoenergy.com</t>
  </si>
  <si>
    <t>+1 (813) 228-1111</t>
  </si>
  <si>
    <t>702 North Franklin Street</t>
  </si>
  <si>
    <t>TECO Plaza</t>
  </si>
  <si>
    <t>33602</t>
  </si>
  <si>
    <t>investorrelations@tecoenergy.com</t>
  </si>
  <si>
    <t>The company was acquired by Emera (EMA.TO) for $6.5 billion on July 1, 2016. Deal amount includes assumption of approximately $3.9 billion of debt. Emera has a fully committed $6.5 billion bridge financing facility in place with JP Morgan Chase and Scotiabank. The transaction will be funded through bridge financing facility, common equity, preferred equity and long term debt.</t>
  </si>
  <si>
    <t>BarkerGilmore(Consulting), Hill Ward Henderson(Legal Advisor), Zolfo Cooper(Advisor: General)</t>
  </si>
  <si>
    <t>Blake, Cassels &amp; Graydon(Legal Advisor), Holland &amp; Knight(Legal Advisor), Moelis &amp; Company(Advisor: General), Morgan Stanley(Advisor: General), Skadden, Arps, Slate, Meagher &amp; Flom(Legal Advisor)</t>
  </si>
  <si>
    <t>41098-15</t>
  </si>
  <si>
    <t>TransRe</t>
  </si>
  <si>
    <t>PREINCO Holdings</t>
  </si>
  <si>
    <t>Transatlantic Holdings Inc.</t>
  </si>
  <si>
    <t>Provider of reinsurance services. The company offers a spectrum of property and casualty exposures, on a treaty and facultative basis to its clients. Its line of business includes agriculture, health, accident, entertainment and contingency as well as energy.</t>
  </si>
  <si>
    <t>insurance, reinsurance business, reinsurance coverage, reinsurance facility, reinsurance firm, reinsurance lines, reinsurance policy, reinsurance services, risk services</t>
  </si>
  <si>
    <t>www.transre.com</t>
  </si>
  <si>
    <t>1990: 220, 1991: 235, 1992: 235, 1993: 260, 1994: 245, 1995: 280, 1996: 335, 1997: 350, 1998: 370, 1999: 380, 2000: 390, 2001: 400, 2002: 435, 2003: 455, 2004: 465, 2005: 485, 2006: 515, 2007: 570, 2008: 600, 2009: 620, 2010: 640, 2011: 630</t>
  </si>
  <si>
    <t>99668-80P</t>
  </si>
  <si>
    <t>Matthew Mahoney</t>
  </si>
  <si>
    <t>mmahoney@transre.com</t>
  </si>
  <si>
    <t>+1 (212) 365-2200</t>
  </si>
  <si>
    <t>One Liberty Plaza</t>
  </si>
  <si>
    <t>165 Broadway</t>
  </si>
  <si>
    <t>10006</t>
  </si>
  <si>
    <t>+1 (212) 785-7230</t>
  </si>
  <si>
    <t>The company was in talks to be acquired by Allied World on May 20, 2015. Subsequently the deal was cancelled. Previously, the company (NYE:TRH) was acquired by Alleghany through a $3.4 billion public-to-private LBO on March 6, 2012.</t>
  </si>
  <si>
    <t>Alleghany</t>
  </si>
  <si>
    <t>Allied World, Aquiline Capital Partners, Castlewood Holdings, Enstar Group, Goldman Sachs Merchant Banking Division, J.C. Flowers &amp; Co., National Indemnity Company, New Mountain Capital, North Cove Partners, Stone Point Capital, Validus Group, Vestar Capital Partners</t>
  </si>
  <si>
    <t>Alleghany(www.alleghany.com)</t>
  </si>
  <si>
    <t>American International Group(www.aig.com)</t>
  </si>
  <si>
    <t>Allied World(www.awac.com), Aquiline Capital Partners(www.aquiline.com), Enstar Group(www.enstargroup.com), J.C. Flowers &amp; Co.(www.jcfco.com), National Indemnity Company(www.nationalindemnity.com), New Mountain Capital(www.newmountaincapital.com), North Cove Partners(www.northcovepartners.com), Stone Point Capital(www.stonepoint.com), Validus Group(www.validusholdings.com), Vestar Capital Partners(www.vestarcapital.com)</t>
  </si>
  <si>
    <t>Gibson, Dunn &amp; Crutcher(Legal Advisor), Lenz &amp; Staehelin(Legal Advisor), Moelis &amp; Company(Advisor: General), Richards Layton &amp; Finger(Legal Advisor), Stonybrook Capital(Advisor: General), The Goldman Sachs Group(Advisor: General), Wachtell, Lipton, Rosen &amp; Katz(Legal Advisor)</t>
  </si>
  <si>
    <t>109800-82</t>
  </si>
  <si>
    <t>USI (Tennessee)</t>
  </si>
  <si>
    <t>Provider of hard coating process for use in automotive and industrial applications. The company also offers automotive glazing products such as backlights, quarter windows, integrated roof systems, recreational vehicle components and hardcoated polycarbonate products.</t>
  </si>
  <si>
    <t>Automotive, Other Commercial Products*, Other Services (B2C Non-Financial)</t>
  </si>
  <si>
    <t>backlights, glazing product, hard coating</t>
  </si>
  <si>
    <t>www.usionline.net</t>
  </si>
  <si>
    <t>2011: 150, 2015: 150</t>
  </si>
  <si>
    <t>95899-06P</t>
  </si>
  <si>
    <t>Hiroshi Nishizawa</t>
  </si>
  <si>
    <t>Rockford, TN</t>
  </si>
  <si>
    <t>2460 Stock Creek Boulevard</t>
  </si>
  <si>
    <t>Rockford</t>
  </si>
  <si>
    <t>37853</t>
  </si>
  <si>
    <t>The company was acquired by Cooper-Standard Automotive, via its financial sponsors Silver Point Capital, Oak Hill Advisors and The Cypress Group, through a $6.5 billion LBO on March 28, 2011. The company is no longer tracked by PitchBook.</t>
  </si>
  <si>
    <t>Cooper-Standard Automotive</t>
  </si>
  <si>
    <t>Ikuyo</t>
  </si>
  <si>
    <t>Silver Point Capital, The Cypress Group</t>
  </si>
  <si>
    <t>Ikuyo(www.ikuyo194.co.jp)</t>
  </si>
  <si>
    <t>Silver Point Capital(www.silverpointcapital.com)</t>
  </si>
  <si>
    <t>41546-35</t>
  </si>
  <si>
    <t>Wellchoice</t>
  </si>
  <si>
    <t>WellChoice, Inc.</t>
  </si>
  <si>
    <t>Provider of health insurance services.</t>
  </si>
  <si>
    <t>Life and Health Insurance, Managed Care*</t>
  </si>
  <si>
    <t>health care, health planning, insurance cover, insurance planning, quality care</t>
  </si>
  <si>
    <t>www.wellchoice.com</t>
  </si>
  <si>
    <t>2002: 6000, 2003: 5400, 2004: 5500</t>
  </si>
  <si>
    <t>182441-35P</t>
  </si>
  <si>
    <t>Michael Stocker</t>
  </si>
  <si>
    <t>11 West 42nd Street</t>
  </si>
  <si>
    <t>The company was acquired by Anthem (NYS: ANTM) for approximately $6.5 billion in December 2005. The company is no longer actively tracked by PitchBook.</t>
  </si>
  <si>
    <t>Bear Stearns(Underwriter), Blaylock Van(Underwriter), BNY Mellon Capital Markets(Underwriter), Credit Suisse First Boston(Underwriter), Dowling &amp; Partners(Underwriter), EY(Auditor), Fox-Pitt Kelton Cochran Caronia Waller(Underwriter), Hinman, Howard &amp; Kattell(Legal Advisor), Invemed Associates(Underwriter), J.P. Morgan(Underwriter), Legg Mason Wood Walker(Underwriter), Morgan Stanley(Underwriter), Muriel Siebert &amp; Co.(Underwriter), Prudential Equity Group(Underwriter), Raymond James Financial(Underwriter), Samuel A. Ramirez &amp; Company(Underwriter), SG Cowen Securities(Underwriter), SVB Leerink(Underwriter), The Goldman Sachs Group(Underwriter), The Williams Capital Group(Underwriter), UBS Group(Underwriter), Weil, Gotshal &amp; Manges(Legal Advisor)</t>
  </si>
  <si>
    <t>90915-40</t>
  </si>
  <si>
    <t>Times Mirror</t>
  </si>
  <si>
    <t>Times Mirror Company</t>
  </si>
  <si>
    <t>Provider of publishing services. The company is engaged in providing newspaper publishing, information, and magazine publishing services to its clients in the United States.</t>
  </si>
  <si>
    <t>Publishing*</t>
  </si>
  <si>
    <t>magazine publisher, magazine publishing, media sector, newspaper and magazine publisher, newspaper publisher</t>
  </si>
  <si>
    <t>1989: 29066, 1990: 29066, 1991: 27732, 1992: 28313, 1993: 26936, 1994: 24315, 1995: 24315, 1996: 20803, 1997: 15906, 1998: 14787, 1999: 14726</t>
  </si>
  <si>
    <t>Times Mirror Square</t>
  </si>
  <si>
    <t>220 West First Street</t>
  </si>
  <si>
    <t>90053</t>
  </si>
  <si>
    <t>The company was acquired by Tribune Media for $6.46 billion on March 13, 2000. The company is no longer actively tracked by PitchBook.</t>
  </si>
  <si>
    <t>Tribune Media</t>
  </si>
  <si>
    <t>61615-72</t>
  </si>
  <si>
    <t>Stanhope Pension Trust</t>
  </si>
  <si>
    <t>SPT</t>
  </si>
  <si>
    <t>Stanhope Pension Trust Ltd.</t>
  </si>
  <si>
    <t>Operator of a defined benefit corporate pension plan based in the United Kingdom. The plan offers benefits to employees and ex-employees with a predetermined monthly retirement benefit upon reaching a specific age.</t>
  </si>
  <si>
    <t>Other Insurance</t>
  </si>
  <si>
    <t>Other Insurance*</t>
  </si>
  <si>
    <t>defined benefits pension fund, defined benefits scheme, pension planning scheme, pension program</t>
  </si>
  <si>
    <t>www.telentpensions.co.uk</t>
  </si>
  <si>
    <t>Crawley, United Kingdom</t>
  </si>
  <si>
    <t>Telent Pensions, Equiniti, Sutherland House</t>
  </si>
  <si>
    <t>Russell Way, West Sussex</t>
  </si>
  <si>
    <t>Crawley</t>
  </si>
  <si>
    <t>RH10 1UH</t>
  </si>
  <si>
    <t>The company. a subsidiary of Telent, was acquired by Rothesay Life, via its financial sponsors The Blackstone Group and Government of Singapore Investment Corporation (GIC) through a GBP 4.7 billion LBO on February 16, 2021. The company is no longer actively tracked by PitchBook.</t>
  </si>
  <si>
    <t>Rothesay Life</t>
  </si>
  <si>
    <t>Telent</t>
  </si>
  <si>
    <t>Government of Singapore Investment Corporation (GIC), The Blackstone Group</t>
  </si>
  <si>
    <t>Telent(www.telent.com)</t>
  </si>
  <si>
    <t>Government of Singapore Investment Corporation (GIC)(www.gic.com.sg), The Blackstone Group(www.blackstone.com)</t>
  </si>
  <si>
    <t>43025-50</t>
  </si>
  <si>
    <t>Seven Generations Energy</t>
  </si>
  <si>
    <t>7G, Seven Generations</t>
  </si>
  <si>
    <t>Seven Generations Energy Ltd.</t>
  </si>
  <si>
    <t>Matador Resources, Nuvista Energy, Oasis Petroleum, Pengrowth Energy, Arc Resources, Painted Pony Energy, Chevron, Encino Energy, EQT Production Company, Kamchatgazprom, Tourmaline Oil, Anadarko Petroleum, Ikkuma Resources, Suncor Energy, Compañía Española de Petróleos, Newfield Exploration, Imperial Oil, Gazprom neftekhim Salavat, Algonquin Power &amp; Utilities, QEP Resources, Gazprom Investproject, Antero Resources, Hess, Gazprom, Cenovus Energy, Gazprom Neft Shelf, Southwestern Energy, Enerplus, Total, Esso Thailand, Canadian Natural Resources, Apache</t>
  </si>
  <si>
    <t>Seven Generations Energy Ltd is an independent energy company focused on the acquisition, development, and optimization of high-quality, tight rock, natural gas resource plays. The company employs long-reach and horizontal drilling to produce resources of natural gas, condensate, and natural gas liquids. In addition to drilling operations, Seven Generations owns several gathering lines and processing facilities. The company depends on a skilled technical and business team to identify, capture, develop, and catalyze production from resource plays.</t>
  </si>
  <si>
    <t>crude oil, energy company, energy company operator, gas wells, shale gas</t>
  </si>
  <si>
    <t>www.7genergy.com</t>
  </si>
  <si>
    <t>2014: 75, 2015: 104, 2016: 141, 2017: 179, 2018: 231, 2019: 255, 2020: 224</t>
  </si>
  <si>
    <t>217917-19P</t>
  </si>
  <si>
    <t>Brian Newmarch</t>
  </si>
  <si>
    <t>bnewmarch@7genergy.com</t>
  </si>
  <si>
    <t>4400, 525 - 8 Avenue South West</t>
  </si>
  <si>
    <t>Eighth Avenue Place East</t>
  </si>
  <si>
    <t>T2P 1G1</t>
  </si>
  <si>
    <t>The company was acquired by Arc Resources (TSE: ARX), a subsidiary of Pasofino Gold (Toronto) (TSX: VEIN), for an undisclosed amount on April 6, 2021. The transaction will create a combined company with material size and scale that enhances ARC's and the company's existing commodity and geographic diversification and the combined company will become Canada's large condensate producer, third-largest natural gas producer, and sixth-largest upstream energy company. The company is no longer actively tracked by PitchBook.</t>
  </si>
  <si>
    <t>Arc Resources</t>
  </si>
  <si>
    <t>32 Degrees Capital, ARC Financial, Azimuth Capital Management, Canada Pension Plan Investment Board, Macoma Capital Group, NGP, T. Rowe Price, Triangle Peak Partners, Ziff Brothers Investments</t>
  </si>
  <si>
    <t>32 Degrees Capital(www.32degrees.ca), ARC Financial(www.arcfinancial.com), Azimuth Capital Management(www.navigatingenergy.com), Canada Pension Plan Investment Board(www.cppinvestments.com), Macoma Capital Group(www.macomacapital.com), NGP(www.ngpenergycapital.com), T. Rowe Price(www.troweprice.com), Triangle Peak Partners(www.trianglepeakpartners.com)</t>
  </si>
  <si>
    <t>ATB Financial(Debt Financing), BMO Financial Group(Debt Financing), Canadian Imperial Bank of Commerce(Debt Financing), Canadian Western Bank(Debt Financing), Desjardins Group(Debt Financing), FS Energy and Power Fund(Debt Financing), RBC Capital Markets(Debt Financing), Royal Bank of Canada(Debt Financing), Scotia Waterous(Advisor: General), Scotiabank(Debt Financing), TD Securities(Underwriter)</t>
  </si>
  <si>
    <t>ATB Capital Markets(Underwriter), BMO Nesbitt Burns(Underwriter), Canaccord Genuity(Underwriter), CIBC Capital Markets(Debt Financing), Cormark Securities(Underwriter), Credit Suisse(Debt Financing), Credit Suisse Securities (USA)(Underwriter), Deloitte(Accounting), FS KKR Capital Corp. II(Debt Financing), GMP FirstEnergy(Underwriter), GMP Securities(Underwriter), Jefferies Financial Group(Advisor: General), Leede Jones Gable(Underwriter), Macquarie Group(Underwriter), National Bank Financial Markets(Advisor: General), Peters &amp; Co.(Lead Manager or Arranger), Raymond James Financial(Underwriter), RBC Capital Markets(Advisor: General), RBC Dominion Securities(Underwriter), Scotiabank Global Banking and Markets(Underwriter), Simpson Thacher &amp; Bartlett(Legal Advisor), Stikeman Elliott(Legal Advisor), TD Bank(Debt Financing)</t>
  </si>
  <si>
    <t>64047-79</t>
  </si>
  <si>
    <t>Corio (Netherlands)</t>
  </si>
  <si>
    <t>Corio N.V.</t>
  </si>
  <si>
    <t>Provider of investment services. The company invests in retail shopping center in Netherlands, France, Italy, Spain, Turkey, and Germany.</t>
  </si>
  <si>
    <t>investment service, property portfolio, retail center</t>
  </si>
  <si>
    <t>2008: 348, 2010: 451, 2012: 549, 2013: 595, 2015: 1496</t>
  </si>
  <si>
    <t>Klépierre</t>
  </si>
  <si>
    <t>74065-15P</t>
  </si>
  <si>
    <t>Eric Damiron</t>
  </si>
  <si>
    <t>Chief Executive Officer, France</t>
  </si>
  <si>
    <t>eric.damiron@fr.corio-eu.com</t>
  </si>
  <si>
    <t>+33 1 47 45 30 00</t>
  </si>
  <si>
    <t>Utrecht, Netherlands</t>
  </si>
  <si>
    <t>Hoog Catharijne</t>
  </si>
  <si>
    <t>Van Duvenborch Building Stationsplein 97 3511 ED</t>
  </si>
  <si>
    <t>Utrecht</t>
  </si>
  <si>
    <t>3503 RE</t>
  </si>
  <si>
    <t>+31 (0)30 234 6464</t>
  </si>
  <si>
    <t>+31 (0)30 233 3578</t>
  </si>
  <si>
    <t>corio@nl.corio-eu.com</t>
  </si>
  <si>
    <t>The company (NYSE Euronext Amsterdam: CORA) was acquired by Klépierre (NYSE Euronext Paris: LI) for EUR 4.2 billion on January 9, 2015. The new company, as yet unnamed, is expected to list its shares on Euronext in Paris and Amsterdam. The company is no longer actively tracked by PitchBook.</t>
  </si>
  <si>
    <t>Allen &amp; Overy(Legal Advisor), Clifford Chance(Legal Advisor), Deutsche Bank(Advisor: General), Morgan Stanley(Advisor: General), The Goldman Sachs Group(Advisor: General)</t>
  </si>
  <si>
    <t>42708-25</t>
  </si>
  <si>
    <t>MuleSoft</t>
  </si>
  <si>
    <t>MuleSource</t>
  </si>
  <si>
    <t>MuleSoft, Inc.</t>
  </si>
  <si>
    <t>WSO2, LeanIX, Onapsis, Talend, Mashery, Grafana Labs, Splunk, TIBCO Software, SnapLogic, Fiorano Software, Logz.io, Micro Focus International, Layer 7 Technologies, DreamFactory, Restlet, Google Cloud Platform, Workato, WebMethods, VMware, Cloud Elements, StreamSets, Elastic.io, Dotrun, CloudSnap, Cloudera, BMC Software, Jitterbit, ServiceNow, Gorilla Logic, Koverse, Blacklynx, Tray.io, HyTech Professionals, Aerospike, Cisco Systems, Precisely (New York), Gluent, Zoho Corporation, Boomi, Apigee, Cambridge Semantics, Pipemonk, Unifi (Data Platform), Oracle NetSuite, Pegasystems, Salesforce.com, Yellowfin, Bedrock Data, Akana, Panoply (Database Software), Axway, MapR, Klipfolio, Red Hat, Tamr, OneSaas, WorkFusion, Alooma, Datawatch, Adeptia, Appian, Zapier, Casewise Systems, Couchbase, Apiary, MongoDB, DataRobot, Correlata Solutions, Missions, Cursor, Platfora, Kx Systems, Software Secure, Periscope Data, Grow, Cazoomi, Microsoft, Attunity, SAP, ForgeRock, Microsoft Visio, Qlik Technologies, Feature Labs, Epicor Software, Pendo Systems, Paradata, Tellius, Ifttt, ReachForce, Anaplan, Datameer, Sisense, SAS Institute, Oracle, Vertica, InfluxData, Zaloni, Ngdata, 3scale, Paxata, Fuse, Kayako, SigOpt, Informatica, ASG Technologies, Exago, Rage Frameworks, Alation, Zepl, Segment, Adobe Systems, Rever, Highcharts, Examity, Lob, PieSync, Datactics, DataGravity</t>
  </si>
  <si>
    <t>Developer of a cloud-based application integration platform designed to connect organizational applications, data and devices. The company's platform offers an integration software suite for connecting any application, data source or device using APIs whether in the cloud or on-premises using open-source technology, enabling businesses to re-architect their SOA infrastructure from legacy systems, proprietary platforms and custom integration code to create business agility and gain competitive advantage.</t>
  </si>
  <si>
    <t>Business/Productivity Software, Network Management Software, Systems and Information Management*</t>
  </si>
  <si>
    <t>api, api integration, application integration, cloud platform, integration platform</t>
  </si>
  <si>
    <t>www.mulesoft.com</t>
  </si>
  <si>
    <t>2007: 22, 2008: 22, 2009: 22, 2010: 22, 2013: 180, 2014: 460, 2015: 500, 2016: 841, 2017: 1188, 2018: 500, 2019: 1400, 2020: 1700</t>
  </si>
  <si>
    <t>41368-15P</t>
  </si>
  <si>
    <t>Ross Mason</t>
  </si>
  <si>
    <t>Founder, Vice President, Product Strategy &amp; Board Member</t>
  </si>
  <si>
    <t>+356 2133 4457</t>
  </si>
  <si>
    <t>415 Mission Street</t>
  </si>
  <si>
    <t>+1 (415) 229-2009</t>
  </si>
  <si>
    <t>The company (NYSE: MULE) was acquired by Salesforce (NYSE: CRM) for $6.42 billion on May 2, 2018. The acquisition will accelerate customers' digital transformations, enabling them to unlock data across legacy systems, cloud apps and devices to make smarter, faster decisions and create highly differentiated, connected customer experiences.</t>
  </si>
  <si>
    <t>Adage Capital Management, Bay Partners, Brookside Capital, Cisco Investments, Green Bay Ventures, Greenspring Associates, Hummer Winblad Venture Partners, IVP, Lightspeed Venture Partners, Lumia Capital, Meritech Capital Partners, Morgenthaler Ventures, New Enterprise Associates, Salesforce Ventures, Sands Capital, Sapphire Ventures</t>
  </si>
  <si>
    <t>ServiceNow Ventures</t>
  </si>
  <si>
    <t>Adage Capital Management(www.adagecapital.com), Bay Partners(www.baypartners.com), Brookside Capital(www.brooksidecapital.com), Cisco Investments(www.ciscoinvestments.com), Green Bay Ventures(www.greenbayventures.com), Greenspring Associates(www.greenspringassociates.com), Hummer Winblad Venture Partners(www.hwvp.com), IVP(www.ivp.com), Lightspeed Venture Partners(www.lsvp.com), Lumia Capital(www.lumiacapital.com), Meritech Capital Partners(www.meritechcapital.com), Morgenthaler Ventures(www.morgenthaler.com), New Enterprise Associates(www.nea.com), Sands Capital(www.sandscapitalventures.com), Sapphire Ventures(www.sapphireventures.com)</t>
  </si>
  <si>
    <t>Arete Partners(Consulting), Calibre One(Consulting), Daversa Partners(Consulting), Erevena(Consulting), Kranz &amp; Associates(Advisor: General), The MitchelLake Group(Consulting), True(Advisor: General)</t>
  </si>
  <si>
    <t>Allen &amp; Company(Underwriter), Bank of America Merrill Lynch(Underwriter), Barclays Bank UK(Underwriter), Canaccord Genuity(Underwriter), J.P. Morgan(Underwriter), Jefferies Financial Group(Underwriter), KPMG(Accounting), Piper Sandler(Underwriter), Sullivan &amp; Cromwell(Legal Advisor), The Goldman Sachs Group(Underwriter), William Blair &amp; Company(Underwriter), Wilson Sonsini Goodrich &amp; Rosati(Legal Advisor)</t>
  </si>
  <si>
    <t>51464-80</t>
  </si>
  <si>
    <t>Orchard Street Investment Management</t>
  </si>
  <si>
    <t>Orchard Street</t>
  </si>
  <si>
    <t>Orchard Street Investment Management LLP</t>
  </si>
  <si>
    <t>Provider of real estate investment services in London. The company seeks to invest in property.</t>
  </si>
  <si>
    <t>estate firm, estate investment, investment service</t>
  </si>
  <si>
    <t>www.orchard-street.co.uk</t>
  </si>
  <si>
    <t>2007: 3, 2008: 5, 2009: 6, 2010: 6, 2011: 5, 2012: 8, 2013: 12, 2014: 14, 2015: 16, 2016: 20</t>
  </si>
  <si>
    <t>NAB Asset Management</t>
  </si>
  <si>
    <t>73937-53P</t>
  </si>
  <si>
    <t>Gary Felce</t>
  </si>
  <si>
    <t>Partner</t>
  </si>
  <si>
    <t>+44 (0)20 7494 8860</t>
  </si>
  <si>
    <t>16 New Burlington Place</t>
  </si>
  <si>
    <t>W1S 2HX</t>
  </si>
  <si>
    <t>+44 (0)20 7734 8286</t>
  </si>
  <si>
    <t>info@orchard-street.co.uk</t>
  </si>
  <si>
    <t>The company was acquired by NAB Asset Management for $6.42 billion on July 31, 2014. The company is no longer actively tracked by PitchBook.</t>
  </si>
  <si>
    <t>Coffer Corporate Leisure(Advisor: General), EY(Auditor)</t>
  </si>
  <si>
    <t>225853-48</t>
  </si>
  <si>
    <t>360i Technology</t>
  </si>
  <si>
    <t>Provider of online virus detection and protection services in China.</t>
  </si>
  <si>
    <t>Other Software</t>
  </si>
  <si>
    <t>Other Software*</t>
  </si>
  <si>
    <t>antivirus support, virus detecting technology, virus detection, virus detection software, virus protection</t>
  </si>
  <si>
    <t>The company was acquired by SJEC (SHG: 601313) for $6.4 billion in 2017. The company is no longer actively tracked by PitchBook.</t>
  </si>
  <si>
    <t>41158-27</t>
  </si>
  <si>
    <t>Applied Biosystems</t>
  </si>
  <si>
    <t>Applied Biosystems, Inc.</t>
  </si>
  <si>
    <t>Quanterix, Diagenode, Illumina, Merck Millipore, Tonbo Biosciences</t>
  </si>
  <si>
    <t>Developer of instrument-based systems, consumables, software and services for academic research. The company commercializes technology solutions for DNA, RNA, protein and small molecule analysis. The company also provides field applications support services for genetic and protein analysis solutions.</t>
  </si>
  <si>
    <t>Biotechnology, Diagnostic Equipment*, Medical Supplies</t>
  </si>
  <si>
    <t>academic research, instrument-based systems, protein molecule, small molecule</t>
  </si>
  <si>
    <t>1990: 6550, 1991: 6355, 1992: 6085, 1993: 6563, 1994: 5954, 1995: 5890, 1996: 5697, 1997: 5685, 1998: 7188, 1999: 3364, 2000: 104568, 2001: 4524, 2002: 4790, 2003: 4540, 2004: 4400, 2005: 4930, 2006: 5090, 2007: 5530, 2008: 5160</t>
  </si>
  <si>
    <t>TTM 1Q2009</t>
  </si>
  <si>
    <t>Foster City, CA</t>
  </si>
  <si>
    <t>850 Lincoln Centre Drive</t>
  </si>
  <si>
    <t>Foster City</t>
  </si>
  <si>
    <t>94404</t>
  </si>
  <si>
    <t>The company was acquired by Life Technologies (NASDAQ: LIFE) for $6.4 billion on November 21, 2008. The company is no longer actively tracked by PitchBook.</t>
  </si>
  <si>
    <t>Applera, Asset Management Ventures, Domain Associates, Mayfield (Private Equity), Perkin-Elmer, US Venture Partners</t>
  </si>
  <si>
    <t>Asset Management Ventures(www.assetman.com), Domain Associates(www.domainvc.com), Mayfield (Private Equity)(www.mayfield.com), US Venture Partners(www.usvp.com)</t>
  </si>
  <si>
    <t>AIT Business Solutions(Advisor: General), Venetia Partners(Consulting)</t>
  </si>
  <si>
    <t>Greenhill &amp; Co.(Advisor: General)</t>
  </si>
  <si>
    <t>41263-84</t>
  </si>
  <si>
    <t>Cytec Industries</t>
  </si>
  <si>
    <t>Cytec</t>
  </si>
  <si>
    <t>Cytec Industries, Inc.</t>
  </si>
  <si>
    <t>Hexcel</t>
  </si>
  <si>
    <t>Manufactures specialty chemical products. The company mainly develops and distributes lightweight composite materials, structural adhesives, carbon fibers and mining chemicals for Airbus A350 and the Boeing 787 as well as for high-end cars such as Ferraris and Lamborghinis.</t>
  </si>
  <si>
    <t>Industrial Chemicals, Other Chemicals and Gases*, Other Commercial Products</t>
  </si>
  <si>
    <t>1993: 5200, 1994: 5200, 1995: 5200, 1996: 4700, 1997: 5200, 1998: 5100, 1999: 4850, 2000: 4800, 2001: 4450, 2002: 4250, 2003: 4500, 2004: 4500, 2005: 7300, 2006: 6700, 2007: 6800, 2008: 6700, 2009: 5800, 2010: 6000, 2011: 5500, 2012: 6600, 2013: 4400, 2014: 4600, 2015: 4600</t>
  </si>
  <si>
    <t>Solvay</t>
  </si>
  <si>
    <t>71121-97P</t>
  </si>
  <si>
    <t>Shane Fleming</t>
  </si>
  <si>
    <t>+1 (973) 357-3193</t>
  </si>
  <si>
    <t>Woodland Park, NJ</t>
  </si>
  <si>
    <t>5 Garret Mountain Plaza</t>
  </si>
  <si>
    <t>Woodland Park</t>
  </si>
  <si>
    <t>07424</t>
  </si>
  <si>
    <t>The company (NYSE: CYT) was acquired by Solvay (BRU: SOLB) for $7.3 billion on January 1, 2015. The company is no longer actively tracked by PitchBook.</t>
  </si>
  <si>
    <t>BearingPoint(Advisor: Other Due Diligence), CHEMARK Consulting Group(Consulting), Joele Frank(Advisor: Communications), Next Level Partners(Consulting), Notch Partners(Consulting), REL Consultancy(Consulting)</t>
  </si>
  <si>
    <t>Arnold &amp; Porter Kaye Scholer(Legal Advisor), J.P. Morgan(Advisor: General), Joele Frank(Advisor: Communications), Okapi Partners(Advisor: General), Sullivan &amp; Cromwell(Legal Advisor)</t>
  </si>
  <si>
    <t>229468-33</t>
  </si>
  <si>
    <t>DoublePoint Energy</t>
  </si>
  <si>
    <t>DoublePoint</t>
  </si>
  <si>
    <t>DoublePoint Energy, LLC</t>
  </si>
  <si>
    <t>Provider of oil and gas asset development services in the Midland Basin. The company's operations include acreage acquisitions, acreage trades, and the development of low risk, multi-pay resources which are carried out by a team of experienced professionals.</t>
  </si>
  <si>
    <t>Energy Exploration, Energy Infrastructure*</t>
  </si>
  <si>
    <t>energy infrastructure, oil and gas asset manager, oil asset acquirer, oil asset developer, oil exploration</t>
  </si>
  <si>
    <t>3724 Hulen Street</t>
  </si>
  <si>
    <t>76107</t>
  </si>
  <si>
    <t>The company was acquired by Pioneer Natural Resources (NYS: PXD) for $6.4 billion on May 7, 2021. The company is no longer actively tracked by PitchBook.</t>
  </si>
  <si>
    <t>Pioneer Natural Resources</t>
  </si>
  <si>
    <t>Double Eagle Energy Holdings III, Unbridled Resources</t>
  </si>
  <si>
    <t>Double Eagle Energy Holdings III(www.doubleeagledevelopment.com), Unbridled Resources(www.fourpointenergy.com)</t>
  </si>
  <si>
    <t>Vinson &amp; Elkins(Legal Advisor)</t>
  </si>
  <si>
    <t>55329-40</t>
  </si>
  <si>
    <t>Medallia (NYS: MDLA)</t>
  </si>
  <si>
    <t>Medallia, Inc.</t>
  </si>
  <si>
    <t>Momentive AI, Sandsiv+, Verint Systems, Calabrio, InMoment, Altaro, QuestBack, Hotspex, SoGoSurvey, Papyrus Software, FRM Solutions, GoSpotCheck, Nanorep, Eloquant, Copper CRM, Usabilla, Applause, Talkdesk, Exterro, Gainsight, Userlytics, Vonigo, Typeform, Clutch (Media and Information Services), Qualtrics, Glint (Sunnyvale), ForeSee Results, Revuze, QuestionPro, Maru/Edr, IgnitionOne, iPerceptions, Enprecis Group, Mobilewalla, UserTesting, Satmetrix Systems, NICE Systems, UsabilityTools, Gigya, SatisFactory, Clarabridge, Punchh, UserZoom, Mobee, Encompass-CX, UpKeep, Clicktale, Fuel Cycle, Aspect Software (Massachusetts), SurveySparrow, Clarify (Enterprise Systems), Surveypal, Xant (Business/Productivity Software), Sprinklr, Netigate, Service Management Group (SMG), Mediatech cx, MyFeelBack, Affinity (Business/Productivity Software), Culture Amp, Confirmit, DropThought, MaritzCX, FormAssembly, Subtra</t>
  </si>
  <si>
    <t>Medallia Inc is a software company. Its SaaS platform, the Medallia Experience Cloud, captures experience data from signal fields emitted by customers and employees. It utilizes AI technology to analyze structured and unstructured data from these signal fields across human, digital and internet of things, or IoT, interactions. The company provides solutions to various industries including Automotive, Healthcare, Hospitality, Insurance, and Retail among others.</t>
  </si>
  <si>
    <t>Big Data, Marketing Tech, SaaS, TMT</t>
  </si>
  <si>
    <t>business intelligence, consumer survey, customer feedback, customer intelligence, enterprise feedback, enterprise software company, feedback forming</t>
  </si>
  <si>
    <t>www.medallia.com</t>
  </si>
  <si>
    <t>2014: 500, 2015: 750, 2017: 1000, 2019: 1258, 2020: 1579, 2021: 2037</t>
  </si>
  <si>
    <t>MDLA</t>
  </si>
  <si>
    <t>Deal (New) Buyout/LBO, 2021|Announced/In Progress, Departure (New) Alan Grebene, Executive Vice President &amp; General Counsel, News (New) , News (New) , News (New) , News (New) , News (New) , News (New) , News (New) , News (New) , News (New) , News (New) , News (New)</t>
  </si>
  <si>
    <t>Deal (New) Buyout/LBO, 2021|Announced/In Progress, Departure (New) Alan Grebene, Executive Vice President &amp; General Counsel, News (New) , News (New) , News (New) , News (New) , News (New) , News (New) , News (New) , News (New) , News (New) , News (New) , News (New) , News (New) , News (New)</t>
  </si>
  <si>
    <t>37125-46P</t>
  </si>
  <si>
    <t>Jean-Francois Hervy</t>
  </si>
  <si>
    <t>Vice President of Finance</t>
  </si>
  <si>
    <t>+1 (650) 321-3000</t>
  </si>
  <si>
    <t>575 Market Street</t>
  </si>
  <si>
    <t>Suite 1850</t>
  </si>
  <si>
    <t>info@medallia.com</t>
  </si>
  <si>
    <t>The company entered into a definitive agreement to be acquired by Thoma Bravo through a $6.4 billion LBO on July 26, 2021. Blackstone Credit, Apollo Capital Management, Thoma Bravo Credit, Antares Capital and Kohlberg Kravis Roberts provided debt financing in the form of a loan for the transaction. As a result of this transaction the company will be taken private. Previously, the company raised $325.5 million in its initial public offering on the New York Stock Exchange under the ticker symbol of MDLA on July 19, 2019. The company is being actively tracked by PitchBook.</t>
  </si>
  <si>
    <t>ADS Ventures, Eniac Ventures, Karmel Capital, RGM Capital, Saints Capital, TriplePoint Venture Growth</t>
  </si>
  <si>
    <t>ADS Ventures(www.ads-ventures.com), Eniac Ventures(www.eniac.vc), Karmel Capital(www.karmelcapital.com), RGM Capital(www.rgmcapital.com), Saints Capital(www.saintscapital.com), TriplePoint Venture Growth(www.tpvg.com)</t>
  </si>
  <si>
    <t>Calibre One(Consulting), Daversa Partners(Consulting), EY(Accounting), ON Partners(Consulting), Riviera Partners(Consulting)</t>
  </si>
  <si>
    <t>Antares Capital(Debt Financing), Apollo Capital Management(Debt Financing), Bank of America Merrill Lynch(Underwriter), Blackstone Credit(Debt Financing), BofA Securities(Advisor: General), Citigroup(Underwriter), Cooley(Legal Advisor), Craig-Hallum Capital Group(Underwriter), Credit Suisse(Underwriter), EY(Accounting), Kohlberg Kravis Roberts(Debt Financing), Morgan Stanley(Advisor: General), Needham &amp; Company(Underwriter), Oppenheimer &amp; Company(Underwriter), Roberts &amp; Ryan Investments(Underwriter), ROTH Capital Partners(Underwriter), SunTrust Robinson Humphrey(Underwriter), Thoma Bravo Credit(Debt Financing), Wells Fargo Securities(Underwriter), William Blair &amp; Company(Underwriter), Wilson Sonsini Goodrich &amp; Rosati(Legal Advisor)</t>
  </si>
  <si>
    <t>10237-33</t>
  </si>
  <si>
    <t>PanAmSat</t>
  </si>
  <si>
    <t>Provider of video, broadcasting, network distribution and delivery services. The company transmits nearly 2,000 television channels worldwide and, as such, is the leading carrier of standard and high-definition signals. In total, the company's in-orbit fleet is capable of reaching over 98 percent of the world's population through cable television systems, broadcast affiliates, direct-to-home operators, internet service providers and telecommunications companies. In addition, the company supports the largest concentration of satellite-based business networks in the U.S., as well as specialized communications services in remote areas throughout the world.</t>
  </si>
  <si>
    <t>broadcasting, high definition, television, video</t>
  </si>
  <si>
    <t>1997: 450, 1998: 555, 1999: 600, 2000: 805, 2001: 730, 2002: 714, 2003: 700, 2006: 1210, 2007: 1074, 2008: 1090, 2009: 1111</t>
  </si>
  <si>
    <t>11643-04P</t>
  </si>
  <si>
    <t>David McGlade</t>
  </si>
  <si>
    <t>President &amp; CEO</t>
  </si>
  <si>
    <t>david.mcglade@intelsat.com</t>
  </si>
  <si>
    <t>+1 (703) 559-6800</t>
  </si>
  <si>
    <t>3400 International Drive Northwest</t>
  </si>
  <si>
    <t>20008</t>
  </si>
  <si>
    <t>+1 (202) 944-6800</t>
  </si>
  <si>
    <t>+1 (203) 622-9163</t>
  </si>
  <si>
    <t>The company was acquired by Intelsat for $6,400,000,000 on July 1, 2007.</t>
  </si>
  <si>
    <t>Intelsat</t>
  </si>
  <si>
    <t>Kohlberg Kravis Roberts, Providence Equity Partners, The Carlyle Group</t>
  </si>
  <si>
    <t>Apax Partners (France), Apollo Global Management, Hudson Pacific Capital Partners, Madison Dearborn Partners</t>
  </si>
  <si>
    <t>Kohlberg Kravis Roberts(www.kkr.com), Providence Equity Partners(www.provequity.com), The Carlyle Group(www.carlyle.com)</t>
  </si>
  <si>
    <t>Apax Partners (France)(www.apax.fr), Apollo Global Management(www.apollo.com), Hudson Pacific Capital Partners(www.hudsonpacificcapital.com), Madison Dearborn Partners(www.mdcp.com)</t>
  </si>
  <si>
    <t>Corporate Solutions(Advisor: General), Wood Warren(Advisor: General)</t>
  </si>
  <si>
    <t>Bank of America Merrill Lynch(Underwriter), Bear Stearns(Underwriter), BIKA Group(Advisor: General), BMO Capital Markets(Underwriter), Citigroup(Debt Financing), Credit Suisse(Underwriter), Deloitte(Auditor), Deutsche Bank(Debt Financing), Edelman Financial Services(Underwriter), ETrade Securities(Underwriter), Evercore Group(Advisor: General), Gibson, Dunn &amp; Crutcher(Legal Advisor), Jones Day(Legal Advisor), Latham &amp; Watkins(Legal Advisor), Lehman Brothers(Debt Financing), Morgan Stanley(Underwriter), Oppenheimer &amp; Company(Underwriter), Richards Layton &amp; Finger(Legal Advisor), Royal Bank of Canada(Underwriter), Samuel A. Ramirez &amp; Company(Underwriter), Simpson Thacher &amp; Bartlett(Legal Advisor), UBS Group(Underwriter), Weil, Gotshal &amp; Manges(Legal Advisor), Wells Fargo Advisors(Underwriter), Willkie Farr &amp; Gallagher(Legal Advisor)</t>
  </si>
  <si>
    <t>41297-77</t>
  </si>
  <si>
    <t>Swift Transportation</t>
  </si>
  <si>
    <t>Swift Holdings</t>
  </si>
  <si>
    <t>Swift Transportation Company</t>
  </si>
  <si>
    <t>Crete Carrier Corporation, Interstate Distributor Company, Quality Distribution, Burlington Northern Santa Fe, Transport America, Coyote Logistics, Celadon Group, Usa Truck, IN tIME Express Logistik, Penske Truck Leasing, Open Deck Transport, Canada Cartage, Yellow Corporation, Trimac Transportation, Heartland Express, Cardinal Logistics, Britton Transport, Ryder System, Pilot Freight Services, Lasership, Penske Logistics, Panalpina Grieg, Mainfreight, FitzMark, Transx Group Of Companies, U.S. Xpress Enterprises, NFI Industries, Freightquote, Geodis, AAA Cooper Transportation, CRST International, Cory 1st Choice Home Delivery, EF-Express, Landmark Global, UTI Spain &amp; Portugal, GlobalTranz Enterprises, Dhl International, Scania, Deutsche Post DHL Group, Landstar System, Belacon Enterprises, LLC, Old Dominion Freight Line, Panalpina World Transport, Knight-Swift Transportation, Roadrunner Transportation Services, Expeditors International of Washington, Werner Enterprises, Air Transport Services Group, Marten Transport, Forward Air, Avis Budget Group, Tci Companies, Suppla Group, Venn-Corp, J.B. Hunt Transport Services, Schneider National, TNT Express, LeanLogistics</t>
  </si>
  <si>
    <t>Provider of transportation services across Canada, the United States and Mexico. The company operates the largest truckload fleets, trailers as well as extensive rail intermodal and non-asset based freight brokerage and logistics management services through the dry van, intermodal, flatbed, container, heavy haul, convention and other modes of related transportation services. The company also provides equipment rental and sale services.</t>
  </si>
  <si>
    <t>Other Commercial Services, Road*</t>
  </si>
  <si>
    <t>equipment transportation, flats beds, intermodal transportation, transportation solution, transportation truck, truck leasing</t>
  </si>
  <si>
    <t>www.swifttrans.com</t>
  </si>
  <si>
    <t>1989: 52, 1990: 52, 1991: 3000, 1992: 3200, 1993: 3200, 1994: 5300, 1995: 5300, 1996: 6700, 1997: 7800, 1998: 9600, 1999: 11000, 2000: 13000, 2001: 19500, 2002: 20400, 2003: 21000, 2004: 23000, 2005: 21900, 2006: 21900, 2010: 18000, 2011: 17400, 2012: 17600, 2013: 19600, 2014: 21274, 2015: 21000, 2016: 21900, 2017: 2192</t>
  </si>
  <si>
    <t>Knight-Swift Transportation</t>
  </si>
  <si>
    <t>123977-98P</t>
  </si>
  <si>
    <t>Mike Ruchensky</t>
  </si>
  <si>
    <t>+1 (602) 269-9700</t>
  </si>
  <si>
    <t>2200 South 75th Avenue</t>
  </si>
  <si>
    <t>85043</t>
  </si>
  <si>
    <t>The company was acquired by Knight Transportation (NYSE: KNX) for $6.4 billion on September 10, 2017. The all-stock deal will give shareholders who owned shares in Swift Transportation, 0.72 shares of the new company for each Swift share they owned; Knight stockholders will get a 1-1 share. Upon closing of the transaction, Swift stockholders will own approximately 54 percent and Knight stockholders will own approximately 46 percent of the combined company.</t>
  </si>
  <si>
    <t>Ahern &amp; Associates(Advisor: General)</t>
  </si>
  <si>
    <t>FS KKR Capital(Debt Financing), Goldman Sachs BDC(Advisor: General), Kirkland &amp; Ellis(Legal Advisor), Morgan Stanley(Advisor: General), Scudder Law Firm(Legal Advisor), Sullivan &amp; Cromwell(Legal Advisor), Wolfe Capital Markets and Advisory(Underwriter)</t>
  </si>
  <si>
    <t>62028-64</t>
  </si>
  <si>
    <t>FASTWEB</t>
  </si>
  <si>
    <t>FASTWEB S.p.A.</t>
  </si>
  <si>
    <t>Tele2 Telecommunication, Broadview Networks, Wind Hellas Telecommunications, Free au Sénégal, surfEU, Telemach, Cable &amp; Wireless Communications, Koninklijke KPN, Telstra, EOLO, Tele2 Belgium, Companhia de Telecomunicacoes de Macau, Consolidated Communications, Prixtel, Tele2 Netherlands, Altice Portugal, Tele2 Kazakhstan, EarthLink, Telenor India, ISP Fuel Broadband, Mediacom, Belgacom International Carrier Services, Summit Broadband, Fello (Mobile Subscriptions), Bouygues Telecom, Tiscali, Voxbone, Halebop, Syniverse Technologies, iBasis, Tata Communications, Proximus (Telecommunications Service Providers), TalkTalk Telecom Group, MegaFon, Tiscali UK Holdings, Quintillion Subsea Holdings, CloudItalia Communications, Google Fiber, Tele2 Russia, Truphone, Axión, Colt Technology Services, Suddenlink Communications, euNetworks, Plivo, StudyStream, Wave, Telecom Italia, Nokia, Arqiva, Host Europe, Gooee, Retelit</t>
  </si>
  <si>
    <t>Provider of telecommunication and internet services. The company offers fixed-line telecommunications, internet broadband, mobile internet service, cloud computing applications, security and converging communications services.</t>
  </si>
  <si>
    <t>Application Software, Internet Service Providers*, Telecommunications Service Providers</t>
  </si>
  <si>
    <t>cloud computing application, internet communication service</t>
  </si>
  <si>
    <t>www.fastweb.it</t>
  </si>
  <si>
    <t>2006: 3364, 2008: 3400, 2009: 3440, 2010: 3450, 2014: 2480, 2020: 3000</t>
  </si>
  <si>
    <t>Swisscom</t>
  </si>
  <si>
    <t>81249-22P</t>
  </si>
  <si>
    <t>Alberto Calcagno</t>
  </si>
  <si>
    <t>alberto.calcagno@fastweb.it</t>
  </si>
  <si>
    <t>+39 02 4545 1</t>
  </si>
  <si>
    <t>Via Caracciolo 51</t>
  </si>
  <si>
    <t>20155</t>
  </si>
  <si>
    <t>+39 02 4545 4811</t>
  </si>
  <si>
    <t>The company was in talks to be acquired by an undisclosed investor for EUR 5 billion as of October 7, 2014. Subsequently the deal was cancelled. Previously, A 17.9% stake in the company was acquired by Swisscom (XSWX: SCMN) for EUR 256.4 million on March 22, 2011.</t>
  </si>
  <si>
    <t>Mediobanca(Advisor: General)</t>
  </si>
  <si>
    <t>230411-17</t>
  </si>
  <si>
    <t>Coral Homes</t>
  </si>
  <si>
    <t>Coral Homes SL</t>
  </si>
  <si>
    <t>Provider of real estate services based in Barcelona, Spain. The company provides manages real estate assets.</t>
  </si>
  <si>
    <t>real estate, real estate business, real estate company, real estate property, real estate services</t>
  </si>
  <si>
    <t>241036-21P</t>
  </si>
  <si>
    <t>Mark Hannan</t>
  </si>
  <si>
    <t>Avda. Diagonal, 621</t>
  </si>
  <si>
    <t>08028</t>
  </si>
  <si>
    <t>The real estate business of CaixaBank was acquired by Lone Star Funds through an estimated EUR 5.6 billion LBO on December 21, 2018. The transaction values the business at an estimated EUR 7 billion.</t>
  </si>
  <si>
    <t>CaixaBank, Lone Star Funds</t>
  </si>
  <si>
    <t>CaixaBank(www.caixabank.com), Lone Star Funds(www.lonestarfunds.com)</t>
  </si>
  <si>
    <t>64914-49</t>
  </si>
  <si>
    <t>Abbott Laboratories (Generic Drug Business)</t>
  </si>
  <si>
    <t>Manufacturer and seller of generic drugs. The company primarily manufactures 100 generic pharmaceutical products in five therapeutic areas, including cardiovascular and gastrointestinal treatments.</t>
  </si>
  <si>
    <t>generics pharmaceutical</t>
  </si>
  <si>
    <t>2014: 3800, 2015: 3800</t>
  </si>
  <si>
    <t>The generic drug business of Abbott Laboratories (NYSE: ABT) was acquired by Mylan (NASDAQ: MYL) for Euro 5.6 billion on February 27, 2015. Abbott Laboratories is backed by Saints Capital. The business unit is no longer actively tracked by PitchBook.</t>
  </si>
  <si>
    <t>Oxera Consulting(Advisor: General)</t>
  </si>
  <si>
    <t>226715-14</t>
  </si>
  <si>
    <t>Hivory</t>
  </si>
  <si>
    <t>Hivory S.A.S.</t>
  </si>
  <si>
    <t>Operator of telecommunication towers in France. The company specializes in the management and commercialization of infrastructures including installation of radio sites, tower reinforcements, water towers and fiber paths for clients in the mobile telecommunications sector.</t>
  </si>
  <si>
    <t>Construction and Engineering, Wireless Communications Equipment*</t>
  </si>
  <si>
    <t>entertainment service, fiber network operator, mobile communication, telecommunication infrastructure, telecommunication provider, telecommunication service, telecommunication tower</t>
  </si>
  <si>
    <t>www.hivory.fr</t>
  </si>
  <si>
    <t>216453-43P</t>
  </si>
  <si>
    <t>Jean-François Drouin</t>
  </si>
  <si>
    <t>jfdrouin@hivory.fr</t>
  </si>
  <si>
    <t>Courbevoie, France</t>
  </si>
  <si>
    <t>124 Bd de Verdun</t>
  </si>
  <si>
    <t>Courbevoie</t>
  </si>
  <si>
    <t>92400</t>
  </si>
  <si>
    <t>contact@hivory.fr</t>
  </si>
  <si>
    <t>The company reached a definitive agreement to be acquired by Cellnex Telecom (XMAD: CLNX) for EUR 5.2 billion on February 3, 2021. Previously, Altice (AMS: ATC) sold a 49.99% stake in its telecommunication tower business in France to Kohlberg Kravis Roberts for EUR 1.975 billion on June 20, 2018. The company is being actively tracked by PitchBook.</t>
  </si>
  <si>
    <t>Altice, Kohlberg Kravis Roberts</t>
  </si>
  <si>
    <t>Altice(www.altice.net), Kohlberg Kravis Roberts(www.kkr.com)</t>
  </si>
  <si>
    <t>Cellnex Telecom(www.cellnextelecom.com)</t>
  </si>
  <si>
    <t>61413-85</t>
  </si>
  <si>
    <t>Quirónsalud</t>
  </si>
  <si>
    <t>IDCsalud, Capio Spain</t>
  </si>
  <si>
    <t>IDC Salud Holding, Chirónsalud</t>
  </si>
  <si>
    <t>Quirón Hospitales, S.L.U.</t>
  </si>
  <si>
    <t>Bergman Germany, Capio Santé, Capio</t>
  </si>
  <si>
    <t>Quirónsalud is an operator of hospitals and medical centers. The company manages a nationwide portfolio of hospitals and medical centers offering day hospitals, ophthalmology centers, diagnosis and managed care services in the areas of oncology, assisted reproduction, plastic surgery, aesthetic and reconstructive, cardiology, gynecology and obstetrics, orthopedic surgery, traumatology, pediatrics, neonatology, checks, neurosurgery, as well as urology thus aims to improve health conditions of its patients with the use of appropriate technologies.</t>
  </si>
  <si>
    <t>Hospitals/Inpatient Services*, Laboratory Services (Healthcare)</t>
  </si>
  <si>
    <t>diagnostic services, hospital operator, ophthalmology center, reproduction center, research center, specialized care services</t>
  </si>
  <si>
    <t>www.quironsalud.es</t>
  </si>
  <si>
    <t>2010: 9300, 2016: 35000, 2017: 35000, 2019: 26000, 2020: 40000, 2021: 40000</t>
  </si>
  <si>
    <t>Fresenius</t>
  </si>
  <si>
    <t>198999-91P</t>
  </si>
  <si>
    <t>Miguel Mascaro Servera</t>
  </si>
  <si>
    <t>Corporate Finance Director &amp; Chief Financial Officer</t>
  </si>
  <si>
    <t>miguel.mascaroservera@quironsalud.es</t>
  </si>
  <si>
    <t>+34 91 781 0682</t>
  </si>
  <si>
    <t>C / Zurbaran 28</t>
  </si>
  <si>
    <t>28010</t>
  </si>
  <si>
    <t>info@quironsalud.es</t>
  </si>
  <si>
    <t>The company was acquired by Fresenius (ETR: FRE) for EUR 5.93 billion on February 1, 2017.</t>
  </si>
  <si>
    <t>Columbus Venture Partners, GED Capital</t>
  </si>
  <si>
    <t>Capio, CVC Capital Partners</t>
  </si>
  <si>
    <t>Columbus Venture Partners(www.columbusvp.com), GED Capital(www.gedcapital.com)</t>
  </si>
  <si>
    <t>Capio(www.capio.se), CVC Capital Partners(www.cvc.com)</t>
  </si>
  <si>
    <t>Arcano Partners(Advisor: General), V4 Financial Partners(Advisor: General)</t>
  </si>
  <si>
    <t>BNP Paribas(Debt Financing), J.P. Morgan(Debt Financing), Mediobanca(Debt Financing), UniCredit(Debt Financing)</t>
  </si>
  <si>
    <t>436101-58</t>
  </si>
  <si>
    <t>aQuantitative</t>
  </si>
  <si>
    <t>Provider of online advertising agency services.</t>
  </si>
  <si>
    <t>Media and Information Services (B2B)*</t>
  </si>
  <si>
    <t>AdTech</t>
  </si>
  <si>
    <t>advertising agency, advertising agency service, online advertising, online advertising agency, online marketing agency</t>
  </si>
  <si>
    <t>The company was acquired by Microsoft (NAS: MSFT) for $6.3 billion in 2007. The company is no longer actively tracked by PitchBook.</t>
  </si>
  <si>
    <t>159025-42</t>
  </si>
  <si>
    <t>Aurora Bank FSB (Residential mortgage servicing assets)</t>
  </si>
  <si>
    <t>Portfolio of residential mortgage servicing assets. The composition of the residential mortgage servicing rights (MSRs) portfolio is approximately 75% non-conforming loans in private label securitizations and approximately 25% conforming loans in Government-sponsored enterprise (GSE) pools.</t>
  </si>
  <si>
    <t>Buildings and Property*, Thrifts and Mortgage Finance</t>
  </si>
  <si>
    <t>mortgage assets, mortgage servicing right</t>
  </si>
  <si>
    <t>Littleton, CO</t>
  </si>
  <si>
    <t>Littleton</t>
  </si>
  <si>
    <t>The Residential mortgage servicing assets of Aurora Bank FSB, a subsidiary of Lehman Brothers Bank was acquired by Nationstar Mortgage (NYSE: NSM) for $63 billion on June 29, 2012.</t>
  </si>
  <si>
    <t>Aurora Bank FSB (FDIC-insured deposits)</t>
  </si>
  <si>
    <t>279517-96</t>
  </si>
  <si>
    <t>Cigna (Group Benefits Insurance Business)</t>
  </si>
  <si>
    <t>Provider of group insurance services based in Bloomfield, Connecticut. The company offers disability, life, accidental death and dismemberment insurance coverages.</t>
  </si>
  <si>
    <t>accidental death coverage, health insurance firm, life coverage, life insurance firm, term planning</t>
  </si>
  <si>
    <t>2020: 3000</t>
  </si>
  <si>
    <t>Bloomfield, CT</t>
  </si>
  <si>
    <t>900 Cottage Grove Road</t>
  </si>
  <si>
    <t>Bloomfield</t>
  </si>
  <si>
    <t>06002</t>
  </si>
  <si>
    <t>The life and disability insurance business of Cigna (NYSE: CI) was acquired by New York Life Insurance Company for $6.3 billion on December 31, 2020. The acquisition enhances New York Life's portfolio of strategic businesses, which support the core retail life insurance franchise and bolster the company's financial strength. The business division is no longer actively tracked by PitchBook.</t>
  </si>
  <si>
    <t>New York Life Insurance Company</t>
  </si>
  <si>
    <t>Cigna(www.cigna.com)</t>
  </si>
  <si>
    <t>40747-15</t>
  </si>
  <si>
    <t>Illumina (NAS: ILMN)</t>
  </si>
  <si>
    <t>Illumina, Inc.</t>
  </si>
  <si>
    <t>Pacific Biosciences, NanoString Technologies, Thermo Fisher Scientific, BioLegend, Personalis, Kapa Biosystems, Epinomics, Quantapore, Caris Life Sciences, Onxeo, BGI Genomics, HTG Molecular Diagnostics, J. Craig Venter Institute, Omniome, Cisbio Bioassays, LaserGen, RainDance Technologies, New England Biolabs, Applied Biosystems, Seracare Life Sciences, Proteintech, Diagenode, Editas Medicine, Lucigen, Active Motif, Affymetrix, Covaris, MolecularMD, Nabsys, Spring Bioscience, NuGEN, Oxford Nanopore Technologies, Genomic Health, Seahorse Bioscience, Ambry Genetics, GenapSys, Cell Signaling Technology, Personal Genome Diagnostics, Foundation Medicine, Invitae</t>
  </si>
  <si>
    <t>Illumina provides tools and services to analyze genetic material with life science and clinical lab applications. The company generates revenue from sequencing tools and dedicated consumables (76% of 2020 sales). Illumina's high-throughput technology enables whole genome sequencing in humans and other large organisms. Its lower throughput tools enable applications that require smaller data outputs, such as viral and cancer tumor screening. Illumina also sells microarrays (9% of sales) that enable lower-cost, focused genetic screening with primarily consumer and agricultural applications. Services account for 16% of sales and include basic maintenance services, clinical lab applications (such as noninvasive prenatal, oncology, and rare-disease screening), and whole genome sequencing.</t>
  </si>
  <si>
    <t>FoodTech, Life Sciences</t>
  </si>
  <si>
    <t>disease research, genetic, genetic analysis, genetic research, genetic study, genetic variations, genome, heredity</t>
  </si>
  <si>
    <t>1999: 60, 2000: 105, 2001: 179, 2002: 233, 2003: 236, 2004: 278, 2005: 375, 2006: 596, 2007: 1041, 2008: 1536, 2010: 1781, 2011: 2100, 2012: 2400, 2013: 3000, 2014: 3700, 2016: 4600, 2017: 6200, 2018: 7300, 2019: 7700, 2021: 7850</t>
  </si>
  <si>
    <t>ILMN</t>
  </si>
  <si>
    <t>123697-72P</t>
  </si>
  <si>
    <t>Sam Samad</t>
  </si>
  <si>
    <t>ssamad@illumina.com</t>
  </si>
  <si>
    <t>+1 (858) 202-4500</t>
  </si>
  <si>
    <t>5200 Illumina Way</t>
  </si>
  <si>
    <t>92122</t>
  </si>
  <si>
    <t>+1 (858) 202-4766</t>
  </si>
  <si>
    <t>info@illumina.com</t>
  </si>
  <si>
    <t>The company (NAS: ILMN) was in talks to be acquired by Thermo Fisher for $30 billion on August 18, 2016. Subsequently, the deal was cancelled. Previously, existing shareholders sold stake in the company for an undisclosed amount in 2008. The company will not receive any proceeds from the offering.</t>
  </si>
  <si>
    <t>Agile Equities, Altitude Life Science Ventures, Applera, ARCH Venture Partners, Ariel Southeast Angel Partners, Chase Capital Partners, Chevron Technology Ventures, CW Group, Dow, LRG Capital, Oxford Bioscience Partners, Panorama Capital, Perennial Ventures, Saints Capital, Venrock</t>
  </si>
  <si>
    <t>Agile Equities(www.agile-equities.com), Altitude Life Science Ventures(www.altitudelsv.com), ARCH Venture Partners(www.archventure.com), Ariel Southeast Angel Partners(www.asap-invests.com), CW Group(www.cwventures.com), Dow(www.dow.com), LRG Capital(www.lrgcap.com), Oxford Bioscience Partners(www.oxbio.com), Panorama Capital(www.panoramacapital.com), Saints Capital(www.saintscapital.com), Venrock(www.venrock.com)</t>
  </si>
  <si>
    <t>Roche Holding(www.roche.com)</t>
  </si>
  <si>
    <t>Bear Stearns(Underwriter), CL King &amp; Associates(Advisor: General), Covington &amp; Burling(Legal Advisor), Kahn Swick &amp; Foti(Legal Advisor), ON Partners(Advisor: General), Toft Group(Consulting), Vaco(Consulting), ZS Associates(Consulting)</t>
  </si>
  <si>
    <t>Bank of America Merrill Lynch(Underwriter), Bear Stearns(Underwriter), Chase Securities(Underwriter), Cowen &amp; Company(Lead Manager or Arranger), Dewey &amp; LeBoeuf(Legal Advisor), Edward Jones Investments(Underwriter), EY(Advisor: General), Gunderson Dettmer(Legal Advisor), Innisfree M&amp;A(Legal Advisor), Legg Mason Wood Walker(Underwriter), Lehman Brothers(Underwriter), Potter Anderson &amp; Corroon(Legal Advisor), RBC Wealth Management Group(Underwriter), Robert W. Baird &amp; Co(Lead Manager or Arranger), Samuel A. Ramirez &amp; Company(Underwriter), The Goldman Sachs Group(Underwriter), Wells Fargo Advisors(Underwriter), William Blair &amp; Company(Underwriter), Wilson Sonsini Goodrich &amp; Rosati(Legal Advisor)</t>
  </si>
  <si>
    <t>25342-39</t>
  </si>
  <si>
    <t>Integrated Device Technology</t>
  </si>
  <si>
    <t>IDT</t>
  </si>
  <si>
    <t>Integrated Device Technology Inc.</t>
  </si>
  <si>
    <t>DSP Group, Lattice Semiconductor, Power Integrations, Cirrus Logic, Analog Devices, MACOM Technology Solutions, Cypress Semiconductor, Monolithic Power Systems, Diodes, Qorvo, Rambus, Ambiq, Pericom Semiconductor, Skyworks Solutions, Linear Technology, Intersil, Broadcom, Silicon Labs, Maxim Integrated Products, Texas Instruments, Microchip Technology, Nordic Semiconductor, Sony Europe, QuickLogic, NXP Semiconductors, Silicon Image, Intel, Dialog Semiconductor, Huawei Technologies Company, Microsemi, NeoPhotonics, Xilinx, Samsung Electronics, Atmel, KLA, InvenSense, Infineon Technologies, VPT, Verizon Wireless, Vishay Intertechnology</t>
  </si>
  <si>
    <t>Integrated Device Technology Inc provides mixed-signal solutions including radio frequency, timing, wireless power transfer, serial switching, interfaces, and sensing. The firm's products are organized into two segments based on end markets: communications; and computing, consumer, and industrial. These products are used for development in 4G infrastructure, network communications, cloud data centers, and power management for mobile devices. Roughly half of the firm's revenue is generated in Hong Kong, with the rest coming from South Korea, Europe, and the Asia-Pacific region.</t>
  </si>
  <si>
    <t>Electronics (B2C), General Purpose Semiconductors*</t>
  </si>
  <si>
    <t>data integration, semiconductor solution, signal, wireless network</t>
  </si>
  <si>
    <t>www.idt.com</t>
  </si>
  <si>
    <t>1990: 1878, 1991: 2052, 1992: 2159, 1993: 2414, 1994: 2615, 1995: 2965, 1996: 3828, 1997: 423, 1998: 4979, 1999: 4600, 2000: 4800, 2001: 5000, 2002: 3700, 2003: 3100, 2004: 3150, 2005: 2955, 2006: 2700, 2007: 2400, 2008: 2353, 2009: 2112, 2010: 2004, 2011: 2053, 2012: 1800, 2013: 1748, 2014: 1484, 2015: 1447, 2016: 1767, 2017: 1623, 2018: 1821</t>
  </si>
  <si>
    <t>Renesas Electronics</t>
  </si>
  <si>
    <t>41615-74P</t>
  </si>
  <si>
    <t>Gregory Waters</t>
  </si>
  <si>
    <t>President, Chief Executive Officer &amp; Member of the Board of Directors</t>
  </si>
  <si>
    <t>gwaters@idt.com</t>
  </si>
  <si>
    <t>+1 (408) 284-8200</t>
  </si>
  <si>
    <t>6024 Silver Creek Valley Road</t>
  </si>
  <si>
    <t>95138</t>
  </si>
  <si>
    <t>+1 (408) 284-2775</t>
  </si>
  <si>
    <t>The company was acquired by Renesas Electronics (TKS: 6723) for $6.3 billion on March 29, 2019. The acquisition will enable Renesas to deliver an even broader range of leading-edge technology and embedded solutions by combining IDT's RF, high-performance timing, memory interface, real-time interconnect, optical interconnect, wireless power and smart sensors with Renesas microcontrollers, system-on-chips and power management ICs.</t>
  </si>
  <si>
    <t>El Dorado Ventures, Umesh Padval, West Coast Ventures</t>
  </si>
  <si>
    <t>El Dorado Ventures(www.eldorado.com)</t>
  </si>
  <si>
    <t>Black Stone IP(Advisor: General), Corporate Valuation Advisors(Valuation/Appraiser), Sard Verbinnen(Advisor: Communications)</t>
  </si>
  <si>
    <t>Bragar Eagel &amp; Squire(Legal Advisor), J.P. Morgan(Advisor: General), Kahn Swick &amp; Foti(Legal Advisor), Kidder, Peabody &amp; Company(Underwriter), Latham &amp; Watkins(Legal Advisor), Mitsubishi UFJ Financial Group(Debt Financing), Mizuho Financial Group(Debt Financing), Montgomery Securities(Underwriter), Rigrodsky &amp; Long(Legal Advisor)</t>
  </si>
  <si>
    <t>Loan - $6.10B</t>
  </si>
  <si>
    <t>108381-79</t>
  </si>
  <si>
    <t>Orient Overseas Container Line</t>
  </si>
  <si>
    <t>Orient Overseas Line</t>
  </si>
  <si>
    <t>OOCL</t>
  </si>
  <si>
    <t>Orient Overseas Container Ltd.</t>
  </si>
  <si>
    <t>DP World, Landmark Global, International Shipholding, Dhl International, CMA CGM, Pacific International Lines, U.N Ro-Ro Isletmeleri, Azuma Shipping Company, MSC Mediterranean Shipping Company, Container shipping services (Mitsui O.S.K. Lines, Nippon Yusen and Kawasaki Kisen), Hamburg Sud, Zim Integrated Shipping Services, Hapag-Lloyd, TNT Fashion, HMM, Mainfreight</t>
  </si>
  <si>
    <t>Provider of container transportation services. The company's container transportation services include luggage transportation and logistics services, enabling companies to transport their goods through ships.</t>
  </si>
  <si>
    <t>Logistics*, Marine</t>
  </si>
  <si>
    <t>container transportation service, logistics, luggage transportation, shipping container, shipping services</t>
  </si>
  <si>
    <t>www.oocl.com</t>
  </si>
  <si>
    <t>China Cosco Shipping Group</t>
  </si>
  <si>
    <t>165633-22P</t>
  </si>
  <si>
    <t>Andrew Tung</t>
  </si>
  <si>
    <t>Co-Chief Executive Officer &amp; Senior Managing Director</t>
  </si>
  <si>
    <t>andy.tung@oocl.com</t>
  </si>
  <si>
    <t>31/F, Harbour Centre 25</t>
  </si>
  <si>
    <t>Harbour Road</t>
  </si>
  <si>
    <t>+852 2833 3888</t>
  </si>
  <si>
    <t>The company was acquired by China Cosco Shipping Group &amp; Shanghai International Port Group for $6.3 billion on June 30, 2018. COSCO will hold 90.1%, while SIPG will hold 9.9% of the company. The acquisition will enable Cosco to broaden its customer base.</t>
  </si>
  <si>
    <t>Shanghai International Port (Group) Company</t>
  </si>
  <si>
    <t>Shanghai International Port (Group) Company(www.portshanghai.com.cn)</t>
  </si>
  <si>
    <t>Seabury Maritime(Advisor: General)</t>
  </si>
  <si>
    <t>12021-40</t>
  </si>
  <si>
    <t>Sompo International</t>
  </si>
  <si>
    <t>Sompo International Holdings, Ltd.</t>
  </si>
  <si>
    <t>PartnerRe, Scor, Lancashire Holdings, The Hanover Insurance Group, Allied World, Korean Reinsurance Company, Atradius, Hannover Re, TransRe, Aspen Insurance Holdings, Swiss Re Group, Coface, American International Group, Munich Re, Aviva (Life and Health Insurance), Validus Group, StarStone Insurance, Travelers Companies, Fortitude Re, The Hartford Financial Services Group, Confie Holding, DARAG, USI Insurance Services, Hub International, Jardine Lloyd Thompson Group, Alliant Insurance Services, John L. Wortham &amp; Son</t>
  </si>
  <si>
    <t>Provider of insurance services. The company's services include reinsurance, underwriting, enterprise risk management and other related services, enabling the clients to get the services according to their requirements.</t>
  </si>
  <si>
    <t>Multi-line Insurance*, Re-Insurance</t>
  </si>
  <si>
    <t>agriculture insurance, casualty insurance, enterprise risk management, property insurance, underwriting services, workers compensation</t>
  </si>
  <si>
    <t>www.sompo-intl.com</t>
  </si>
  <si>
    <t>2002: 90, 2003: 252, 2004: 300, 2005: 396, 2006: 484, 2007: 727, 2008: 781, 2009: 781, 2010: 820, 2011: 864, 2012: 881, 2013: 927, 2014: 997, 2015: 1173, 2016: 1244, 2017: 1269</t>
  </si>
  <si>
    <t>Sompo Japan Nipponkoa Holdings</t>
  </si>
  <si>
    <t>142803-37P</t>
  </si>
  <si>
    <t>Stephen Young</t>
  </si>
  <si>
    <t>Chief Executive Officer, Global Reinsurance</t>
  </si>
  <si>
    <t>syoung@sompo-intl.com</t>
  </si>
  <si>
    <t>+1 (441) 278-0486</t>
  </si>
  <si>
    <t>Suite No. 784</t>
  </si>
  <si>
    <t>48 Par-la-Ville Road</t>
  </si>
  <si>
    <t>HM 11</t>
  </si>
  <si>
    <t>+1 (441) 278-0400</t>
  </si>
  <si>
    <t>+1 (441) 278-0401</t>
  </si>
  <si>
    <t>The company (NYSE: ENH) was acquired by Sompo Japan Nipponkoa Holdings (TYO: 8630) for $6.3 billion on March 28, 2017. This acquisition will be integral in helping Sompo Japan Nipponkoa Holdings realize its goal of providing insurance and related services of the highest quality which contributes to the security, health and wellbeing of its customers.</t>
  </si>
  <si>
    <t>Aon, Capital Z Partners, Credit Suisse, General Motors Investment Management Corporation, Golden Gate Capital, Lightyear Capital, Metro Center Investments, Perry Capital Partners, Reservoir Capital Group, The Goldman Sachs Group, Thomas H. Lee Partners, TIAA-CREF Asset Management, TPG, Zurich Insurance Group</t>
  </si>
  <si>
    <t>Aon(www.aon.com), Capital Z Partners(www.capitalz.com), Credit Suisse(www.credit-suisse.com), Golden Gate Capital(www.goldengatecap.com), Lightyear Capital(www.lycap.com), Perry Capital Partners(www.perrycapital.com), Reservoir Capital Group(www.reservoircap.com), The Goldman Sachs Group(www.goldmansachs.com), Thomas H. Lee Partners(www.thl.com), TIAA-CREF Asset Management(www.tiaa.org/public/plansponsors/assetmanagement), TPG(www.tpg.com), Zurich Insurance Group(www.zurich.com)</t>
  </si>
  <si>
    <t>TigerRisk Partners(Placement Agent)</t>
  </si>
  <si>
    <t>Banc One Venture Partners(Debt Financing), Bank of America(Debt Financing), Bank of America Merrill Lynch(Debt Financing), Barclays(Debt Financing), BNY Mellon(Debt Financing), Butterfield Bank(Debt Financing), Calyon Financial(Debt Financing), CLSA(Debt Financing), Comerica Bank(Debt Financing), Commerzbank(Debt Financing), Credit Suisse(Debt Financing), Deutsche Bank(Debt Financing), HSBC Bank Bermuda(Debt Financing), HSBC Holdings(Debt Financing), ING Bank(Debt Financing), J.P. Morgan(Debt Financing), Kirkland &amp; Ellis(Legal Advisor), Latham &amp; Watkins(Legal Advisor), Lloyds Banking Group(Debt Financing), Morgan Stanley(Advisor: General), NatWest Group(Debt Financing), Scotiabank(Debt Financing), Skadden, Arps, Slate, Meagher &amp; Flom(Legal Advisor), SLR Senior Investment(Debt Financing), The Goldman Sachs Group(Debt Financing), Wachovia Bank(Debt Financing), Weil, Gotshal &amp; Manges(Legal Advisor)</t>
  </si>
  <si>
    <t>114165-55</t>
  </si>
  <si>
    <t>Tallgrass Energy</t>
  </si>
  <si>
    <t>Tallgrass Energy GP, LP</t>
  </si>
  <si>
    <t>JP Energy Partners, Magellan Midstream Partners, CNX Midstream Partners, Blueknight Energy Partners, SemGroup, Enterprise Products Partners, Antero Midstream Partners</t>
  </si>
  <si>
    <t>Tallgrass Energy LP is a corporate entity created after the acquisition of Tallgrass Energy Partners (the LP) by its GP in June 2018. Tallgrass operates and has participating interests in some of the more strategically important midstream assets in the Bakken and Rockies (the REX and Pony Express lines, for example). The entity focuses opportunistically on growth through acquisition and development of natural gas and crude oil transportation, as well as gathering and processing assets. Blackstone Investment Partners acquired the Tallgrass GP and 44% of the limited partnership in early 2019.</t>
  </si>
  <si>
    <t>energy services, energy transport, oil and gas transport, oil transportation</t>
  </si>
  <si>
    <t>www.tallgrassenergylp.com</t>
  </si>
  <si>
    <t>2018: 750, 2019: 800</t>
  </si>
  <si>
    <t>48550-69P</t>
  </si>
  <si>
    <t>Gary Brauchle</t>
  </si>
  <si>
    <t>+1 (913) 928-6060</t>
  </si>
  <si>
    <t>Leawood, KS</t>
  </si>
  <si>
    <t>4200 West 115th Street</t>
  </si>
  <si>
    <t>Leawood</t>
  </si>
  <si>
    <t>66211</t>
  </si>
  <si>
    <t>The company was acquired by The Blackstone Group, National Pension Service, Universities Superannuation Scheme, Enagás Transporte del Norte and Government of Singapore Investment Corporation (GIC) through a $6.3 billion LBO on March 11, 2019. As a result of the transaction, the company will go public to private. Blackstone Infrastructure will fund the transaction with about $3 billion in equity and the remainder with debt. In a separate statement, Spanish firm Enagas said it has agreed to invest $836 million in the U.S. natural gas and crude pipeline operator as part of a takeover involving other investors.</t>
  </si>
  <si>
    <t>Enagás, Enagás Transporte del Norte, Government of Singapore Investment Corporation (GIC), National Pension Service, The Blackstone Group, Universities Superannuation Scheme</t>
  </si>
  <si>
    <t>Kelso Private Equity, The Energy &amp; Minerals Group</t>
  </si>
  <si>
    <t>Enagás(www.enagas.es), Government of Singapore Investment Corporation (GIC)(www.gic.com.sg), National Pension Service(www.nps.or.kr), The Blackstone Group(www.blackstone.com), Universities Superannuation Scheme(www.uss.co.uk)</t>
  </si>
  <si>
    <t>Kelso Private Equity(www.kelso.com), The Energy &amp; Minerals Group(www.emgtx.com)</t>
  </si>
  <si>
    <t>Scotia Waterous(Advisor: General)</t>
  </si>
  <si>
    <t>Baker Botts(Legal Advisor), Bank of America Merrill Lynch(Underwriter), Barclays Investment Bank(Underwriter), Bracewell(Legal Advisor), Bragar Eagel &amp; Squire(Legal Advisor), Citigroup(Underwriter), Credit Suisse Securities (USA)(Underwriter), Deutsche Bank(Underwriter), Evercore Group(Advisor: General), Morgan Stanley(Underwriter), PwC(Accounting), RBC Capital Markets(Underwriter), Robert W. Baird &amp; Co(Underwriter), Scotiabank(Underwriter), Stifel Financial(Underwriter), The Goldman Sachs Group(Underwriter), Tudor, Pickering, Holt &amp; Company(Underwriter), U.S. Capital Advisors(Underwriter), Wells Fargo Securities(Underwriter)</t>
  </si>
  <si>
    <t>Loan - $2.25B (Term Loan; Floating); Revolving Credit Line - $600.00M (Floating)</t>
  </si>
  <si>
    <t>53948-98</t>
  </si>
  <si>
    <t>UPC Switzerland</t>
  </si>
  <si>
    <t>UPC Cablecom, Rediffusion, Cablecom</t>
  </si>
  <si>
    <t>UPC</t>
  </si>
  <si>
    <t>UPC Switzerland LLC</t>
  </si>
  <si>
    <t>Google Fiber, Melita, Proximus (Telecommunications Service Providers), Virgin Media, Cable &amp; Wireless Communications, Community Fibre, Atlant Telecom, Blicnet, Digiweb, Boost Mobile, MyRepublic, Telstra, PlusNet, Network USA, Koninklijke KPN, ISP Fuel Broadband, U mobile, Ruckus Wireless, Allbridge, Conterra Ultra Broadband, BT Communications (Ireland), Telecom Argentina, Mimosa Networks, Accel Networks, Telecom Italia, Go, Altice Portugal, EthoStream, Telecom Liechtenstein, Truphone, Gigaclear</t>
  </si>
  <si>
    <t>UPC Switzerland is an operator of a cable television network intended to broadcast local and international television programs. The company's services include providing broadcasting of daily soaps, movies and sports programs, enabling customers to watch and enjoy all the television programs. It also provides voice, data and value-added services, broadband internet, fixed network telephony and mobile services to its residential and business customers.</t>
  </si>
  <si>
    <t>Cable Service Providers*, Internet Service Providers</t>
  </si>
  <si>
    <t>broadband internet, cable connection, cable television distribution, cable television network, cable tv, value-added service</t>
  </si>
  <si>
    <t>www.upc.ch</t>
  </si>
  <si>
    <t>2015: 1043, 2019: 1500, 2020: 1600</t>
  </si>
  <si>
    <t>71199-01P</t>
  </si>
  <si>
    <t>Baptiest Coopmans</t>
  </si>
  <si>
    <t>bcoopmans@ziggo.nl</t>
  </si>
  <si>
    <t>Wallisellen, Switzerland</t>
  </si>
  <si>
    <t>Richtiplatz 5</t>
  </si>
  <si>
    <t>Wallisellen</t>
  </si>
  <si>
    <t>8304</t>
  </si>
  <si>
    <t>+41 (0)80 066 8866</t>
  </si>
  <si>
    <t>The company, a subsidiary of Liberty Global (NASDAQ: LBTYA), had reached a definitive agreement to be acquired by Sunrise Communications (SWX: SRCG) for CHF 6.3 billion on February 27, 2019. The acquisition would have helped Sunrise become a stronger rival to the dominance of state-controlled Swisscom by merging the fixed and mobile services. Subsequently, the deal was cancelled.</t>
  </si>
  <si>
    <t>Apollo Global Management, Goldman Sachs Merchant Banking Division, NTL, Siemens Schweiz, Swisscom, TowerBrook Capital Partners, Veba Oel</t>
  </si>
  <si>
    <t>Sunrise Communications</t>
  </si>
  <si>
    <t>Apollo Global Management(www.apollo.com), NTL(www.ntl.com), Siemens Schweiz(www.siemens.ch), Swisscom(www.swisscom.ch), TowerBrook Capital Partners(www.towerbrook.com)</t>
  </si>
  <si>
    <t>Sunrise Communications(www.sunrise.ch)</t>
  </si>
  <si>
    <t>CDI Global(Advisor: General), MiddleCap Group(Advisor: General), Trestle Group(Consulting)</t>
  </si>
  <si>
    <t>Bär &amp; Karrer(Legal Advisor), Credit Suisse First Boston(Advisor: General), Goldman Sachs BDC(Advisor: General), Homburger(Legal Advisor), J.P. Morgan(Advisor: General), Kirkland &amp; Ellis(Legal Advisor), Latham &amp; Watkins(Legal Advisor), Morgan Stanley(Advisor: General), Travers Smith(Legal Advisor), UBS Group(Advisor: General), Wachtell, Lipton, Rosen &amp; Katz(Legal Advisor), Warburg Dillon Read(Advisor: General), White &amp; Case(Legal Advisor)</t>
  </si>
  <si>
    <t>12188-89</t>
  </si>
  <si>
    <t>Sirona Dental Systems</t>
  </si>
  <si>
    <t>Sirona</t>
  </si>
  <si>
    <t>Sirona Dental Systems, Inc.</t>
  </si>
  <si>
    <t>Manufacturer of dental laboratory products. The company distributes dental products such as needles, x-ray products, implants, removable prosthetics, disposables and other consumable medical device products.</t>
  </si>
  <si>
    <t>Diagnostic Equipment*, Medical Supplies, Other Healthcare Technology Systems</t>
  </si>
  <si>
    <t>dental equipment, dental surgery, hygiene system, imaging system</t>
  </si>
  <si>
    <t>www.sirona.com</t>
  </si>
  <si>
    <t>1999: 185, 2000: 153, 2002: 127, 2003: 128, 2004: 133, 2005: 139, 2006: 1978, 2007: 2280, 2008: 2388, 2009: 2298, 2010: 2345, 2011: 2705, 2012: 2979, 2013: 3216, 2014: 3327, 2015: 3458, 2016: 1001</t>
  </si>
  <si>
    <t>Long Island City, NY</t>
  </si>
  <si>
    <t>30-30 47th Avenue</t>
  </si>
  <si>
    <t>Long Island City</t>
  </si>
  <si>
    <t>11101</t>
  </si>
  <si>
    <t>The company (NASDAQ: SIRO) was acquired by Dentsply International (NYSE: XRAY.O) for $5.56 billion on February 29, 2016. The company is no longer actively tracked by PitchBook.</t>
  </si>
  <si>
    <t>Dentsply Sirona</t>
  </si>
  <si>
    <t>Beecken Petty O'Keefe &amp; Company, EQT, Henry Schein, Madison Dearborn Partners, Permira, Siemens, SV Health Investors</t>
  </si>
  <si>
    <t>Beecken Petty O'Keefe &amp; Company(www.bpoc.com), EQT(www.eqtgroup.com), Henry Schein(henryschein.com), Madison Dearborn Partners(www.mdcp.com), Permira(www.permira.com), Siemens(new.siemens.com), SV Health Investors(www.svhealthinvestors.com)</t>
  </si>
  <si>
    <t>Brainerd Communicators(Advisor: Communications), Jefferies Financial Group(Advisor: General)</t>
  </si>
  <si>
    <t>ABN AMRO Bank(Underwriter), Alex Brown &amp; Sons(Underwriter), Apollo Investment(Debt Financing), Bank of America Merrill Lynch(Lead Manager or Arranger), Barclays Investment Bank(Underwriter), C.E. Unterberg, Towbin Holdings(Underwriter), CIBC Cleary Gull(Underwriter), Cowen &amp; Company(Underwriter), Credit Suisse(Underwriter), Donaldson, Lufkin &amp; Jenrette(Underwriter), EVEREN Securities(Underwriter), Fahnestock &amp; Co.(Underwriter), Freshfields Bruckhaus Deringer(Legal Advisor), Hambrecht &amp; Quist(Underwriter), ING Barings Private Equity(Underwriter), J.P. Morgan(Advisor: General), Jefferies Hoare Govett(Advisor: General), Kelley Drye &amp; Warren(Legal Advisor), Kirkland &amp; Ellis(Legal Advisor), Latham &amp; Watkins(Legal Advisor), Legg Mason Wood Walker(Underwriter), Lehman Brothers(Underwriter), Merrill Lynch Pierce Fenner &amp; Smith(Underwriter), Mesirow Financial(Underwriter), NatWest Group(Debt Financing), Needham &amp; Company(Underwriter), Oppenheimer &amp; Company(Underwriter), Pacific Growth Equities(Underwriter), Richards Layton &amp; Finger(Legal Advisor), Robertson Stephens (Out of Business in 2017)(Underwriter), The Abernathy MacGregor Group(Advisor: Communications), Tucker Anthony Sutro(Underwriter), UBS Group(Debt Financing), Vector Securities International(Underwriter), William Blair &amp; Company(Underwriter)</t>
  </si>
  <si>
    <t>10429-93</t>
  </si>
  <si>
    <t>Nuveen Investments</t>
  </si>
  <si>
    <t>The John Nuveen Company</t>
  </si>
  <si>
    <t>Nuveen</t>
  </si>
  <si>
    <t>Nuveen Investments, Inc.</t>
  </si>
  <si>
    <t>Franklin Templeton, Funds Evaluation Service, Westwood Holdings Group, Allianz Global Investors, BlackRock, International Fund Services, Russell Investments Group, The Vanguard Group, SEI Investments, Artisan Partners Asset Management, T. Rowe Price, The Goldman Sachs Group, LPL Financial, Janus Capital Group, OppenheimerFunds, Credit Suisse, Deutsche Bank, Wells Fargo, BNY Mellon, Morgan Stanley, Pacific Investment Management Company, UBS Group</t>
  </si>
  <si>
    <t>Provider of investment services. The company provides investment services to institutions and high net worth investors to help them secure their long term goals. It also provides its services to public pension funds, university endowments, insurers and high net worth investors.</t>
  </si>
  <si>
    <t>fund accounting, mutual fund, pension fund</t>
  </si>
  <si>
    <t>www.nuveen.com</t>
  </si>
  <si>
    <t>1991: 518, 1992: 518, 1993: 518, 1994: 558, 1995: 537, 1996: 506, 1997: 647, 1998: 610, 1999: 640, 2000: 593, 2001: 597, 2002: 614, 2003: 627, 2004: 764, 2005: 743, 2006: 828, 2009: 917, 2021: 600</t>
  </si>
  <si>
    <t>TIAA-CREF Asset Management</t>
  </si>
  <si>
    <t>Departure (New) Susan Ringoen, Senior Managing Director, Chief Strategy Officer &amp; Chief Administrative Officer, News (New) , News (New)</t>
  </si>
  <si>
    <t>Departure (New) Susan Ringoen, Senior Managing Director, Chief Strategy Officer &amp; Chief Administrative Officer, News (New) , News (New) , News (New) , News (New) , News (New) , News (New) , News (New) , News (New)</t>
  </si>
  <si>
    <t>333 West Wacker Drive</t>
  </si>
  <si>
    <t>+1 (312) 917-7700</t>
  </si>
  <si>
    <t>contact@nuveenglobal.com</t>
  </si>
  <si>
    <t>The company was acquired by TIAA-CREF for an enterprise value of $6.25 billion on October 01, 2014. The company is no longer actively tracked by PitchBook.</t>
  </si>
  <si>
    <t>SLR Investment</t>
  </si>
  <si>
    <t>AlpInvest Partners, aPriori Capital Partners, HarbourVest Partners, Madison Dearborn Partners, The Family Office Company, U.S. Bancorp</t>
  </si>
  <si>
    <t>SLR Investment(www.slrinvestmentcorp.com)</t>
  </si>
  <si>
    <t>AlpInvest Partners(www.alpinvest.com), aPriori Capital Partners(www.aprioricapital.com), HarbourVest Partners(www.harbourvest.com), Madison Dearborn Partners(www.mdcp.com), The Family Office Company(www.tfoco.com), U.S. Bancorp(www.usbank.com)</t>
  </si>
  <si>
    <t>Bank of America Merrill Lynch(Advisor: General), Cerulli Associates(Advisor: General), Citisoft(Consulting), Financial Advisory Partners(Advisor: General), Jamesbeck Global Partners(Advisor: General), Oppenheimer &amp; Company(Advisor: General), TalentRISE(Consulting)</t>
  </si>
  <si>
    <t>aPriori Capital Partners(Debt Financing), Citigroup(Debt Financing), Corporate Capital Trust(Debt Financing), Cravath, Swaine &amp; Moore(Legal Advisor), Deutsche Bank(Debt Financing), FS KKR Capital(Debt Financing), FS KKR Capital Corp. II(Debt Financing), Golub Capital BDC(Debt Financing), Invesco(Debt Financing), Katten(Legal Advisor), Moelis &amp; Company(Advisor: General), Morgan Stanley(Debt Financing), Morris, Nichols, Arsht &amp; Tunnell(Legal Advisor), North Cove Partners(Debt Financing), Pamlico Capital(Debt Financing), Sandler O'Neill + Partners(Advisor: General), The Goldman Sachs Group(Advisor: General), Winston &amp; Strawn(Legal Advisor)</t>
  </si>
  <si>
    <t>442959-49</t>
  </si>
  <si>
    <t>Sands (Casinos in Las Vegas)</t>
  </si>
  <si>
    <t>Sands (Las Vegas Properties)</t>
  </si>
  <si>
    <t>A Venetian resort, the palazzo and the sands expo convention center located in Las Vegas, Nevada.</t>
  </si>
  <si>
    <t>Buildings and Property*, Casinos and Gaming, Hotels and Resorts</t>
  </si>
  <si>
    <t>casino center, casino chain, casino club, casino hotel, casino resort</t>
  </si>
  <si>
    <t>Sands reached a definitive agreement to sell las vegas properties to Vici Properties and Apollo Global Management for $6.25 billion on March 3, 2021. The asset is being actively tracked by PitchBook.</t>
  </si>
  <si>
    <t>Sands</t>
  </si>
  <si>
    <t>Apollo Global Management, Vici Properties</t>
  </si>
  <si>
    <t>Sands(www.sands.com)</t>
  </si>
  <si>
    <t>Apollo Global Management(www.apollo.com), Vici Properties(www.viciproperties.com)</t>
  </si>
  <si>
    <t>10458-82</t>
  </si>
  <si>
    <t>Solvay (Pharmaceuticals Division)</t>
  </si>
  <si>
    <t>Operator of a research-based pharmaceutical company. The company discovers, develops, produces, and markets pharmaceutical drugs used as medications to diagnose, cure and treat generic disease.</t>
  </si>
  <si>
    <t>generics disease, medical drugs, medication, pharmaceutical, pharmaceutical drugs</t>
  </si>
  <si>
    <t>Bruxelles, Belgium</t>
  </si>
  <si>
    <t>Bruxelles</t>
  </si>
  <si>
    <t>1120</t>
  </si>
  <si>
    <t>The company was acquired by Abott (NYS: ABT) for EUR 4.5 million on February 16, 2010.</t>
  </si>
  <si>
    <t>Nycomed(www.nycomed.com)</t>
  </si>
  <si>
    <t>12597-40</t>
  </si>
  <si>
    <t>CalAtlantic Group</t>
  </si>
  <si>
    <t>Standard Pacific Homes</t>
  </si>
  <si>
    <t>CalAtlantic Homes</t>
  </si>
  <si>
    <t>CalAtlantic Group, Inc.</t>
  </si>
  <si>
    <t>Lennar</t>
  </si>
  <si>
    <t>CalAtlantic Group was a provider of homebuilding services. The company offered well-crafted homes in thoughtfully designed communities. It also provided mortgage financing and title services through its subsidiaries and joint ventures. It was acquired by Lennar on February 12, 2018.</t>
  </si>
  <si>
    <t>Construction and Engineering*, Real Estate Services (B2C), Thrifts and Mortgage Finance</t>
  </si>
  <si>
    <t>apartments, builder, construction, home builder, mortgage, mortgage financing, title services</t>
  </si>
  <si>
    <t>www.calatlantichomes.com</t>
  </si>
  <si>
    <t>1990: 653, 1991: 553, 1992: 370, 1993: 427, 1994: 430, 1995: 431, 1996: 449, 1997: 427, 1998: 625, 1999: 741, 2000: 949, 2001: 1026, 2002: 1300, 2003: 1700, 2004: 2100, 2005: 2630, 2006: 2580, 2007: 1880, 2008: 1300, 2009: 800, 2010: 775, 2011: 750, 2012: 750, 2013: 1115, 2014: 1250, 2015: 2850, 2016: 3055, 2020: 400</t>
  </si>
  <si>
    <t>1100 Wilson Boulevard</t>
  </si>
  <si>
    <t>Suite 2100</t>
  </si>
  <si>
    <t>22209</t>
  </si>
  <si>
    <t>The company (NYSE: CAA) was acquired by Lennar (NYSE: LEN and LEN.B) for $6.2 billion on February 12, 2018.</t>
  </si>
  <si>
    <t>MatlinPatterson Global Advisers</t>
  </si>
  <si>
    <t>MatlinPatterson Global Advisers(www.matlinpatterson.com)</t>
  </si>
  <si>
    <t>CRT Capital Group(Advisor: General), Hill Ward Henderson(Legal Advisor), Invesco(Debt Financing), Manhard Consulting(Consulting), Zelman &amp; Associates(Advisor: General)</t>
  </si>
  <si>
    <t>Credit Suisse(Advisor: General), Gibson, Dunn &amp; Crutcher(Legal Advisor), J.P. Morgan(Advisor: General), Miller Buckfire &amp; Co.(Advisor: General), Rigrodsky &amp; Long(Legal Advisor)</t>
  </si>
  <si>
    <t>55528-30</t>
  </si>
  <si>
    <t>Singapore Airlines (SES: C6L)</t>
  </si>
  <si>
    <t>Malayan Airways</t>
  </si>
  <si>
    <t>SIA</t>
  </si>
  <si>
    <t>Singapore Airlines Limited</t>
  </si>
  <si>
    <t>Japan Airlines Company, Qantas Airways, Southwest Airlines, Frontier Airlines, Pakistan International Airlines Corporation, Gol Intelligent Airlines, InterGlobe Aviation, Cebu Pacific, Jet Airways India, Air Astana Airlines, Kenya Airways, Korean Air Lines Company, Nok Airlines, Air Seychelles, ExpressJet Airlines, Airblue, Air Baltic Corporation, Air India, Virgin America, Alaska Air, Skywest, Jetstar Asia Airways, GoFirst, Etihad Airways, Uzbekistan Airways, Czech Airlines, Spirit Airlines, Ba Connect, Thai Airways International, Onur Air Tasimacilik, Garuda Indonesia, FastJet, Hawaiian Airlines, Avianca Holdings, Delta Air Lines, Air New Zealand, China Southern Airlines, JetBlue Airways, Grupo Aeromexico, Cathay Pacific Airways, Virgin Australia Airlines, Qatar Airways, United Airlines Holdings</t>
  </si>
  <si>
    <t>Singapore Airlines is Singapore's flagship carrier and one of the region's largest airlines in revenue and carrying capacity. The company's hub is Changi Airport, providing regional and cross-continental passenger and cargo services destined to or transit through Singapore. The company operates under dual brands: the premium carrier, SIA, coupled with its wholly owned subsidiary, and the low-cost regional carrier Scoot. It also owns stakes in SATs and SIA Engineering.</t>
  </si>
  <si>
    <t>airline operator, airline services, commercial aviation, ticketing service, travel information</t>
  </si>
  <si>
    <t>www.singaporeair.com</t>
  </si>
  <si>
    <t>2009: 30666, 2010: 20962, 2011: 21534, 2012: 22746, 2013: 22546, 2014: 23817, 2015: 24126, 2016: 24574, 2017: 25813, 2018: 25989, 2019: 27078, 2020: 28160, 2021: 22934</t>
  </si>
  <si>
    <t>SES</t>
  </si>
  <si>
    <t>C6L</t>
  </si>
  <si>
    <t>73880-47P</t>
  </si>
  <si>
    <t>Choon Goh</t>
  </si>
  <si>
    <t>choonphong_goh@singaporeair.com</t>
  </si>
  <si>
    <t>+65 6223 8888</t>
  </si>
  <si>
    <t>25 Airline Road</t>
  </si>
  <si>
    <t>819829</t>
  </si>
  <si>
    <t>The company (SES:C6L) received SGD 8.8 billion of development capital from Temasek Holdings and other investors on June 5, 2020 through a private placement. The company also retains the option to raise up to a further SGD 6.2 billion in additional mandatory convertible bonds for the period up to July 2021. A further SGD 900 million was raised through long term loans secured on some of the company's Airbus A350-900 and Boeing 787-10 aircraft.</t>
  </si>
  <si>
    <t>Al Tamimi &amp; Company(Legal Advisor), Clayton Utz(Legal Advisor), DVB Bank(Debt Financing), LTx Advisors(Advisor: General), Withers Worldwide(Legal Advisor)</t>
  </si>
  <si>
    <t>DBS Group Holdings(Debt Financing)</t>
  </si>
  <si>
    <t>110959-48</t>
  </si>
  <si>
    <t>Distrigas</t>
  </si>
  <si>
    <t>Distrigas NV/SA</t>
  </si>
  <si>
    <t>Supplier of gas. The company offers service related to delivery, selling and marketing of gas to resellers, power generators and industrial customers in Europe.</t>
  </si>
  <si>
    <t>energy seller, gas distributor, gas supplier</t>
  </si>
  <si>
    <t>www.distrigas.eu</t>
  </si>
  <si>
    <t>Nijverheidsstraat 10</t>
  </si>
  <si>
    <t>The company was acquired by Eni (MIL: ENI) for EUR 4.79 billion on March 25, 2009. The company is no longer actively tracked by PitchBook.</t>
  </si>
  <si>
    <t>Eni</t>
  </si>
  <si>
    <t>Koninklijke Nederlandsche Petroleum Maatschappij, Publigas, Suez Lyonnaise des Eaux</t>
  </si>
  <si>
    <t>E.ON, Électricité de France</t>
  </si>
  <si>
    <t>E.ON(www.eon.com), Électricité de France(www.edf.fr)</t>
  </si>
  <si>
    <t>Deloitte(Advisor: General), KPMG(Advisor: General), Stibbe(Legal Advisor)</t>
  </si>
  <si>
    <t>10678-15</t>
  </si>
  <si>
    <t>Formula One</t>
  </si>
  <si>
    <t>Formula One Constructors Association</t>
  </si>
  <si>
    <t>Formula 1, F1</t>
  </si>
  <si>
    <t>Formula One World Championship Ltd.</t>
  </si>
  <si>
    <t>NASCAR</t>
  </si>
  <si>
    <t>Organizer of motor racing competition around the world. The company specializes in organizing racing competitions on purpose-built tracks for lightweight cars equipped with aluminum and carbon fiber, traction control, paddle-shifter transmissions and aerodynamic improvements for better gas mileage.</t>
  </si>
  <si>
    <t>Movies, Music and Entertainment*, Other Media</t>
  </si>
  <si>
    <t>auto racing, car racing, motor racing, racing competition, racing organizer</t>
  </si>
  <si>
    <t>www.formula1.com</t>
  </si>
  <si>
    <t>2000: 404, 2001: 440, 2002: 462, 2003: 217, 2014: 344, 2015: 356, 2020: 1000</t>
  </si>
  <si>
    <t>16528-51P</t>
  </si>
  <si>
    <t>Chase Carey</t>
  </si>
  <si>
    <t>+44 (0)87 1220 2200</t>
  </si>
  <si>
    <t>N° 2 Saint James's Market</t>
  </si>
  <si>
    <t>SW1Y 4AH</t>
  </si>
  <si>
    <t>general@formula1.com</t>
  </si>
  <si>
    <t>The company completed a $2.902 billion debt refinancing round led by Barings and undisclosed lenders on January 31, 2018. Concurrent with the refinancing, the relevant subsidiaries of Delta Topco repaid $400 million of the first lien term loan using a combination of $150 million of excess cash on the balance sheet and $250 million loans under the first lien revolving credit facility, reducing the first lien term loan from $3302 million to $2902 million. The terms provide for, amongst other things, a reduction in the margin for the first lien term loan from 3.00% to 2.50%.</t>
  </si>
  <si>
    <t>Bayern LB, BlackRock, CVC Capital Partners, Darwin Private Equity, Fédération Internationale de l'Automobile, Hellman &amp; Friedman, J.P. Morgan, Kirch Gruppe, Lehman Brothers, Norges Bank, Teacher Retirement System of Texas, Waddell &amp; Reed</t>
  </si>
  <si>
    <t>Silver Lake</t>
  </si>
  <si>
    <t>Bayern LB(www.bayernlb.com), BlackRock(www.blackrock.com), CVC Capital Partners(www.cvc.com), Darwin Private Equity(www.darwinpe.com), Fédération Internationale de l'Automobile(www.fia.com), Hellman &amp; Friedman(www.hf.com), J.P. Morgan(www.jpmorgan.com), Kirch Gruppe(www.kirchgruppe.de), Lehman Brothers(www.lehman.com), Norges Bank(www.norges-bank.no), Teacher Retirement System of Texas(www.trs.texas.gov), Waddell &amp; Reed(waddell.com)</t>
  </si>
  <si>
    <t>Silver Lake(www.silverlake.com)</t>
  </si>
  <si>
    <t>EY(Auditor), SRi Group(Consulting)</t>
  </si>
  <si>
    <t>Banco Santander(Underwriter), Barings(Debt Financing), Bayern LB(Debt Financing), Canada Pension Plan Investment Board(Debt Financing), CIMB Group Holdings(Underwriter), Corporate Capital Trust(Debt Financing), DBS Group Holdings(Underwriter), Freshfields Bruckhaus Deringer(Legal Advisor), Grant Dawe(Legal Advisor), Invesco(Debt Financing), J.P. Morgan(Debt Financing), Lehman Brothers(Debt Financing), Liberty Media(Debt Financing), Macfarlanes(Legal Advisor), Morgan Stanley(Underwriter), Mourant(Legal Advisor), NatWest Group(Debt Financing), Orrick(Legal Advisor), The Goldman Sachs Group(Underwriter), UBS Group(Underwriter), Weil, Gotshal &amp; Manges(Legal Advisor)</t>
  </si>
  <si>
    <t>Loan - $3.30B (Senior); Revolving Credit Line - $2.90B (First Lien)</t>
  </si>
  <si>
    <t>169826-59</t>
  </si>
  <si>
    <t>Bass family holdings (Permian Basin Assets)</t>
  </si>
  <si>
    <t>Portfolio of oil and gas asset. The asset includes 3.40 billion barrels of oil equivalent in New Mexico's Delaware Basin.</t>
  </si>
  <si>
    <t>NM</t>
  </si>
  <si>
    <t>New Mexico</t>
  </si>
  <si>
    <t>Bass Family sold its Permian Basin Assets for $6.2 billion to ExxonMobil (NYS: XOM) on February 28, 2017. The consideration consists of $5.6 billion in Exxon common shares and up to $1 billion in profit-related payments.</t>
  </si>
  <si>
    <t>41303-08</t>
  </si>
  <si>
    <t>Cytyc</t>
  </si>
  <si>
    <t>Cytyc Corp.</t>
  </si>
  <si>
    <t>Designer, developer, manufacturer and marketer of diagnostic and surgical products. The company offers its products for a range of cancer and women's health applications, such as cervical cancer screening, menstrual bleeding treatment, early-stage breast cancer radiation treatment, and malignant brain tumors radiation treatment applications.</t>
  </si>
  <si>
    <t>cervical cancer, surgical product, womens health</t>
  </si>
  <si>
    <t>1995: 64, 1996: 124, 1997: 209, 1998: 228, 1999: 307, 2000: 457, 2001: 554, 2002: 626, 2003: 723, 2004: 1118, 2005: 1331, 2006: 1500</t>
  </si>
  <si>
    <t>Hologic</t>
  </si>
  <si>
    <t>44796-97P</t>
  </si>
  <si>
    <t>Frederick Blume</t>
  </si>
  <si>
    <t>+1 (508) 263-8495</t>
  </si>
  <si>
    <t>Marlborough, MA</t>
  </si>
  <si>
    <t>250 Campus Drive</t>
  </si>
  <si>
    <t>Marlborough</t>
  </si>
  <si>
    <t>The company was acquired by Hologic (NASDAQ: HOLX) for $6.2 billion on October 22, 2007. The company is no longer actively tracked by PitchBook.</t>
  </si>
  <si>
    <t>Acadia Trust, Adams Capital Management, Advanced Technology Ventures, American Healthcare Systems, Apax Partners, Band of Angels, Black Point Group, Excel Venture Management, Flagship Pioneering, Morgan Stanley Expansion Capital, Norwest Bank, OneLiberty Ventures</t>
  </si>
  <si>
    <t>Adams Capital Management(www.acm.com), Advanced Technology Ventures(www.atvcapital.com), Apax Partners(www.apax.com), Band of Angels(www.bandangels.com), Black Point Group(www.blackpointgroup.com), Excel Venture Management(www.excelvm.com), Flagship Pioneering(www.flagshippioneering.com)</t>
  </si>
  <si>
    <t>Andersen Global(Auditor), Montgomery &amp; Company(Underwriter), Piper Sandler(Underwriter), Robertson Stephens (Out of Business in 2017)(Underwriter), Testa Hurwitz &amp; Thibeault(Legal Advisor), The Ruth Group(Consulting)</t>
  </si>
  <si>
    <t>42098-77</t>
  </si>
  <si>
    <t>DuPont Fabros Technology</t>
  </si>
  <si>
    <t>DFT</t>
  </si>
  <si>
    <t>DuPont Fabros Technology, Inc.</t>
  </si>
  <si>
    <t>Cyxtera Technologies, VIRTUS Data Centres, Supernap Italia, EdgeMicro, Flexential, AirTrunk, T5 Data Centers, Vantage Data Centers, EdgeConneX, Stream Data Centers, vXchnge, 365 Data Centers, Compass Datacenters, C7 Data Centers, Internap, ByteGrid Holdings, Aligned Data Centers, Switch Datacenter Group, Hostway Services, Global Switch Holdings, UpCloud, Upminster, NFINIT, Quality Technology Services, eStruxture Data Centers, DataBank, Nextdc, Tarsus On Demand, NaviSite (Acquire), DC BLOX, StackPath, Joyent, Ajubeo, OnRamp Access, Cologix, Level 3 Communications, Stack Infrastructure, Navisite, Rackspace Technology, Pulsant, Hosting.com, Datapipe, Trustteam, CyrusOne, City Cloud International, Data Foundry, RagingWire Data Centers, Interxion, Equinix, OVHcloud, Kolos Norway, Packet, Vapor IO, Virtustream, SunGard Availability Services, ViaWest, ProfitBricks, IO Data Centers, NTT Communications, Nubeliu, INetU, CloudSigma, NTT Data, TierPoint, CoreSite Realty, DigitalOcean, Apps Associates, ServerCentral Turing Group, CxP Data Centers, DataGryd Data Centers, Telx Group, Mirantis</t>
  </si>
  <si>
    <t>Provider of data centers for technology, internet content, media and communications, healthcare, and financial industries. The company designs, builds, operates and manages data centers that offer network connectivity through multiple network carriers, protected with exterior fences, gated access with reliable and energy-efficient cooling solutions, enabling enterprises of all sizes to tackle their data center challenges.</t>
  </si>
  <si>
    <t>data center developer, data center service, server rooms, server temperature cooling, system management</t>
  </si>
  <si>
    <t>www.dft.com</t>
  </si>
  <si>
    <t>2006: 50, 2007: 52, 2008: 67, 2009: 70, 2010: 83, 2011: 91, 2012: 93, 2013: 92, 2014: 97, 2015: 113, 2016: 122</t>
  </si>
  <si>
    <t>401 9th Street North West</t>
  </si>
  <si>
    <t>Suite 600</t>
  </si>
  <si>
    <t>20004</t>
  </si>
  <si>
    <t>The company (NYSE: DFT) was acquired by Digital Realty (NYSE: DLR) for $6.2 billion on September 14, 2017. The acquisition consideration also includes $1.6 billion of assumed debt excluding transaction costs. Digital Realty has obtained a fully committed bridge loan facility from BofA Merrill Lynch and Citigroup which will be available, if needed, to finance the transaction. The transaction will help grow Digital Realty's presence in strategic, high-demand metro areas with strong growth prospects and DuPont Fabros' 12 purpose-built, in-service data centers will significantly expand Digital Realty's hyper-scale product offering and improve its ability to meet the rapidly growing needs of cloud and cloud-like customers. The company is no longer actively tracked by PitchBook.</t>
  </si>
  <si>
    <t>Advisors Asset Management, Nomura Asset Management, Point72 Asset Management, ProShare Advisors, SilverHaze Partners, T. Rowe Price</t>
  </si>
  <si>
    <t>Advisors Asset Management(www.aamlive.com), Nomura Asset Management(www.nomura-am.co.jp), Point72 Asset Management(www.point72.com), ProShare Advisors(www.proshares.com), SilverHaze Partners(www.silverhazepartners.com), T. Rowe Price(www.troweprice.com)</t>
  </si>
  <si>
    <t>Bank of America Merrill Lynch(Advisor: General), Citigroup Global Markets(Underwriter), Cooley(Legal Advisor), EY(Accounting), Hogan Lovells(Legal Advisor), Hunton &amp; Williams(Legal Advisor), KeyBank(Underwriter), Lehman Brothers(Underwriter), Raymond James Financial(Underwriter), Rigrodsky &amp; Long(Legal Advisor), Stifel Financial(Advisor: General), SunTrust Robinson Humphrey(Advisor: General), The Goldman Sachs Group(Advisor: General), UBS Group(Underwriter), Wachovia Bank(Underwriter)</t>
  </si>
  <si>
    <t>10031-32</t>
  </si>
  <si>
    <t>Hertz (PINX: HTZZ)</t>
  </si>
  <si>
    <t>Axus International</t>
  </si>
  <si>
    <t>The Hertz System, Inc.</t>
  </si>
  <si>
    <t>Avis Budget Group, Europcar Ireland, Avis, EmpireCLS, Daimler, Sixt Rent a Car, Europcar Mobility Group, Enterprise Holdings, Europcar (Denmark), Enterprise Rent-A-Car, Fox Rent A Car, ALD Fortune Auto Leasing &amp; Renting (Shanghai), National Car Rental Systems, Budget Rent a Car (New Jersey), ORIX Auto Infrastructure Services, eHi Car Services</t>
  </si>
  <si>
    <t>Hertz Global Holdings Inc operates an automotive vehicle rental service through the Hertz, Dollar, Thrifty, and Firefly brands. The company offers cars, crossovers, and light trucks for rent; ancillary products and services; rental of industrial, construction, and material handling equipment; and fleet-leasing and fleet-management services. The company operates a network of car rental locations and licenses its brands to associates and franchisees. The highest segment by revenue is the U.S. car rental unit.</t>
  </si>
  <si>
    <t>Automotive, Road*</t>
  </si>
  <si>
    <t>car rental, equipment rental, fleet management, light truck, vehicle rental</t>
  </si>
  <si>
    <t>www.hertz.com</t>
  </si>
  <si>
    <t>2005: 31900, 2006: 31500, 2007: 29350, 2008: 24900, 2009: 23050, 2010: 22900, 2011: 23900, 2012: 30200, 2013: 30400, 2014: 33000, 2015: 30000, 2016: 36000, 2017: 37000, 2018: 38000, 2019: 38000, 2020: 24000, 2021: 16960</t>
  </si>
  <si>
    <t>HTZZ</t>
  </si>
  <si>
    <t>244427-77P</t>
  </si>
  <si>
    <t>Kenny Cheung</t>
  </si>
  <si>
    <t>+1 (201) 307-2000</t>
  </si>
  <si>
    <t>Estero, FL</t>
  </si>
  <si>
    <t>8501 Williams Road</t>
  </si>
  <si>
    <t>Estero</t>
  </si>
  <si>
    <t>33928</t>
  </si>
  <si>
    <t>+1 (201) 307-2644</t>
  </si>
  <si>
    <t>The company was acquired by Certares and Knighthead Capital Management through a $6.2 billion LBO on May 14, 2021. As a part of the reorganization, the company could receive $1 billion of new first-lien financing, a $1.5 billion revolving credit facility, and a new asset-backed securitization facility.</t>
  </si>
  <si>
    <t>Certares, Knighthead Capital Management</t>
  </si>
  <si>
    <t>Clayton, Dubilier &amp; Rice, Commerzbank, Ford, JANA Partners, North Cove Partners, Norvestor, Société Générale, The Carlyle Group, United Airlines Holdings, Volvo Group, W Capital Partners</t>
  </si>
  <si>
    <t>Clayton, Dubilier &amp; Rice(www.cdr-inc.com), Commerzbank(www.commerzbank.com), Ford(www.ford.com), JANA Partners(www.janapartners.com), North Cove Partners(www.northcovepartners.com), Norvestor(www.norvestor.com), Société Générale(www.societegenerale.com), The Carlyle Group(www.carlyle.com), United Airlines Holdings(www.united.com), Volvo Group(www.volvogroup.com), W Capital Partners(www.wcapgroup.com)</t>
  </si>
  <si>
    <t>Citigroup Global Markets(Advisor: General)</t>
  </si>
  <si>
    <t>American Capital (ACAS)(Debt Financing), Bank of America(Debt Financing), Bank of America Merrill Lynch(Debt Financing), Barclays(Debt Financing), Barclays Investment Bank(Underwriter), BMO Harris Bank(Debt Financing), BNP Paribas(Advisor: General), Cabrera Capital Markets(Underwriter), Calyon Financial(Advisor: General), Citigroup Global Markets(Advisor: General), Citizens Bank(Debt Financing), CL King &amp; Associates(Underwriter), Credit Agricole(Debt Financing), Credit Suisse(Underwriter), Daiwa Securities Group(Underwriter), Debevoise &amp; Plimpton(Legal Advisor), Deutsche Bank(Debt Financing), EverBank Business Credit(Underwriter), Fortis Securities(Underwriter), Gladstone Capital(Debt Financing), Houlihan Lokey(Advisor: General), HSBC Holdings(Underwriter), Invesco(Debt Financing), J.P. Morgan(Debt Financing), Lazard Capital Markets(Underwriter), Lehman Brothers(Debt Financing), Matheson(Legal Advisor), McMillan(Legal Advisor), Mizuho Bank(Debt Financing), Mizuho Securities(Underwriter), Moelis &amp; Company(Advisor: General), Morgan Stanley(Debt Financing), Muriel Siebert &amp; Co.(Underwriter), Natixis(Debt Financing), Natixis Securities Americas(Underwriter), PwC(Accounting), RBC Capital Markets(Underwriter), Robert W. Baird &amp; Co(Underwriter), Simpson Thacher &amp; Bartlett(Legal Advisor), Susquehanna Financial Advisors(Underwriter), The Goldman Sachs Group(Debt Financing), The Williams Capital Group(Underwriter), UBS Group(Underwriter), Utendahl Capital Partners(Underwriter), Wachtell, Lipton, Rosen &amp; Katz(Legal Advisor), Weil, Gotshal &amp; Manges(Legal Advisor), Wells Fargo Advisors(Underwriter), White &amp; Case(Legal Advisor)</t>
  </si>
  <si>
    <t>Loan - $245.00M; Loan - $1.25B (Term Loan B); Loan - $1.00B (First Lien); Revolving Credit Line - $1.50B</t>
  </si>
  <si>
    <t>10921-15</t>
  </si>
  <si>
    <t>Safeco</t>
  </si>
  <si>
    <t>Safeco Corp.</t>
  </si>
  <si>
    <t>AIG Israel Insurance Company, Prepared Insurance Company, EMC Insurance Group, Chubb, Andre-Romberg Insurance Agency, Donegal Group, Great American Insurance Group, Markel (Insurance Services), Heritage Property &amp; Casualty Insurance Company, Bare Agency, Self Insurance, AIG Korea, W.R. Berkley, American Strategic Insurance, Philadelphia Insurance Companies, Florida Insurance Specialists, Travelers Companies, Esurance Insurance Services, New York Central Mutl Fire Insur, Marchetti, Robertson &amp; Brickell Insurance and Bonding Agency, MassMutual Financial Group, BK-JET Group, RenaissanceRe Holdings, Acuity Insurance, AIG Sigorta Financial Services, State Auto Financial, Jamieson Insurance Agency, Engel Agency, Higginbotham Insurance Group, Protective Life, Hub International, MetLife, MAPFRE U.S.A., Hiscox, Peoples Insurance Agency, Kincel &amp; Company Insurance, Menath Insurance, GEICO, Progressive Casualty Insurance Company, Hays Companies, Safety Insurance Group, Cornerstone Finance, National General Insurance, Nationwide Financial Services, Allstate, Bell Insurance, The Hartford Financial Services Group, Vision Vehicle Solutions, NJM Insurance, Prudential Financial, Pioneer State Mutual Insurance Company, Liberty Mutual Insurance Company</t>
  </si>
  <si>
    <t>Provider of property and casualty insurance service. The company's property and casualty insurance service includes life insurance, real estate management and development, surety, commercial credit and investment management services to the customers.</t>
  </si>
  <si>
    <t>Other Insurance, Property and Casualty Insurance*</t>
  </si>
  <si>
    <t>casualty insurance service, investment management service, property insurance dealer, real estate management</t>
  </si>
  <si>
    <t>www.safeco.com</t>
  </si>
  <si>
    <t>1989: 8500, 1990: 8500, 1991: 8500, 1992: 8424, 1993: 7300, 1994: 7000, 1995: 7500, 1996: 7500, 1997: 11000, 1998: 13000, 1999: 13000, 2000: 13000, 2001: 12000, 2002: 12000, 2003: 11200, 2004: 9200, 2005: 9181, 2006: 7208, 2007: 7057</t>
  </si>
  <si>
    <t>194792-95P</t>
  </si>
  <si>
    <t>Tyler Asher</t>
  </si>
  <si>
    <t>tyler.asher@safeco.com</t>
  </si>
  <si>
    <t>+1 (877) 762-3101</t>
  </si>
  <si>
    <t>175 Berkeley Street</t>
  </si>
  <si>
    <t>02116</t>
  </si>
  <si>
    <t>The company was acquired by Liberty Mutual Insurance Company for $6.2 billion on September 24, 2008. The addition of Safeco significantly expands and strengthens the Liberty Mutual Group.</t>
  </si>
  <si>
    <t>FSG(Consulting), Sandler O'Neill + Partners(Underwriter), Texas Consilium(Consulting)</t>
  </si>
  <si>
    <t>42944-59</t>
  </si>
  <si>
    <t>Viterra (Canada)</t>
  </si>
  <si>
    <t>Saskatchewan Wheat Pool</t>
  </si>
  <si>
    <t>Viterra Inc.</t>
  </si>
  <si>
    <t>DuPont Pioneer, Gleadell Agriculture</t>
  </si>
  <si>
    <t>Provider of agricultural products in Canada. The company distributes and transports grains and oilseeds.</t>
  </si>
  <si>
    <t>Horticulture</t>
  </si>
  <si>
    <t>Horticulture*, Other Agriculture</t>
  </si>
  <si>
    <t>canary seeds, grain, grain handles, livestock feed, mustard, oat</t>
  </si>
  <si>
    <t>1996: 3200, 1997: 3300, 1998: 3000, 1999: 3000, 2000: 3000, 2001: 3000, 2002: 3000, 2003: 2145, 2004: 1600, 2005: 1388, 2006: 1429, 2007: 1429, 2008: 3097, 2009: 5355, 2010: 6170, 2011: 7289, 2012: 7360, 2014: 609, 2020: 16000, 2021: 17500</t>
  </si>
  <si>
    <t>87132-88P</t>
  </si>
  <si>
    <t>Kyle Jeworski</t>
  </si>
  <si>
    <t>+1 (306) 569-4411</t>
  </si>
  <si>
    <t>2625 Victoria Avenue</t>
  </si>
  <si>
    <t>S4T 7T9</t>
  </si>
  <si>
    <t>+1 (306) 569-4708</t>
  </si>
  <si>
    <t>The company (TSE:VT) was acquired by Glencore International (LSE:GLEN) for $6.2 billion on December 12, 2017. Glencore International (LSE:GLEN) is backed by First Reserve.</t>
  </si>
  <si>
    <t>MHR Fund Management</t>
  </si>
  <si>
    <t>MHR Fund Management(www.mhrfund.com)</t>
  </si>
  <si>
    <t>Exemplum(Advisor: General), McCarthy Tétrault(Legal Advisor), Verdant Partners(Advisor: General)</t>
  </si>
  <si>
    <t>Ashurst(Legal Advisor), Canaccord Genuity(Advisor: General), Dorsey &amp; Whitney(Legal Advisor), Fasken(Legal Advisor), RBC Capital Markets(Advisor: General), Sidley Austin(Legal Advisor), TD Securities(Advisor: General), Torys(Legal Advisor)</t>
  </si>
  <si>
    <t>186632-47</t>
  </si>
  <si>
    <t>Pivovarni Khaineken</t>
  </si>
  <si>
    <t>Pivovarni Khaineken IZAO</t>
  </si>
  <si>
    <t>Manufacturer of beer and malt beverages.</t>
  </si>
  <si>
    <t>beer branding, beer maker, liqour, malt manufacturer</t>
  </si>
  <si>
    <t>Belarus</t>
  </si>
  <si>
    <t>The company was acquired by Oasis Beverages Cyprus for $6.19 billion on September 1, 2017. The company is no longer actively tracked by PitchBook.</t>
  </si>
  <si>
    <t>Oasis Beverages Cyprus</t>
  </si>
  <si>
    <t>Heineken(www.theheinekencompany.com)</t>
  </si>
  <si>
    <t>10825-75</t>
  </si>
  <si>
    <t>Tribune Company</t>
  </si>
  <si>
    <t>Tribune Media Company</t>
  </si>
  <si>
    <t>Cox Media Group, Cumulus Media, Vox Media, Joe FM, BH Media Group, MediaNews Group, Tribune Publishing, Gray Television, Mediaset, Cable News Network, Fox Entertainment Group, McClatchy</t>
  </si>
  <si>
    <t>Operator of a media company intended to offer content with nationwide broadcast distribution services. The company offers newspaper and content publishing and manages a baseball team.</t>
  </si>
  <si>
    <t>Broadcasting, Radio and Television*, Media and Information Services (B2B)</t>
  </si>
  <si>
    <t>broadcasting station, media channel, media company, media company owner, media content, television broadcasting</t>
  </si>
  <si>
    <t>www.tribunemedia.com</t>
  </si>
  <si>
    <t>1989: 17100, 1990: 16100, 1991: 16100, 1992: 12400, 1993: 9900, 1994: 10500, 1995: 10500, 1996: 10700, 1997: 11600, 1998: 12700, 1999: 13400, 2000: 22700, 2001: 25600, 2002: 23900, 2003: 23800, 2004: 19600, 2005: 18800, 2006: 21000, 2014: 7600, 2015: 8000, 2016: 8200, 2017: 6000, 2018: 5800</t>
  </si>
  <si>
    <t>34483-42P</t>
  </si>
  <si>
    <t>Chandler Bigelow</t>
  </si>
  <si>
    <t>chandler.bigelow@niq.com</t>
  </si>
  <si>
    <t>435 North Michigan Avenue TT600</t>
  </si>
  <si>
    <t>60611</t>
  </si>
  <si>
    <t>The company was acquired by Nexstar Media Group (NAS: NXST) for $6.2 billion on September 19, 2019. The acquisition will strategically expand Nexstar 's operating base to realize the benefits of scale, increase strategic and financial flexibility, and drive shareholder value. The company is no longer actively tracked by PitchBook.</t>
  </si>
  <si>
    <t>Nexstar Media Group</t>
  </si>
  <si>
    <t>Angelo, Gordon &amp; Company, Chatham Capital, Invesco, J.P. Morgan, Oaktree Capital Management, Sam Zell</t>
  </si>
  <si>
    <t>Freedom Communications, M Capital Partners, News Corp, Sinclair Broadcast Group, Thoma Bravo, Wrapports</t>
  </si>
  <si>
    <t>Angelo, Gordon &amp; Company(www.angelogordon.com), Chatham Capital(www.chathamcapital.com), Invesco(www.invesco.com), J.P. Morgan(www.jpmorgan.com), Oaktree Capital Management(www.oaktreecapital.com)</t>
  </si>
  <si>
    <t>Freedom Communications(www.freedom.com), M Capital Partners(www.mcapital.fr), News Corp(www.newscorp.com), Sinclair Broadcast Group(www.sbgi.net), Thoma Bravo(www.thomabravo.com), Wrapports(www.wrapports.com)</t>
  </si>
  <si>
    <t>Ashby &amp; Geddes(Legal Advisor), Brainerd Communicators(Advisor: Communications), Hughes Hubbard &amp; Reed(Legal Advisor), Landis Rath &amp; Cobb(Legal Advisor), Neil Fink Associates(Consulting), Odeon Capital Group(Advisor: General), Payne &amp; Fears(Legal Advisor), Rich Talent Group(Consulting)</t>
  </si>
  <si>
    <t>AlixPartners(Advisor: General), Alvarez &amp; Marsal(Advisor: General), American Capital (ACAS)(Debt Financing), Angelo, Gordon &amp; Company(Debt Financing), Chadbourne &amp; Parke(Legal Advisor), Citigroup Global Markets(Debt Financing), Cole Schotz(Legal Advisor), Covington &amp; Burling(Legal Advisor), Credit Suisse(Lead Manager or Arranger), Debevoise &amp; Plimpton(Legal Advisor), Deloitte(Accounting), Deutsche Bank(Underwriter), Duff &amp; Phelps, A Kroll Business(Advisor: General), Epiq Systems(Legal Advisor), Evercore Group(Advisor: General), Guggenheim Partners(Lead Manager or Arranger), Invesco(Debt Financing), J.P. Morgan(Debt Financing), J.P. Morgan Securities(Underwriter), Landis Rath &amp; Cobb(Legal Advisor), Latham &amp; Watkins(Legal Advisor), Lazard(Advisor: General), Methuselah Advisors(Advisor: General), Moelis &amp; Company(Advisor: General), Morgan Stanley(Underwriter), Oaktree Capital Management(Debt Financing), PwC(Accounting), Rigrodsky &amp; Long(Legal Advisor), Sidley Austin(Legal Advisor), The Goldman Sachs Group(Underwriter), Zuckerman Spaeder(Legal Advisor)</t>
  </si>
  <si>
    <t>97131-16</t>
  </si>
  <si>
    <t>Kuaishou (HKG: 01024)</t>
  </si>
  <si>
    <t>Kuaishou Technology, Kwai</t>
  </si>
  <si>
    <t>Beijing Yixiao Technology and Development Co., Ltd</t>
  </si>
  <si>
    <t>Twitter, Pinterest, Live.me, Instagram, Alively, Vebbler, Hike, Tagstr, Picovico, Bilibili, Bambuser, Yogurt Labs, Open Props, BIGVU, TikTok, Cluster (Information Services), Huya, Facebook</t>
  </si>
  <si>
    <t>Kuaishou Technology is a social platform that allows users to capture and share snippets of their everyday lives through short videos and live-streaming. Geographically, it derives revenue from China. It generates maximum revenue from Live streaming.</t>
  </si>
  <si>
    <t>Application Software, Social Content, Social/Platform Software*</t>
  </si>
  <si>
    <t>Artificial Intelligence &amp; Machine Learning, Big Data, Mobile, TMT</t>
  </si>
  <si>
    <t>mobile guide, photo editing, photo sharing application, photographs sharing, photography app, social media sharing</t>
  </si>
  <si>
    <t>www.kuaishou.com</t>
  </si>
  <si>
    <t>2019: 10000, 2020: 21499</t>
  </si>
  <si>
    <t>01024</t>
  </si>
  <si>
    <t>66835-27P</t>
  </si>
  <si>
    <t>Nicholas Chong</t>
  </si>
  <si>
    <t>Group Chief Financial Officer &amp; Managing Partner</t>
  </si>
  <si>
    <t>nchong@kuaishou.com</t>
  </si>
  <si>
    <t>+86 (0)40 0101 5454</t>
  </si>
  <si>
    <t>Building 1, 6 Shangdi West Road</t>
  </si>
  <si>
    <t>Haidian District</t>
  </si>
  <si>
    <t>bd@kuaishou.com</t>
  </si>
  <si>
    <t>The company raised HKD 48.30 billion in its initial public offering on the Hong Kong Stock Exchange under the ticker symbol of 01024 on February 5, 2021. A total of 415,955,900 shares were sold at a price of HKD 115 per share. After the offering, there was a total of 4,158,932,037 outstanding shares at HKD 115 per share, valuing the company at HKD 478.28 billion. The underwriters were granted an option to purchase up to an additional 54,782,700 class B shares from the company to cover over-allotments, if any. The over-allotment options were exercised in full by the underwriters.</t>
  </si>
  <si>
    <t>5Y Capital, Alibaba Group, Amino Capital, Baidu Ventures, Boyu Capital, Boyu Hu, China Internet Investment Fund, China Media Capital, DCM Ventures, DST Global, Lighthouse Capital, Rencent Capital, Sequoia Capital China, Shunwei Capital, Temasek Holdings, Tencent Industry Win-Win Fund, Yunfeng Capital</t>
  </si>
  <si>
    <t>5Y Capital(www.5ycap.com), Alibaba Group(www.alibabagroup.com), Amino Capital(www.aminocapital.com), Baidu Ventures(www.bv.ai), Boyu Capital(www.boyucapital.com), China Internet Investment Fund(www.ciifund.cn), China Media Capital(www.cmcinc.cn), DCM Ventures(www.dcm.com), DST Global(www.dst-global.com), Lighthouse Capital(www.lighthousecap.cn), Rencent Capital(www.rencentcap.com), Sequoia Capital China(www.sequoiacap.com/china), Shunwei Capital(www.shunwei.com), Temasek Holdings(www.temasek.com.sg), Tencent Industry Win-Win Fund(investment.tencent.com), Yunfeng Capital(www.yfc.cn)</t>
  </si>
  <si>
    <t>BOC International(Underwriter), China Renaissance(Advisor: General), CMB International Capital(Underwriter), Futu Securities(Underwriter), Gunderson Dettmer(Legal Advisor), Haiwen &amp; Partners(Legal Advisor), HSBC Holdings(Underwriter), ICBC International(Underwriter), Latham &amp; Watkins(Legal Advisor), Lighthouse Capital(Advisor: General), Maples Group(Legal Advisor), Merrill Lynch(Underwriter), Morgan Stanley(Underwriter), PwC(Accounting), Zhong Lun Law Firm(Legal Advisor)</t>
  </si>
  <si>
    <t>42016-69</t>
  </si>
  <si>
    <t>Cavium</t>
  </si>
  <si>
    <t>Cavium Networks</t>
  </si>
  <si>
    <t>Cavium, Inc.</t>
  </si>
  <si>
    <t>GlobalFoundries U.S., Broadcom, Inphi, Freescale Semiconductor, Taiwan Semiconductor Manufacturing Company, Lattice Semiconductor, HiSilicon, Rambus, Tilera, Cypress Semiconductor, Synopsys, Broadcom (Acquired 2016), NeoPhotonics, Intel, ARM, Mellanox Technologies</t>
  </si>
  <si>
    <t>Developer of semiconductor processors for networking, communications and storage. The company's services include design, development and marketing of semiconductor processors to enable secure functionality at enterprises, data-centers, broadband or consumer and service provider equipment industries.</t>
  </si>
  <si>
    <t>Other Semiconductors, Production (Semiconductors)*</t>
  </si>
  <si>
    <t>network processor, network security, semiconductor production</t>
  </si>
  <si>
    <t>www.cavium.com</t>
  </si>
  <si>
    <t>2005: 157, 2006: 354, 2007: 202, 2008: 347, 2009: 467, 2010: 633, 2011: 864, 2012: 831, 2013: 830, 2014: 936, 2015: 1005, 2016: 1831, 2017: 1895</t>
  </si>
  <si>
    <t>45898-66P</t>
  </si>
  <si>
    <t>Syed Ali</t>
  </si>
  <si>
    <t>Co-founder, President, Chief Executive Officer and Chairman of the board of directors</t>
  </si>
  <si>
    <t>syed.ali@cavium.com</t>
  </si>
  <si>
    <t>The company (NASDAQ: CAVM) was acquired by Marvell Technology (NASDAQ: MRVL) for $6.16 billion on July 6, 2018. The acquisition will help the acquirer to expand its wireless connectivity business in a fast consolidating semiconductor industry. The company is no longer actively tracked by PitchBook.</t>
  </si>
  <si>
    <t>Alliance Venture, Appleseed Partners, CDIB Capital Group, Diamondhead Ventures, Dynamic Beta Investments, Menlo Ventures, NeoCarta Ventures, NTT Finance, NTT Leasing Capital, Quicksilver Ventures, Rembrandt Venture Partners, Saints Capital, William Jones and Associates</t>
  </si>
  <si>
    <t>Alliance Venture(www.allianceventure.com), Appleseed Partners(appleseedpartners.com), CDIB Capital Group(www.cdibcapitalgroup.com), Diamondhead Ventures(www.dhven.com), Dynamic Beta Investments(dynamicbeta.com), Menlo Ventures(www.menlovc.com), NeoCarta Ventures(www.neocarta.com), NTT Finance(www.ntt-finance.co.jp/eng), Quicksilver Ventures(www.quicksilverventures.com), Rembrandt Venture Partners(www.rembrandtvc.com), Saints Capital(www.saintscapital.com)</t>
  </si>
  <si>
    <t>GrowthPoint Technology Partners(Advisor: General), WeissLaw(Legal Advisor), Winston &amp; Strawn(Legal Advisor)</t>
  </si>
  <si>
    <t>Cooley(Legal Advisor), GTK Partners(Advisor: General), J.P. Morgan(Advisor: General), JMP Securities(Underwriter), Kahn Swick &amp; Foti(Legal Advisor), Lehman Brothers(Underwriter), Morgan Stanley(Underwriter), Needham &amp; Company(Underwriter), PwC(Accounting), Qatalyst Partners(Advisor: General), Rigrodsky &amp; Long(Legal Advisor), Skadden, Arps, Slate, Meagher &amp; Flom(Legal Advisor), Thomas Weisel Partners Group(Underwriter)</t>
  </si>
  <si>
    <t>179180-02</t>
  </si>
  <si>
    <t>Banco Popular (real estate portfolio)</t>
  </si>
  <si>
    <t>A portfolio of real estate properties. The portfolio includes real estate properties located in Spain.</t>
  </si>
  <si>
    <t>property portfolio, real estate asset, real estate portfolio, real estate property, real estate property asset</t>
  </si>
  <si>
    <t>Banco Popular (OTCMKTS: BPESY) sold its Real Estate Portfolio to The Blackstone Group (NYSE: BX) through a EUR 5 billion LBO on March 26, 2018. The transaction will involve the creation of a company to which Banco Popular will transfer assets with an aggregate gross book value of approximately EUR 30 billion, as well as 100% of the share capital of Banco Popular's real estate management company, Aliseda. The Transaction will result in the deconsolidation of the Business from the balance sheets of Banco Popular and Banco Santander, with no effect on P&amp;L and it is estimated that it will have a positive impact of 12 basis points in the capital of Santander Group. Blackstone committed €1.2bn of equity to Banco Popular's stake and the equity from BREP Europe V will fund 25% of the transaction.</t>
  </si>
  <si>
    <t>Banco Popular, The Blackstone Group</t>
  </si>
  <si>
    <t>Apollo Global Management, Lone Star Funds</t>
  </si>
  <si>
    <t>Banco Popular(www.bancopopular.es), The Blackstone Group(www.blackstone.com)</t>
  </si>
  <si>
    <t>Apollo Global Management(www.apollo.com), Lone Star Funds(www.lonestarfunds.com)</t>
  </si>
  <si>
    <t>42313-33</t>
  </si>
  <si>
    <t>Naturgy Energy Group (XMAD: NTGY)</t>
  </si>
  <si>
    <t>Gas Natural Fenosa</t>
  </si>
  <si>
    <t>Naturgy</t>
  </si>
  <si>
    <t>Naturgy Energy Group, S.A.</t>
  </si>
  <si>
    <t>Endesa, Iberdrola, Nedgia</t>
  </si>
  <si>
    <t>Naturgy stems from the acquisition of Union Fenosa in 2008. The company operates across the gas value chain, from procurement to distribution and marketing. It owns and operates the largest gas distribution network in Spain and is the leader in retail gas supply. The company also owns and operates gas and electricity distribution networks in Latin America. The company owns 13.7 gigawatts of generation capacity in Spain and 3.2 GW of conventional power plants internationally.</t>
  </si>
  <si>
    <t>Energy Marketing, Energy Traders and Brokers*, Gas Utilities</t>
  </si>
  <si>
    <t>energy marketing service, gas and electrical energy, natural gas company, natural gas distributor, natural gas seller</t>
  </si>
  <si>
    <t>www.naturgy.com</t>
  </si>
  <si>
    <t>2008: 6850, 2009: 19803, 2010: 18778, 2012: 16172, 2013: 15312, 2014: 21961, 2015: 21550, 2016: 17229, 2017: 15374, 2018: 14482, 2019: 12303, 2020: 11117, 2021: 8372</t>
  </si>
  <si>
    <t>NTGY</t>
  </si>
  <si>
    <t>31801-15P</t>
  </si>
  <si>
    <t>Carlos Fernández</t>
  </si>
  <si>
    <t>carlos.fernandez@gasnaturalfenosa.com</t>
  </si>
  <si>
    <t>+34 93 402 5100</t>
  </si>
  <si>
    <t>Avenida de San Luis, 77</t>
  </si>
  <si>
    <t>Catalunya</t>
  </si>
  <si>
    <t>+34 93 402 5870</t>
  </si>
  <si>
    <t>Global Infrastructure Partners reached a definitive agreement to sell a 22.69% stake in the company to an undisclosed buyer for EUR 5.06 billion on January 26, 2021. The company is being actively tracked by PitchBook.</t>
  </si>
  <si>
    <t>CaixaBank, Corporacion Financiera Alba, CVC Capital Partners, Engie, Entreprise Nationale Sonatrach, Global Infrastructure Partners</t>
  </si>
  <si>
    <t>CaixaBank(www.caixabank.com), Corporacion Financiera Alba(www.corporacionalba.es), CVC Capital Partners(www.cvc.com), Engie(www.engie.com), Global Infrastructure Partners(www.global-infra.com)</t>
  </si>
  <si>
    <t>Repsol(www.repsol.com)</t>
  </si>
  <si>
    <t>EY(Auditor), In Movement(Consulting), Mediobanca(Debt Financing), Proudfoot(Consulting), Stek Advocaten(Legal Advisor), Wunderlich Securities(Advisor: General)</t>
  </si>
  <si>
    <t>Citibank(Advisor: General), Citigroup(Advisor: General), Freshfields Bruckhaus Deringer(Legal Advisor), J&amp;A Garrigues(Legal Advisor), Pérez-Llorca(Legal Advisor)</t>
  </si>
  <si>
    <t>41336-02</t>
  </si>
  <si>
    <t>Covance</t>
  </si>
  <si>
    <t>Corning Pharmaceutical Services</t>
  </si>
  <si>
    <t>Covance, Inc.</t>
  </si>
  <si>
    <t>Icon, Genae, Hua Medicine, Sygnature Discovery, MPI Research, Theorem Clinical Research, ICON Government and Public Health Solutions, KinderPharm, BioDuro, Parexel International, ImageIQ, Aragen, Charles River Laboratories, Veristat, Premas Biotech, Smithers Avanza, Olon Ricerca Bioscience, QPS Holdings, Atlant Clinical, Quintiles, Syneos Health, WuXi AppTec, PRA Health Sciences, Bioclinica, Topstone Research, Q2 Solutions, Chiltern International, TCG Lifesciences, Biomere, Eurofins Scientific, Vitargent (International) Biotechnology, Eurotrials, Clinipace, INC Research, Novella Clinical, Mako Logistics, Merieux Nutrisciences, Bureau Veritas Laboratories, Pharmaceutical Product Development, Agro-Analyses, Claritas Genomics</t>
  </si>
  <si>
    <t>Provider of contract research services to the drug, medical device and diagnostics, crop protection and chemical industries. The company offers nonclinical safety assessment, clinical trial testing and clinical trial management services.</t>
  </si>
  <si>
    <t>Drug Discovery*</t>
  </si>
  <si>
    <t>drug development service, drug development service provider, laboratory service, pharmaceutical product</t>
  </si>
  <si>
    <t>www.covance.com</t>
  </si>
  <si>
    <t>1996: 5400, 1997: 6000, 1998: 7200, 1999: 7100, 2000: 7900, 2001: 7200, 2002: 6900, 2003: 6500, 2004: 6700, 2005: 7300, 2006: 8100, 2007: 8700, 2008: 9600, 2009: 10320, 2010: 10528, 2011: 11292, 2012: 11790, 2013: 12501, 2014: 12000, 2015: 12501, 2020: 21000</t>
  </si>
  <si>
    <t>Laboratory Corporation of America</t>
  </si>
  <si>
    <t>177501-61P</t>
  </si>
  <si>
    <t>Steven Anderson</t>
  </si>
  <si>
    <t>Senior Vice President and Chief Scientific Officer</t>
  </si>
  <si>
    <t>steven.anderson@covance.com</t>
  </si>
  <si>
    <t>+1 (734) 821-1063</t>
  </si>
  <si>
    <t>Ann Arbor, MI</t>
  </si>
  <si>
    <t>MI Bioresearch</t>
  </si>
  <si>
    <t>800 Technology Drive</t>
  </si>
  <si>
    <t>Ann Arbor</t>
  </si>
  <si>
    <t>48108</t>
  </si>
  <si>
    <t>info@covance.com</t>
  </si>
  <si>
    <t>The company (NYSE: CVD) was acquired by Laboratory Corporation of America Holdings (NYSE: LH) for $6.15 billion on February 19, 2015. The acquisition will allow LabCorp to expand offering to the biopharmaceutical industry, increase its international presence.</t>
  </si>
  <si>
    <t>Corning</t>
  </si>
  <si>
    <t>Corning(www.corning.com)</t>
  </si>
  <si>
    <t>Commercial Valuers and Surveyors(Consulting), Cukierman &amp; Co.(Advisor: General)</t>
  </si>
  <si>
    <t>Covington &amp; Burling(Legal Advisor), Cozen O'Connor(Legal Advisor), Cravath, Swaine &amp; Moore(Legal Advisor), Fairmount Partners(Advisor: General), The Goldman Sachs Group(Advisor: General)</t>
  </si>
  <si>
    <t>228333-16</t>
  </si>
  <si>
    <t>Canna Care Docs</t>
  </si>
  <si>
    <t>CCD</t>
  </si>
  <si>
    <t>Medeval Corp</t>
  </si>
  <si>
    <t>Provider of cannabis based medical therapy services intended to alleviate patient's suffering. The company's services include medical cannabis recommendations, medical cannabis certifications and medical cannabis evaluations, enabling healthcare practitioners and patients to safely access medical cannabis.</t>
  </si>
  <si>
    <t>Other Healthcare Services, Pharmaceuticals*</t>
  </si>
  <si>
    <t>Cannabis, LOHAS &amp; Wellness</t>
  </si>
  <si>
    <t>cannabis based drugs, cannabis prescription, cannabis therapy, medical cannabis, medical treatment</t>
  </si>
  <si>
    <t>www.cannacaredocs.com</t>
  </si>
  <si>
    <t>Skylight Health Group</t>
  </si>
  <si>
    <t>184838-95P</t>
  </si>
  <si>
    <t>Kevin Kafka</t>
  </si>
  <si>
    <t>kevin@cannacaredocs.com</t>
  </si>
  <si>
    <t>+1 (781) 382-8053</t>
  </si>
  <si>
    <t>Fall River, MA</t>
  </si>
  <si>
    <t>260 North Main Street</t>
  </si>
  <si>
    <t>Fall River</t>
  </si>
  <si>
    <t>02720</t>
  </si>
  <si>
    <t>On December 19, 2017 (closing date), the Company acquired identified assets of Canna Care Docs for $7817.99 million CAD.</t>
  </si>
  <si>
    <t>439900-84</t>
  </si>
  <si>
    <t>ACS (Cobra construction)</t>
  </si>
  <si>
    <t>Provider of construction services based in Madrid, Spain.</t>
  </si>
  <si>
    <t>Construction and Engineering*</t>
  </si>
  <si>
    <t>construction, construction firm, construction operation, construction services, construction work</t>
  </si>
  <si>
    <t>Avenida Pío XII, 102</t>
  </si>
  <si>
    <t>28036</t>
  </si>
  <si>
    <t>The company reached a definitive agreement to be acquired by Vinci (PAR: DG) for EUR 5.2 billion on October 2, 2020. The company is being actively tracked by PitchBook.</t>
  </si>
  <si>
    <t>Actividades de Construcción y Servicios</t>
  </si>
  <si>
    <t>Actividades de Construcción y Servicios(www.grupoacs.com)</t>
  </si>
  <si>
    <t>Vinci(www.vinci.com)</t>
  </si>
  <si>
    <t>119856-43</t>
  </si>
  <si>
    <t>Snyder's-Lance</t>
  </si>
  <si>
    <t>Snyder's-Lance, Inc.</t>
  </si>
  <si>
    <t>Axium Foods, Utz Brands, McCain Foods, The C.F. Sauer Company, AdvancePierre Foods, Mondelēz International, WM Wrigley Jr, Ultima Foods, Kettle Foods, J&amp;J Snack Foods, Flowers Foods, Kashi, Bimbo Bakeries USA, Lipari Foods, Kellogg's, General Mills, Ghirardelli Chocolate, Dean Foods, Treehouse Foods, Engro Foods, Shearer's Snacks, Quest Nutrition, thinkThin Products, Unilever Pakistan Foods, Pioneer Food Group, Maple Leaf Foods, Premier Foods, Lindt &amp; Sprüngli, Lancaster Colony, Post Holdings</t>
  </si>
  <si>
    <t>Snyder's-Lance is a manufacturer and marketer of snack food products. Its snack food products include sandwich crackers and cookies, potato chips, other salty snacks, sugar wafers, nuts, restaurant-style crackers and candy, enabling customers to get a range of light snack foods. It was founded in 2010 with the merger between Lance and Snyder's of Hanover and is based in Charlotte, North Carolina. The company seeks to acquire businesses through mergers, acquisitions and investments which would help the firm to expand and consolidate its presence in the industry.</t>
  </si>
  <si>
    <t>cookies, crackers, potato chips, sandwiches</t>
  </si>
  <si>
    <t>www.snyderslance.com</t>
  </si>
  <si>
    <t>1989: 5800, 1990: 5800, 1991: 5810, 1992: 5860, 1993: 5860, 1994: 5860, 1995: 5041, 1996: 4684, 1997: 4573, 1998: 4616, 1999: 4878, 2000: 4623, 2001: 4679, 2002: 4600, 2003: 4400, 2004: 4250, 2005: 5500, 2006: 4800, 2007: 4700, 2008: 4800, 2009: 4800, 2011: 7000, 2012: 5900, 2013: 5700, 2015: 5000, 2016: 6100, 2017: 5900</t>
  </si>
  <si>
    <t>Campbell Soup Company</t>
  </si>
  <si>
    <t>90213-31P</t>
  </si>
  <si>
    <t>Ricky Puckett</t>
  </si>
  <si>
    <t>Executive Vice President, Chief Administritive Officer &amp; Chief Financial Officer</t>
  </si>
  <si>
    <t>+1 (305) 381-6999</t>
  </si>
  <si>
    <t>13515 Ballantyne Corporate Place</t>
  </si>
  <si>
    <t>28277</t>
  </si>
  <si>
    <t>+1 (800) 438-1880</t>
  </si>
  <si>
    <t>The company was acquired by Campbell Soup (NSYE: CPB) for $6.11 billion on March 26, 2018. The acquisition consideration will be funded through a $5.3 billion senior notes offering. The acquisition will enable Campbell to expand its portfolio of leading snacking brands and will provide access to faster-growing distribution channels including the convenience and natural channels. The company is no longer actively tracked by PitchBook.</t>
  </si>
  <si>
    <t>CL King &amp; Associates(Advisor: General)</t>
  </si>
  <si>
    <t>Jenner &amp; Block(Legal Advisor), Rigrodsky &amp; Long(Legal Advisor), The Goldman Sachs Group(Advisor: General)</t>
  </si>
  <si>
    <t>65281-60</t>
  </si>
  <si>
    <t>Shell Offshore (Holstein Operations)</t>
  </si>
  <si>
    <t>Oil fields in Mexico. The oil fields produce 7,400 barrels of oil equivalent net per day of which nearly 86% is oil and natural gas liquids with an average American Petroleum Institute gravity of 33 degrees.</t>
  </si>
  <si>
    <t>oil field</t>
  </si>
  <si>
    <t>OT</t>
  </si>
  <si>
    <t>Other US Territories</t>
  </si>
  <si>
    <t>The Shell Offshore (Holstein Operations) was acquired by Plains Exploration &amp; Production (NYSE: PXP) for $6.11 billion on November 30, 2012. The Shell Offshore (Holstein Operations) is no longer actively tracked by PitchBook.</t>
  </si>
  <si>
    <t>BP, Royal Dutch Shell</t>
  </si>
  <si>
    <t>BP(bp.com), Royal Dutch Shell(www.shell.com)</t>
  </si>
  <si>
    <t>41086-72</t>
  </si>
  <si>
    <t>APC by Schneider Electric</t>
  </si>
  <si>
    <t>American Power Conversion</t>
  </si>
  <si>
    <t>Havells, IDEAL Industries, Woodward, Danfoss, Legrand North America, CyberPower Systems, Lumberg Automation Components, Graybar Electric Company, Tripp Lite, Bitzer, Lear, Ericson Manufacturing, Esterline Technologies, Panduit</t>
  </si>
  <si>
    <t>Manufacturer of power supply products designed to use with various electrical appliances. The company's power supply products are used in personal computers, engineering work stations, file servers, communications and inter networking equipment, enabling customers to get reliable power and physical IT infrastructure.</t>
  </si>
  <si>
    <t>electrical goods, power product manufacturer, power supply product</t>
  </si>
  <si>
    <t>www.apc.com</t>
  </si>
  <si>
    <t>1989: 142, 1990: 316, 1991: 316, 1992: 731, 1993: 914, 1994: 1990, 1995: 2340, 1996: 2650, 1997: 3110, 1998: 5443, 1999: 5290, 2000: 7350, 2001: 6212, 2002: 5424, 2003: 6365, 2004: 6455, 2005: 7580</t>
  </si>
  <si>
    <t>Schneider Electric</t>
  </si>
  <si>
    <t>101151-37P</t>
  </si>
  <si>
    <t>Laurent Vernerey</t>
  </si>
  <si>
    <t>+1 (401) 789-5735</t>
  </si>
  <si>
    <t>West Kingston, RI</t>
  </si>
  <si>
    <t>132 Fairgrounds Road</t>
  </si>
  <si>
    <t>West Kingston</t>
  </si>
  <si>
    <t>Rhode Island</t>
  </si>
  <si>
    <t>02892</t>
  </si>
  <si>
    <t>+1 (401) 789-3710</t>
  </si>
  <si>
    <t>The company was acquired by Schneider Electric (EPA:SU) for $6.1 billion on February 14, 2007.</t>
  </si>
  <si>
    <t>Bowdoin Group(Consulting)</t>
  </si>
  <si>
    <t>Clifford Chance(Legal Advisor), The Goldman Sachs Group(Advisor: General)</t>
  </si>
  <si>
    <t>42137-02</t>
  </si>
  <si>
    <t>HCR ManorCare (Real Estate Assets)</t>
  </si>
  <si>
    <t>Provider of short-term, post-hospital rehabilitation, complex medical services, and long-term care. The assets include 338 post-acute, skilled nursing, and assisted living facilities located in 30 states, with the highest concentrations in Ohio, Pennsylvania, Florida, Illinois, and Michigan.</t>
  </si>
  <si>
    <t>Elder and Disabled Care</t>
  </si>
  <si>
    <t>Elder and Disabled Care*</t>
  </si>
  <si>
    <t>assisted living, nursing home, post-acute care, rehabilitation</t>
  </si>
  <si>
    <t>Private Debt Financed</t>
  </si>
  <si>
    <t>Debt Financed</t>
  </si>
  <si>
    <t>11821-33P</t>
  </si>
  <si>
    <t>Steven Cavanaugh</t>
  </si>
  <si>
    <t>+1 (419) 252-5500</t>
  </si>
  <si>
    <t>Toledo, OH</t>
  </si>
  <si>
    <t>333 North Summit Street</t>
  </si>
  <si>
    <t>Toledo</t>
  </si>
  <si>
    <t>43604</t>
  </si>
  <si>
    <t>+1 (419) 252-6404</t>
  </si>
  <si>
    <t>The real estate assets of HCR ManorCare was acquired by HCP (NYSE: HCP), through corporate divestiture for $6.1 billion on April 8, 2011. The company is no longer actively tracked by PitchBook.</t>
  </si>
  <si>
    <t>Healthpeak Properties</t>
  </si>
  <si>
    <t>Elizabeth Manor Healthcare and Rehabilitation Center</t>
  </si>
  <si>
    <t>Elizabeth Manor Healthcare and Rehabilitation Center(www.hcr-manorcare.com)</t>
  </si>
  <si>
    <t>J.P. Morgan(Advisor: General), Latham &amp; Watkins(Legal Advisor)</t>
  </si>
  <si>
    <t>Sale-Lease back facility</t>
  </si>
  <si>
    <t>170234-02</t>
  </si>
  <si>
    <t>Medtronic (Medical Supplies Business)</t>
  </si>
  <si>
    <t>Provider of medical supplies. The company's medical supplies includes diabetes products, insulin pump, health and fitness products, accessories and glucose monitoring products for customers.</t>
  </si>
  <si>
    <t>diabetes supplies, glucose monitoring product, health and fitness, medical accessories, medical supplies, medical supply</t>
  </si>
  <si>
    <t>2017: 10000</t>
  </si>
  <si>
    <t>The medical supply business of Medtronic (NYSE: MDT) was acquired by Cardinal Health (NYSE: CAH) for $6.1 billion on July 30, 2017. The deal was supported through $4.5 billion of bridge financing arranged by Goldman Sachs Merchant Banking Division and Goldman Sachs Specialty Lending Group. The acquisition will increase Cardinal Health's product breadth in consumable medical products, create additional geographic scale and scope and expand existing channel reach into the operating room and long-term care. The business unit is no longer actively tracked by PitchBook.</t>
  </si>
  <si>
    <t>Cardinal Health</t>
  </si>
  <si>
    <t>Medtronic(www.medtronic.com)</t>
  </si>
  <si>
    <t>Goldman Sachs Merchant Banking Division(Debt Financing), Goldman Sachs Specialty Lending Group(Debt Financing)</t>
  </si>
  <si>
    <t>Bridge - $4.50B</t>
  </si>
  <si>
    <t>42027-04</t>
  </si>
  <si>
    <t>Momenta Pharmaceuticals</t>
  </si>
  <si>
    <t>Momenta</t>
  </si>
  <si>
    <t>Momenta Pharmaceuticals, Inc.</t>
  </si>
  <si>
    <t>Adocia, Alnylam Pharmaceuticals, Verastem, Gilead Sciences, Anaeropharma Science, Regulus Therapeutics, Genentech, Flexion Therapeutics, Acerta Pharma, Landsteiner Scientific, Incyte, Medivation, BioDelivery Sciences International, NexImmune, Acceleron Pharma, Boehringer Ingelheim, Sevion Therapeutics, Sarepta Therapeutics, Portola Pharmaceuticals, MannKind Corporation, Dicerna Pharmaceuticals, Axolabs, Aileron Therapeutics, Spectrum Pharmaceuticals, GlaxoSmithKline, MediciNova, Lannett Company, Cipla, Sagent Pharmaceuticals, MediGene, Immune Design, Diffusion Pharmaceuticals, Tetherex Pharmaceuticals, Teva Pharmaceutical Industries, Pharmacyclics, Intarcia, Biogen, Ortho-McNeil Pharmaceuticals, Bristol-Myers Squibb, Celgene, Bellicum Pharmaceuticals, Seragon Pharmaceuticals, Amphastar Pharmaceuticals, Novartis, Allergan, AstraZeneca, Amgen, Abbott India, Sanofi-Aventis Pakistan, Pfizer</t>
  </si>
  <si>
    <t>Momenta is a biotechnology company focused on the characterization and development of innovative drugs in autoimmune diseases. Its legacy business includes complex generic versions of MS drug Copaxone and anticoagulant Lovenox, and it receives royalties for these products through a partnership with Novartis. While a biosimilar version of Eylea is in the pipeline, Momenta terminated future development in generics/biosimilars in 2018. Several innovative drugs, including nipocalimab, M254, and M230, are in development to treat rare autoimmune diseases.</t>
  </si>
  <si>
    <t>Biotechnology, Drug Discovery*, Pharmaceuticals</t>
  </si>
  <si>
    <t>autoimmune indications, biological function, biotechnology service, complex drugs, interchangeable biologics, novel therapeutics, pharma tools, pharmaceutical product</t>
  </si>
  <si>
    <t>www.momentapharma.com</t>
  </si>
  <si>
    <t>2002: 36, 2003: 36, 2004: 65, 2005: 105, 2006: 153, 2007: 163, 2008: 167, 2009: 176, 2010: 170, 2011: 197, 2012: 247, 2013: 269, 2014: 256, 2015: 258, 2016: 290, 2017: 279, 2018: 131, 2019: 118</t>
  </si>
  <si>
    <t>65585-35P</t>
  </si>
  <si>
    <t>Young Kwon</t>
  </si>
  <si>
    <t>Chief Financial and Business Officer</t>
  </si>
  <si>
    <t>ykwon@momentapharma.com</t>
  </si>
  <si>
    <t>301 Binney Street</t>
  </si>
  <si>
    <t>The company was acquired by Johnson &amp; Johnson (NYS: JNJ) for $6.1 billion on October 1, 2020. The acquisition allows J&amp;J's Janssen division to reach more patients by enhancing its ability to treat autoimmune diseases and improve health outcomes. The company is no longer actively tracked by PitchBook.</t>
  </si>
  <si>
    <t>Atlas Venture, Cardinal Partners, Foresite Capital Management, Lansing Brown Investments, Mithra Group, MVM Partners, Omega Funds, Polaris Partners</t>
  </si>
  <si>
    <t>Atlas Venture(www.atlasventure.com), Cardinal Partners(www.cardinalpartners.com), Foresite Capital Management(www.foresitecapital.com), MVM Partners(www.mvm.com), Omega Funds(www.omegafunds.com), Polaris Partners(www.polarispartners.com)</t>
  </si>
  <si>
    <t>Mylan(www.mylan.com)</t>
  </si>
  <si>
    <t>American Stock Transfer &amp; Trust Company(Advisor: General), Bank of America Merrill Lynch(Underwriter), Canaccord Genuity(Underwriter), Centerview Partners(Advisor: General), CIBC Capital Markets(Underwriter), Cowen &amp; Company(Underwriter), Deutsche Bank Securities(Underwriter), EY(Accounting), Hale and Dorr(Legal Advisor), Latham &amp; Watkins(Legal Advisor), Morgan Stanley(Underwriter), SVB Leerink(Advisor: General), The Goldman Sachs Group(Advisor: General), ThinkEquity Partners(Underwriter), UBS Group(Underwriter), WilmerHale(Legal Advisor)</t>
  </si>
  <si>
    <t>58475-44</t>
  </si>
  <si>
    <t>RPC Group</t>
  </si>
  <si>
    <t>Holdclever ServiceS</t>
  </si>
  <si>
    <t>RPC</t>
  </si>
  <si>
    <t>RPC Group PLC</t>
  </si>
  <si>
    <t>Winpak, Marino Belotti, Altium Packaging, Alpha Packaging, Pibiplast, Sigma Plastics Group, Gerresheimer, Boxmore Packaging, Bemis Company, Deltapac Packaging, Scientex, Constantia Flexibles, Hood Packaging, Huhtamäki, Mondi, ÅR Packaging Group, Clear Lam Packaging, Pro-Pac Packaging, Printpack, Graphic Packaging, Berry Global, Charter Next Generation, Clondalkin (Pharmaceuticals and Health-Care Unit), Logoplaste, ProAmpac, Kapstone Paper and Packaging, Clondalkin Group, TricorBraun, Sonoco, ALPLA Werke Alwin Lehner, Berlin Packaging, Klöckner Pentaplast, Metsä Board, Vitex Packaging Group, Veritiv, Friesens Corporation, Intertape Polymer Group, CKS Packaging, Coveris Holdings, WestRock, Amcor</t>
  </si>
  <si>
    <t>RPC Group PLC manufactures and sells a variety of packaging and technical components. The company organizes itself into two segments based on product type. The packaging segment, which generates the majority of revenue, sells food and beverage packaging for spreads, sauces, dairy, and single-service coffee. The segment also provides packaging for personal care products, pharmaceuticals, and surface coatings. The non-packaging segment sells technical components used to produce specialty vehicles and automobiles. The majority of revenue comes from Europe.</t>
  </si>
  <si>
    <t>Plastic Containers and Packaging*</t>
  </si>
  <si>
    <t>plastic packaging, plastic product, plastic product design, polymer product</t>
  </si>
  <si>
    <t>www.rpc-group.com</t>
  </si>
  <si>
    <t>1991: 954, 1992: 1001, 1993: 1119, 1994: 1162, 1995: 1314, 1996: 1495, 1997: 1935, 1998: 3362, 1999: 3969, 2000: 4666, 2001: 5423, 2002: 5556, 2003: 5675, 2004: 5535, 2005: 6223, 2006: 6566, 2007: 6655, 2008: 6910, 2009: 6588, 2010: 6122, 2011: 6121, 2012: 7324, 2013: 7186, 2014: 7293, 2015: 15206, 2016: 20000, 2017: 25000, 2018: 25000, 2019: 25000</t>
  </si>
  <si>
    <t>Berry Global</t>
  </si>
  <si>
    <t>Rushden, United Kingdom</t>
  </si>
  <si>
    <t>Sapphire House</t>
  </si>
  <si>
    <t>Crown Way</t>
  </si>
  <si>
    <t>Rushden</t>
  </si>
  <si>
    <t>NN10 6FB</t>
  </si>
  <si>
    <t>The company (LON: RPC) was acquired by Berry Global (NYS: BERY) for $6.1 billion on July 1, 2019. The acquisition of the company will give Berry Global the opportunity to leverage its combined know-how in innovative material science, product development, and manufacturing technologies to create significant value for their shareholders. Barclays Bank UK, BNP Paribas Fortis, Citigroup Global Markets, Deutsche Bank, HSBC Holdings, Jefferies Finance and Rabobank Group provided debt financing to support the acquisition.</t>
  </si>
  <si>
    <t>Abrdn, Alken Asset Management, Allianz Global Investors, American Century Investments, Aviva Investors Property Trust, AXA Investment Managers, Barrow, Hanley, Mewhinney &amp; Strauss, BlackRock, Cinven, Dimensional Fund Advisors, Legal &amp; General Investment Management, Royal London Asset Management, The Vanguard Group</t>
  </si>
  <si>
    <t>Abrdn(www.abrdn.com/corporate), Alken Asset Management(alken-am.com), Allianz Global Investors(www.allianzgi.com), American Century Investments(corporate.americancentury.com), Aviva Investors Property Trust(www.avivainvestors.co.uk), AXA Investment Managers(www.axa-im.com), Barrow, Hanley, Mewhinney &amp; Strauss(www.barrowhanley.com), BlackRock(www.blackrock.com), Cinven(www.cinven.com), Dimensional Fund Advisors(www.dimensional.com), Legal &amp; General Investment Management(www.lgim.com/uk/en), Royal London Asset Management(www.rlam.co.uk), The Vanguard Group(www.vanguard.com)</t>
  </si>
  <si>
    <t>Ashurst(Legal Advisor), Bryan, Mansell &amp; Tilley(Advisor: General)</t>
  </si>
  <si>
    <t>Barclays Bank UK(Advisor: General), BNP Paribas Fortis(Debt Financing), Citigroup Global Markets(Advisor: General), Credit Suisse(Advisor: General), Deutsche Bank(Debt Financing), Deutsche Bank Securities(Advisor: General), Evercore Group(Advisor: General), FTI Consulting(Advisor: General), HSBC Holdings(Advisor: General), Jefferies Finance(Debt Financing), Jefferies Financial Group(Advisor: General), Panmure Gordon &amp; Company(Advisor: General), Rabobank Group(Debt Financing), Rothschild &amp; Co(Advisor: General), Slaughter and May(Legal Advisor)</t>
  </si>
  <si>
    <t>119620-18</t>
  </si>
  <si>
    <t>Willamette Industries</t>
  </si>
  <si>
    <t>Willamette Valley Lumber Company</t>
  </si>
  <si>
    <t>Willamette Industries, Inc.</t>
  </si>
  <si>
    <t>Manufacturer of forest products. The company provides paper products including communication papers for business, printing papers and market pulp and building materials including traditional lumber and plywood, oriented strand board and engineered wood products.</t>
  </si>
  <si>
    <t>Forestry Processing*</t>
  </si>
  <si>
    <t>building materials provider, forest product, paper producer, plywood manufacturer, printing papers</t>
  </si>
  <si>
    <t>www.wii.com</t>
  </si>
  <si>
    <t>1989: 9370, 1990: 10275, 1991: 11350, 1992: 11350, 1993: 12040, 1994: 12260, 1995: 13180, 1996: 13700, 1997: 13800, 1998: 14000, 1999: 14250, 2000: 14975, 2001: 15000</t>
  </si>
  <si>
    <t>186490-99P</t>
  </si>
  <si>
    <t>William Swindells</t>
  </si>
  <si>
    <t>1300 South-West Fifth Avenue</t>
  </si>
  <si>
    <t>Suite 3800</t>
  </si>
  <si>
    <t>97201</t>
  </si>
  <si>
    <t>The company was acquired by Weyerhaeuser Company (NYS: WY) for $6.1 billion on January 22, 2002. The company is no longer actively tracked by PitchBook.</t>
  </si>
  <si>
    <t>41163-58</t>
  </si>
  <si>
    <t>Regeneron Pharmaceuticals (NAS: REGN)</t>
  </si>
  <si>
    <t>Regeneron</t>
  </si>
  <si>
    <t>Regeneron Pharmaceuticals, Inc.</t>
  </si>
  <si>
    <t>Chemocentryx, Janssen Global Services, Peloton Therapeutics, Jazz Pharmaceuticals, Apricus Biosciences, Seragon Pharmaceuticals, Actelion Pharmaceuticals, United Therapeutics, The Zambon Group, Azur Pharma, VBI Vaccines(Rehovot), Intercept(Biotechnology), Sinovac, ADC Therapeutics, Emmaus Life Sciences, Genentech, Loxo Oncology, Seagen, Sagent Pharmaceuticals, UCB, Gyroscope, Igenica Biotherapeutics, Gilead Sciences, Achaogen, Alexion, Lundbeck, Idera Pharmaceuticals, Aileron Therapeutics, PaxVax, Morphotek, Vertex Pharmaceuticals, Catalyst Biosciences, Arbor Pharmaceuticals, Alkem Laboratories, Kymab, Mirati Therapeutics, Ultragenyx Pharmaceutical, Molecular Partners, Tilos Therapeutics, Eloxx Pharmaceuticals, BioMarin Pharmaceutical, XBiotech, Sorrento Therapeutics, Moderna Therapeutics, Kite Pharma, ImmunGene, Ariad Pharmaceuticals, Agenus, Vir (Biotechnology), Aduro Biotech, Genocea Biosciences, AstraZeneca, Sunovion Pharmaceuticals, Boehringer Ingelheim, MannKind Corporation, OncoResponse, Zynerba Pharmaceuticals, Allergan, Spark Therapeutics, Adverum Biotechnologies, Semma Therapeutics, Celgene, Ortho-McNeil Pharmaceuticals, Ember Therapeutics, Amgen</t>
  </si>
  <si>
    <t>Regeneron Pharmaceuticals discovers, develops, and commercializes products that fight eye disease, cardiovascular disease, cancer, and inflammation. The company has several marketed products including: Eylea, approved for wet age-related macular degeneration and other eye diseases; Praluent for LDL cholesterol lowering; Dupixent in atopic dermatitis, asthma, and nasal polyposis; Libtayo in cutaneous squamous cell carcinoma; and Kevzara in rheumatoid arthritis. Regeneron is also developing monoclonal antibodies with Sanofi in immunology and cancer, and bispecific antibodies and antibody cocktails with other collaborators and independently.</t>
  </si>
  <si>
    <t>biopharmaceutical product, drug development company, drugs administration, healthcare, human antibodies technology, medicine developer, pharmaceuticals firm, pharmacy</t>
  </si>
  <si>
    <t>www.regeneron.com</t>
  </si>
  <si>
    <t>1991: 163, 1992: 200, 1993: 258, 1994: 193, 1995: 204, 1996: 243, 1997: 270, 1998: 371, 1999: 437, 2000: 491, 2001: 575, 2002: 669, 2003: 644, 2004: 287, 2005: 588, 2006: 573, 2007: 682, 2008: 919, 2009: 1029, 2010: 1395, 2011: 1704, 2012: 1950, 2013: 2340, 2014: 2925, 2015: 4300, 2016: 5400, 2017: 6200, 2018: 7400, 2019: 8100, 2020: 9123</t>
  </si>
  <si>
    <t>REGN</t>
  </si>
  <si>
    <t>46014-67P</t>
  </si>
  <si>
    <t>Leonard Schleifer</t>
  </si>
  <si>
    <t>Chief Executive Officer &amp; Founder</t>
  </si>
  <si>
    <t>leonard.schleifer@regeneron.com</t>
  </si>
  <si>
    <t>+1 (914) 347-7000</t>
  </si>
  <si>
    <t>Tarrytown, NY</t>
  </si>
  <si>
    <t>777 Old Saw Mill River Road</t>
  </si>
  <si>
    <t>Tarrytown</t>
  </si>
  <si>
    <t>10591</t>
  </si>
  <si>
    <t>Sanofi sold a 11.44% stake in the company (NAS:REGN) for $6.093 billion on May 28, 2020. A total of 11,831,496 shares were sold at a price of $515 per share. The company will not receive any proceeds from the offering.</t>
  </si>
  <si>
    <t>Fidelity Investments, Novartis, Ridgeback Capital</t>
  </si>
  <si>
    <t>BB Biotech, Sanderling Ventures, Sanofi</t>
  </si>
  <si>
    <t>Fidelity Investments(www.fidelity.com), Novartis(www.novartis.com), Ridgeback Capital(www.ridgebackcap.com)</t>
  </si>
  <si>
    <t>BB Biotech(www.bbbiotech.ch), Sanderling Ventures(www.sanderling.com), Sanofi(www.sanofi.com)</t>
  </si>
  <si>
    <t>Beyond Valuation(Advisor: General), Cello Health BioConsulting(Consulting), DeSantis Breindel(Advisor: General), Leading Edge Medical Search(Consulting), Locust Walk Partners(Advisor: General), RBrooks Group(Consulting), Strawn Arnold &amp; Associates(Consulting), Yankwitt(Legal Advisor)</t>
  </si>
  <si>
    <t>Bank of America(Debt Financing), Bank of America Merrill Lynch(Underwriter), Bank of Ireland(Debt Financing), Barclays(Debt Financing), Beyond Valuation(Advisor: General), BNP Paribas(Advisor: General), Citibank(Debt Financing), Citigroup(Advisor: General), Credit Suisse(Debt Financing), Fifth Third Bank(Debt Financing), Goldman Sachs (GSAM Credit Alternatives)(Debt Financing), J.P. Morgan(Advisor: General), JPMorgan Chase(Debt Financing), Morgan Stanley(Debt Financing), MUFG Bank(Debt Financing), Northern Trust(Debt Financing), PwC(Accounting), Skadden, Arps, Slate, Meagher &amp; Flom(Legal Advisor), The Goldman Sachs Group(Underwriter), U.S. Bancorp(Debt Financing)</t>
  </si>
  <si>
    <t>58867-66</t>
  </si>
  <si>
    <t>Ampol (ASX: ALD)</t>
  </si>
  <si>
    <t>Caltex Australia Petroleum Pty. Ltd., Caltex Securities Australia, Caltex, Caltex Australia</t>
  </si>
  <si>
    <t>Ampol Ltd</t>
  </si>
  <si>
    <t>Sunoco, NGL Energy Partners, Husky Energy</t>
  </si>
  <si>
    <t>Ampol (nee Caltex) is the largest and only Australian-listed petroleum refiner and distributor, with operations in all states and territories. It was a major international brand of Chevron's until that 50% owner sold out in 2015. Caltex transitioned to Ampol branding due to Chevron terminating its licence to use the Caltex brand in Australia. Ampol has operated for more than 100 years. It owns and operates a refinery at Lytton in Brisbane, but closed Sydney's Kurnell refinery to focus on the more profitable distribution/retail segment.</t>
  </si>
  <si>
    <t>Energy Traders and Brokers*</t>
  </si>
  <si>
    <t>energy distribution, lubricants, oils, petroleum product, petroleum product distributon, petroleum product retail</t>
  </si>
  <si>
    <t>ampol.com.au</t>
  </si>
  <si>
    <t>1987: 2555, 1990: 1995, 1991: 1995, 1992: 1725, 1993: 1666, 1994: 1666, 1995: 1666, 1998: 1680, 1999: 1610, 2000: 1469, 2001: 1558, 2002: 2638, 2003: 2986, 2004: 2989, 2005: 3046, 2006: 3164, 2007: 3252, 2008: 4158, 2009: 3872, 2010: 3546, 2011: 3550, 2012: 3610, 2013: 3638, 2014: 3067, 2015: 3078, 2016: 3045, 2017: 4724, 2018: 6600, 2019: 7644</t>
  </si>
  <si>
    <t>ALD</t>
  </si>
  <si>
    <t>216116-74P</t>
  </si>
  <si>
    <t>Matthew Halliday</t>
  </si>
  <si>
    <t>mhalliday@caltex.com.au</t>
  </si>
  <si>
    <t>+61 (0)2 9250 5000</t>
  </si>
  <si>
    <t>2 Market Street</t>
  </si>
  <si>
    <t>Level 24</t>
  </si>
  <si>
    <t>The company had received bids to be acquired by Couche-Tard (TSE: ATD.B) and Euro Garages for approximately $8.8 billion on January 6, 2020. Couche-Tard had already raised the bid to A$34.50 per share in cash from its original proposal of A$32. Subsequently, the deal was canceled on April 20, 2020. Previously, the company (ASX: CTX) was acquired by an undisclosed investor for AUD 4.73 billion on March 31, 2015.</t>
  </si>
  <si>
    <t>Allens(Legal Advisor), Luminis Partners(Advisor: General), REL Consultancy(Consulting)</t>
  </si>
  <si>
    <t>Grant Samuel Group(Advisor: General), Herbert Smith Freehills(Legal Advisor), The Goldman Sachs Group(Advisor: General), UBS Group(Advisor: General)</t>
  </si>
  <si>
    <t>41609-53</t>
  </si>
  <si>
    <t>Embarq</t>
  </si>
  <si>
    <t>Embarq Corp.</t>
  </si>
  <si>
    <t>Provider of telecommunications services. The company offers wire-line and wireless telecommunication services such as voice services, local calling, voicemail services, data connection services, long distance home phone services, DISH network installation and wire line telecom installation as well as maintenance services in the US.</t>
  </si>
  <si>
    <t>data communication equipment, local calling, telecom service, voicemail service, wireless telecommunication</t>
  </si>
  <si>
    <t>2004: 14500, 2005: 14500, 2006: 20000, 2007: 18000, 2008: 16000</t>
  </si>
  <si>
    <t>16260-31P</t>
  </si>
  <si>
    <t>William Owens</t>
  </si>
  <si>
    <t>554 West 110th Street</t>
  </si>
  <si>
    <t>The company (NYSE: EQ) was acquired by CenturyTel (NYSE: CTL) for $6.0 billion on July 01, 2009. The acquisition would allow CenturyLink to expand its business portfolio. The company is no longer actively tracked by PitchBook.</t>
  </si>
  <si>
    <t>Sprint</t>
  </si>
  <si>
    <t>Hill Ward Henderson(Legal Advisor)</t>
  </si>
  <si>
    <t>Cravath, Swaine &amp; Moore(Legal Advisor), FocalPoint Partners(Advisor: General), JPMorgan Chase(Advisor: General), Morris, Nichols, Arsht &amp; Tunnell(Legal Advisor), Vetus Partners(Advisor: General)</t>
  </si>
  <si>
    <t>63306-19</t>
  </si>
  <si>
    <t>Commerzbank (Spanish Property Loan)</t>
  </si>
  <si>
    <t>J.P. Morgan ( Portugal non-performing loans), Lone Star Funds ( Portugal non-performing loans)</t>
  </si>
  <si>
    <t>Portfolio of Spanish property loans of Commerzbank. The portfolio consists of Commerzbank's Spanish commercial real-estate financing loans, non-performing loans in Portugal and entire operational commercial real estate activities in Spain.</t>
  </si>
  <si>
    <t>building and property, non performing loan portfolio, property loan portfolio, real estate financing loans, real estate loans</t>
  </si>
  <si>
    <t>The Spanish property loans portfolios of Commerzbank was acquired by Lone Star Funds and J.P. Morgan, through an EUR 4.4 billion LBO on June 11, 2014. The acquisition enables Commerzbank to reduce its commercial real estate loan book by 16% to EUR 32 billion and the non-performing loans nearly by one-third to EUR 5.1 billion. The assets are no longer actively tracked by PitchBook.</t>
  </si>
  <si>
    <t>J.P. Morgan, Lone Star Funds</t>
  </si>
  <si>
    <t>J.P. Morgan(www.jpmorgan.com), Lone Star Funds(www.lonestarfunds.com)</t>
  </si>
  <si>
    <t>Commerzbank(www.commerzbank.com)</t>
  </si>
  <si>
    <t>11430-73</t>
  </si>
  <si>
    <t>CoreLogic</t>
  </si>
  <si>
    <t>The First American Corporation</t>
  </si>
  <si>
    <t>CoreLogic, Inc.</t>
  </si>
  <si>
    <t>Kroll, Black Knight (US), The Red Flag Group, Lereta</t>
  </si>
  <si>
    <t>CoreLogic Inc is a provider of data and analytics for the real estate sector. It operates in two segments: Property Intelligence &amp; Risk Management Solutions and Underwriting &amp; Workflow Solutions. The company offers a national database of property and mortgage information, judgments and liens, building and replacement costs, parcel and geospatial data, criminal background records, eviction information, nonprime lending records, credit information, and tax information. The database includes historical property transactions and mortgage applications and covers nearly all U.S. residential and commercial properties. Corelogic also provides analytics services and tools built around its database for use of property valuation and credit and risk management.</t>
  </si>
  <si>
    <t>Consulting Services (B2B), Other Commercial Services*, Vertical Market Software</t>
  </si>
  <si>
    <t>Real Estate Technology</t>
  </si>
  <si>
    <t>data analytics, house valuation, management solutions, management technology, risk management</t>
  </si>
  <si>
    <t>www.corelogic.com</t>
  </si>
  <si>
    <t>1989: 6390, 1990: 6588, 1991: 7585, 1992: 7585, 1993: 10679, 1994: 9033, 1995: 10149, 1996: 11611, 1997: 12930, 1998: 19669, 1999: 20065, 2000: 20346, 2001: 22597, 2002: 24886, 2003: 29802, 2004: 30994, 2005: 35444, 2006: 39670, 2007: 37354, 2008: 31411, 2009: 30922, 2010: 10084, 2011: 5511, 2012: 4800, 2013: 5242, 2014: 4820, 2015: 6500, 2016: 6300, 2017: 5900, 2018: 5800, 2019: 5100, 2020: 5300</t>
  </si>
  <si>
    <t>68123-35P</t>
  </si>
  <si>
    <t>James Balas</t>
  </si>
  <si>
    <t>jlbalas@corelogic.com</t>
  </si>
  <si>
    <t>+1 (949) 214-1000</t>
  </si>
  <si>
    <t>40 Pacifica</t>
  </si>
  <si>
    <t>92618</t>
  </si>
  <si>
    <t>The company was acquired by Stone Point Capital and Insight Partners through an estimated $6 billion LBO on June 04, 2021. The deal was financed through a combination of committed equity financing provided by Norwest Venture Partners, Stone Point Capital and Insight Partners, as well as committed $ 4.5 billion debt financing in the form of a $500 million revolving credit line. a $3.25 billion term loan B and a $750 million second-lien term loan from J.P. Morgan Securities, Capital One bank, Wells Fargo, Ares Capital and other lenders The transaction allows the company to build on its financial and operating performance and accelerate its digital transformation and growth. As a result of the transaction, the company went private.</t>
  </si>
  <si>
    <t>Insight Partners, Norwest Venture Partners, Stone Point Capital</t>
  </si>
  <si>
    <t>Cannae Holdings, First American, Senator Investment Group</t>
  </si>
  <si>
    <t>CoStar Group</t>
  </si>
  <si>
    <t>Insight Partners(www.insightpartners.com), Norwest Venture Partners(www.nvp.com), Stone Point Capital(www.stonepoint.com)</t>
  </si>
  <si>
    <t>Cannae Holdings(www.cannaeholdings.com), First American(www.firstam.com), Senator Investment Group(www.senatorlp.com)</t>
  </si>
  <si>
    <t>CoStar Group(www.costargroup.com)</t>
  </si>
  <si>
    <t>Citizens Bank(Debt Financing), KeyBanc Capital Markets(Debt Financing), KKR Capital Markets(Debt Financing), Macquarie(Debt Financing), Nomura Securities(Debt Financing), Nutter McClennen &amp; Fish(Legal Advisor), RBC Capital Markets(Debt Financing), Stifel Financial(Debt Financing), Troutman Sanders(Legal Advisor), U.S. Bancorp(Debt Financing)</t>
  </si>
  <si>
    <t>Ares Capital(Debt Financing), Bank of America(Debt Financing), Benefit Street Partners(Debt Financing), BMO Capital Markets(Debt Financing), Capital One Financial(Debt Financing), Citizens Bank(Debt Financing), Credit Suisse(Debt Financing), Evercore Group(Advisor: General), Fifth Third Bank(Debt Financing), Golub Capital(Debt Financing), J.P. Morgan Securities(Advisor: General), Kahn Swick &amp; Foti(Legal Advisor), KeyBanc Capital Markets(Debt Financing), KKR Capital Markets(Debt Financing), Macquarie(Debt Financing), Mitsubishi UFJ Financial Group(Debt Financing), Nomura Securities(Debt Financing), RBC Capital Markets(Debt Financing), Skadden, Arps, Slate, Meagher &amp; Flom(Legal Advisor), Stifel Financial(Debt Financing), Stone Point Capital(Debt Financing), Truist(Debt Financing), U.S. Bancorp(Debt Financing), Wells Fargo(Debt Financing)</t>
  </si>
  <si>
    <t>Loan (Second Lien Term Loan); Loan - $750.00M (Second Lien Term Loan); Loan - $3.25B (Term Loan B); Revolving Credit Line - $500.00M</t>
  </si>
  <si>
    <t>43226-83</t>
  </si>
  <si>
    <t>Corporate Property Associates 17 - Global</t>
  </si>
  <si>
    <t>CPA 17- Global, Corporate Property Associates, CPA 17</t>
  </si>
  <si>
    <t>Corporate Property Associates 17 - Global, Inc.</t>
  </si>
  <si>
    <t>Operator of a real estate investment trust. The company owns, operates or finances income-producing real estate.</t>
  </si>
  <si>
    <t>commercial property, investor relations, real estate investor, reit, reit firm</t>
  </si>
  <si>
    <t>www.cpa17global.com</t>
  </si>
  <si>
    <t>187667-11P</t>
  </si>
  <si>
    <t>Mallika Sinha</t>
  </si>
  <si>
    <t>50 Rockefeller Plaza</t>
  </si>
  <si>
    <t>10020</t>
  </si>
  <si>
    <t>The company (OTC: CPPY) was acquired by W.P. Carey (NYSE: WPC) for $6 billion on October 31, 2018. CPA 17 stockholders will receive 0.160 shares of W.P. Carey for each share held, equivalent to $10.72 per share based on the company's June 15, 2018 closing price. This transaction provides CPA:17 - Global stockholders with liquidity as well as the opportunity to hold their shares in a company that has a similar investment profile and income strategy they have become accustomed to. The company is no longer actively tracked by PitchBook.</t>
  </si>
  <si>
    <t>W.P. Carey</t>
  </si>
  <si>
    <t>Clifford Chance(Legal Advisor), DLA Piper(Legal Advisor), Morgan Stanley(Advisor: General), Pepper Hamilton(Legal Advisor), PwC(Accounting), Reed Smith(Legal Advisor), Venable(Legal Advisor)</t>
  </si>
  <si>
    <t>10154-89</t>
  </si>
  <si>
    <t>Culligan International</t>
  </si>
  <si>
    <t>Culligan Zeolite Company</t>
  </si>
  <si>
    <t>Culligan</t>
  </si>
  <si>
    <t>Culligan International Company</t>
  </si>
  <si>
    <t>Aquasana, Best Water Technology, HydroNovation, RainSoft Water Treatment Systems, Eden Springs International, Bevi, Marlo Incorporated, Waterlogic, Hague Quality Water International, Hellenbrand, Pelican Water Systems, Macke Water Systems, A.O. Smith Electrical Products (Suzhou), Nestle Waters Europe, Eden Springs UK</t>
  </si>
  <si>
    <t>Culligan International is a provider of water softening and purification equipment and services. The company manufactures water purification and treatment products and services such as filters for tap water and household water softeners, to office water coolers and high-end multi-tap dispensing systems for household, consumer and commercial applications.</t>
  </si>
  <si>
    <t>Environmental Services (B2B), Household Products*</t>
  </si>
  <si>
    <t>drinking water system, household water appliance, office water cooler, reverse osmosis system, water cooler company, water cooler installation, water cooler supplier, water delivery, water purification, water softener</t>
  </si>
  <si>
    <t>www.culligan.com</t>
  </si>
  <si>
    <t>1998: 4000, 2004: 5500, 2013: 200, 2019: 5000, 2021: 7500</t>
  </si>
  <si>
    <t>38822-32P</t>
  </si>
  <si>
    <t>Scott Clawson</t>
  </si>
  <si>
    <t>scott.clawson@culligan.com</t>
  </si>
  <si>
    <t>+1 (855) 300-6388</t>
  </si>
  <si>
    <t>Rosemont, IL</t>
  </si>
  <si>
    <t>9399 West Higgins Road</t>
  </si>
  <si>
    <t>Suite 1100</t>
  </si>
  <si>
    <t>Rosemont</t>
  </si>
  <si>
    <t>60018</t>
  </si>
  <si>
    <t>info@culligan.com</t>
  </si>
  <si>
    <t>The company entered into a definitive agreement to be acquired by BDT Capital Partners through an estimated $6 billion LBO on May 25, 2021. As part of this agreement, Advent will also reinvest to acquire a minority stake in the company. Previously, the company received debt financing in the form of first lien loan from Ares Capital on March 30, 2020. The funds will be used to support future acquisitions. The company is being actively tracked by PitchBook.</t>
  </si>
  <si>
    <t>Centerbridge Partners</t>
  </si>
  <si>
    <t>Clayton, Dubilier &amp; Rice, United States Filter</t>
  </si>
  <si>
    <t>Advent International, BDT Capital Partners, Best Water Technology</t>
  </si>
  <si>
    <t>Centerbridge Partners(www.centerbridge.com)</t>
  </si>
  <si>
    <t>Clayton, Dubilier &amp; Rice(www.cdr-inc.com), United States Filter(www.usfilter.com)</t>
  </si>
  <si>
    <t>Advent International(www.adventinternational.com), Best Water Technology(www.bwt.com)</t>
  </si>
  <si>
    <t>Ice Miller(Legal Advisor), Lazard(Advisor: General)</t>
  </si>
  <si>
    <t>Angelo, Gordon &amp; Company(Debt Financing), Ares Capital(Debt Financing), Bank of America(Debt Financing), BNP Paribas(Debt Financing), BNP Paribas Securities Services(Debt Financing), Citibank(Advisor: General), Citicorp North America(Debt Financing), Citigroup(Debt Financing), Citigroup Global Markets(Debt Financing), Cleary Gottlieb(Legal Advisor), Corporate Capital Trust(Debt Financing), Daroth Capital Advisors(Placement Agent), FS KKR Capital(Debt Financing), Kohlberg Kravis Roberts(Debt Financing), Morgan Stanley(Debt Financing), Morgan Stanley Senior Funding(Debt Financing), PSP Investments Credit USA(Debt Financing), Simpson Thacher &amp; Bartlett(Legal Advisor), Weil, Gotshal &amp; Manges(Legal Advisor)</t>
  </si>
  <si>
    <t>12030-49</t>
  </si>
  <si>
    <t>Digex</t>
  </si>
  <si>
    <t>Digex Inc.</t>
  </si>
  <si>
    <t>Provider of managed Web and application hosting services for businesses. The company's services include managed servers, Internet security, e-business applications, application servers and messaging &amp; collaboration services.</t>
  </si>
  <si>
    <t>Business/Productivity Software, Financial Software, Media and Information Services (B2B), Systems and Information Management*</t>
  </si>
  <si>
    <t>application optimization, application support, consulting service, database service, networking service, web services</t>
  </si>
  <si>
    <t>www.digex.com</t>
  </si>
  <si>
    <t>2003: 768</t>
  </si>
  <si>
    <t>Laurel, MD</t>
  </si>
  <si>
    <t>14400 Sweitzer Lane</t>
  </si>
  <si>
    <t>Laurel</t>
  </si>
  <si>
    <t>20707</t>
  </si>
  <si>
    <t>+1 (240) 264-2000</t>
  </si>
  <si>
    <t>+1 (240) 456-3597</t>
  </si>
  <si>
    <t>The company was acquired by Intermedia Communications for $6 billion on September 6, 2000.</t>
  </si>
  <si>
    <t>Blue Chip Venture, Grotech Ventures, Massey Burch Capital, Venrock, Western Technology Investment</t>
  </si>
  <si>
    <t>Blue Chip Venture(www.bcvc.com), Grotech Ventures(www.grotech.com), Massey Burch Capital(www.masseyburch.com), Venrock(www.venrock.com), Western Technology Investment(www.westerntech.com)</t>
  </si>
  <si>
    <t>Arlington Asset Investment(Underwriter), Western Technology Investment(Debt Financing)</t>
  </si>
  <si>
    <t>181283-68</t>
  </si>
  <si>
    <t>Echoenergia Participações</t>
  </si>
  <si>
    <t>Echoenergia</t>
  </si>
  <si>
    <t>Echoenergia Participações S.A.</t>
  </si>
  <si>
    <t>Owner and operator of wind farms. The company's energy production services are offered through its wind energy projects in Brazil.</t>
  </si>
  <si>
    <t>Impact Investing</t>
  </si>
  <si>
    <t>green energy company, impact investing vertical, wind energy, wind energy company, wind farming</t>
  </si>
  <si>
    <t>www.echoenergia.com.br</t>
  </si>
  <si>
    <t>213868-90P</t>
  </si>
  <si>
    <t>Lara Monteiro</t>
  </si>
  <si>
    <t>lmonteiro@echoenergia.com.br</t>
  </si>
  <si>
    <t>+55 11 3674 5565</t>
  </si>
  <si>
    <t>Avenido Brigadeiro Faria Lima</t>
  </si>
  <si>
    <t>1663 - 4º andar Jardim Paulistano</t>
  </si>
  <si>
    <t>01452-001</t>
  </si>
  <si>
    <t>contato@echoenergia.com.br</t>
  </si>
  <si>
    <t>The company was in talks to be acquired for $6 billion on December 10, 2019. Subsequently, the deal was cancelled. Previously, the company was created as a platform by Actis in 2017.</t>
  </si>
  <si>
    <t>Actis</t>
  </si>
  <si>
    <t>Actis(www.act.is)</t>
  </si>
  <si>
    <t>61749-55</t>
  </si>
  <si>
    <t>GeoSouthern Energy (Eagle Ford Assets)</t>
  </si>
  <si>
    <t>Producer and explorer of oil and natural gas. The company operates oil and gas wells.</t>
  </si>
  <si>
    <t>Energy Exploration*, Energy Production, Other Energy</t>
  </si>
  <si>
    <t>energy exploration service, gas wells, oil explorer</t>
  </si>
  <si>
    <t>1425 Lake Front Circle</t>
  </si>
  <si>
    <t>+1 (281) 363-9161</t>
  </si>
  <si>
    <t>+1 (281) 363-9181</t>
  </si>
  <si>
    <t>The Eagle Ford Oil and Gas Assets of GeoSouthern Energy were acquired by Devon Energy for $6 billion on February 28, 2014. The company is no longer actively tracked by PitchBook.</t>
  </si>
  <si>
    <t>Devon Energy</t>
  </si>
  <si>
    <t>GeoSouthern Energy, The Blackstone Group</t>
  </si>
  <si>
    <t>Jefferies Financial Group(Advisor: General), Morgan Stanley(Advisor: General), The Goldman Sachs Group(Advisor: General)</t>
  </si>
  <si>
    <t>99264-34</t>
  </si>
  <si>
    <t>Home Partners of America</t>
  </si>
  <si>
    <t>Hyperion Homes</t>
  </si>
  <si>
    <t>HPA, Home Partners</t>
  </si>
  <si>
    <t>Home Partners of America, Inc.</t>
  </si>
  <si>
    <t>HomeGain.com, Realty One Group, Realty Austin, Roofstock, TripleMint, EasyKnock, Ziprealty, Apartments.com, Sotheby's International Realty, Endurance Business Media, Otis &amp; Ahearn, Move (Santa Clara), Rent.com, Trulia, Movoto</t>
  </si>
  <si>
    <t>Provider of real estate services committed to making homeownership a reality for more people. The company provides households a transparent path to homeownership with the help of licensed real estate agents who offer properties in communities that fit the budget and the investment criteria of the buyers, enabling prospective residents to receive flexible, easy, and transparent services.</t>
  </si>
  <si>
    <t>house leasing, household service, leasing facility, real estate services, residential service</t>
  </si>
  <si>
    <t>www.homepartners.com</t>
  </si>
  <si>
    <t>2021: 204</t>
  </si>
  <si>
    <t>136081-45P</t>
  </si>
  <si>
    <t>William Young</t>
  </si>
  <si>
    <t>Co-Founder, Chief Executive Officer &amp; President</t>
  </si>
  <si>
    <t>byoung@homepartners.com</t>
  </si>
  <si>
    <t>+1 (877) 234-5155</t>
  </si>
  <si>
    <t>120 South Riverside Plaza</t>
  </si>
  <si>
    <t>The company entered into a definitive agreement to be acquired by The Blackstone Group through a $6 billion LBO on June 22, 2021.</t>
  </si>
  <si>
    <t>BlackRock, First Eagle Alternative Credit BDC, Kohlberg Kravis Roberts, Range Light</t>
  </si>
  <si>
    <t>BlackRock(www.blackrock.com), First Eagle Alternative Credit BDC(www.feac.com), Kohlberg Kravis Roberts(www.kkr.com), Range Light(www.rangelightllc.com)</t>
  </si>
  <si>
    <t>BlackRock TCP Capital(Debt Financing), Citibank(Debt Financing), First Eagle Alternative Credit BDC(Debt Financing), Fried, Frank, Harris, Shriver &amp; Jacobson(Legal Advisor), Sidley Austin(Legal Advisor), The Goldman Sachs Group(Advisor: General)</t>
  </si>
  <si>
    <t>99596-35</t>
  </si>
  <si>
    <t>Mavis Tire Supply</t>
  </si>
  <si>
    <t>Vic the Tire King, Mavis Tire Supply Corporation</t>
  </si>
  <si>
    <t>Mavis</t>
  </si>
  <si>
    <t>Mavis Tire Supply LLC</t>
  </si>
  <si>
    <t>Dash Distributors, Blacks Tire, Monro Muffler Brake, Midas, Midas Australia, Tint World, The Parts Authority, McGee Auto Service &amp; Tires, Xl Parts Partnership, Dunn Tire, CarParts.com, Pep Boys</t>
  </si>
  <si>
    <t>Distributor and provider of automotive products and services. The company specializes in the distribution of tires for various different brands, it also offers repair and maintenance services including brakes, alignments, suspension, shocks, and exhaust repair service to its clients.</t>
  </si>
  <si>
    <t>Automotive*, Distributors/Wholesale</t>
  </si>
  <si>
    <t>automotive service, automotive service center, automotive tyres, discount tires, tire services product, tires service provider</t>
  </si>
  <si>
    <t>www.mavistire.com</t>
  </si>
  <si>
    <t>2021: 808</t>
  </si>
  <si>
    <t>128056-42P</t>
  </si>
  <si>
    <t>David Sorbaro</t>
  </si>
  <si>
    <t>Co-Owner &amp; Co-Chief Executive Officer</t>
  </si>
  <si>
    <t>dsorbaro@mavistire.com</t>
  </si>
  <si>
    <t>+1 (877) 684-7365</t>
  </si>
  <si>
    <t>Millwood, NY</t>
  </si>
  <si>
    <t>358 Saw Mill River Road</t>
  </si>
  <si>
    <t>Millwood</t>
  </si>
  <si>
    <t>10546</t>
  </si>
  <si>
    <t>support@mavistire.com</t>
  </si>
  <si>
    <t>The company was acquired by BayPine, TSG Consumer and StepStone Group through a $6 billion LBO on May 4, 2021. Golden Gate Capital to retain a minority stake in the company. Additionally, Jefferies Group, Owl Rock Capital Corp II, Kohlberg Kravis Roberts, Bank of America, Stifel Financial, The Blackstone Group, Ares Capital, Golub Capital, Ares Management and certain affiliates and funds managed by affiliates of Apollo Global Management provided $2.11 billion debt financing in the form of a $1.91 billion senior secured first-lien term loan and a $200 million revolver credit facility debt financing to support the transaction.</t>
  </si>
  <si>
    <t>BayPine, Owl Rock Capital Group, StepStone Group, TSG Consumer</t>
  </si>
  <si>
    <t>Express Oil, ONCAP, Penfund</t>
  </si>
  <si>
    <t>Angel Island Capital, Antares Capital, Ares Capital, Carousel Capital, Cowen &amp; Company, Golden Gate Capital, GoldPoint Partners, Golub Capital BDC, Hartford Investment Management Company, Kohlberg Kravis Roberts, Twin Bridge Capital Partners</t>
  </si>
  <si>
    <t>BayPine(www.baypine.com), Owl Rock Capital Group(www.owlrock.com), StepStone Group(www.stepstoneglobal.com), TSG Consumer(www.tsgconsumer.com)</t>
  </si>
  <si>
    <t>Express Oil(www.expressoil.com), ONCAP(www.oncap.com), Penfund(www.penfund.com)</t>
  </si>
  <si>
    <t>Angel Island Capital(www.aicap.com), Antares Capital(www.antares.com), Ares Capital(www.arescapitalcorp.com), Carousel Capital(www.carouselcapital.com), Cowen &amp; Company(www.cowen.com), Golden Gate Capital(www.goldengatecap.com), GoldPoint Partners(www.goldpointpartners.com), Golub Capital BDC(www.golubcapitalbdc.com), Hartford Investment Management Company(www.himco.com), Kohlberg Kravis Roberts(www.kkr.com), Twin Bridge Capital Partners(www.twinbridgecapital.com)</t>
  </si>
  <si>
    <t>Angel Island Capital(Debt Financing), Antares Capital(Debt Financing), Apollo Global Management(Debt Financing), Ares Capital(Debt Financing), Ares Management(Debt Financing), Audax Credit BDC(Debt Financing), Audax Group(Debt Financing), Bain Capital Credit(Debt Financing), Bank of America(Debt Financing), BB&amp;T Capital Markets(Advisor: General), Bridgestone Americas(Debt Financing), Citizens Bank(Debt Financing), Continental Automotive Master Trust(Debt Financing), Cooper Tire &amp; Rubber Company(Debt Financing), Covington &amp; Burling(Legal Advisor), Cowen &amp; Company(Debt Financing), CPPIB Credit Investments(Debt Financing), Eni(Debt Financing), Falken Tire Corporation(Debt Financing), Firestone Tire and Rubber Company(Debt Financing), GE Capital(Debt Financing), Golub Capital(Debt Financing), Goodyear Tire &amp; Rubber(Debt Financing), Guggenheim Credit Income Fund(Debt Financing), Guggenheim Partners(Debt Financing), Jefferies Finance(Debt Financing), Jefferies Group(Advisor: General), Jefferies International(Advisor: General), Kohlberg Kravis Roberts(Debt Financing), Konica Minolta Business Solutions U.S.A.(Debt Financing), Michelin North America Pension Arm(Debt Financing), NMF SLF I(Debt Financing), Osler, Hoskin &amp; Harcourt(Legal Advisor), Owl Rock Capital Corp II(Debt Financing), Owl Rock Capital Corporation(Debt Financing), Penfund(Debt Financing), Polsinello Fuels(Debt Financing), Ropes &amp; Gray(Legal Advisor), Stifel Financial(Debt Financing), The Blackstone Group(Debt Financing), The Raymond(Debt Financing)</t>
  </si>
  <si>
    <t>Loan (Secured)</t>
  </si>
  <si>
    <t>Loan - $1.92B (Senior First Lien Term Loan; Floating); Revolving Credit Line - $200.00M</t>
  </si>
  <si>
    <t>234088-75</t>
  </si>
  <si>
    <t>National Oilwell Varco/Aramco JV</t>
  </si>
  <si>
    <t>Manufacturer of onshore drilling equipment and rigs in Saudi Arabia. The company provides technical expertise, advanced equipment, and, operational support necessary for conducting the drilling and production operations to unlock oil and gas from onshore land reserves.</t>
  </si>
  <si>
    <t>Oil and Gas Equipment*</t>
  </si>
  <si>
    <t>drilling rigging, land exploration, onshore drilling, onshore drilling services, shale drilling</t>
  </si>
  <si>
    <t>7909 Parkwood Circle Drive</t>
  </si>
  <si>
    <t>77036</t>
  </si>
  <si>
    <t>The company was formed as a joint venture between National Oilwell Varco (NYSE: NOV) and Saudi Aramco for $6 billion on June 29, 2018.</t>
  </si>
  <si>
    <t>National Oilwell Varco, Saudi Aramco</t>
  </si>
  <si>
    <t>National Oilwell Varco(www.nov.com), Saudi Aramco(www.aramco.com)</t>
  </si>
  <si>
    <t>51777-19</t>
  </si>
  <si>
    <t>Oiltanking Partners</t>
  </si>
  <si>
    <t>Oiltanking Partners LP</t>
  </si>
  <si>
    <t>Operator of a oil terminal and storage firm. The company engages in terminaling, storage and transportation of crude oil, refined petroleum products and liquefied petroleum gas.</t>
  </si>
  <si>
    <t>crude petroleum, petroleum distribution, petroleum pipeline</t>
  </si>
  <si>
    <t>2010: 154, 2011: 174, 2012: 200, 2013: 220</t>
  </si>
  <si>
    <t>Enterprise Products Partners</t>
  </si>
  <si>
    <t>80816-32P</t>
  </si>
  <si>
    <t>Jonathan Ackerman</t>
  </si>
  <si>
    <t>Chief Financial Officer, Finance &amp; Vice President</t>
  </si>
  <si>
    <t>jonathan.ackerman@modamidstream.com</t>
  </si>
  <si>
    <t>+1 (832) 930-4838</t>
  </si>
  <si>
    <t>333 Clay Street</t>
  </si>
  <si>
    <t>Suite 2400</t>
  </si>
  <si>
    <t>+1 (281) 457-7900</t>
  </si>
  <si>
    <t>+1 (281) 457-7917</t>
  </si>
  <si>
    <t>info@oiltankingpartners.com</t>
  </si>
  <si>
    <t>The company (NYSE: OILT) was acquired by Enterprise Products Partners (NYSE: EPD) for $6 billion on February 13, 2015.</t>
  </si>
  <si>
    <t>Marquard &amp; Bahls</t>
  </si>
  <si>
    <t>Marquard &amp; Bahls(www.marquard-bahls.com)</t>
  </si>
  <si>
    <t>Raymond James Financial(Underwriter)</t>
  </si>
  <si>
    <t>Deutsche Bank(Advisor: General), Jefferies Financial Group(Advisor: General), Latham &amp; Watkins(Legal Advisor), Richards Layton &amp; Finger(Legal Advisor), Skadden, Arps, Slate, Meagher &amp; Flom(Legal Advisor), Vinson &amp; Elkins(Legal Advisor)</t>
  </si>
  <si>
    <t>125296-21</t>
  </si>
  <si>
    <t>Pillsbury Company</t>
  </si>
  <si>
    <t>Pillsbury Mills</t>
  </si>
  <si>
    <t>Pillsbury</t>
  </si>
  <si>
    <t>The Pillsbury Company, LLC</t>
  </si>
  <si>
    <t>Pinnacle Foods, CSM Bakery Solutions, Rich Products, Bridgford Foods, McCain Foods, Michael Foods, Annie's Homegrown, FrieslandCampina, Mondelēz International, Quaker Oats, Fauji Foods, Flowers Foods, Urban Fresh Foods, Blommer Chocolate Company, Kar's Nuts, Post Holdings</t>
  </si>
  <si>
    <t>Manufacturer and distributor of consumer food products. The company provides a range of branded food products, including baked goods, frozen pizzas, vegetables, soups and desserts.</t>
  </si>
  <si>
    <t>baked food, consumer food, consumer food product</t>
  </si>
  <si>
    <t>www.pillsbury.com</t>
  </si>
  <si>
    <t>1989: 104000</t>
  </si>
  <si>
    <t>188305-84P</t>
  </si>
  <si>
    <t>Paul Walsh</t>
  </si>
  <si>
    <t>+1 (800) 775-4777</t>
  </si>
  <si>
    <t>Post Box 9452</t>
  </si>
  <si>
    <t>+1 (763) 764-8330</t>
  </si>
  <si>
    <t>The Company, a subsidiary of Diageo (LON: DGE), was acquired by General Mills (NYSE: GIS) for $6 billion on October 31, 2001. General Mills (NYSE: GIS) paid $6 billion in stock and $4.5 billion in assumed liabilities. The company is no longer actively tracked by PitchBook.</t>
  </si>
  <si>
    <t>Diageo</t>
  </si>
  <si>
    <t>Diageo(www.diageo.com)</t>
  </si>
  <si>
    <t>Pegasus Intellectual Capital Solutions(Advisor: General), Radian (Tennessee)(Advisor: General)</t>
  </si>
  <si>
    <t>Greenhill &amp; Co.(Advisor: General), KPMG Peat Marwick(Auditor), Piper Sandler(Advisor: General), Slaughter and May(Legal Advisor), Sullivan &amp; Cromwell(Legal Advisor), UBS Group(Advisor: General)</t>
  </si>
  <si>
    <t>41234-14</t>
  </si>
  <si>
    <t>Reckson Associates Realty</t>
  </si>
  <si>
    <t>Reckson</t>
  </si>
  <si>
    <t>Reckson Associates Realty Corp.</t>
  </si>
  <si>
    <t>Provider of real estate services based in Melville, New York. The company is a self-administered and self-managed real REIT specializing in the acquisition, leasing, financing, management and development of Class A office properties.</t>
  </si>
  <si>
    <t>office property, property development, property leasing, real estate investment trust, real estate services</t>
  </si>
  <si>
    <t>www.reckson.com</t>
  </si>
  <si>
    <t>1995: 120, 1996: 185, 1997: 210, 1998: 250, 1999: 300, 2000: 317, 2001: 311, 2002: 303, 2003: 270, 2004: 300, 2005: 300</t>
  </si>
  <si>
    <t>225 Broadhollow Road</t>
  </si>
  <si>
    <t>The company was acquired by SL Green Realty (NYS: SLG) for $6 billion on January 25, 2007. The acquisition provides SL Green with a huge step forward as one of the nation's largest office REITs as they seek to continue being the sector's outstanding performer. The company is no longer actively tracked by PitchBook.</t>
  </si>
  <si>
    <t>Citigroup(Advisor: General), Greenhill &amp; Co.(Advisor: General), The Goldman Sachs Group(Advisor: General), Wachtell, Lipton, Rosen &amp; Katz(Legal Advisor)</t>
  </si>
  <si>
    <t>129543-58</t>
  </si>
  <si>
    <t>Redcard</t>
  </si>
  <si>
    <t>RedCard Systems, LLC</t>
  </si>
  <si>
    <t>NaviNet, eClinicalWorks, Patientco Holdings, Streamline Health Solutions, CareCloud Health, Modernizing Medicine, InstaMed, Teladoc Health, Loyale, Viewics, Innovaccer, Eligible, Medibis, MedeAnalytics, Zelis Healthcare, RelayHealth, nThrive, Cerner, Etactics, Availity, Healthx, Health Catalyst</t>
  </si>
  <si>
    <t>Provider of claims communications, payments and enrollment services. The company's services are provided through its manageable and easy-to-use end-to-end communication system which uses a flexible design that makes data points clear and understandable, enabling healthcare providers, payors and members to receive an effective system which builds an accurate and useful patient data as well as offers easier payment methods.</t>
  </si>
  <si>
    <t>Medical Records Systems</t>
  </si>
  <si>
    <t>Communication Software, Medical Records Systems*</t>
  </si>
  <si>
    <t>HealthTech, TMT</t>
  </si>
  <si>
    <t>claims communications, document management, enrollment service, service technology, software service</t>
  </si>
  <si>
    <t>www.redcard.com</t>
  </si>
  <si>
    <t>Zelis Healthcare</t>
  </si>
  <si>
    <t>180540-82P</t>
  </si>
  <si>
    <t>Eric Schaefer</t>
  </si>
  <si>
    <t>eric.schaefer@zelispayments.com</t>
  </si>
  <si>
    <t>+1 (877) 828-8770</t>
  </si>
  <si>
    <t>744 Office Parkway</t>
  </si>
  <si>
    <t>63141</t>
  </si>
  <si>
    <t>+1 (888) 692-8060</t>
  </si>
  <si>
    <t>+1 (314) 567-4245</t>
  </si>
  <si>
    <t>info@redcard.com</t>
  </si>
  <si>
    <t>The company was acquired by Zelis Healthcare, via its financial sponsors Parthenon Capital Partners, Edison Partners and Twin Bridge Capital Partners, through a $6 billion LBO on October 4, 2019. The merger was supported by Bain Capital Private Equity and Bain Capital Ventures. The transaction was supported by $2 million of debt financing in the form of a senior secured initial term loan from Audax Credit BDC.</t>
  </si>
  <si>
    <t>Bain Capital, Bain Capital Ventures, Edison Partners, Parthenon Capital Partners, Twin Bridge Capital Partners</t>
  </si>
  <si>
    <t>Bain Capital(www.baincapital.com), Bain Capital Ventures(www.baincapitalventures.com), Edison Partners(www.edisonpartners.com), Parthenon Capital Partners(www.parthenoncapital.com), Twin Bridge Capital Partners(www.twinbridgecapital.com)</t>
  </si>
  <si>
    <t>Antares Capital(Debt Financing), Audax Credit BDC(Debt Financing), BMO Harris Bank(Debt Financing), Capital One Financial(Debt Financing), Kirkland &amp; Ellis(Legal Advisor), Manulife Investment Management -Private Equity &amp; Credit(Debt Financing), Silicon Valley Bank(Debt Financing), The Goldman Sachs Group(Advisor: General)</t>
  </si>
  <si>
    <t>Leveraged Recapitalization</t>
  </si>
  <si>
    <t>Loan - $125.00M (Term Loan); Revolving Credit Line - $25.00M</t>
  </si>
  <si>
    <t>Loan - $2.00M (Senior Secured Term Loan; Floating)</t>
  </si>
  <si>
    <t>25311-88</t>
  </si>
  <si>
    <t>SCI Systems</t>
  </si>
  <si>
    <t>Space Craft</t>
  </si>
  <si>
    <t>SCI Systems, Inc.</t>
  </si>
  <si>
    <t>Manufacturer of computer and peripherals. The company is engaged in the production and distribution of computers and other information processing equipment.</t>
  </si>
  <si>
    <t>Computers, Parts and Peripherals*, Electronic Equipment and Instruments</t>
  </si>
  <si>
    <t>computer assembling, computer peripherals equipment, computer setup, computer system, electronics manufacturing services</t>
  </si>
  <si>
    <t>www.sci.com</t>
  </si>
  <si>
    <t>1990: 10694, 1991: 9762, 1992: 9762, 1993: 10811, 1994: 12027, 1995: 13138, 1996: 15524, 1997: 18470, 1998: 22324, 1999: 25235, 2000: 31707, 2001: 36433</t>
  </si>
  <si>
    <t>22455-01P</t>
  </si>
  <si>
    <t>Jim Moylan</t>
  </si>
  <si>
    <t>Huntsville, AL</t>
  </si>
  <si>
    <t>13000 Memorial Parkway South West</t>
  </si>
  <si>
    <t>Huntsville</t>
  </si>
  <si>
    <t>35803-6000</t>
  </si>
  <si>
    <t>The company was acquired by Sanmina (NAS: SANM) for $6 billion on December 6, 2001. The merger of both the companies accelerates acquire's goal of building the premier EMS company in the world. The company is no longer actively tracked by PitchBook.</t>
  </si>
  <si>
    <t>Sanmina</t>
  </si>
  <si>
    <t>41179-60</t>
  </si>
  <si>
    <t>TCF Financial Corporation</t>
  </si>
  <si>
    <t>TCF</t>
  </si>
  <si>
    <t>TCF Financial Corp.</t>
  </si>
  <si>
    <t>First Midwest Bank, Synovus Bank, Capital One Financial, MUFG Union Bank, Fifth Third Bank, Commerzbank (Schweiz), SunTrust Bank, DBS Bank, ABN AMRO Bank, First National Bank, First Nationwide Bank, FHB Jelzálogbank Nyrt, KeyBank, Middleburg Bank, Northern Trust, MB Financial Bank, Regions Financial, Wells Fargo, HSBC Holdings, Seacoast Bank, First Horizon Bank, Midwest BankCentre, Chemical Bank, Commercial Bancshares, Credit Agricole, Frost Bank, Royal Bank of Canada, Macatawa Bank, Commerce Bank, Alpine Bancorporation, Huntington National Bank, Commerzbank, Guaranty Bank &amp; Trust Company, BOK Financial Corporation, United Bank (Charleston), First Busey, Great Lakes Financial Resources, Guaranty Bank &amp; Trust, PNC, Bank OZK, Associated Bank, U.S. Bancorp, Amegy Bank of Texas, Bank of Ireland, Capital Bank Financial, Bank of America</t>
  </si>
  <si>
    <t>TCF Financial is a bank and financial services provider operating throughout the United States and Canada. The company operates in three segments: commercial banking, which provides industrial and commercial banking and leasing services; consumer banking, which provides personal loans and wealth management services through retail banks; and enterprise services, which includes the company's capital management and operational functions. The majority of branches are concentrated in the U.S. Midwest, Colorado, Arizona, and South Dakota.</t>
  </si>
  <si>
    <t>bank, bank operator, banking firm, banking services, commercial banking, loans</t>
  </si>
  <si>
    <t>www.tcfbank.com</t>
  </si>
  <si>
    <t>1990: 2400, 1991: 2400, 1992: 3170, 1993: 2500, 1994: 2500, 1995: 4600, 1996: 4800, 1997: 5600, 1998: 4886, 1999: 7200, 2000: 7500, 2001: 8000, 2002: 8200, 2003: 8136, 2004: 8449, 2005: 8572, 2006: 8547, 2007: 8183, 2008: 7802, 2009: 7573, 2010: 7363, 2011: 7143, 2012: 7328, 2013: 7449, 2014: 7023, 2015: 6755, 2016: 6427, 2017: 6116, 2018: 5544, 2019: 8209, 2020: 7123</t>
  </si>
  <si>
    <t>127036-36P</t>
  </si>
  <si>
    <t>Brian Maass</t>
  </si>
  <si>
    <t>bmaass@tcfef.com</t>
  </si>
  <si>
    <t>Detroit, MI</t>
  </si>
  <si>
    <t>333 West Fort Street</t>
  </si>
  <si>
    <t>Suite 1800</t>
  </si>
  <si>
    <t>Detroit</t>
  </si>
  <si>
    <t>48226</t>
  </si>
  <si>
    <t>The company was acquired by Huntington National Bank (NAS: HBAN) for $6 billion on December 13, 2020. The acquisition positions Huntington for enhanced profitability and scale, revenue growth opportunities, significant cost synergies, and a strengthened market position. The company is no longer actively tracked by PitchBook.</t>
  </si>
  <si>
    <t>Huntington National Bank</t>
  </si>
  <si>
    <t>Keefe, Bruyette &amp; Woods(Advisor: Financial Due Diligence), Rigrodsky &amp; Long(Legal Advisor), Simpson Thacher &amp; Bartlett(Legal Advisor)</t>
  </si>
  <si>
    <t>13402-00</t>
  </si>
  <si>
    <t>The Pepsi Bottling Group</t>
  </si>
  <si>
    <t>The Pepsi Bottling Group, Inc.</t>
  </si>
  <si>
    <t>Producer and distributor of beverages. The company produces, distributes and sells beverages under the "Pepsi" brand across the globe.</t>
  </si>
  <si>
    <t>carbonate drinks, soft drinks</t>
  </si>
  <si>
    <t>1998: 36900, 1999: 38700, 2000: 35700, 2001: 37000, 2002: 65000, 2003: 66000, 2004: 64700, 2005: 66900, 2006: 70400, 2007: 69100, 2008: 66800, 2009: 64900</t>
  </si>
  <si>
    <t>NY</t>
  </si>
  <si>
    <t>1 Pepsi Way</t>
  </si>
  <si>
    <t>10589</t>
  </si>
  <si>
    <t>The company was acquired by Pepsico (NYSE: PEP) for $6 billion on February 26, 2010. The company is no longer actively tracked by PitchBook.</t>
  </si>
  <si>
    <t>Cravath, Swaine &amp; Moore(Legal Advisor), Credit Suisse(Advisor: General), Morgan Stanley(Advisor: General), Perella Weinberg Partners(Advisor: General), Smith, Anderson, Blount, Dorsett, Mitchell &amp; Jernigan(Legal Advisor)</t>
  </si>
  <si>
    <t>41422-87</t>
  </si>
  <si>
    <t>Vectren</t>
  </si>
  <si>
    <t>Vectren Corporation</t>
  </si>
  <si>
    <t>Energy Future Holdings, CenterPoint Energy, Otter Tail, Edison International, TECO Energy, American Electric Power Company, DTE Energy, Duke Energy, Consumers Energy, OGE Energy, Black Hills, Idacorp, El Paso Electric, Allete, Pinnacle West Capital, Scana, Florida Public Utilities, NiSource, Vistra Energy, WEC Energy Group, Hawaiian Electric Industries, Public Service Enterprise Group</t>
  </si>
  <si>
    <t>Vectren Corp is an energy holding company whose principal business is the ownership of energy utility companies in the American state of Indiana. Vectren Corp has three wholly owned subsidiaries: Indiana Gas Company, Southern Indiana Gas and Electric Company (SIGECO), and Vectren Energy Delivery of Ohio (VEDO). The company derives roughly half of its total revenue from both the natural gas and electricity distribution services provided by SIGECO and VEDO to primarily residential and commercial consumers in Indiana. Vectren Corp's Infrastructure Services business represents the other half of its total revenue generation. Within this unit, the company provides underground pipeline construction and repair services to utilities companies, such as its own subsidiaries.</t>
  </si>
  <si>
    <t>Electric Utilities, Gas Utilities, Holding Companies*</t>
  </si>
  <si>
    <t>electricity distributor, energy infrastructure, energy performance, natural gas supplier</t>
  </si>
  <si>
    <t>www.vectren.com</t>
  </si>
  <si>
    <t>2000: 2029, 2001: 1986, 2002: 1876, 2004: 1863, 2005: 1975, 2006: 3348, 2007: 3579, 2008: 3700, 2009: 3700, 2010: 3800, 2011: 4500, 2012: 5400, 2013: 5500, 2014: 5500, 2015: 5600, 2016: 5800, 2017: 5500, 2018: 1800, 2020: 4900</t>
  </si>
  <si>
    <t>CenterPoint Energy</t>
  </si>
  <si>
    <t>84239-92P</t>
  </si>
  <si>
    <t>Carl Chapman</t>
  </si>
  <si>
    <t>Chairman, President and Chief Executive Officer</t>
  </si>
  <si>
    <t>+1 (800) 227-1376</t>
  </si>
  <si>
    <t>Evansville, IN</t>
  </si>
  <si>
    <t>P.O. Box 209</t>
  </si>
  <si>
    <t>Evansville</t>
  </si>
  <si>
    <t>47702</t>
  </si>
  <si>
    <t>The company was acquired by CenterPoint Energy (NYSE: CNP) for $6 billion on February 1, 2019. CenterPoint Energy is funding the deal using debt and equity. Upon completion of the transaction, the combined company plans to implement a unified business strategy, which aims to provide safe and reliable delivery of electricity, natural gas, and related services to customers.</t>
  </si>
  <si>
    <t>Ice Miller(Legal Advisor)</t>
  </si>
  <si>
    <t>Baker Botts(Legal Advisor), Bank of America Merrill Lynch(Advisor: General), Kahn Swick &amp; Foti(Legal Advisor), Rigrodsky &amp; Long(Legal Advisor)</t>
  </si>
  <si>
    <t>125600-95</t>
  </si>
  <si>
    <t>Weyerhaeuser (Packaging Business)</t>
  </si>
  <si>
    <t>Manufacturer and seller of packaging items. The company offers craft bags, packaging items, paper bag. It also facilitates recycling operations.</t>
  </si>
  <si>
    <t>Other Commercial Products*, Paper Containers and Packaging</t>
  </si>
  <si>
    <t>boxes packaging, coated paper bags, food package</t>
  </si>
  <si>
    <t>Federal Way, WA</t>
  </si>
  <si>
    <t>33663 Weyerhaeuser Way South</t>
  </si>
  <si>
    <t>Federal Way</t>
  </si>
  <si>
    <t>98001</t>
  </si>
  <si>
    <t>The packaging business unit of Weyerhaeuser was acquired by International Paper (NYSE: IP) for $6 billion on August 4, 2008. The unit is no longer actively tracked by PitchBook.</t>
  </si>
  <si>
    <t>Weyerhaeuser Company(www.weyerhaeuser.com)</t>
  </si>
  <si>
    <t>42155-65</t>
  </si>
  <si>
    <t>Access Midstream Partners</t>
  </si>
  <si>
    <t>Chesapeake Midstream Partners</t>
  </si>
  <si>
    <t>Access Midstream</t>
  </si>
  <si>
    <t>Access Midstream Partners LP</t>
  </si>
  <si>
    <t>Developer of natural gas gathering and processing assets. The company offers gathering, compression, dehydration and treating services.</t>
  </si>
  <si>
    <t>Energy Infrastructure, Energy Refining*, Energy Storage</t>
  </si>
  <si>
    <t>gas compression, gas gathering, gas processing</t>
  </si>
  <si>
    <t>2012: 1255</t>
  </si>
  <si>
    <t>67913-83P</t>
  </si>
  <si>
    <t>Deanna Farmer</t>
  </si>
  <si>
    <t>Chief Information Officer &amp; Corporate Services</t>
  </si>
  <si>
    <t>deanna.farmer@enablemidstream.com</t>
  </si>
  <si>
    <t>+1 (918) 573-2000</t>
  </si>
  <si>
    <t>The company was acquired by William Companies for $5.99 billion on July 1, 2014. The company is no longer actively tracked by PitchBook.</t>
  </si>
  <si>
    <t>Chesapeake Energy, Global Infrastructure Partners</t>
  </si>
  <si>
    <t>Chesapeake Energy(www.chk.com), Global Infrastructure Partners(www.global-infra.com)</t>
  </si>
  <si>
    <t>Janney(Underwriter), PwC(Accounting)</t>
  </si>
  <si>
    <t>Baker Botts(Legal Advisor), Banco Bilbao Vizcaya Argentaria(Underwriter), Bank of America(Lead Manager or Arranger), Bank of America Merrill Lynch(Underwriter), Barclays Investment Bank(Underwriter), BMO Capital Markets(Underwriter), BNP Paribas(Underwriter), Bracewell(Legal Advisor), Citigroup(Underwriter), Comerica Bank(Underwriter), Credit Agricole(Underwriter), Credit Suisse(Advisor: General), Deutsche Bank(Underwriter), Evercore Group(Advisor: General), ING Capital(Underwriter), Janney(Underwriter), Jones Day(Legal Advisor), Latham &amp; Watkins(Legal Advisor), Merrill Lynch Pierce Fenner &amp; Smith(Underwriter), Morgan Stanley(Underwriter), MUFG Securities EMEA(Underwriter), NatWest Group(Underwriter), Piper Sandler(Underwriter), PwC(Accounting), Raymond James Financial(Underwriter), RBC Capital Markets(Underwriter), Richards Layton &amp; Finger(Legal Advisor), Scotia Waterous(Advisor: General), Scotiabank Global Banking and Markets(Underwriter), SunTrust Robinson Humphrey(Advisor: General), SunTrust Robinson Humphrey(Underwriter), TD Securities(Underwriter), The Goldman Sachs Group(Underwriter), Tudor, Pickering, Holt &amp; Company(Advisor: General), UBS Group(Advisor: General), Vinson &amp; Elkins(Legal Advisor), Wells Fargo(Underwriter)</t>
  </si>
  <si>
    <t>50925-97</t>
  </si>
  <si>
    <t>Athlon Energy</t>
  </si>
  <si>
    <t>Athlon Energy, LP</t>
  </si>
  <si>
    <t>Producer of oil and natural gas. The company focuses on acquisition, development and exploitation of unconventional oil and liquids-rich natural gas reserves in the Permian Basin.</t>
  </si>
  <si>
    <t>natural gas producer, oil production</t>
  </si>
  <si>
    <t>2013: 200, 2014: 85</t>
  </si>
  <si>
    <t>420 Throckmorton Street</t>
  </si>
  <si>
    <t>76102</t>
  </si>
  <si>
    <t>The company (NYSE: ADHL) was acquired by Encana (TSX: ECA) for $5.93 billion on November 13, 2014. The deal amount includes $5.93 of cash and $1.15 of senior debt. Athlon executives and the structures linked to Apollo investment fund have pledged to sell their shares, which represent a total of 35.8 percent of the company. The company filed a secondary public offering on the (NYSE:ATHL) on April 15, 2014. The company is offering a maximum price per share of $40 and its maximum aggregate offering price is $86.2 million.</t>
  </si>
  <si>
    <t>Ovintiv</t>
  </si>
  <si>
    <t>Apollo Global Management, Blum Capital Partners</t>
  </si>
  <si>
    <t>Apollo Global Management(www.apollo.com), Blum Capital Partners(www.blumcapital.com)</t>
  </si>
  <si>
    <t>Academy Securities(Underwriter), Apollo Global Management(Underwriter), Bank of America Merrill Lynch(Advisor: General), Barclays Investment Bank(Underwriter), CIBC Capital Markets(Underwriter), Citigroup(Underwriter), Credit Suisse Securities (USA)(Underwriter), Evercore Group(Advisor: General), EY(Auditor), FBR &amp; Company(Underwriter), FS Energy and Power Fund(Debt Financing), Johnson &amp; Weaver(Legal Advisor), KLR Group(Underwriter), Latham &amp; Watkins(Legal Advisor), Lebenthal Holdings(Underwriter), MUFG Securities EMEA(Underwriter), Ovintiv(Debt Financing), RBC Capital Markets(Underwriter), Scotia Waterous(Advisor: General), Scotiabank Global Banking and Markets(Underwriter), Simmons Energy(Underwriter), Stephens(Underwriter), The Goldman Sachs Group(Underwriter), Tudor, Pickering, Holt &amp; Company(Underwriter), UBS Group(Underwriter), Wells Fargo(Underwriter)</t>
  </si>
  <si>
    <t>Loan - $1.15M (Senior)</t>
  </si>
  <si>
    <t>437843-53</t>
  </si>
  <si>
    <t>Cobra Group</t>
  </si>
  <si>
    <t>Cobra</t>
  </si>
  <si>
    <t>Cobra Gestión de Infraestructuras, SAU</t>
  </si>
  <si>
    <t>Provider of industrial infrastructures services in Madrid, Spain. The company specializes in activities of construction, installation and maintenance of high voltage electrical networks, railway installations, telecommunications systems, air conditioning systems, mechanical and naval assemblies, nuclear dismantling and the integral maintenance of all types of infrastructures, industry and buildings.</t>
  </si>
  <si>
    <t>communication network maintenance services, construction services, industrial infrastructure, project maintenance services, railway installation</t>
  </si>
  <si>
    <t>www.grupocobra.com</t>
  </si>
  <si>
    <t>2021: 45000</t>
  </si>
  <si>
    <t>Calle Cardenal Marcelo Spinola 10 and 6</t>
  </si>
  <si>
    <t>28016</t>
  </si>
  <si>
    <t>+34 91 456 9500</t>
  </si>
  <si>
    <t>+34 91 456 9450</t>
  </si>
  <si>
    <t>central@grupocobra.com</t>
  </si>
  <si>
    <t>The company, a subsidiary of Actividades de Construcción y Servicios (XMAD: ACS) was acquired by Vinci (PAR: DG) for EUR 4.98 billion on April 1, 2021. The acquisition expands Vinci in energy contracting and developing renewables projects. The company will receive a contingent payout of $ 780 million based on the results of the perimeter sold on the date of execution of the sale.</t>
  </si>
  <si>
    <t>63219-34</t>
  </si>
  <si>
    <t>Citic (HKG: 00267)</t>
  </si>
  <si>
    <t>CITIC Pacific</t>
  </si>
  <si>
    <t>Citic Ltd</t>
  </si>
  <si>
    <t>China International Capital Corporation</t>
  </si>
  <si>
    <t>CITIC Ltd is a Hong Kong-based investment holding company. The company's operating segment includes Comprehensive financial services; Advanced intelligent manufacturing; Advanced materials; New consumption and New-type urbanisation. It generates maximum revenue from the Comprehensive financial services segment. The Comprehensive financial services segment includes banking, trust, asset management, securities and insurance services. Its Advanced materials segment includes exploration, processing, and trading of resources and energy products, including crude oil, coal and iron ore, as well as manufacturing of special steels.</t>
  </si>
  <si>
    <t>Asset Management*, Holding Companies, Other Financial Services</t>
  </si>
  <si>
    <t>business development, property investment, steel business</t>
  </si>
  <si>
    <t>www.citic.com</t>
  </si>
  <si>
    <t>2008: 28654, 2009: 30329, 2010: 29886, 2011: 33295, 2012: 34781, 2013: 36512, 2014: 125273, 2015: 133526, 2016: 127610, 2017: 120000, 2018: 273344, 2019: 287910, 2020: 135304</t>
  </si>
  <si>
    <t>00267</t>
  </si>
  <si>
    <t>151305-49P</t>
  </si>
  <si>
    <t>Bi Jingshuang</t>
  </si>
  <si>
    <t>+65 6774 7298</t>
  </si>
  <si>
    <t>32nd Floor, CITIC Tower</t>
  </si>
  <si>
    <t>1 Tim Mei Avenue</t>
  </si>
  <si>
    <t>+852 2820 2111</t>
  </si>
  <si>
    <t>+852 2877 2771</t>
  </si>
  <si>
    <t>contact@citic.com</t>
  </si>
  <si>
    <t>CITIC Group was in talks to sell 10% stake in the company (HKG: 267) to Chia Tai Bright Investment for HKD 45.9 billion on January 20, 2015. Subsequently the deal was cancelled. Previously, CITIC Group sold a 10% stake in the company (HKG: 267) to Chia Tai Bright Investment for HKD 34.4 billion in January 20, 2015.</t>
  </si>
  <si>
    <t>Chia Tai Bright Investment, CITIC Group, CITIC Pacific</t>
  </si>
  <si>
    <t>CITIC Group(www.citicgroup.com.cn)</t>
  </si>
  <si>
    <t>The Alta Group(Advisor: General)</t>
  </si>
  <si>
    <t>China Securities International(Advisor: General), Freshfields Bruckhaus Deringer(Legal Advisor), JiaYuan Law Offices(Legal Advisor), Morgan Stanley(Advisor: General), Shearman &amp; Sterling(Legal Advisor), Somerley(Advisor: General)</t>
  </si>
  <si>
    <t>41262-76</t>
  </si>
  <si>
    <t>ImClone Systems</t>
  </si>
  <si>
    <t>ImClone Systems, Inc.</t>
  </si>
  <si>
    <t>Developer and manufacturer of novel therapeutic products. The company's novel therapeutic products offer medicines for targeted therapies and oncolytic agents for the treatment of cancer.</t>
  </si>
  <si>
    <t>cancer treatment, novel therapeutic product, oncology product, oncolytic agent, targeted biologics treatment</t>
  </si>
  <si>
    <t>1992: 77, 1993: 96, 1994: 77, 1995: 77, 1996: 93, 1997: 110, 1998: 138, 1999: 179, 2000: 272, 2001: 399, 2002: 501, 2003: 582, 2004: 866, 2005: 991, 2006: 993, 2007: 997, 2008: 1128</t>
  </si>
  <si>
    <t>74707-03P</t>
  </si>
  <si>
    <t>Henry Klepser</t>
  </si>
  <si>
    <t>Associate</t>
  </si>
  <si>
    <t>180 Varick Street</t>
  </si>
  <si>
    <t>10014</t>
  </si>
  <si>
    <t>The company was acquired by Eli Lilly (NYSE: LLY) for $5.97 billion on November 24, 2008. The company is no longer actively tracked by PitchBook.</t>
  </si>
  <si>
    <t>Bristol-Myers Squibb(www.bms.com)</t>
  </si>
  <si>
    <t>Cappello Global(Advisor: General), Gleason(Consulting)</t>
  </si>
  <si>
    <t>JPMorgan Chase(Advisor: General), Katten(Legal Advisor)</t>
  </si>
  <si>
    <t>56617-03</t>
  </si>
  <si>
    <t>Brookfield Property Partners (TSE: BPY.UN)</t>
  </si>
  <si>
    <t>BPY, Brookfield</t>
  </si>
  <si>
    <t>Brookfield Property Partners L.P.</t>
  </si>
  <si>
    <t>Brookfield Property Partners LP owns, operates, and invests in commercial properties in North America, Europe, Australia, and Brazil. The company focuses on being a global owner and operator of real estate, providing investors with diversified exposure to some of the iconic properties and to acquire high-quality assets at a discount to replacement cost or intrinsic value. Its operating segment includes Core Office, Core Retail, LP Investments, and Corporate Segments. The company operates in various sectors such as office sector, retail sector, industrial, multifamily, hospitality, triple net lease, and the corporate sector. It generates a majority of revenue from the LP Investments segment.</t>
  </si>
  <si>
    <t>Asset Management*, Buildings and Property, Real Estate Services (B2C)</t>
  </si>
  <si>
    <t>real estate operations, real estate portfolio, real estate services, reit, retail property</t>
  </si>
  <si>
    <t>www.bpy.brookfield.com</t>
  </si>
  <si>
    <t>2011: 6000, 2012: 6000, 2013: 15000, 2014: 14000, 2015: 14000, 2016: 16000, 2017: 17000, 2018: 19000, 2019: 22000, 2020: 24400, 2021: 24400</t>
  </si>
  <si>
    <t>BPY.UN</t>
  </si>
  <si>
    <t>86486-14P</t>
  </si>
  <si>
    <t>Bryan Davis</t>
  </si>
  <si>
    <t>+1 (312) 960-5000</t>
  </si>
  <si>
    <t>Brookfield Place</t>
  </si>
  <si>
    <t>Suite 300, 181 Bay Street</t>
  </si>
  <si>
    <t>M5J 2T3</t>
  </si>
  <si>
    <t>+1 (416) 363-9491</t>
  </si>
  <si>
    <t>Brookfield Asset Management (TSE: BAM.A) and other undisclosed investors reached a definitive agreement to acquire an undisclosed minority stake in the company (TSE: BPY.UN) for $5.9 billion on April 1, 2021. The company is being actively tracked by PitchBook.</t>
  </si>
  <si>
    <t>Qatar Investment Authority</t>
  </si>
  <si>
    <t>Qatar Investment Authority(www.qia.qa)</t>
  </si>
  <si>
    <t>Brookfield Asset Management(www.brookfield.com)</t>
  </si>
  <si>
    <t>BR Partners Banco de Investimento(Advisor: General), BTG Pactual(Placement Agent), Herbert Smith Freehills(Legal Advisor)</t>
  </si>
  <si>
    <t>Latham &amp; Watkins(Legal Advisor), Lazard(Advisor: General), Torys(Legal Advisor)</t>
  </si>
  <si>
    <t>121158-91</t>
  </si>
  <si>
    <t>Canon Medical Systems</t>
  </si>
  <si>
    <t>Toshiba Medical Systems Corp.</t>
  </si>
  <si>
    <t>Mediso, Ortho-Clinical Diagnostics, Carestream Health, North Star Imaging, Jeol, Nihon Kohden, PerkinElmer, EPD Solutions</t>
  </si>
  <si>
    <t>Operator of medical equipment unit. The unit offers products including computed tomography, magnetic resonance imaging, ultrasound, advanced visualization and nuclear medicine.</t>
  </si>
  <si>
    <t>medical system, nuclear medicine, tomography</t>
  </si>
  <si>
    <t>www.toshibamedicalsystems.com</t>
  </si>
  <si>
    <t>2016: 1100</t>
  </si>
  <si>
    <t>Canon</t>
  </si>
  <si>
    <t>148082-14P</t>
  </si>
  <si>
    <t>Mark Hitchman</t>
  </si>
  <si>
    <t>Managing Director &amp;Group Executive</t>
  </si>
  <si>
    <t>mark.hitchman@us.medical.canon</t>
  </si>
  <si>
    <t>+81 (0)28 726 6211</t>
  </si>
  <si>
    <t>Otawara, Japan</t>
  </si>
  <si>
    <t>1385 Shimoishigami</t>
  </si>
  <si>
    <t>Tochigi-ken</t>
  </si>
  <si>
    <t>Otawara</t>
  </si>
  <si>
    <t>Toshiba Medical Systems, a subsidiary of Toshiba (TKS: 6502) was acquired by Canon (TKS: 7751) for $5.9 billion on December 19, 2016.</t>
  </si>
  <si>
    <t>Toshiba (Japan)</t>
  </si>
  <si>
    <t>Bain Capital, Development Bank of Japan, Sony, The Carlyle Group</t>
  </si>
  <si>
    <t>Toshiba (Japan)(www.global.toshiba)</t>
  </si>
  <si>
    <t>Bain Capital(www.baincapital.com), Development Bank of Japan(www.dbj.jp), Sony(www.sony.net), The Carlyle Group(www.carlyle.com)</t>
  </si>
  <si>
    <t>Recruitment Management Group(Consulting)</t>
  </si>
  <si>
    <t>65077-39</t>
  </si>
  <si>
    <t>Cobalt Capital (Industrial)</t>
  </si>
  <si>
    <t>Owner and operator of warehouses and logistics property. The company mainly involves in acquiring and operating commercial properties throughout the United States.</t>
  </si>
  <si>
    <t>Buildings and Property*, Real Estate Investment Trusts (REITs)</t>
  </si>
  <si>
    <t>commercial property operator, property investment, real estate investor</t>
  </si>
  <si>
    <t>www.cobaltcapitalpartners.com</t>
  </si>
  <si>
    <t>2014: 27, 2015: 10</t>
  </si>
  <si>
    <t>5605 North MacArthur Boulevard</t>
  </si>
  <si>
    <t>75038</t>
  </si>
  <si>
    <t>+1 (972) 893-7000</t>
  </si>
  <si>
    <t>+1 (972) 893-7001</t>
  </si>
  <si>
    <t>holly.losey@cobaltcapitalpartners.com</t>
  </si>
  <si>
    <t>The company, a subsidiary of Colony Capital was be acquired by The Blackstone Group through an $5.9 billion LBO on September 30, 2019.</t>
  </si>
  <si>
    <t>Colony Capital (Acquired), USAA Real Estate</t>
  </si>
  <si>
    <t>Colony Capital (Acquired)(www.colonyinc.com), USAA Real Estate(www.usrealco.com)</t>
  </si>
  <si>
    <t>Duff &amp; Phelps, A Kroll Business(Advisor: General), Locke Lord(Legal Advisor)</t>
  </si>
  <si>
    <t>11450-44</t>
  </si>
  <si>
    <t>KTR Capital Partners</t>
  </si>
  <si>
    <t>KTR</t>
  </si>
  <si>
    <t>KTR Capital Partners, LLC</t>
  </si>
  <si>
    <t>Provider of real estate investment services. The company operates as a private equity and real estate investment firm, that specializes in offering developmental and operational capital to small, mid and large sized companies.</t>
  </si>
  <si>
    <t>Other Financial Services, Private Equity*, Real Estate Investment Trusts (REITs)</t>
  </si>
  <si>
    <t>investment management service, private equity firm</t>
  </si>
  <si>
    <t>www.ktrcapital.com</t>
  </si>
  <si>
    <t>2015: 85</t>
  </si>
  <si>
    <t>Prologis (Acquired in 2011)</t>
  </si>
  <si>
    <t>29036-17P</t>
  </si>
  <si>
    <t>John DiCola</t>
  </si>
  <si>
    <t>jdicola@ktrcapital.com</t>
  </si>
  <si>
    <t>140 Broadway</t>
  </si>
  <si>
    <t>The company was acquired by Prologis (NYSE: PLD) for $5.9 billion on June 01, 2015. The company is no longer actively tracked by PitchBook.</t>
  </si>
  <si>
    <t>Barack Ferrazzano(Legal Advisor), Stream Realty Partners(Consulting)</t>
  </si>
  <si>
    <t>CBRE Capital Advisors(Advisor: General), Deutsche Bank(Lead Manager or Arranger), Eastdil Secured(Advisor: General), Lazard Private Fund Advisory Group(Placement Agent), Morgan Stanley(Advisor: General), Park Hill Group(Placement Agent), Weil, Gotshal &amp; Manges(Legal Advisor)</t>
  </si>
  <si>
    <t>229612-78</t>
  </si>
  <si>
    <t>Nippon Gases Norway</t>
  </si>
  <si>
    <t>Oil and gas assets in Europe. The assets represent the European operations of the Linde Group and Praxair.</t>
  </si>
  <si>
    <t>Buildings and Property*, Energy Exploration, Other Energy</t>
  </si>
  <si>
    <t>linde european gas operations, linde-praxair gas assets, linde-praxair oil asset, linde-praxair oil operation, praxair european gas operations</t>
  </si>
  <si>
    <t>2018: 2600</t>
  </si>
  <si>
    <t>167475-79P</t>
  </si>
  <si>
    <t>Eduardo Gil</t>
  </si>
  <si>
    <t>eduardo.gil@nippongases.com</t>
  </si>
  <si>
    <t>+34 23 252 0231</t>
  </si>
  <si>
    <t>The European Assets of Praxair (NYSE: PX) was acquired by Taiyo Nippon Sanso (TYO: 4901) for $5.9 billion on December 3, 2018. Praxair Europe will change its name to Nippon Gases Norway in early 2019.</t>
  </si>
  <si>
    <t>Taiyo Nippon Sanso</t>
  </si>
  <si>
    <t>Praxair(www.praxair.com)</t>
  </si>
  <si>
    <t>Sullivan &amp; Cromwell(Legal Advisor)</t>
  </si>
  <si>
    <t>14203-81</t>
  </si>
  <si>
    <t>Target Corporation (Credit Card Operations)</t>
  </si>
  <si>
    <t>Credit Card Portfolio, Target Corporation (Credit Card Receivables)</t>
  </si>
  <si>
    <t>Owner and operator of a chain of general merchandise and food discount stores in the United States. The company offers its credit card services through its REDcards program.</t>
  </si>
  <si>
    <t>credit card, credit facility, receivable, retailer, stores</t>
  </si>
  <si>
    <t>Target</t>
  </si>
  <si>
    <t>53150-23P</t>
  </si>
  <si>
    <t>John Mulligan</t>
  </si>
  <si>
    <t>john.mulligan@target.com</t>
  </si>
  <si>
    <t>+1 (800) 775-3110</t>
  </si>
  <si>
    <t>1000 Nicollet Mall</t>
  </si>
  <si>
    <t>55403</t>
  </si>
  <si>
    <t>+1 (612) 304-6073</t>
  </si>
  <si>
    <t>+1 (612) 370-5502</t>
  </si>
  <si>
    <t>Target Corporation's (NYSE:TGT) consumer credit card portfolio was acquired by TD Bank Group (TSX and NYSE: TD) for $5.7 billion on March 13, 2013.</t>
  </si>
  <si>
    <t>J.P. Morgan</t>
  </si>
  <si>
    <t>J.P. Morgan(www.jpmorgan.com)</t>
  </si>
  <si>
    <t>10408-78</t>
  </si>
  <si>
    <t>Union Planters Bank</t>
  </si>
  <si>
    <t>Union and Planters Bank of Memphis</t>
  </si>
  <si>
    <t>Union Planters</t>
  </si>
  <si>
    <t>Union Planters Corp.</t>
  </si>
  <si>
    <t>Operator of a bank holding company. The company's products and services are investment management, mutual funds, insurance services such as brokerage, life insurance, home insurance, commercial property and casualty insurance, environmental insurance, title insurance, payroll administration, tax reporting, compliance, workers compensation, insurance, and benefits management and other financial services.</t>
  </si>
  <si>
    <t>Commercial/Professional Insurance, Holding Companies, Other Commercial Banks*</t>
  </si>
  <si>
    <t>bank holding company, casualty insurance service, home insurance, payroll administration</t>
  </si>
  <si>
    <t>www.unionplanters.com</t>
  </si>
  <si>
    <t>1989: 2558, 1990: 2682, 1991: 2327, 1992: 2327, 1993: 2960, 1994: 2960, 1995: 5690, 1996: 5236, 1997: 5236, 1998: 11287, 1999: 13950, 2000: 14000, 2001: 13742, 2002: 10836, 2003: 10640</t>
  </si>
  <si>
    <t>6200 Poplar Avenue</t>
  </si>
  <si>
    <t>38119</t>
  </si>
  <si>
    <t>The company was acquired by Regions Financial (NYSE: RF) for $5.9 billion on January 23, 2004. The company is no longer actively tracked by PitchBook.</t>
  </si>
  <si>
    <t>Regions Financial</t>
  </si>
  <si>
    <t>Morgan Stanley(Advisor: General), Wachtell, Lipton, Rosen &amp; Katz(Legal Advisor)</t>
  </si>
  <si>
    <t>41465-98</t>
  </si>
  <si>
    <t>Dialog Semiconductor (ETR: DLG)</t>
  </si>
  <si>
    <t>Dialog</t>
  </si>
  <si>
    <t>Dialog Semiconductor PLC</t>
  </si>
  <si>
    <t>Power Integrations, Renesas Electronics, eSilicon, HiSilicon, ON Semiconductor, Nexperia, Triad Semiconductor, Nordic Semiconductor, Intersil, Qorvo, MediaTek, Aptina Imaging, AG Semiconductor Services, MACOM Technology Solutions, Cirrus Logic, Infineon Technologies, Broadcom, Cactus Semiconductor, ams, Microsemi, Omiino, Lantiq Deutschland, Silicon Creations, Inphi, Ambiq, Dolphin Integration, Intel, Melexis, Atlazo, NXP Semiconductors, Altair Semiconductor, Skyworks Solutions, Silicon Motion Technology, Diodes, Silicon Labs, Lattice Semiconductor, Cypress Semiconductor, SiTime, QuickLogic, Monolithic Power Systems, Sigenics, Texas Instruments, Analog Devices, Micron Technology Italia, Atmel, Microchip Technology, Marvell International, Maxim Integrated Products, Semtech, Vishay Intertechnology, Analog Integrations, Xilinx, Diseno de Sistemas en Silicio, Cypress Technology, Mellanox Technologies, Advanced Micro Devices</t>
  </si>
  <si>
    <t>Dialog Semiconductor PLC develops and manufactures semiconductor components for use in home appliances, networking, smart home, smart lighting and smart meter applications. Its product portfolio includes power management tools such as chargers, connectivity products, audio amplifiers, lighting solutions, multitouch sensors, and power conversion tools such as AC/DC adapters. The firm has design and manufacturing facilities in Europe and China, and operations in Europe, North America, and Asia.</t>
  </si>
  <si>
    <t>analog &amp; digital integrated circuit, digital integrated circuit, integrated circuit, power saving equipment</t>
  </si>
  <si>
    <t>www.dialog-semiconductor.com</t>
  </si>
  <si>
    <t>2000: 276, 2001: 287, 2002: 284, 2003: 273, 2004: 296, 2005: 279, 2010: 400, 2011: 573, 2012: 806, 2013: 1100, 2014: 1373, 2015: 1546, 2016: 1766, 2017: 1770, 2018: 2100, 2019: 2036, 2020: 2300, 2021: 2300</t>
  </si>
  <si>
    <t>DLG</t>
  </si>
  <si>
    <t>130118-14P</t>
  </si>
  <si>
    <t>Wissam Jabre</t>
  </si>
  <si>
    <t>Chief Financial Officer &amp; Senior Vice President, Finance</t>
  </si>
  <si>
    <t>wissam.jabre@diasemi.com</t>
  </si>
  <si>
    <t>+44 (0)17 9375 7700</t>
  </si>
  <si>
    <t>Reading, United Kingdom</t>
  </si>
  <si>
    <t>100 Longwater Avenue</t>
  </si>
  <si>
    <t>Green Park</t>
  </si>
  <si>
    <t>RG2 6GP</t>
  </si>
  <si>
    <t>+44 (0)11 8945 0219</t>
  </si>
  <si>
    <t>info@diasemi.com</t>
  </si>
  <si>
    <t>The company reached a definitive agreement to be acquired by Renesas Electronics (TKS: 6723) for $5.888 billion on February 8, 2021. The company is being actively tracked by PitchBook.</t>
  </si>
  <si>
    <t>Adtran, Elliott Management, Ericsson, Tsinghua Unigroup</t>
  </si>
  <si>
    <t>Apax Partners, Daimler</t>
  </si>
  <si>
    <t>Elliott Management(www.elliottmgmt.com), Ericsson(www.ericsson.com), Tsinghua Unigroup(www.unigroup.com.cn)</t>
  </si>
  <si>
    <t>Apax Partners(www.apax.com), Daimler(www.daimler.com)</t>
  </si>
  <si>
    <t>Renesas Electronics(www.renesas.com)</t>
  </si>
  <si>
    <t>Alexa Capital(Advisor: General), Garrett Group Finance(Advisor: General)</t>
  </si>
  <si>
    <t>J.P. Morgan Securities(Advisor: General), Jefferies Financial Group(Advisor: General), Linklaters(Legal Advisor), Morgan Stanley(Advisor: General), Qatalyst Partners(Advisor: General)</t>
  </si>
  <si>
    <t>156119-50</t>
  </si>
  <si>
    <t>Essar Steel</t>
  </si>
  <si>
    <t>Essar</t>
  </si>
  <si>
    <t>Essar Steel India Ltd.</t>
  </si>
  <si>
    <t>Tata Steel, Steel Authority Of India</t>
  </si>
  <si>
    <t>Manufacturer of fully integrated flat carbon steel products. The company's manufacturing facility comprises ore beneficiation, pellet making, iron making, steel making, and downstream facilities including cold rolling mill, galvanising, pre-coated facility, steel processing facility, extra wide plate mill and a pipe mill. Its products are conferred with ISO: 9001:2000, ISO 9002, ISO 14001, ISO 27001, OHSAS 18001:1999 certifications.</t>
  </si>
  <si>
    <t>Industrial Supplies and Parts, Iron and Steel Mining*</t>
  </si>
  <si>
    <t>integrated carbon steel products, integrated steel product, steel, steel manufacturer, steel product</t>
  </si>
  <si>
    <t>www.essarsteel.com</t>
  </si>
  <si>
    <t>2017: 4500, 2018: 11000, 2019: 3806</t>
  </si>
  <si>
    <t>162156-70P</t>
  </si>
  <si>
    <t>Dilip Oommen</t>
  </si>
  <si>
    <t>Board Member, Co-Chief Executive Officer &amp; Managing Director</t>
  </si>
  <si>
    <t>dilip.oommen@essar.com</t>
  </si>
  <si>
    <t>+91 (0)22 2495 0606</t>
  </si>
  <si>
    <t>Essar House</t>
  </si>
  <si>
    <t>11, Keshavrao Khadye Marg, Mahalaxmi</t>
  </si>
  <si>
    <t>400034</t>
  </si>
  <si>
    <t>+91 (0)22 2492 8896</t>
  </si>
  <si>
    <t>The company was acquired by ArcelorMittal (LUX: MTL), a subsidiary of Mittal Steel Company, and Nippon Steel &amp; Sumitomo Metal (TKS: 5401) for INR 420 billion on December 16, 2019. ArcelorMittal established a joint venture with Nippon Steel Corporation ('Nippon Steel'), called ArcelorMittal Nippon Steel India Limited ('AM/NS India'), which will own and operate the company. ArcelorMittal holds 60 per cent of AM/NS India, with Nippon Steel holding the balance.</t>
  </si>
  <si>
    <t>Bank of Baroda, Bank of India, Canara Bank, Housing Development Finance Corporation, ICICI Bank, IDBI Bank, Nippon Steel &amp; Sumitomo Metal, Punjab National Bank, State Bank of India, Union Bank of India</t>
  </si>
  <si>
    <t>ArcelorMittal</t>
  </si>
  <si>
    <t>Farallon Capital Management, JSW Group, Numetal Mauritius, SSG Capital Management, Tata Steel, Vedanta Resources, VTB Capital</t>
  </si>
  <si>
    <t>Bank of Baroda(www.bankofbaroda.com), Bank of India(www.bankofindia.co.in), Canara Bank(www.canarabank.com), Housing Development Finance Corporation(www.hdfc.com), ICICI Bank(www.icicibank.com), IDBI Bank(www.idbibank.in), Nippon Steel &amp; Sumitomo Metal(www.nipponsteel.com), Punjab National Bank(www.pnbindia.in), State Bank of India(www.sbi.co.in), Union Bank of India(www.unionbankofindia.co.in)</t>
  </si>
  <si>
    <t>Farallon Capital Management(www.faralloncapital.com), JSW Group(www.jsw.in), SSG Capital Management(www.ssgasia.com), Tata Steel(www.tatasteel.com), Vedanta Resources(www.vedantaresources.com), VTB Capital(www.vtbcapital.com)</t>
  </si>
  <si>
    <t>Blu Oak Capital(Advisor: General), Singhi Advisors(Advisor: General), Zolfo Cooper(Advisor: General)</t>
  </si>
  <si>
    <t>Cyril Amarchand Mangaldas(Legal Advisor), Global Leveraged Capital(Advisor: General), ICICI Bank(Debt Financing), IDBI Bank(Debt Financing), Omni Management Group(Consulting), RBSA Advisors(Advisor: General)</t>
  </si>
  <si>
    <t>164125-90</t>
  </si>
  <si>
    <t>HPCL-GAIL JV AP project</t>
  </si>
  <si>
    <t>Distributor of natural gas and petroleum fuels. The company engages in exploration, refining, processing and distribution of natural gas, petroleum and petrochemical.</t>
  </si>
  <si>
    <t>Energy Exploration, Energy Marketing, Energy Refining*</t>
  </si>
  <si>
    <t>gas exploration, natural gas, petrochemical</t>
  </si>
  <si>
    <t>Andhra Pradesh</t>
  </si>
  <si>
    <t>The company was formed for INR 400 billion as a joint venture between Hindustan Petroleum (NSE: HINDPETRO) and GAIL (NSE: GAIL) on January 27, 2017.</t>
  </si>
  <si>
    <t>GAIL (India), Hindustan Petroleum Corporation</t>
  </si>
  <si>
    <t>GAIL (India)(www.gailonline.com), Hindustan Petroleum Corporation(www.hindustanpetroleum.com)</t>
  </si>
  <si>
    <t>13212-19</t>
  </si>
  <si>
    <t>Microsoft Advertising</t>
  </si>
  <si>
    <t>aQuantive, Avenue A</t>
  </si>
  <si>
    <t>AdMob</t>
  </si>
  <si>
    <t>Provider of digital advertising services. The company enables e-marketers to acquire, retain and grow customers across all digital media. It offers web advertising, affiliate programs, search engine optimization, strategic portal relationships and e-mail prospecting.</t>
  </si>
  <si>
    <t>AdTech, Industrials, TMT</t>
  </si>
  <si>
    <t>digital media, email list management, e-marketing, web advertising</t>
  </si>
  <si>
    <t>1999: 232, 2000: 391, 2001: 230, 2002: 285, 2003: 376, 2004: 1130, 2005: 1463, 2006: 2106, 2020: 2400</t>
  </si>
  <si>
    <t>61767-01P</t>
  </si>
  <si>
    <t>Rik van der Kooi</t>
  </si>
  <si>
    <t>Corporate Vice President</t>
  </si>
  <si>
    <t>+1 (206) 816-8800</t>
  </si>
  <si>
    <t>821 Second Avenue</t>
  </si>
  <si>
    <t>18th Floor</t>
  </si>
  <si>
    <t>98104</t>
  </si>
  <si>
    <t>+1 (206) 521-8808</t>
  </si>
  <si>
    <t>The company was acquired by Microsoft (NASDAQ: MSFT) for $5.85 billion on August 10, 2007. The company is no longer actively tracked by PitchBook.</t>
  </si>
  <si>
    <t>Cedar Grove Investments, Denny Hill Capital, Emergence Capital Partners, Kirlan Venture Capital, Oak Investment Partners, Peter Kellner, Phoenix Partners, SeaPoint Ventures, US Venture Partners, Voyager Capital</t>
  </si>
  <si>
    <t>Cedar Grove Investments(www.cedargroveinv.com), Denny Hill Capital(www.dennyhillcapital.com), Emergence Capital Partners(www.emcap.com), Kirlan Venture Capital(www.kirlanvc.com), Oak Investment Partners(www.oakinv.com), Phoenix Partners(www.phoenixvc.com), SeaPoint Ventures(www.seapointventures.com), US Venture Partners(www.usvp.com), Voyager Capital(www.voyagercapital.com)</t>
  </si>
  <si>
    <t>Andersen Global(Accounting), C.E. Unterberg, Towbin Holdings(Underwriter), Dain Rauscher Wessels(Underwriter), Edward Jones Investments(Underwriter), First Union National Bank(Underwriter), Janney(Underwriter), KBCM Technology Group(Underwriter), McAdams Wright Ragen(Underwriter), Morgan Stanley(Underwriter), Perkins Coie(Legal Advisor), Piper Sandler(Underwriter), Raymond James Financial(Underwriter), Salomon Brothers(Underwriter), Soundview Technology Group(Underwriter), Thomas Weisel Partners Group(Underwriter)</t>
  </si>
  <si>
    <t>180688-69</t>
  </si>
  <si>
    <t>BellSouth Corporation (10 Latin American operations)</t>
  </si>
  <si>
    <t>Portfolio of 10 Latin American operations. The operations are located in Argentina, Chile, Colombia, Ecuador, Guatemala, Nicaragua, Panama, Peru, Uruguay and Venezuela.</t>
  </si>
  <si>
    <t>business operations, wireless cellular, wireless technology</t>
  </si>
  <si>
    <t>The company sold its 10 Latin American operations to Telefónica for $5.85 billion in January, 2005.</t>
  </si>
  <si>
    <t>41274-10</t>
  </si>
  <si>
    <t>Siebel Systems</t>
  </si>
  <si>
    <t>Siebel</t>
  </si>
  <si>
    <t>Siebel Systems, Inc.</t>
  </si>
  <si>
    <t>Salesforce.com, MicroStrategy, SAP, Ramco Systems, Freshworks, Bitrix24, Ellucian, ServiceNow, PT. Harmoni Danatek Solusindo, xTuple, ECi Software Solutions, Zoho Corporation, Zendesk, Commence, Logi Analytics, Udesk, Qad, The Ceridian (UK and Ireland unit), Insightly, Agile CRM, Exact Software, SAS Institute, Pegasystems, Epicor Software, Oracle NetSuite, Adaptive Insights, Acumatica, Anaplan, Kayako, PearlChain, Groove Networks (Software), Fair Isaac, Unit4, Diyotta, Odoo, Sitecore, Infor Global Solutions, Keap (Business/Productivity Software), SugarCRM, Act-On Software, Pipedrive, Advanced Computer Software Group, StudyStream, Swiftpage ACT!, Workday, PeopleFluent, Silverpop Systems, Ultimate Kronos Group, Adobe Systems, Adapt, HubSpot, Marketo</t>
  </si>
  <si>
    <t>Developer of business applications software for the front office. The company offers customer relationship management, customer and business analytics, customer data integration and other related applications. It also provides implementation services, technical support and maintenance.</t>
  </si>
  <si>
    <t>Business/Productivity Software, Other Software*</t>
  </si>
  <si>
    <t>customer data integration, customer loyalty management</t>
  </si>
  <si>
    <t>www.siebel.com</t>
  </si>
  <si>
    <t>1995: 103, 1996: 213, 1997: 473, 1998: 1418, 1999: 3203, 2000: 7389, 2001: 7403, 2002: 5909, 2003: 4972, 2004: 5032, 2020: 8000</t>
  </si>
  <si>
    <t>198562-96P</t>
  </si>
  <si>
    <t>Pat House</t>
  </si>
  <si>
    <t>2207 Bridgepointe Parkway</t>
  </si>
  <si>
    <t>The company was acquired by Oracle (NASDAQ: ORCL) for $5.85 billion on January 31, 2006. The company is no longer actively tracked by PitchBook.</t>
  </si>
  <si>
    <t>Adobe Ventures, Granite Ventures, Thanos Triant, The Woodside Financial Group</t>
  </si>
  <si>
    <t>Granite Ventures(www.granitevc.com), The Woodside Financial Group(www.woodsidegroup.com)</t>
  </si>
  <si>
    <t>Aspen Worldwide(Consulting), Forsyth Group(Advisor: General), Winthrop Group(Consulting)</t>
  </si>
  <si>
    <t>Cooley(Legal Advisor), KPMG(Advisor: General), Savvian(Advisor: General), The Goldman Sachs Group(Advisor: General)</t>
  </si>
  <si>
    <t>151101-73</t>
  </si>
  <si>
    <t>Yukos (group of gas assets)</t>
  </si>
  <si>
    <t>Portfolio of gas production firms. The 3 companies own 5 oil and gas fields and condensate fields and parts of three other fields in Russia's Yamal Nenets region and together have about 5 billion barrels of oil equivalent (boe) of oil and gas reserves</t>
  </si>
  <si>
    <t>Buildings and Property*, Multi-line Chemicals, Other Chemicals and Gases</t>
  </si>
  <si>
    <t>gas assets, gas production facility</t>
  </si>
  <si>
    <t>The gas asset portfolio was acquired by Enel from Yukos for EUR 4.4 billion on April 4, 2007. The acquisition further strengthens the acquirer's international growth strategy by moving into the upstream gas sector for the first time thus implementing the security of supply. The assets are no longer actively tracked on PitchBook.</t>
  </si>
  <si>
    <t>Enel</t>
  </si>
  <si>
    <t>Yukos</t>
  </si>
  <si>
    <t>11078-29</t>
  </si>
  <si>
    <t>XM Satellite Radio Holdings</t>
  </si>
  <si>
    <t>American Mobile Radio Corporation</t>
  </si>
  <si>
    <t>XM Radio</t>
  </si>
  <si>
    <t>XM Satellite Radio Holdings Inc</t>
  </si>
  <si>
    <t>Sirius XM Canada</t>
  </si>
  <si>
    <t>Owner and operator of satellite radio services in the United States. The company provides music, news, talk, information, entertainment and sports programming for reception by vehicle, home and portable radios. It operates 170 channels, including music genres and live radio entertainment, live music programming, sports programming, news, talk, information and entertainment programming.</t>
  </si>
  <si>
    <t>Broadcasting, Radio and Television*, Wireless Communications Equipment</t>
  </si>
  <si>
    <t>music on radio, radio channel, radio talk, satellite radio</t>
  </si>
  <si>
    <t>www.xmradio.com</t>
  </si>
  <si>
    <t>1998: 61, 1999: 67, 2000: 250, 2001: 448, 2002: 384, 2003: 425, 2004: 577, 2005: 710, 2006: 860, 2007: 1059, 2008: 1059, 2009: 1059</t>
  </si>
  <si>
    <t>1500 Eckington Place Northeast</t>
  </si>
  <si>
    <t>20002</t>
  </si>
  <si>
    <t>The company has been acquired by Sirius XM Radio for $5.83 billion on July 28, 2008. The company is no longer being actively tracked by PitchBook.</t>
  </si>
  <si>
    <t>Sirius XM Radio</t>
  </si>
  <si>
    <t>AEA Investors, Clear Channel Television, Columbia Capital, DirecTV, General Motors, Hearst Ventures, Madison Dearborn Partners, SFW Capital Partners, Telcom Ventures, Venturehouse Group</t>
  </si>
  <si>
    <t>AEA Investors(www.aeainvestors.com), Columbia Capital(www.colcap.com), DirecTV(www.directv.com), General Motors(www.gm.com), Madison Dearborn Partners(www.mdcp.com), SFW Capital Partners(www.sfwcap.com), Venturehouse Group(www.venturehousegroup.com)</t>
  </si>
  <si>
    <t>CMG Consulting(Advisor: General), Quinn Emanuel Urquhart &amp; Sullivan(Legal Advisor)</t>
  </si>
  <si>
    <t>Bank of America Merrill Lynch(Underwriter), Bear Stearns(Underwriter), Brad Peery Capital(Underwriter), C.E. Unterberg, Towbin Holdings(Underwriter), Credit Suisse(Underwriter), Deutsche Bank(Underwriter), Donaldson, Lufkin &amp; Jenrette(Underwriter), FBR &amp; Company(Underwriter), Fisher Wayland Cooper Leader &amp; Zaragoza(Legal Advisor), Hogan &amp; Hartson Raue(Legal Advisor), ING Barings Private Equity(Underwriter), J.P. Morgan(Advisor: General), Jones Day(Legal Advisor), Kaufman Partners(Underwriter), KPMG(Accounting), Lehman Brothers(Underwriter), Mackenzie Partners(Advisor: General), Morgan Stanley(Advisor: General), Raymond James Financial(Underwriter), Salomon Brothers(Underwriter), SG Cowen Securities(Underwriter), Simpson Thacher &amp; Bartlett(Legal Advisor), Skadden, Arps, Slate, Meagher &amp; Flom(Legal Advisor), Soundview Technology Group(Underwriter), Wiley Rein(Legal Advisor)</t>
  </si>
  <si>
    <t>Convertible Debt</t>
  </si>
  <si>
    <t>Bridge - $250.00M</t>
  </si>
  <si>
    <t>163451-44</t>
  </si>
  <si>
    <t>VEW</t>
  </si>
  <si>
    <t>Vereinigte Elektrizitätswerke Westfalen GmbH</t>
  </si>
  <si>
    <t>VEW AG</t>
  </si>
  <si>
    <t>Provider of infrastructure services based in Germany. The company's services include from energy supply to disposal, environmental technology and infrastructure-related services to telecommunication.</t>
  </si>
  <si>
    <t>Energy Marketing, Environmental Services (B2B), Other Energy Services*</t>
  </si>
  <si>
    <t>energy supply, energy supply service, energy supply service provider, infrastructure services, infrastructure services provider</t>
  </si>
  <si>
    <t>www.vew.de</t>
  </si>
  <si>
    <t>1999: 15583</t>
  </si>
  <si>
    <t>Dortmund, Germany</t>
  </si>
  <si>
    <t>Rheinlanddamm 24</t>
  </si>
  <si>
    <t>Dortmund</t>
  </si>
  <si>
    <t>44139</t>
  </si>
  <si>
    <t>The company was acquired by RWE (ETR: RWE) for EUR 6.7 billion on October 1, 2000. The company is no longer actively tracked by PitchBook.</t>
  </si>
  <si>
    <t>167145-40</t>
  </si>
  <si>
    <t>Versum Materials</t>
  </si>
  <si>
    <t>Air Product's Electronic materials Division</t>
  </si>
  <si>
    <t>Versum</t>
  </si>
  <si>
    <t>Versum Materials, Inc.</t>
  </si>
  <si>
    <t>Evonik Jayhawk Fine Chemicals Corporation, Chemtura, Cabot Microelectronics, Cabot, Diversified Pure Chem</t>
  </si>
  <si>
    <t>Versum Materials Inc is a leading global provider of electronic materials for the integrated circuit and flat-panel display markets. It supplies specialty chemicals and materials, high-purity specialty gases, proprietary delivery systems, and related services.</t>
  </si>
  <si>
    <t>Industrial Chemicals, Other Semiconductors, Specialty Chemicals*</t>
  </si>
  <si>
    <t>electronic materials, semiconductor materials, specialty materials, wafers semiconductors</t>
  </si>
  <si>
    <t>www.versummaterials.com</t>
  </si>
  <si>
    <t>2015: 1900, 2016: 980, 2017: 2200, 2018: 2300, 2019: 2300</t>
  </si>
  <si>
    <t>147700-18P</t>
  </si>
  <si>
    <t>Guillermo Novo</t>
  </si>
  <si>
    <t>guillermo.novo@versummaterials.com</t>
  </si>
  <si>
    <t>Tempe, AZ</t>
  </si>
  <si>
    <t>8555 South River Parkway</t>
  </si>
  <si>
    <t>Tempe</t>
  </si>
  <si>
    <t>85284</t>
  </si>
  <si>
    <t>The company (NYSE: VSM) was acquired by Merck (ETR: MRK) for EUR 5.3 billion on October 7, 2019. The deal will strengthen Merck's position in the semiconductor industry and Merck's Performance Materials business sector. The company is no longer actively tracked by PitchBook.</t>
  </si>
  <si>
    <t>Citicorp Investment Bank(Advisor: General), Johnson Fistel(Legal Advisor), Kahn Swick &amp; Foti(Legal Advisor), Lazard(Advisor: General), Lazard Middle Market(Advisor: General), Rigrodsky &amp; Long(Legal Advisor), Simpson Thacher &amp; Bartlett(Legal Advisor)</t>
  </si>
  <si>
    <t>443330-38</t>
  </si>
  <si>
    <t>Grupo ACS (Industrial Services Division)</t>
  </si>
  <si>
    <t>Provider of industrial engineering services. The company is mainly focused on activities such as development, construction, maintenance and operation of energy, industrial and mobility infrastructures through a large group of companies.</t>
  </si>
  <si>
    <t>applied industrial engineering, industrial engineering, industrial engineering service</t>
  </si>
  <si>
    <t>Avda. Pío XII, nº 102</t>
  </si>
  <si>
    <t>Vinci (PAR: DG) reached a definitive agreement to acquire the industrial services division of Actividades de Construcción y Servicios (ACS: XMAD) for EUR 4.9 billion on April 1, 2021. The company will receive a contingent payout of 0.7 billion over time, subject to achieving predetermined milestones of ready-to-build3 renewables GW. The acquisition would include, in addition to the engineering and works activities, interests held in eight concessions and PPPs relating mainly to energy projects as well as a platform for the development of new projects in the renewable energy sector.</t>
  </si>
  <si>
    <t>Clifford Chance(Legal Advisor)</t>
  </si>
  <si>
    <t>54278-47</t>
  </si>
  <si>
    <t>King Digital Entertainment</t>
  </si>
  <si>
    <t>Midasplayer.com</t>
  </si>
  <si>
    <t>King</t>
  </si>
  <si>
    <t>King.com Ltd.</t>
  </si>
  <si>
    <t>Crytek, Arkadium, Firefly Games, Gameforge, Noodlecake Studios, Omnidrone, Machine Zone, WildTangent, Mangatar, Epic Games, TellTale, Joyride (Entertainment Software), BetaDwarf, Mediatonic, Jam City, Jagex, IWin, nDreams, Plarium Global, Kixeye, PlayRaven, Kongregate, Coffee Stain Studios, VC Mobile Entertainment, TreasureHunt, Motiga, Atari, Vostu, BreakAway (Entertainment Software), Zylom Media Group, Wizcorp, Naughty Dog, Kabam, Mousebreaker, Digit Game Studios, Storm8, Spil Games, Bungie, Halfbrick Studios, Fishing Cactus, TinyCo, Mino Games, This Game Studio, Netmarble Games, GarageGames, Full Control, Krafton, Big Fish Games, Playdom, Rumble Entertainment, Geewa, Electronic Arts, CrowdStar, Social Point, Zynga, Glu Mobile, Plinga, Ministry (Entertainment Software), NYX Gaming Group, FunPlus, Team17 Digital, A Thinking Ape, Raptr, HeroEngine, PlayCanvas, Pocket Gems (Entertainment Software), metacore, Riot Games, Hobo Labs, Grupo Promineo, Shockwave.com, Innogames, Ubisoft Entertainment, PerBlue, The Stars Group, Hi-Rez Studios, Gameloft, Valve, Beenox, Sega Holdings, Goodgame (Entertainment Software), Scopely, Unity, PopCap Games, Daedalic Entertainment, ComboStrike, Rovio Entertainment, Second Dinner</t>
  </si>
  <si>
    <t>Developer of interactive games based in Saint Julians, Malta. The company focuses on designing diverse games, allowing it to impart varied entertainment capabilities to users around the world.</t>
  </si>
  <si>
    <t>digital media games, mobile games, online gaming software, skills gaming site</t>
  </si>
  <si>
    <t>www.king.com</t>
  </si>
  <si>
    <t>2013: 665, 2014: 1200, 2015: 1400, 2016: 1600, 2018: 2000, 2020: 2500, 2021: 2000</t>
  </si>
  <si>
    <t>Activision Blizzard</t>
  </si>
  <si>
    <t>40979-44P</t>
  </si>
  <si>
    <t>Toby Rowland</t>
  </si>
  <si>
    <t>toby.rowland@mangahigh.com</t>
  </si>
  <si>
    <t>+44 (0)20 7307 8670</t>
  </si>
  <si>
    <t>62 Shaftesbury Avenue</t>
  </si>
  <si>
    <t>Greater London</t>
  </si>
  <si>
    <t>W1D 6LT</t>
  </si>
  <si>
    <t>+44 (0)20 3451 5464</t>
  </si>
  <si>
    <t>The company (NYSE: KING) was acquired by Activision Blizzard (NASDAQ: ATVI) for $5.8 billion on February 23, 2016. The aggregate purchase price of the King Acquisition was approximately $5.8 billion, which was paid on the King Closing Date and funded primarily with $3.6 billion of existing cash and $2.2 billion of cash from new debt issued by the Company.</t>
  </si>
  <si>
    <t>Apax Partners, Index Ventures, Klaus Hommels, Lakestar</t>
  </si>
  <si>
    <t>Apax Partners(www.apax.com), Index Ventures(www.indexventures.com), Lakestar(www.lakestar.com)</t>
  </si>
  <si>
    <t>Fenwick &amp; West(Legal Advisor), GP Bullhound(Advisor: General), PwC(Accounting), Wilson Sonsini Goodrich &amp; Rosati(Legal Advisor)</t>
  </si>
  <si>
    <t>Bank of America Merrill Lynch(Debt Financing), Barclays Investment Bank(Underwriter), BMO Capital Markets(Underwriter), Cowen &amp; Company(Underwriter), Cravath, Swaine &amp; Moore(Legal Advisor), Credit Suisse(Underwriter), Deutsche Banc Securities(Underwriter), Fenwick &amp; West(Legal Advisor), Global PMI Partners(Advisor: General), J.P. Morgan(Underwriter), KBCM Technology Group(Underwriter), Matheson(Legal Advisor), Piper Sandler(Underwriter), PwC(Accounting), RBC Capital Markets(Underwriter), Simpson Thacher &amp; Bartlett(Legal Advisor), Stifel Financial(Underwriter), The Raine Group(Underwriter), Wedbush Securities(Underwriter), William Fry(Legal Advisor)</t>
  </si>
  <si>
    <t>61884-28</t>
  </si>
  <si>
    <t>Hanon Systems (KRX: 018880)</t>
  </si>
  <si>
    <t>Halla Visteon Climate Control, Halla Climate Control Corp.</t>
  </si>
  <si>
    <t>Hanon Systems Corp.</t>
  </si>
  <si>
    <t>Wabco, TI Fluid Systems, Getrag, American Axle &amp; Manufacturing, Hyundai Mobis, Aptiv, BBB Industries, Magna International, Benteler International, Brembo, Inteva Products, Valeo, Knorr-Bremse, Marelli, DURA Automotive Systems, Metaldyne Performance Group, Delphi Technologies, JTEKT, Wanxiang America, AxleTech, GKN Automotive, Lear, Showa, Federal-Mogul Holdings, Mahle, Nexteer Automotive Group, Veoneer, ZF Friedrichshafen, Denso, Haldex, Spectra Premium Industries, Kongsberg Automotive, Gestamp Automocion, Bendix Commercial Vehicle Systems, Nihon Plast Company, Hella, Motorcar Parts of America, Siemens India Ltd, Northrop Grumman</t>
  </si>
  <si>
    <t>Hanon Systems offers a wide range of thermal and energy management solutions. The company supplies products and systems for automotive applications including heating ventilation and air conditioning; powertrain cooling; compressors; fluid transport; and thermal and emissions solutions for conventional, electric, hybrid, fuel cell and autonomous vehicles. Business operations of the company are functioned through Europe, India, Thailand, South Africa, China, Korea, Japan, and the Americas. Also, the company manufactures and supplies components and systems for electrical machines and other industries.</t>
  </si>
  <si>
    <t>Automotive*, Industrial Supplies and Parts, Road</t>
  </si>
  <si>
    <t>air conditioning, automobile climate control, automotive thermal solutions, compressors, energy management, fluid transport, thermal management system</t>
  </si>
  <si>
    <t>www.hanonsystems.com</t>
  </si>
  <si>
    <t>2007: 1677, 2008: 1710, 2009: 1715, 2010: 1741, 2011: 1859, 2012: 1868, 2013: 1970, 2014: 2052, 2015: 2136, 2016: 2164, 2017: 2220, 2018: 2330, 2019: 2340, 2020: 2216, 2021: 22000</t>
  </si>
  <si>
    <t>018880</t>
  </si>
  <si>
    <t>122627-08P</t>
  </si>
  <si>
    <t>Jeong Son</t>
  </si>
  <si>
    <t>Vice Chairman</t>
  </si>
  <si>
    <t>Daejeon, South Korea</t>
  </si>
  <si>
    <t>95, Sinilseo-ro</t>
  </si>
  <si>
    <t>Daedeok-gu</t>
  </si>
  <si>
    <t>Daejeon</t>
  </si>
  <si>
    <t>34325</t>
  </si>
  <si>
    <t>info@hanonsystems.com</t>
  </si>
  <si>
    <t>The company has received bids to be acquired by The Carlyle Group, Bain Capital and Mahle through an estimated $5.81 billion LBO as of June 22, 2021. The potential transaction values the company at an estimated $8.30 billion. Previously, the company (KRX:018880) received development capital from National Pension Service of Korea through a private placement. The company is being actively tracked by PitchBook.</t>
  </si>
  <si>
    <t>Hahn &amp; Company, Hankook Tire Worldwide, National Pension Service of Korea</t>
  </si>
  <si>
    <t>Visteon</t>
  </si>
  <si>
    <t>Hahn &amp; Company(www.hcompany.com), Hankook Tire Worldwide(www.hankookandcompany.com), National Pension Service of Korea(www.fund.nps.or.kr)</t>
  </si>
  <si>
    <t>Visteon(www.visteon.com)</t>
  </si>
  <si>
    <t>Deutsche Bank(Advisor: General), Hahn &amp; Company(Debt Financing), NH Investment &amp; Securities(Advisor: General)</t>
  </si>
  <si>
    <t>In Bidding Process</t>
  </si>
  <si>
    <t>151686-46</t>
  </si>
  <si>
    <t>Duvernay Oil</t>
  </si>
  <si>
    <t>Duvernay Oil Corp.</t>
  </si>
  <si>
    <t>Provider of oil and gas exploration services, in Canada. The company engages in developing, exploring, mining and maintaining gas and oil properties as well as extracts crude oil and natural gas from those properties.</t>
  </si>
  <si>
    <t>Energy Exploration*, Gas Utilities</t>
  </si>
  <si>
    <t>developing oil and gas properties, natural gas extraction, oil and gas exploration service, oil and gas production, oil exploration service, oil extraction</t>
  </si>
  <si>
    <t>www.duvernayoil.com</t>
  </si>
  <si>
    <t>2003: 33, 2004: 40, 2005: 54, 2006: 67, 2007: 77</t>
  </si>
  <si>
    <t>154955-53P</t>
  </si>
  <si>
    <t>Michael Rose</t>
  </si>
  <si>
    <t>Founder, President, Director &amp; Chief Executive Officer</t>
  </si>
  <si>
    <t>rose@duvernayoil.com</t>
  </si>
  <si>
    <t>1500, 202-6th Avenue Southwest</t>
  </si>
  <si>
    <t>T2P 2R9</t>
  </si>
  <si>
    <t>The company (TSE: DDV) was acquired by BRS Gas, a subsidiary of Shell Canada for CAD 5.9 billion on July 14, 2008. The acquisition would allow Shell Canada to expand its business portfolio in oil and gas exploration sector in Canada. The company is no longer actively tracked by PitchBook.</t>
  </si>
  <si>
    <t>Burnet, Duckworth &amp; Palmer(Legal Advisor), Cormark Securities(Underwriter), GMP FirstEnergy(Underwriter), KPMG(Accounting), Peters &amp; Co.(Underwriter), Scotia Waterous(Advisor: General), Scotiabank Global Banking and Markets(Underwriter), UBS Securities (China)(Underwriter)</t>
  </si>
  <si>
    <t>125984-53</t>
  </si>
  <si>
    <t>Engie E&amp;P International</t>
  </si>
  <si>
    <t>Engie E&amp;P</t>
  </si>
  <si>
    <t>Engie E&amp;P International SA</t>
  </si>
  <si>
    <t>Platino Energy</t>
  </si>
  <si>
    <t>Provider of oil and gas exploration and production services. The company specializes in energy production and exploration in 13 different countries such as Germany, Norway, Australia and United Kingdom among others and engages in drilling and well operations, development and production and subsurface studies.</t>
  </si>
  <si>
    <t>Alternative Energy Equipment, Energy Exploration, Energy Production, Energy Transportation*</t>
  </si>
  <si>
    <t>drilling service, energy production and exploration, oil and gas field, oil and gas field service, subsurface study, wells operations</t>
  </si>
  <si>
    <t>www.engie-ep.com</t>
  </si>
  <si>
    <t>2011: 1500, 2016: 1900, 2018: 1800</t>
  </si>
  <si>
    <t>174227-86P</t>
  </si>
  <si>
    <t>Cedric Osterrieth</t>
  </si>
  <si>
    <t>+33 (0)1 56 65 58 70</t>
  </si>
  <si>
    <t>1 Place Samuel de Champlain</t>
  </si>
  <si>
    <t>92930</t>
  </si>
  <si>
    <t>info@engie-ep.com</t>
  </si>
  <si>
    <t>The company was acquired by Neptune Energy, via its financial sponsors the Carlyle Group and CVC Capital Partners and China Investment Corporation through a EUR 4.7 billion LBO on February 15, 2018. The transaction enables Neptune to become an international independent E&amp;P company across the North Sea, North Africa and South East Asia, producing 154,000 net barrels of oil equivalent per day in 2017. The acquisition will also enable Neptune to set-up a sustainable asset base throughout the exploration and production (E&amp;P) value chain, in addition to providing a good balance of oil and gas. The company is no longer actively tracked by PitchBook.</t>
  </si>
  <si>
    <t>Neptune Energy</t>
  </si>
  <si>
    <t>China Investment Corporation, CVC Capital Partners, The Carlyle Group, Total</t>
  </si>
  <si>
    <t>Engie(www.engie.com)</t>
  </si>
  <si>
    <t>China Investment Corporation(www.china-inv.cn), CVC Capital Partners(www.cvc.com), The Carlyle Group(www.carlyle.com), Total(www.total.com)</t>
  </si>
  <si>
    <t>Bank of America(Advisor: General), BNP Paribas(Advisor: General), Cravath, Swaine &amp; Moore(Legal Advisor), Macfarlanes(Legal Advisor)</t>
  </si>
  <si>
    <t>265000-78</t>
  </si>
  <si>
    <t>ADNOC Refining</t>
  </si>
  <si>
    <t>Provider of oil refining services in the Middle East. The business unit offers a diversified range of petroleum products, including LPG, naphtha, gasoline, jet fuel, gas oil and base oils, fuel oil, and petrochemical feedstock and propylene, in addition to specialty products such as carbon Black and anode coke.</t>
  </si>
  <si>
    <t>gasoline product, jet fuel, naphtha oil, oil refining business, petrochemical feedstock</t>
  </si>
  <si>
    <t>202175-29P</t>
  </si>
  <si>
    <t>Jasem Sayegh</t>
  </si>
  <si>
    <t>jalsayegh@adnoc.ae</t>
  </si>
  <si>
    <t>+971 (0)2 602 7000</t>
  </si>
  <si>
    <t>PO Box: 3593</t>
  </si>
  <si>
    <t>+971 (0)2 602 7001</t>
  </si>
  <si>
    <t>A 15% and 20% stake in the business unit were acquired by OMV (VIE: OMV) and Eni (BIT: ENI) for $5.8 billion on January 30, 2019. The transaction reflects the scale, quality and growth potential of the unit's assets, coupled with an advantageous location from which to supply markets in Africa, Asia and Europe.</t>
  </si>
  <si>
    <t>Eni, OMV</t>
  </si>
  <si>
    <t>Eni(www.eni.com), OMV(www.omv.com)</t>
  </si>
  <si>
    <t>Wood Mackenzie(Advisor: General)</t>
  </si>
  <si>
    <t>59390-56</t>
  </si>
  <si>
    <t>Chambers Street Capital Management</t>
  </si>
  <si>
    <t>CB Richards Ellis Reality Trust</t>
  </si>
  <si>
    <t>Chambers Street</t>
  </si>
  <si>
    <t>Chambers Street Capital Management, LLC</t>
  </si>
  <si>
    <t>Provider of real estate investment services. The company is engaged in acquiring, owning and operating net leased industrial and office properties, leased to creditworthy tenants.</t>
  </si>
  <si>
    <t>estate manager, home mortgage, real property</t>
  </si>
  <si>
    <t>www.chambersstreet.com</t>
  </si>
  <si>
    <t>200 Park Avenue South</t>
  </si>
  <si>
    <t>Suite 1319</t>
  </si>
  <si>
    <t>10003</t>
  </si>
  <si>
    <t>+1 (212) 729-3120</t>
  </si>
  <si>
    <t>info@chambersstreet.com</t>
  </si>
  <si>
    <t>The company (NYSE: CSG) was acquired by Gramercy Property Trust (NYSE: GPT) for $5.8 billion on December 17, 2015. The company is no longer actively tracked by PitchBook.</t>
  </si>
  <si>
    <t>Clifford Chance(Legal Advisor), D. F. King(Advisor: General), Duff &amp; Phelps, A Kroll Business(Advisor: General), Edelman(Advisor: Communications), J.P. Morgan(Advisor: General), Paul, Weiss, Rifkind, Wharton &amp; Garrison(Legal Advisor)</t>
  </si>
  <si>
    <t>43021-90</t>
  </si>
  <si>
    <t>Golden State Bancorp</t>
  </si>
  <si>
    <t>Golden State Bancorp, Inc</t>
  </si>
  <si>
    <t>Provider of mortgage loan and banking services. The company provides savings and other diversified financial services including insurance and asset management services.</t>
  </si>
  <si>
    <t>Regional Banks*, Thrifts and Mortgage Finance</t>
  </si>
  <si>
    <t>mortgage loan provider</t>
  </si>
  <si>
    <t>1994: 3432, 1995: 2212, 1996: 2455, 1997: 2769, 1998: 2961, 1999: 8102, 2000: 8102, 2001: 8219, 2002: 8800</t>
  </si>
  <si>
    <t>TTM 2Q2002</t>
  </si>
  <si>
    <t>135 Main Street</t>
  </si>
  <si>
    <t>The company was acquired by Citigroup (NYSE: C) for $5.8 billion on November 7, 2002. The company is no longer actively tracked by PitchBook.</t>
  </si>
  <si>
    <t>Flexpoint Ford, MacAndrews &amp; Forbes</t>
  </si>
  <si>
    <t>Flexpoint Ford(www.flexpointford.com), MacAndrews &amp; Forbes(www.macandrewsandforbes.com)</t>
  </si>
  <si>
    <t>The Goldman Sachs Group(Legal Advisor), Wachtell, Lipton, Rosen &amp; Katz(Legal Advisor)</t>
  </si>
  <si>
    <t>41306-95</t>
  </si>
  <si>
    <t>Interactive Data</t>
  </si>
  <si>
    <t>Data Broadcasting Corporation</t>
  </si>
  <si>
    <t>IDC, IDCO</t>
  </si>
  <si>
    <t>Interactive Data Corp.</t>
  </si>
  <si>
    <t>NASDAQ, Citigroup, Mergent, Navigant Consulting, DBRS Morningstar, Fitch Ratings, Activ Financial</t>
  </si>
  <si>
    <t>Provider of financial market data and analytics services. The company offers portfolio management and valuation, research and analysis, trading, wealth management, sales and marketing and client service activities.</t>
  </si>
  <si>
    <t>Brokerage, Other Capital Markets/Institutions, Other Financial Services*</t>
  </si>
  <si>
    <t>financial market, market data, market information</t>
  </si>
  <si>
    <t>www.interactivedata.com</t>
  </si>
  <si>
    <t>1992: 243, 1993: 264, 1994: 264, 1995: 264, 1996: 737, 1997: 701, 1998: 756, 1999: 580, 2000: 1600, 2001: 1516, 2002: 1570, 2003: 1766, 2004: 1800, 2005: 2100, 2006: 2200, 2007: 2304, 2008: 2400, 2009: 2500, 2010: 2450, 2011: 2600, 2012: 2600, 2013: 2600, 2015: 2400</t>
  </si>
  <si>
    <t>97185-97P</t>
  </si>
  <si>
    <t>Jessie Yu</t>
  </si>
  <si>
    <t>Chief Executive Officer Of Strategy &amp; Business Development</t>
  </si>
  <si>
    <t>hanjie.yu@theice.com</t>
  </si>
  <si>
    <t>Bedford, MA</t>
  </si>
  <si>
    <t>32 Crosby Drive</t>
  </si>
  <si>
    <t>Bedford</t>
  </si>
  <si>
    <t>01730</t>
  </si>
  <si>
    <t>The company (NYSE: IDC) was acquired by Intercontinental Exchange (NYSE: ICE) for $7.4 billion on December 14, 2015. Under the terms of the transaction, Intercontinental Exchange Inc paid US$3.65 billion in cash, 6.47 million shares ($1.6 billion), and up to 2.2 million shares ($547.4 million) in contingent payout. Total Debt included in round amount was 2.2 billion.</t>
  </si>
  <si>
    <t>Silver Lake, Stockwell Capital, Teacher Retirement System of Texas, Warburg Pincus</t>
  </si>
  <si>
    <t>Advent International, Apax Partners, Apollo Global Management, Bain Capital, Bloomberg Beta, CVC Capital Partners, Hellman &amp; Friedman, Kohlberg Kravis Roberts, Markit (London), NASDAQ, Permira, Providence Equity Partners, S&amp;P Global, The Blackstone Group, The Carlyle Group, Thomson Reuters, TPG</t>
  </si>
  <si>
    <t>Silver Lake(www.silverlake.com), Stockwell Capital(www.stockwellcapital.com), Teacher Retirement System of Texas(www.trs.texas.gov), Warburg Pincus(www.warburgpincus.com)</t>
  </si>
  <si>
    <t>Advent International(www.adventinternational.com), Apax Partners(www.apax.com), Apollo Global Management(www.apollo.com), Bain Capital(www.baincapital.com), Bloomberg Beta(www.bloombergbeta.com), CVC Capital Partners(www.cvc.com), Hellman &amp; Friedman(www.hf.com), Kohlberg Kravis Roberts(www.kkr.com), Markit (London)(www.markit.com), NASDAQ(www.nasdaq.com), Permira(www.permira.com), Providence Equity Partners(www.provequity.com), S&amp;P Global(www.spglobal.com), The Blackstone Group(www.blackstone.com), The Carlyle Group(www.carlyle.com), Thomson Reuters(www.thomsonreuters.com), TPG(www.tpg.com)</t>
  </si>
  <si>
    <t>Bowdoin Group(Consulting), DeSantis Breindel(Advisor: General), EY(Auditor), Leadership Group Executive Search(Consulting)</t>
  </si>
  <si>
    <t>American Capital (ACAS)(Debt Financing), American Capital Senior Floating(Debt Financing), Axinn, Veltrop &amp; Harkrider(Legal Advisor), Bank of America Merrill Lynch(Debt Financing), Barclays(Debt Financing), Citibank(Underwriter), Cleary Gottlieb(Legal Advisor), Corporate Capital Trust(Debt Financing), Credit Suisse(Debt Financing), Crescent Capital BDC(Debt Financing), Deutsche Bank(Underwriter), Duff &amp; Phelps, A Kroll Business(Advisor: General), Evercore Group(Underwriter), EY(Auditor), Foros (Financing Advisory)(Advisor: General), FS KKR Capital(Debt Financing), MCG Capital(Advisor: General), Morgan Lewis(Legal Advisor), Morgan Stanley(Advisor: General), Simpson Thacher &amp; Bartlett(Legal Advisor), The Goldman Sachs Group(Advisor: General), UBS Group(Debt Financing), Wells Fargo Securities(Underwriter), Willkie Farr &amp; Gallagher(Legal Advisor), Zelig(Advisor: General)</t>
  </si>
  <si>
    <t>42160-78</t>
  </si>
  <si>
    <t>Intermedia Communications</t>
  </si>
  <si>
    <t>Intermedia</t>
  </si>
  <si>
    <t>Intermedia Communications, Inc.</t>
  </si>
  <si>
    <t>Provider of integrated communications services. The company's services include local voice services, internet access services, local access, and private line services.</t>
  </si>
  <si>
    <t>Internet Service Providers, Other Communications and Networking*, Wireless Service Providers</t>
  </si>
  <si>
    <t>integrated communications services, local access, voice services</t>
  </si>
  <si>
    <t>1991: 27, 1992: 49, 1993: 58, 1994: 140, 1995: 287, 1996: 874, 1997: 2036, 1998: 3931, 1999: 5073, 2000: 5874, 2001: 3700</t>
  </si>
  <si>
    <t>3608 Queen Palm Drive</t>
  </si>
  <si>
    <t>33619</t>
  </si>
  <si>
    <t>+1 (813) 829-0011</t>
  </si>
  <si>
    <t>+1 (813) 829-2470</t>
  </si>
  <si>
    <t>The company was acquired by MCI for $5.8 billion through an acquisition on July 1, 2001.</t>
  </si>
  <si>
    <t>Compaq Computer, Kohlberg Kravis Roberts, Microsoft, OneLiberty Ventures</t>
  </si>
  <si>
    <t>Compaq Computer(www.compaq.com), Kohlberg Kravis Roberts(www.kkr.com), Microsoft(www.microsoft.com)</t>
  </si>
  <si>
    <t>Bear Stearns(Advisor: General)</t>
  </si>
  <si>
    <t>Bank of America(Debt Financing), Bear Stearns(Advisor: General), BNY Mellon(Debt Financing), TD Bank Group(Debt Financing)</t>
  </si>
  <si>
    <t>Loan - $400.00M (Senior)</t>
  </si>
  <si>
    <t>40361-59</t>
  </si>
  <si>
    <t>Oriental Brewery</t>
  </si>
  <si>
    <t>OB</t>
  </si>
  <si>
    <t>Oriental Brewery Company Ltd</t>
  </si>
  <si>
    <t>Manufacturer and supplier of beer. The company operates breweries in Icheon, Kwangju and Cheongwon, South Korea. Its products include mild and strong beer, light beer and other alcoholic beverages.</t>
  </si>
  <si>
    <t>alcohol, alcoholic beverages, beer, brewery</t>
  </si>
  <si>
    <t>www.ob.co.kr</t>
  </si>
  <si>
    <t>2009: 2200, 2014: 2200</t>
  </si>
  <si>
    <t>47511-19P</t>
  </si>
  <si>
    <t>Jang In-Soo</t>
  </si>
  <si>
    <t>jang.insoo@ob.co.kr</t>
  </si>
  <si>
    <t>+82 (0)23 398 5252</t>
  </si>
  <si>
    <t>Hanwon Building 1449-12</t>
  </si>
  <si>
    <t>Seocho Dong Seocho-Ku</t>
  </si>
  <si>
    <t>137-866</t>
  </si>
  <si>
    <t>+82 (0)23 398 5259</t>
  </si>
  <si>
    <t>The company was acquired by Anheuser-Busch InBev (NYSE: BUD) for $5.8 billion on March 31, 2014. The company is no longer actively tracked by PitchBook.</t>
  </si>
  <si>
    <t>Affinity Equity Partners, Kohlberg Kravis Roberts</t>
  </si>
  <si>
    <t>Asahi Breweries, Bain Capital, Heineken Asia Pacific, Kirin Holdings Company, KT&amp;G, Lotte Holdings (Japan), MBK Partners, SABMiller, The Blackstone Group, The Carlyle Group, Unitas Capital</t>
  </si>
  <si>
    <t>Affinity Equity Partners(www.affinityequity.com), Kohlberg Kravis Roberts(www.kkr.com)</t>
  </si>
  <si>
    <t>Asahi Breweries(www.asahibeer.co.jp), Bain Capital(www.baincapital.com), Heineken Asia Pacific(apbsingapore.com.sg), Kirin Holdings Company(www.kirinholdings.co.jp), KT&amp;G(www.ktng.com), Lotte Holdings (Japan)(www.lotte.co.jp), MBK Partners(www.mbkpartnerslp.com), SABMiller(www.sabmiller.com), The Blackstone Group(www.blackstone.com), The Carlyle Group(www.carlyle.com), Unitas Capital(www.unitascapital.com)</t>
  </si>
  <si>
    <t>Calyon Financial(Debt Financing), Deutsche Bank(Advisor: General), HSBC Holdings(Debt Financing), J.P. Morgan(Debt Financing), Kim &amp; Chang(Legal Advisor), Lazard Middle Market(Advisor: General), Natixis(Debt Financing), NN Investment Partners Holdings(Advisor: General), Nomura Private Equity Capital(Debt Financing), Standard Chartered(Debt Financing), Sullivan &amp; Cromwell(Legal Advisor)</t>
  </si>
  <si>
    <t>Loan - $150.00M; Loan</t>
  </si>
  <si>
    <t>57400-84</t>
  </si>
  <si>
    <t>R&amp;B Falcon</t>
  </si>
  <si>
    <t>Falcon Drilling Company</t>
  </si>
  <si>
    <t>R&amp;B Falcon Corporation</t>
  </si>
  <si>
    <t>Provider of drilling services. The company's deepwater, shallow water and inland oil and natural gas drilling services are offered to clients in United States.</t>
  </si>
  <si>
    <t>drilling service, gas drilling, oil drilling</t>
  </si>
  <si>
    <t>www.rbfalcon.com</t>
  </si>
  <si>
    <t>1997: 5700, 1998: 6200, 1999: 5100, 2000: 5100</t>
  </si>
  <si>
    <t>4 Greenway Plaza</t>
  </si>
  <si>
    <t>77046</t>
  </si>
  <si>
    <t>The company was acquired by Transocean (NYSE: RIG) for $5.8 billion on August 21, 2000. In addition, Transocean will assume some $3 billion of the company's debt. The acquisition puts Transocean back into the US drilling market for natural gas in the shallower waters of the Gulf of Mexico. The company is no longer actively tracked by PitchBook.</t>
  </si>
  <si>
    <t>First Reserve, White Owl Capital Partners</t>
  </si>
  <si>
    <t>First Reserve(www.firstreserve.com), White Owl Capital Partners(www.whiteowlcap.com)</t>
  </si>
  <si>
    <t>Morgan Stanley(Advisor: General)</t>
  </si>
  <si>
    <t>10122-85</t>
  </si>
  <si>
    <t>Regal Entertainment Group</t>
  </si>
  <si>
    <t>REG, Regal Cinemas</t>
  </si>
  <si>
    <t>Regal Cinemas, Inc.</t>
  </si>
  <si>
    <t>Cinépolis, AMC Entertainment (Nine Theaters)</t>
  </si>
  <si>
    <t>Regal Entertainment Group is an American movie theatre chain. The company develops, acquires and operates multi-screen theatres primarily in mid-sized metropolitan markets and suburban growth areas of larger metropolitan markets. It was founded in 1989 and is headquartered in Knoxville, Tennessee. It seeks to acquire other companies whose businesses can be integrated into its existing operations.</t>
  </si>
  <si>
    <t>cinema, cinema hall, movies screening, movies theater</t>
  </si>
  <si>
    <t>www.regmovies.com</t>
  </si>
  <si>
    <t>2002: 22797, 2004: 27161, 2005: 24602, 2006: 24049, 2007: 23292, 2008: 26074, 2009: 25226, 2020: 45000</t>
  </si>
  <si>
    <t>Cineworld Group</t>
  </si>
  <si>
    <t>67170-79P</t>
  </si>
  <si>
    <t>Ken Thewes</t>
  </si>
  <si>
    <t>Chief Marketing Officer &amp; Senior Vice President</t>
  </si>
  <si>
    <t>ken.thewes@regmovies.com</t>
  </si>
  <si>
    <t>+1 (865) 922-1123</t>
  </si>
  <si>
    <t>101 East Blount Avenue</t>
  </si>
  <si>
    <t>37920</t>
  </si>
  <si>
    <t>+1 (865) 922-3188</t>
  </si>
  <si>
    <t>info@regmovies.com</t>
  </si>
  <si>
    <t>The company was acquired by Cineworld Group (LON: CINE) for $5.8 billion on February 28, 2018. Cineworld Group will fund the transaction by through $1.7 billion rights issue and debt. The potential acquisition of Regal would provide Cineworld with a highly attractive platform in the world's largest cinema market. The Greidinger family holds a 28 percent stake in the company through their vehicle Global City Holdings.</t>
  </si>
  <si>
    <t>ACE &amp; Company, Anschutz Investment, Ballast Point Ventures, Edwards Affiliated Holdings, HM Capital Partners, Jupiter Asset Management, Kohlberg Kravis Roberts, LB I Group, Maples Group, Oaktree Capital Management, Putnam Investments, South Atlantic Venture Funds, Windcrest Partners</t>
  </si>
  <si>
    <t>ACE &amp; Company(www.aceandcompany.com), Ballast Point Ventures(www.ballastpointventures.com), HM Capital Partners(www.hmcapital.com), Jupiter Asset Management(www.jupiteram.com), Kohlberg Kravis Roberts(www.kkr.com), Maples Group(www.maples.com), Oaktree Capital Management(www.oaktreecapital.com), Putnam Investments(www.putnam.com), South Atlantic Venture Funds(www.southatlantic.com), Windcrest Partners(www.windcrestpartners.com)</t>
  </si>
  <si>
    <t>Allen &amp; Company(Underwriter), Bass, Berry &amp; Sims(Legal Advisor), Bear Stearns(Underwriter), Cazenove Capital Management(Underwriter), Credit Suisse(Underwriter), Deloitte(Auditor), Edelman Financial Services(Underwriter), Hogan &amp; Hartson Raue(Legal Advisor), Invemed Associates(Underwriter), Janco Partners(Underwriter), Janney(Underwriter), KPMG(Advisor: General), Lehman Brothers(Underwriter), Macfarlanes(Legal Advisor), Morgan Stanley(Advisor: General), Petrie Parkman &amp; Co.(Underwriter), Potter Anderson &amp; Corroon(Legal Advisor), Rigrodsky &amp; Long(Legal Advisor), Salomon Brothers(Underwriter), Skadden, Arps, Slate, Meagher &amp; Flom(Legal Advisor), Vector Securities(Underwriter), Wedbush Securities(Underwriter), Wells Fargo Advisors(Underwriter), WilmerHale(Legal Advisor)</t>
  </si>
  <si>
    <t>59614-75</t>
  </si>
  <si>
    <t>Showa Shell Sekiyu</t>
  </si>
  <si>
    <t>Showa Shell</t>
  </si>
  <si>
    <t>Showa Shell Sekiyu K.K.</t>
  </si>
  <si>
    <t>Showa Shell Sekiyu KK provides energy solutions to a global customer base through its oil and energy solutions business units. The company's oil business consists of crude oil refinery operations. Crude oil is imported from markets globally, and sold to customers in the form of gasoline and diesel oil at service stations in Japan. Oil products including industrial fuels, liquefied petroleum gas, chemicals, lubricants, and bitumen are also sold globally through the Shell Group's export network. The energy solutions business includes a solar subsidiary that sells solar panels and offers services associated with solar power plant development. Showa Shell Sekiyu KK also operates several power plants.</t>
  </si>
  <si>
    <t>Energy Marketing, Energy Production*, Energy Refining, Other Energy Services</t>
  </si>
  <si>
    <t>gasoline product, oil producer</t>
  </si>
  <si>
    <t>www.showa-shell.co.jp</t>
  </si>
  <si>
    <t>2008: 5229, 2009: 5439, 2010: 5761, 2011: 5947, 2012: 5848, 2013: 5829, 2014: 6039, 2015: 4765, 2016: 4511, 2017: 5705</t>
  </si>
  <si>
    <t>192282-04P</t>
  </si>
  <si>
    <t>Tsuyoshi Kameoka</t>
  </si>
  <si>
    <t>Chief Executive Officer, President and Representative Director</t>
  </si>
  <si>
    <t>Daiba Frontier Building</t>
  </si>
  <si>
    <t>2-3-2 Daiba, Minato-ku</t>
  </si>
  <si>
    <t>135-8074</t>
  </si>
  <si>
    <t>The company was acquired by Idemitsu Kosan (TKS: 5019) for $5.8 billion on April 1, 2019. The new company expects the merger to improve efficiency in crude oil procurement, refining and distribution in a shrinking domestic market, where gasoline demand has been declining 2 to 3 percent annually partly due to the accelerating trend toward fuel-efficient hybrid vehicles. The company is no longer actively tracked by PitchBook.</t>
  </si>
  <si>
    <t>Idemitsu Kosan</t>
  </si>
  <si>
    <t>Royal Dutch Shell, Saudi Aramco Pension Plan</t>
  </si>
  <si>
    <t>Royal Dutch Shell(www.shell.com)</t>
  </si>
  <si>
    <t>Lazard Middle Market(Advisor: General), Shearman &amp; Sterling(Legal Advisor)</t>
  </si>
  <si>
    <t>10546-12</t>
  </si>
  <si>
    <t>Strategic Hotels &amp; Resorts</t>
  </si>
  <si>
    <t>Strategic</t>
  </si>
  <si>
    <t>Strategic Hotels &amp; Resorts LLC</t>
  </si>
  <si>
    <t>Four Seasons Hotels and Resorts, Fairmont Hotels &amp; Resorts, Tifco Hotel Group, Kerzner International, Dan Hotels, Kimpton Hotel &amp; Restaurant Group, Huazhu Hotels Group, Melco Resorts &amp; Entertainment, Xenia Hotels &amp; Resorts, The Ritz-Carlton Hotel Company, Sunstone Hotel Investors, Abu Dhabi National Hotels, Omni Hotels &amp; Resorts, Atlanta Marriott Northwest, Shilo Management Corporation, Austin Four Seasons, Maui Hotels, Starwood Hotels &amp; Resorts Worldwide, Courtyard Oakland Downtown, Renaissance O'Hare Hotel, Courtyard by Marriott Chapel Hill, Radisson Blu Hotel Malmö, Hyatt, Marriott International, Four Seasons Resort Scottsdale, Four Seasons Jackson Hole, TownePlace Suites by Marriott (Florida)</t>
  </si>
  <si>
    <t>Owner and operator of hotels and resorts. The company owns 18 luxury hotels, 17 of which are located in the United States and one of which is in Germany.</t>
  </si>
  <si>
    <t>Hotels and Resorts*</t>
  </si>
  <si>
    <t>hotel chain, hotel management, hotel operator, resort chain, resort operator</t>
  </si>
  <si>
    <t>www.strategichotels.com</t>
  </si>
  <si>
    <t>2003: 37, 2004: 33, 2005: 46, 2006: 57, 2007: 66, 2008: 48, 2009: 43, 2010: 43, 2011: 42, 2012: 39, 2013: 38, 2014: 35, 2015: 49</t>
  </si>
  <si>
    <t>127404-64P</t>
  </si>
  <si>
    <t>Greg Brenner</t>
  </si>
  <si>
    <t>Senior Vice President &amp; Chief Accounting Officer</t>
  </si>
  <si>
    <t>gbrenner@shci.com</t>
  </si>
  <si>
    <t>+1 (312) 658-5000</t>
  </si>
  <si>
    <t>150 North Riverside Plaza</t>
  </si>
  <si>
    <t>Suite 4100</t>
  </si>
  <si>
    <t>info@strategichotels.com</t>
  </si>
  <si>
    <t>The company, a subsidiary of Anbang Insurance Group Company, had entered into a definitive agreement to be acquired by Mirae Asset Financial Group through an estimated $5.8 billion LBO on September 11, 2019. Subsequently, the deal was canceled on May 4, 2020. Previously, the company was acquired by Anbang Insurance Group for $6.5 billion on September 29, 2016.</t>
  </si>
  <si>
    <t>Goldman Sachs Merchant Banking Division, Prudential Financial, The Blackstone Group</t>
  </si>
  <si>
    <t>Mirae Asset Global Investments, Ohana Real Estate Investors, The Carlyle Group, Walton Street Capital</t>
  </si>
  <si>
    <t>Prudential Financial(www.prudential.com), The Blackstone Group(www.blackstone.com)</t>
  </si>
  <si>
    <t>Mirae Asset Global Investments(www.am.miraeasset.com), Ohana Real Estate Investors(www.ohanare.com), The Carlyle Group(www.carlyle.com), Walton Street Capital(www.waltonst.com)</t>
  </si>
  <si>
    <t>BMO Harris Bank(Debt Financing), Capital One Business Credit Corp.(Debt Financing), CIBC Bank USA(Debt Financing), Deloitte(Auditor), Deutsche Bank(Debt Financing), Deutsche Bank Securities(Debt Financing), J.P. Morgan(Debt Financing), J.P. Morgan Securities(Debt Financing), JMP Securities(Advisor: General), Jáuregui y Del Valle(Legal Advisor), PNC(Debt Financing), Raymond James Financial(Debt Financing), Sumitomo Mitsui Banking(Advisor: General), Wells Fargo(Debt Financing)</t>
  </si>
  <si>
    <t>Bank of America Merrill Lynch(Underwriter), Cravath, Swaine &amp; Moore(Legal Advisor), Credit Suisse First Boston(Underwriter), Deloitte(Auditor), Deutsche Bank(Advisor: General), Duff &amp; Phelps, A Kroll Business(Advisor: General), Eastdil Secured(Advisor: General), J.P. Morgan(Advisor: General), Mackenzie Partners(Advisor: General), Perella Weinberg Partners(Advisor: General), Raymond James Financial(Underwriter), Sidley Austin(Legal Advisor), Sullivan &amp; Cromwell(Legal Advisor), The Goldman Sachs Group(Advisor: General), Venable(Legal Advisor), Wells Fargo Advisors(Underwriter)</t>
  </si>
  <si>
    <t>25122-34</t>
  </si>
  <si>
    <t>Sybase</t>
  </si>
  <si>
    <t>Sybase, Inc.</t>
  </si>
  <si>
    <t>Swrve, IMImobile, SAS Institute, MySQL, TeleSign, Oracle NetSuite, SAP, Fortytwo Group, Epicor Software, Infobip, SendBird, Apidaze, Tropo, Oracle</t>
  </si>
  <si>
    <t>Provider of enterprise and mobile software products for information management, development, and integration worldwide. The company focuses on managing and mobilizing information from the data-center to the point of action. It offers software to manage, analyze, and mobilize information, using relational databases, analytics and data warehousing, and mobile-application development platforms.</t>
  </si>
  <si>
    <t>Business/Productivity Software, Database Software, Media and Information Services (B2B)*</t>
  </si>
  <si>
    <t>data warehousing, relational database management</t>
  </si>
  <si>
    <t>1986: 48, 1989: 1001, 1990: 1001, 1991: 1068, 1992: 1627, 1993: 2528, 1994: 4016, 1995: 4016, 1996: 5484, 1997: 5216, 1998: 4196, 1999: 4136, 2000: 4864, 2001: 4639, 2002: 3917, 2003: 3660, 2004: 3568, 2005: 3715, 2006: 4067, 2007: 3996, 2008: 3996, 2009: 3995</t>
  </si>
  <si>
    <t>122566-42P</t>
  </si>
  <si>
    <t>Suvro Ghosh</t>
  </si>
  <si>
    <t>suvro.ghosh@sybase.com</t>
  </si>
  <si>
    <t>Dublin, CA</t>
  </si>
  <si>
    <t>One Sybase Drive</t>
  </si>
  <si>
    <t>94568</t>
  </si>
  <si>
    <t>The company was acquired by SAP (ETR: SAP) for $5.8 billion on July 28, 2010. The company is no longer actively tracked by PitchBook.</t>
  </si>
  <si>
    <t>Apple, Ashton Capital Partners, August Capital, Comdisco Ventures, CRV, Draper Fisher Jurvetson Portage, Highland Capital Partners, Kleiner Perkins, Lotus Software, MassVentures, Oak Investment Partners, T. Rowe Price, Tekla Capital Management, The Entrepreneurs' Funds, Woodside Fund, ZF TRW</t>
  </si>
  <si>
    <t>Apple(www.apple.com), Ashton Capital Partners(www.ashtoncapitalpartners.com), August Capital(www.augustcap.com), Comdisco Ventures(www.comdisco.com), CRV(www.crv.com), Draper Fisher Jurvetson Portage(www.dfjportage.com), Highland Capital Partners(www.hcp.com), Kleiner Perkins(www.kleinerperkins.com), Lotus Software(lotus.com), MassVentures(www.mass-ventures.com), Oak Investment Partners(www.oakinv.com), T. Rowe Price(www.troweprice.com), Tekla Capital Management(www.teklacap.com), The Entrepreneurs' Funds(www.tefunds.com), Woodside Fund(www.woodsidefund.com)</t>
  </si>
  <si>
    <t>Consilium Partners(Advisor: General), Forsyth Group(Advisor: General), Infortal Worldwide(Advisor: General), Skillnet(Advisor: General), Strategic Business Intelligence(Consulting), Tallman Insights(Consulting), Zelig(Advisor: General)</t>
  </si>
  <si>
    <t>Bank of America Merrill Lynch(Advisor: General), Lehman Brothers(Underwriter), Shearman &amp; Sterling(Legal Advisor), Tekla Capital Management(Underwriter), The Goldman Sachs Group(Underwriter)</t>
  </si>
  <si>
    <t>92196-28</t>
  </si>
  <si>
    <t>Hindustan Petroleum Corporation (NSE: HINDPETRO)</t>
  </si>
  <si>
    <t>HPCL</t>
  </si>
  <si>
    <t>Hindustan Petroleum Corp Ltd</t>
  </si>
  <si>
    <t>Indian Oil Corporation, Chennai Petroleum Corporation, Mangalore Refinery and Petrochemicals, GAIL (India), LukOil, Sasol, Reliance Industries, Pertamina, Royal Dutch Shell, Total, Marathon Oil, ConocoPhillips</t>
  </si>
  <si>
    <t>Hindustan Petroleum Corp Ltd. (HPCL) is an Indian government enterprise that refines crude oil and manufactures petroleum-based products. The company operates a diverse group of refineries that process several grades of lubes, specialties, and greases along with a variety of petroleum products. HPCL also controls an extensive network of pipelines in India that transport a variety of hydrocarbon-based products. In tandem with its host of pipelines, marketing and distribution efforts are carried out through a group of terminals, service stations, bottling plants, marketing offices, and other facilities. Hindustan's products are primarily sold throughout India. The business is divided into upstream and downstream operations, with downstream/marketing activities generating the most revenue.</t>
  </si>
  <si>
    <t>oil, oil exploration, oil trading, petroleum</t>
  </si>
  <si>
    <t>www.hindustanpetroleum.com</t>
  </si>
  <si>
    <t>2005: 10561, 2009: 11246, 2013: 11007, 2014: 10858, 2015: 10634, 2016: 10538, 2017: 10422, 2018: 10352, 2019: 10239, 2020: 9696</t>
  </si>
  <si>
    <t>NSE</t>
  </si>
  <si>
    <t>HINDPETRO</t>
  </si>
  <si>
    <t>Oil and Natural Gas Corporation</t>
  </si>
  <si>
    <t>143023-15P</t>
  </si>
  <si>
    <t>Mukesh Surana</t>
  </si>
  <si>
    <t>+91 (0)22 2286 3900</t>
  </si>
  <si>
    <t>Petroleum House</t>
  </si>
  <si>
    <t>17, Jamshedji Tata Road</t>
  </si>
  <si>
    <t>400020</t>
  </si>
  <si>
    <t>+91 (0)22 2287 2992</t>
  </si>
  <si>
    <t>The company was acquired by Oil and Natural Gas Corporation (BOM: 500312) for INR 369.15 billion on January 31, 2018. This acquisition is in line with the government's objective to combine the Central Public Sector Enterprises to give them the capacity to bear higher risks and avail themselves of economies of scale.</t>
  </si>
  <si>
    <t>Government of India</t>
  </si>
  <si>
    <t>A.K. Capital Services(Advisor: General)</t>
  </si>
  <si>
    <t>107253-82</t>
  </si>
  <si>
    <t>Esanda Finance</t>
  </si>
  <si>
    <t>Esanda</t>
  </si>
  <si>
    <t>Esanda Finance Corporation Ltd</t>
  </si>
  <si>
    <t>Provider of vehicle and equipment financing services. The company's vehicle and equipment financing services include motorcycle, boat, car and other asset based financing, enabling the individuals and businesses to get access to innovative, cost-efficient services in an increasingly competitive world.</t>
  </si>
  <si>
    <t>assets financing, car finance, esanda portfolio, vehicle finance unit, vehicle financing</t>
  </si>
  <si>
    <t>2015: 10001</t>
  </si>
  <si>
    <t>90932-50P</t>
  </si>
  <si>
    <t>Nick Johnson</t>
  </si>
  <si>
    <t>General Manager</t>
  </si>
  <si>
    <t>njohnson@anz.com.au</t>
  </si>
  <si>
    <t>+61 (0)3 9927 8881</t>
  </si>
  <si>
    <t>85 Spring Street</t>
  </si>
  <si>
    <t>+61 (0)3 9666 9988</t>
  </si>
  <si>
    <t>The company was acquired by Macquarie Asset Management through a AUD 8.2 billion LBO on October 8, 2015.</t>
  </si>
  <si>
    <t>Macquarie Asset Management</t>
  </si>
  <si>
    <t>Australia and New Zealand Banking Group</t>
  </si>
  <si>
    <t>Bank of Queensland, BMW i Ventures, HNA Group, J.C. Flowers &amp; Co., Kohlberg Kravis Roberts, Peppers &amp; Rogers Group, Shinsei Bank, The Blackstone Group, The Carlyle Group, TPG</t>
  </si>
  <si>
    <t>Macquarie Asset Management(www.macquarie.com/us/corporate/asset-management)</t>
  </si>
  <si>
    <t>Australia and New Zealand Banking Group(www.anz.com.au)</t>
  </si>
  <si>
    <t>Bank of Queensland(www.boq.com.au), BMW i Ventures(www.bmwiventures.com), HNA Group(www.hnagroup.com), J.C. Flowers &amp; Co.(www.jcfco.com), Kohlberg Kravis Roberts(www.kkr.com), Peppers &amp; Rogers Group(www.peppersandrogers.com), Shinsei Bank(www.shinseibank.com), The Blackstone Group(www.blackstone.com), The Carlyle Group(www.carlyle.com), TPG(www.tpg.com)</t>
  </si>
  <si>
    <t>Citibank(Advisor: General), Nomura Securities(Advisor: General), UBS Group(Advisor: General)</t>
  </si>
  <si>
    <t>157556-44</t>
  </si>
  <si>
    <t>OGK-4</t>
  </si>
  <si>
    <t>OGK-4 OAO</t>
  </si>
  <si>
    <t>Operator of a electricity generation company. The company generates electricity in Russia.</t>
  </si>
  <si>
    <t>electricity generation, electricity production, power generation</t>
  </si>
  <si>
    <t>162444-25P</t>
  </si>
  <si>
    <t>Yuri Sablukov</t>
  </si>
  <si>
    <t>Unipro (MCX: UPRO) acquired a 47% stake in the company, a subsidiary of Unified Energy Systems for EUR 4.1 billion on October 15, 2007. After the transaction, Unipro (MCX: UPRO) owns a 70% stake in the company. The company is no longer actively tracked by PitchBook.</t>
  </si>
  <si>
    <t>RAO Unified Energy Systems</t>
  </si>
  <si>
    <t>RAO Unified Energy Systems(www.rao-ees.ru)</t>
  </si>
  <si>
    <t>221858-83</t>
  </si>
  <si>
    <t>Banca Monte dei Paschi di Siena (Bad Loan Portfolio)</t>
  </si>
  <si>
    <t>A bad loan portfolio worth EUR 26 billion. It comprises of forfeited junior, senior and mezzanine loans.</t>
  </si>
  <si>
    <t>bad loan asset, bad loan book, bad loan portfolio asset, loan portfolio management</t>
  </si>
  <si>
    <t>Piazza Salimbeni, 3</t>
  </si>
  <si>
    <t>53100</t>
  </si>
  <si>
    <t>The bad loan portfolio of Banca Monte dei Paschi di Siena was acquired by IMI Fondi Chiusi SGR and other institutional investors through a EUR 5.5 billion LBO in 2017.</t>
  </si>
  <si>
    <t>IMI Fondi Chiusi SGR</t>
  </si>
  <si>
    <t>IMI Fondi Chiusi SGR(www.imifondichiusisgr.com)</t>
  </si>
  <si>
    <t>11712-61</t>
  </si>
  <si>
    <t>Banca Popolare di Milano</t>
  </si>
  <si>
    <t>BPM</t>
  </si>
  <si>
    <t>Banca Popolare di Milano SpA</t>
  </si>
  <si>
    <t>Banco BPM, Banca Popolare di Vicenza, Unione di Banche Italiane</t>
  </si>
  <si>
    <t>Provider of banking products and services based in Milan, Italy. The company offers retail and corporate banking, insurance and wealth management products and services to customers.</t>
  </si>
  <si>
    <t>Asset Management, Brokerage, National Banks*</t>
  </si>
  <si>
    <t>banking firm, banking instituion, banking service, private banking service, retail brokerage service</t>
  </si>
  <si>
    <t>2007: 8328, 2008: 6703, 2009: 8661, 2010: 8602, 2011: 8556, 2012: 8464, 2013: 8026, 2014: 7835, 2015: 7770, 2016: 7730, 2017: 25000, 2020: 22000</t>
  </si>
  <si>
    <t>Piazza Filippo Meda, 4</t>
  </si>
  <si>
    <t>20121</t>
  </si>
  <si>
    <t>The company (MIL: PMI) was acquired by Banca Popolare Società (MIL: BP) for EUR 5.5 billion on January 1, 2017. The company is no longer actively tracked by PitchBook.</t>
  </si>
  <si>
    <t>Banco Popolare Società Cooperativa</t>
  </si>
  <si>
    <t>Investindustrial, WRM Group</t>
  </si>
  <si>
    <t>Investindustrial(www.investindustrial.com), WRM Group(www.wrmgroup.net)</t>
  </si>
  <si>
    <t>Citigroup(Advisor: General), Gianni &amp; Origoni(Legal Advisor), KPMG(Advisor: General), Lazard Middle Market(Advisor: General), Lombardi e Associati(Legal Advisor), Mediobanca(Advisor: General), PwC(Auditor), Studio Marchetti &amp; Ciapparone(Legal Advisor)</t>
  </si>
  <si>
    <t>41073-58</t>
  </si>
  <si>
    <t>Questcor Pharmaceuticals</t>
  </si>
  <si>
    <t>Ribogene, Cypros Pharmaceutical</t>
  </si>
  <si>
    <t>Questcor Pharmaceuticals, Inc.</t>
  </si>
  <si>
    <t>Aqua Pharmaceuticals, Regeneron Pharmaceuticals, Cempra Pharmaceuticals, UCB, Actelion Pharmaceuticals</t>
  </si>
  <si>
    <t>Provider of prescription drugs for the treatment of rare central nervous system and inflammatory disorders. The company's primary drug is H.P. Acthar Gel (repository corticotropin injection), an injectable drug that is approved by the U.S. Food and Drug Administration (FDA) for the treatment of various diseases and disorders. The company also markets Doral (quazepam), which is indicated for the treatment of insomnia characterized by difficulty in falling asleep, frequent nocturnal awakenings, and/or early morning awakenings. H.P. Acthar Gel H.P. Acthar Gel is a natural source, highly purified preparation of the adrenal corticotropin hormone (ACTH).</t>
  </si>
  <si>
    <t>healthcare, prescription drugs</t>
  </si>
  <si>
    <t>www.questcor.com</t>
  </si>
  <si>
    <t>2004: 41, 2005: 50, 2006: 70, 2007: 32, 2008: 46, 2009: 77, 2010: 152, 2011: 206, 2012: 557, 2013: 703, 2014: 874</t>
  </si>
  <si>
    <t>Anaheim, CA</t>
  </si>
  <si>
    <t>1300 North Kellogg Drive</t>
  </si>
  <si>
    <t>Suite D</t>
  </si>
  <si>
    <t>Anaheim</t>
  </si>
  <si>
    <t>92807</t>
  </si>
  <si>
    <t>+1 (714) 786-4200</t>
  </si>
  <si>
    <t>+1 (714) 789-4229</t>
  </si>
  <si>
    <t>info@questcor.com</t>
  </si>
  <si>
    <t>The company was acquired by Mallinckrodt (NYSE: MNK) for $5.78 billion on August 15, 2014. The company is no longer actively tracked by PitchBook.</t>
  </si>
  <si>
    <t>Mallinckrodt</t>
  </si>
  <si>
    <t>Biobrit, Montreux Equity Partners, Sigma Tau Finanziaria, Signet Healthcare Partners</t>
  </si>
  <si>
    <t>Biobrit(www.biobrit.com), Sigma Tau Finanziaria(www.sigma-tau.it), Signet Healthcare Partners(www.signethealthcarepartners.com)</t>
  </si>
  <si>
    <t>Bank of America Merrill Lynch(Advisor: General), Centerview Partners(Advisor: General), Latham &amp; Watkins(Legal Advisor), Matheson(Legal Advisor), Mediobanca(Debt Financing)</t>
  </si>
  <si>
    <t>223612-66</t>
  </si>
  <si>
    <t>iQ Student Accommodation</t>
  </si>
  <si>
    <t>Prodigy Living</t>
  </si>
  <si>
    <t>iQ</t>
  </si>
  <si>
    <t>IQSA Services Ltd.</t>
  </si>
  <si>
    <t>Provider of student accommodation services. The company operates a portfolio of 23,500 bedrooms across 54 properties in England.</t>
  </si>
  <si>
    <t>Other Restaurants, Hotels and Leisure*, Other Services (B2C Non-Financial)</t>
  </si>
  <si>
    <t>accommodation service provider, student accommodation, student accommodation facility, student accommodation service</t>
  </si>
  <si>
    <t>www.iqstudentaccommodation.com</t>
  </si>
  <si>
    <t>2016: 570, 2020: 600</t>
  </si>
  <si>
    <t>119345-23P</t>
  </si>
  <si>
    <t>Rebecca Worthington</t>
  </si>
  <si>
    <t>+44 (0)11 8934 3344</t>
  </si>
  <si>
    <t>7th Floor, Cottons Centre</t>
  </si>
  <si>
    <t>Cottons Lane</t>
  </si>
  <si>
    <t>SE1 2QG</t>
  </si>
  <si>
    <t>hello@iqstudent.com</t>
  </si>
  <si>
    <t>The company was acquired by The Blackstone Group through a GBP 4.66 billion LBO on May 15, 2020. The deal could pave the way for an initial public offering of the business at some stage in the next decade, when the fund nears the end of its life.</t>
  </si>
  <si>
    <t>Greystar Real Estate Partners, The Goldman Sachs Group, Wellcome Trust</t>
  </si>
  <si>
    <t>Greystar Real Estate Partners(www.greystar.com), The Goldman Sachs Group(www.goldmansachs.com), Wellcome Trust(www.wellcome.ac.uk)</t>
  </si>
  <si>
    <t>JCRA Group(Advisor: General), PwC(Auditor)</t>
  </si>
  <si>
    <t>Bank of America Merrill Lynch(Debt Financing), Citigroup(Debt Financing), Eastdil Secured(Advisor: General), Jones Day(Legal Advisor), Morgan Stanley(Debt Financing), RBC Capital Markets(Debt Financing)</t>
  </si>
  <si>
    <t>41275-09</t>
  </si>
  <si>
    <t>Teppco Partners</t>
  </si>
  <si>
    <t>Teppco</t>
  </si>
  <si>
    <t>Teppco Partners LP</t>
  </si>
  <si>
    <t>Operator of pipelines of refined petroleum products. The Company owns and operates a network of assets that facilitate the movement, marketing, gathering and storage of various commodities and energy-related products.</t>
  </si>
  <si>
    <t>Energy Transportation, Oil and Gas Equipment*, Other Energy Services</t>
  </si>
  <si>
    <t>energy equipment, energy related product</t>
  </si>
  <si>
    <t>2001: 919, 2002: 970, 2003: 1061, 2004: 1104, 2005: 1270, 2006: 2100, 2007: 2300, 2008: 1000</t>
  </si>
  <si>
    <t>101428-93P</t>
  </si>
  <si>
    <t>Richard Rainey</t>
  </si>
  <si>
    <t>Public Relations Director</t>
  </si>
  <si>
    <t>rrainey@i2e.org</t>
  </si>
  <si>
    <t>+1 (405) 813-2423</t>
  </si>
  <si>
    <t>1100 Louisiana Street</t>
  </si>
  <si>
    <t>The company (NYSE: TPP) was acquired by Enterprise Products Partners (NYSE: EPD) for $3.9 billion on October 26, 2009. The company is no longer actively tracked by PitchBook.</t>
  </si>
  <si>
    <t>Oppenheimer &amp; Company(Advisor: General)</t>
  </si>
  <si>
    <t>Baker Botts(Legal Advisor), Credit Suisse(Advisor: General), Raymond James Financial(Advisor: General)</t>
  </si>
  <si>
    <t>107859-16</t>
  </si>
  <si>
    <t>Hornsea Project One</t>
  </si>
  <si>
    <t>Hornsea, Hornsea Zone</t>
  </si>
  <si>
    <t>DONG Energy Hornsea Project One (UK) Ltd</t>
  </si>
  <si>
    <t>A 1,218 megawatt of wind power project located at London, England. The offshore project consists of up to 240 wind turbines with a total capacity of up to 6 gigawatts and covering approximately 407 square kilometers.</t>
  </si>
  <si>
    <t>Buildings and Property*, Energy Infrastructure, Other Energy</t>
  </si>
  <si>
    <t>CleanTech, Industrials, Infrastructure, LOHAS &amp; Wellness, TMT</t>
  </si>
  <si>
    <t>power project, wind project, wind turbine</t>
  </si>
  <si>
    <t>www.hornseaprojectone.co.uk</t>
  </si>
  <si>
    <t>5 Howick Place</t>
  </si>
  <si>
    <t>SW1P 1WG</t>
  </si>
  <si>
    <t>The project was acquired by Global Infrastructure Partners through a GBP 4.46 billion LBO on November 27, 2018. As a part of the transaction, PFA Pension provided GBP 3.5-billion debt package, including grade-rated project bonds, bank loans and mezzanine debt to support the deal.</t>
  </si>
  <si>
    <t>Global Infrastructure Partners, PFA Pension</t>
  </si>
  <si>
    <t>Ørsted</t>
  </si>
  <si>
    <t>SMart Wind</t>
  </si>
  <si>
    <t>PGGM</t>
  </si>
  <si>
    <t>Global Infrastructure Partners(www.global-infra.com), PFA Pension(www.pfa.dk/privat)</t>
  </si>
  <si>
    <t>SMart Wind(www.smartwind.co.uk)</t>
  </si>
  <si>
    <t>PGGM(www.pggm.nl)</t>
  </si>
  <si>
    <t>PFA Pension(Debt Financing)</t>
  </si>
  <si>
    <t>Loan (Mezzanine); Loan</t>
  </si>
  <si>
    <t>58626-46</t>
  </si>
  <si>
    <t>Auris</t>
  </si>
  <si>
    <t>Auris Surgical Robotics</t>
  </si>
  <si>
    <t>Auris Health, Inc.</t>
  </si>
  <si>
    <t>Microbot Medical, Asensus Surgical, Sinovation, New View Surgical, Corindus Vascular Robotics, Medtech (surgical robots), Medrobotics, Cardan Robotics, Intuitive Surgical, Titan Medical, CardioFocus, Verb Surgical, CMR Surgical, Medtronic, Microline Surgical, Vascular Insights</t>
  </si>
  <si>
    <t>Developer of robotic micro-surgical devices designed to cater to the needs of ophthalmic procedures and enhance physician capabilities. The company's devices use surgical robotics and visualization technology for surgical applications in order to evolve minimally invasive techniques and create new categories of care that redefine optimal patient outcomes, enabling medical and healthcare professionals to track, monitor and accurately access small and hard-to-reach lung nodules early for diagnosing and targeting treatment.</t>
  </si>
  <si>
    <t>Other Healthcare Technology Systems, Surgical Devices*</t>
  </si>
  <si>
    <t>Digital Health, Life Sciences, Robotics and Drones</t>
  </si>
  <si>
    <t>medical devices, medical robotics, medical robotics startups, micro surgical device, surgical application, surgical device, surgical robotics</t>
  </si>
  <si>
    <t>www.aurishealth.com</t>
  </si>
  <si>
    <t>42715-00P</t>
  </si>
  <si>
    <t>Frederic Moll</t>
  </si>
  <si>
    <t>fred.moll@aurishealth.com</t>
  </si>
  <si>
    <t>+1 (650) 610-0750</t>
  </si>
  <si>
    <t>150 Shoreline Drive</t>
  </si>
  <si>
    <t>94065</t>
  </si>
  <si>
    <t>+1 (800) 434-0032</t>
  </si>
  <si>
    <t>info@aurishealth.com</t>
  </si>
  <si>
    <t>The company was acquired by Johnson &amp; Johnson (NYSE: JNJ) for $5.75 billion on April 1, 2019. The acquisition would provide Johnson &amp; Johnson with a lung-cancer diagnostic and treatment tool. The company will receive a contingent payout of $2.35 billion based on the completion of future performance terms. GT Healthcare Capital Partners also participated in this round.</t>
  </si>
  <si>
    <t>GT Healthcare Capital Partners, Sahsen Ventures</t>
  </si>
  <si>
    <t>Coatue Management, D1 Capital Partners, E15 VC, Highland Capital Partners, Johns Hopkins Technology Ventures, Kleiner Perkins, Korea Investment Partners, Lux Capital Management, MedCap, Medical Capital Advisors, Mithril Capital Management, Nimble Ventures, Partner Fund Management, Section 32, Senator Investment Group, Viking Global Investors, Wellington Management</t>
  </si>
  <si>
    <t>GT Healthcare Capital Partners(www.gthcap.com), Sahsen Ventures(www.sahsen.com)</t>
  </si>
  <si>
    <t>Coatue Management(www.coatue.com), E15 VC(www.e15vc.com), Highland Capital Partners(www.hcp.com), Johns Hopkins Technology Ventures(www.ventures.jhu.edu), Kleiner Perkins(www.kleinerperkins.com), Korea Investment Partners(www.kipvc.com), Lux Capital Management(www.luxcapital.com), MedCap(www.medcap.se), Medical Capital Advisors(www.medcapadvisors.com), Mithril Capital Management(www.mithril.com), Nimble Ventures(www.nimble.vc), Partner Fund Management(www.partnerfunds.com), Section 32(www.section32.com), Senator Investment Group(www.senatorlp.com), Viking Global Investors(www.vikingglobal.com), Wellington Management(www.wellington.com)</t>
  </si>
  <si>
    <t>219 Design(Consulting)</t>
  </si>
  <si>
    <t>Centerview Partners(Advisor: General), Morrison &amp; Foerster(Legal Advisor), O'Melveny &amp; Myers(Legal Advisor), Orrick(Legal Advisor), Oxford Finance(Debt Financing), Wachtell, Lipton, Rosen &amp; Katz(Legal Advisor)</t>
  </si>
  <si>
    <t>Loan - $0.13M</t>
  </si>
  <si>
    <t>14172-85</t>
  </si>
  <si>
    <t>The Bountiful Company</t>
  </si>
  <si>
    <t>The Nature's Bounty Co., Holland &amp; Barrett stores, The Nature's Bounty, NBTY, NBTY Inc.</t>
  </si>
  <si>
    <t>Young Living Essential Oils, dōTERRA International, Vitacost, Omega Protein, Nu Skin Enterprises, Jarrow Formulas, Omni Nutraceuticals, Bluebonnet Nutrition Corp., Nutricia, Nutraceutical International, Organix-South, Melaleuca, Dermalogica, Gaia Herbs, Banyan Botanicals, BrucePac, FoodState, Forever Living, NOW Foods, Juice Plus, Huel, Natura, Swiss Natural, ViSalus, Shaklee Global Group, Herbalife International of America, Isagenix International, Morinda Holdings, Amway, Genesis Today, Swanson Health Products, Advocare, GNC Turkey, Wellmune, Natural Health Trends, The Vitamin Shoppe, General Nutrition Centers, Natrol, Nature's Way Dairy</t>
  </si>
  <si>
    <t>Manufacturer and distributor of nutritional supplements. The company specializes in offering a range of products including vitamins, minerals, herbs, sport, active nutrition and supplement products.</t>
  </si>
  <si>
    <t>Food Products, Other Consumer Non-Durables*, Personal Products</t>
  </si>
  <si>
    <t>active nutrition, health care product, health supplement product, herbal supplement product, vitamins powder, wellness product</t>
  </si>
  <si>
    <t>www.bountifulcompany.com</t>
  </si>
  <si>
    <t>1990: 650, 1991: 700, 1992: 850, 1993: 850, 1994: 850, 1995: 1180, 1996: 1300, 1997: 1460, 1998: 3000, 1999: 4000, 2000: 4300, 2001: 7900, 2002: 8100, 2003: 10000, 2004: 10000, 2005: 11200, 2006: 10900, 2007: 10800, 2009: 13950, 2010: 14400, 2011: 14400, 2012: 13500, 2013: 13300, 2019: 2000, 2020: 4150, 2021: 4500</t>
  </si>
  <si>
    <t>144410-59P</t>
  </si>
  <si>
    <t>Ted McCormick</t>
  </si>
  <si>
    <t>tmccormick@nbty.com</t>
  </si>
  <si>
    <t>+1 (204) 661-8386</t>
  </si>
  <si>
    <t>Florham Park, NJ</t>
  </si>
  <si>
    <t>180 Park Avenue</t>
  </si>
  <si>
    <t>Florham Park</t>
  </si>
  <si>
    <t>07932</t>
  </si>
  <si>
    <t>+1 (631) 200-2000</t>
  </si>
  <si>
    <t>info@bountifulcompany.com</t>
  </si>
  <si>
    <t>The company reached a definitive agreement to be acquired by Nestlé Health Science, a subsidiary of Nestlé (SWX: NESN), for $5.75 billion on April 30, 2021. Simultaneously, the company filed to go public on the New York stock exchange under the ticker symbol of BTFL on April 12, 2021. The expected offering amount is $100 million. The company is being actively tracked by PitchBook.</t>
  </si>
  <si>
    <t>Kohlberg Kravis Roberts, The Carlyle Group</t>
  </si>
  <si>
    <t>Nestlé Health Science</t>
  </si>
  <si>
    <t>Kohlberg Kravis Roberts(www.kkr.com), The Carlyle Group(www.carlyle.com)</t>
  </si>
  <si>
    <t>Nestlé Health Science(www.nestlehealthscience.com)</t>
  </si>
  <si>
    <t>Next Level Partners(Consulting)</t>
  </si>
  <si>
    <t>Apollo Investment(Debt Financing), Bank of America(Debt Financing), Bank of America Merrill Lynch(Debt Financing), Bank of Ireland(Debt Financing), BMO Capital Markets(Underwriter), BofA Securities(Underwriter), Centerview Partners(Advisor: General), Corporate Capital Trust(Debt Financing), Credit Suisse(Debt Financing), Deloitte(Advisor: General), Evercore Group(Underwriter), FS KKR Capital(Debt Financing), Goulet Consultants(Advisor: General), Houlihan Lokey(Advisor: General), HSBC Holdings(Debt Financing), J.P. Morgan(Underwriter), Jamieson Corporate Finance(Advisor: General), Jefferies Finance(Debt Financing), Jefferies Financial Group(Debt Financing), KKR Capital Markets(Underwriter), Kohlberg Kravis Roberts(Debt Financing), Macquarie Bank(Debt Financing), Mizuho Bank(Debt Financing), Mizuho Securities(Underwriter), Morgan Stanley(Debt Financing), Natixis Securities Americas(Underwriter), PwC(Auditor), RBC Capital Markets(Underwriter), RBS Hoare Govett(Advisor: General), Royal Bank of Canada(Debt Financing), Simpson Thacher &amp; Bartlett(Legal Advisor), Sullivan &amp; Cromwell(Legal Advisor), Threshold Enterprises(Debt Financing), William Hood &amp; Company(Advisor: General)</t>
  </si>
  <si>
    <t>143722-54</t>
  </si>
  <si>
    <t>Maersk Oil</t>
  </si>
  <si>
    <t>Kerr-McGee North Sea (U.K.)</t>
  </si>
  <si>
    <t>Mærsk Olie og Gas A/S</t>
  </si>
  <si>
    <t>Energy XXI Gulf Coast, Oasis Petroleum, PetroQuest Energy, Callon Petroleum Company, Obsidian Energy, Matador Resources, Contango Oil &amp; Gas, Arc Resources, Anadarko Petroleum, Whiting Petroleum, Chevron, Comstock Resources, Gazprom Neft, QEP Resources, Clayton Williams Energy, Rio Oil and Gas, Approach Resources, Abraxas Petroleum, SM Energy, LukOil, Tatneft Group, EOG Resources, EQT Production Company, Murphy Oil, Lilis Energy, Vitruvian Exploration IV, Hess, Suncor Energy, Deep Gulf Energy, Diamondback Energy, NOVATEK (Natural Gas Producer), Imperial Oil, Cimarex Energy, Enerplus, Noble Energy, WPX Energy, Cenovus Energy, Concho Resources, Chesapeake Energy, Devon Energy, LINN Energy, Royal Dutch Shell, Delek US Holdings, RussNeft, Pioneer Natural Resources</t>
  </si>
  <si>
    <t>Provider of oil and gas production services. The company's services include oil and gas property development, exploration and production in Denmark.</t>
  </si>
  <si>
    <t>energy exploration, gas exploration, oil production</t>
  </si>
  <si>
    <t>www.maerskoil.com</t>
  </si>
  <si>
    <t>2006: 721, 2007: 1064, 2009: 1180, 2010: 1286, 2011: 1420, 2012: 2140, 2013: 2313, 2014: 2573, 2015: 2481, 2016: 1001, 2017: 4000</t>
  </si>
  <si>
    <t>Copenhagen, Denmark</t>
  </si>
  <si>
    <t>Amerika Plads 29</t>
  </si>
  <si>
    <t>Copenhagen</t>
  </si>
  <si>
    <t>2100</t>
  </si>
  <si>
    <t>The company was acquired by Total (LSE: TTA) for $5.74 billion on March 8, 2018. The round amount does not include assumed liabilities of $2.5 billion. The acquisition delivers an exceptional opportunity for the acquirer to acquire high quality assets, which are an excellent fit with many of its core regions. The company is no longer actively tracked by PitchBook.</t>
  </si>
  <si>
    <t>A.P. Moller-Maersk</t>
  </si>
  <si>
    <t>RockRose Energy</t>
  </si>
  <si>
    <t>A.P. Moller-Maersk(www.maersk.com)</t>
  </si>
  <si>
    <t>RockRose Energy(www.rockroseenergy.com)</t>
  </si>
  <si>
    <t>58698-01</t>
  </si>
  <si>
    <t>Maroc Telecom</t>
  </si>
  <si>
    <t>Itissalat Al-Maghrib</t>
  </si>
  <si>
    <t>Maroc Telecom SA</t>
  </si>
  <si>
    <t>Deutsche Telekom, Aussie Broadband, Nippon Telegraph &amp; Telephone, Global Telecom Holding, Versatel Belgium, VIVA, Orange, Cellnex Telecom, TPG Telecom, Tunisie Telecom, Hutchison Telecommunications Hong Kong Holdings, Prixtel, iiNet, Etihad Etisalat Company, Telenor Group, Altice Portugal, Singtel, Bouygues Telecom, Ooredoo Kuwait, Telefónica, BT Group (UK), Ooredoo Oman, Tiscali, ZTE, Verizon Communications, TalkTalk Telecom Group, Companhia de Telecomunicacoes de Macau, Koninklijke KPN, Axión, Ooredoo Tunisie, Reliance Communications, Granite Telecommunications, Vodafone Group, NOS (Portugal), Ericsson, Tiscali UK Holdings, AT&amp;T, Telecom Italia, Lumen Technologies, China Telecom</t>
  </si>
  <si>
    <t>Maroc Telecom SA telecommunications operator in the Kingdom of Morocco. The company provides wide range of services covering Fixed-Line and Mobile communications, data transfer, and other value-added services. It operates in the Fixed-Line telephony, Mobile telephony and Internet segments. The Fixed-Line and Mobile operating segments are combined within the Services Division (DGS) and the Networks and Systems Division. The company derives revenues from the sale of Mobile, Fixed-line and Internet telecommunication services and from the sale of equipment.</t>
  </si>
  <si>
    <t>telecommunication service</t>
  </si>
  <si>
    <t>www.iam.ma</t>
  </si>
  <si>
    <t>2007: 10949, 2008: 13955, 2010: 13942, 2011: 13744, 2012: 12979, 2013: 11912, 2014: 11561, 2015: 12394, 2016: 12162, 2017: 11022, 2018: 10609, 2019: 10422, 2020: 10123</t>
  </si>
  <si>
    <t>Emirates Telecommunications</t>
  </si>
  <si>
    <t>192119-14P</t>
  </si>
  <si>
    <t>Francois Vitte</t>
  </si>
  <si>
    <t>Rabat, Morocco</t>
  </si>
  <si>
    <t>Avenue Annakhil Hay Riad</t>
  </si>
  <si>
    <t>Rabat</t>
  </si>
  <si>
    <t>Morocco</t>
  </si>
  <si>
    <t>webmaster@iam.ma</t>
  </si>
  <si>
    <t>The company was acquired by Etisalat for EUR 4.1 billion on May 14, 2014. Etisalat was planning to acquire remaining stake in the company. Subsequently, transaction failed on May 26, 2014.</t>
  </si>
  <si>
    <t>Fonds Strategique d'Investissement, Sebastian Holdings, Vivendi</t>
  </si>
  <si>
    <t>Fonds Strategique d'Investissement(www.fonds-fsi.fr), Vivendi(www.vivendi.com)</t>
  </si>
  <si>
    <t>Alexander Partners(Advisor: General), Bennani &amp; Associés(Legal Advisor), BNP Paribas(Advisor: General), Caravela Consulting(Consulting), Credit Agricole(Advisor: General), Deloitte(Auditor), Freshfields Bruckhaus Deringer(Legal Advisor), Gibson, Dunn &amp; Crutcher(Legal Advisor), Kettani Law Firm(Legal Advisor), Moelis &amp; Company(Advisor: General), Saaidi Hdid Consultants(Advisor: General)</t>
  </si>
  <si>
    <t>Loan - $1.45B; Loan - $2.90B</t>
  </si>
  <si>
    <t>11403-55</t>
  </si>
  <si>
    <t>OppenheimerFunds</t>
  </si>
  <si>
    <t>OppenheimerFunds Distributor, Inc</t>
  </si>
  <si>
    <t>Artisan Partners Asset Management, DoubleLine, Pacific Investment Management Company, Allianz Global Investors, Waddell &amp; Reed, Russell Investments Group, SEI Investments, Westwood Holdings Group, Funds Evaluation Service, Lazard, Credit Suisse Group, Wellington Management, Morgan Stanley, Credit Suisse, Edward Jones Investments, City Merchants High Yield, Citigroup</t>
  </si>
  <si>
    <t>Provider of asset management services to financial advisors, individual investors, small businesses, and institutional investors and their advisors and consultants. The company offer investments in every major asset class, both traditional and alternative, and in a variety of investment vehicles, and provides a wide array of services such as asset management, mutual funds, separately managed accounts, and investment management.</t>
  </si>
  <si>
    <t>financial investment advice, fund management company, fund manager, fund operator, global asset management</t>
  </si>
  <si>
    <t>www.oppenheimerfunds.com</t>
  </si>
  <si>
    <t>2018: 2000</t>
  </si>
  <si>
    <t>The company, a subsidiary of Massachusetts Mutual Life Insurance Company, was acquired by Invesco (NYSE: IVZ) for $5.72 billion on May 24, 2019. Per the terms of the transaction, MassMutual becomes a significant shareholder of Invesco, with an approximate 15.7% stake in the common stock of the firm. The acquired business enhances Invesco's ability to meet client needs through its comprehensive range of high-conviction active, passive and alternative capabilities.The company is no longer actively tracked by PitchBook.</t>
  </si>
  <si>
    <t>Invesco</t>
  </si>
  <si>
    <t>MassMutual Financial Group</t>
  </si>
  <si>
    <t>MassMutual Financial Group(www.massmutual.com)</t>
  </si>
  <si>
    <t>Cowan, Liebowitz &amp; Latman(Legal Advisor), Engro Partners(Advisor: General), Focus Partners(Consulting), Gallo Barrios Pickmann Abogados(Legal Advisor), JPMorgan Chase(Custodian), KPMG(Auditor), Valores Capital Partners(Advisor: General)</t>
  </si>
  <si>
    <t>Ardea Partners(Advisor: General), Dechert(Legal Advisor)</t>
  </si>
  <si>
    <t>42037-12</t>
  </si>
  <si>
    <t>51job (NAS: JOBS)</t>
  </si>
  <si>
    <t>51job, Inc.</t>
  </si>
  <si>
    <t>ChinaHR.com, Zhaopin</t>
  </si>
  <si>
    <t>51job Inc is a provider of integrated human resource services in China. It offers online recruitment advertising and also other complementary human resource related services which include business process outsourcing training, campus recruitment, and executive search services.</t>
  </si>
  <si>
    <t>Human Capital Services</t>
  </si>
  <si>
    <t>Human Capital Services*</t>
  </si>
  <si>
    <t>human capital service, online recruiting, online recruitment, recruitment advertising, recruitment website</t>
  </si>
  <si>
    <t>www.51job.com</t>
  </si>
  <si>
    <t>2002: 893, 2003: 1481, 2004: 2333, 2005: 2986, 2006: 3517, 2007: 3941, 2008: 4669, 2009: 3804, 2010: 4354, 2011: 4729, 2012: 4980, 2013: 5499, 2014: 6123, 2015: 6567, 2016: 7373, 2017: 8137, 2018: 8391, 2019: 8650, 2020: 8875</t>
  </si>
  <si>
    <t>JOBS</t>
  </si>
  <si>
    <t>72116-29P</t>
  </si>
  <si>
    <t>Rick Yan</t>
  </si>
  <si>
    <t>rick@51job.com</t>
  </si>
  <si>
    <t>+86 (0)21 6160 1888</t>
  </si>
  <si>
    <t>Building 3 Number 1387</t>
  </si>
  <si>
    <t>Zhang Dong Road, Pudong Xinqu</t>
  </si>
  <si>
    <t>+86 (0)27 8781 5151</t>
  </si>
  <si>
    <t>The company entered into a definitive agreement to be acquired by DCP Capital and Ocean Link Partners through an estimated $5.7 billion public-to-private LBO on June 21, 2021. The compaany is being actively tracked by PitchBook.</t>
  </si>
  <si>
    <t>DCM Ventures</t>
  </si>
  <si>
    <t>Springboard Enterprises</t>
  </si>
  <si>
    <t>DCP Capital, Ocean Link Partners</t>
  </si>
  <si>
    <t>DCM Ventures(www.dcm.com)</t>
  </si>
  <si>
    <t>Springboard Enterprises(www.sb.co)</t>
  </si>
  <si>
    <t>DCP Capital(www.dcpcapital.com), Ocean Link Partners(www.oceanlp.com)</t>
  </si>
  <si>
    <t>CLSA(Underwriter), Conyers Dill &amp; Pearman(Legal Advisor), Davis Polk(Legal Advisor), Duff &amp; Phelps, A Kroll Business(Advisor: General), J.P. Morgan Securities(Advisor: General), Jun He Law Offices(Legal Advisor), Maples Group(Legal Advisor), Morgan Stanley(Underwriter), Piper Sandler(Underwriter), PwC(Accounting), Shearman &amp; Sterling(Legal Advisor), Simpson Thacher &amp; Bartlett(Legal Advisor), Sullivan &amp; Cromwell(Legal Advisor), UBS Group(Underwriter), Weil, Gotshal &amp; Manges(Legal Advisor)</t>
  </si>
  <si>
    <t>10567-36</t>
  </si>
  <si>
    <t>Altice Group</t>
  </si>
  <si>
    <t>Altice SA</t>
  </si>
  <si>
    <t>Amagi, Nowo Communications, Frontier Communications, NOS (Portugal), Bouygues Telecom, Claro (Brazil), Verizon Fios, Cellnex Telecom</t>
  </si>
  <si>
    <t>Provider of telecommunication, content creation, media, entertainment and advertising services enabling its customers to enjoy media and entertainment. The company delivers products and solutions over fiber networks and mobile broadband and also provides enterprise digital solutions to business customers.</t>
  </si>
  <si>
    <t>Media and Information Services (B2B), Movies, Music and Entertainment, Telecommunications Service Providers*</t>
  </si>
  <si>
    <t>cable service, dth service, fiber cable, fixed line telephony, mobile telephony service, television broadcasting service</t>
  </si>
  <si>
    <t>www.altice.net</t>
  </si>
  <si>
    <t>2013: 4220, 2014: 9363, 2015: 37506, 2016: 49732, 2017: 47143, 2018: 35328, 2019: 45409, 2020: 531</t>
  </si>
  <si>
    <t>196518-61P</t>
  </si>
  <si>
    <t>Malo Corbin</t>
  </si>
  <si>
    <t>malo.corbin@altice.net</t>
  </si>
  <si>
    <t>Prins Bernhardplein 200</t>
  </si>
  <si>
    <t>Noord-Holland</t>
  </si>
  <si>
    <t>1097 JB</t>
  </si>
  <si>
    <t>investor-relations@altice.net</t>
  </si>
  <si>
    <t>Boussard &amp; Gavaudan, Diameter, Elliott, LB Partners, Lucerne, Sessa, Sheffield and Winterbrook sold their stake in the company (NYSE Euronext Amsterdam: ATC) for $5.7 billion on December 16, 2021.Shares were sold at a price of $5.35 per share. The company will not receive any proceeds from the offering</t>
  </si>
  <si>
    <t>Amzak Capital Management, BC Partners, BJ Invest, Canada Pension Plan Investment Board, Cinven, Fides Business Partner, ING Corporate Investments, Pechel Industries, Syntegra Capital, The Carlyle Group</t>
  </si>
  <si>
    <t>Amzak Capital Management(www.amzak.com), BC Partners(www.bcpartners.com), BJ Invest(www.bj-invest.com), Canada Pension Plan Investment Board(www.cppinvestments.com), Cinven(www.cinven.com), Fides Business Partner(www.fidesbusinesspartner.ch), ING Corporate Investments(promo.ing.be/ing-peq), Pechel Industries(www.pechel.com), Syntegra Capital(www.syntegracapital.com), The Carlyle Group(www.carlyle.com)</t>
  </si>
  <si>
    <t>Apollo Investment(Debt Financing), AXECO Corporate Finance(Advisor: General), Barclays Investment Bank(Debt Financing), CL King &amp; Associates(Underwriter), Credit Agricole(Underwriter), Credit Suisse(Underwriter), Deutsche Bank(Underwriter), Franklin Société d'avocats(Legal Advisor), HSBC Holdings(Underwriter), ING Luxembourg(Underwriter), Invesco(Debt Financing), J.P. Morgan(Advisor: General), Lazard(Advisor: General), Morgan Stanley(Underwriter), NautaDutilh(Legal Advisor), The Goldman Sachs Group(Underwriter)</t>
  </si>
  <si>
    <t>52801-12</t>
  </si>
  <si>
    <t>ArrowPoint Communications</t>
  </si>
  <si>
    <t>Provider of intelligent web switches.</t>
  </si>
  <si>
    <t>internet security, network switch, routers, web switch</t>
  </si>
  <si>
    <t>www.arrowpoint.com</t>
  </si>
  <si>
    <t>1999: 148, 2000: 148</t>
  </si>
  <si>
    <t>Acton, MA</t>
  </si>
  <si>
    <t>50 Nagog Park</t>
  </si>
  <si>
    <t>Acton</t>
  </si>
  <si>
    <t>01720</t>
  </si>
  <si>
    <t>The company was acquired by Cisco Systems (Nasdaq:CSCO) on June 23, 2000, for $5.7 billion. The company is no longer tracked by PitchBook.</t>
  </si>
  <si>
    <t>Accel, Bridgescale, Matrix Partners, North Bridge Venture Partners, Pequot Ventures, Peter Wagner, Volition Capital, Wing Venture Capital</t>
  </si>
  <si>
    <t>Accel(www.accel.com), Bridgescale(www.bridgescale.com), Matrix Partners(www.matrixpartners.com), North Bridge Venture Partners(www.northbridge.com), Volition Capital(www.volitioncapital.com), Wing Venture Capital(www.wing.vc)</t>
  </si>
  <si>
    <t>Deutsche Bank(Underwriter), J.P. Morgan(Tax), The Goldman Sachs Group(Underwriter)</t>
  </si>
  <si>
    <t>54520-57</t>
  </si>
  <si>
    <t>Broadcast.com</t>
  </si>
  <si>
    <t>AudioNet.com, Cameron Broadcast Systems</t>
  </si>
  <si>
    <t>broadcast.com Inc</t>
  </si>
  <si>
    <t>Broadcaster of streaming media programming on the web. The company delivers or "streams" live and on-demand audio and video programs over the internet or intranets to its users. The company's website offers a wide selection of programming, including sports, talk and music radio, television, business events, full-length CDs, news, commentary and full-length audio books.</t>
  </si>
  <si>
    <t>AudioTech, TMT</t>
  </si>
  <si>
    <t>audio, audio on demand, juke boxes, live music, music streaming, online music, site channel, streaming, talk show</t>
  </si>
  <si>
    <t>www.broadcast.com</t>
  </si>
  <si>
    <t>1997: 191, 1998: 283</t>
  </si>
  <si>
    <t>2914 Taylor Street</t>
  </si>
  <si>
    <t>75226</t>
  </si>
  <si>
    <t>+1 (214) 748-6660</t>
  </si>
  <si>
    <t>+1 (214) 748-6657</t>
  </si>
  <si>
    <t>webmaster@broadcast.com</t>
  </si>
  <si>
    <t>The company was acquired by Yahoo (Nasdaq: YHOO) for $5.7 billion on April 1, 1999. The company is no longer actively tracked by PitchBook.</t>
  </si>
  <si>
    <t>Yahoo</t>
  </si>
  <si>
    <t>2M Companies, Hearst Ventures, Intel Capital, Motorola Solutions Venture Capital</t>
  </si>
  <si>
    <t>2M Companies(www.2m.com), Intel Capital(www.intelcapital.com)</t>
  </si>
  <si>
    <t>Donaldson, Lufkin &amp; Jenrette(Underwriter), Gibson, Dunn &amp; Crutcher(Legal Advisor), Morgan Stanley(Underwriter), PwC(Auditor), Tekla Capital Management(Underwriter)</t>
  </si>
  <si>
    <t>435006-82</t>
  </si>
  <si>
    <t>Colony Capital (Light Industrial Logistics Assets)</t>
  </si>
  <si>
    <t>A portfolio of 465 light industrial assets based in the United States. The portfolio includes 60 million square feet of last-mile, infill light industrial assets consisting of 465 assets in 26 markets across the U.S.</t>
  </si>
  <si>
    <t>light industrial asset portfolio, light industrial facilities, light industrial portfolio, light industrial property, light industrial real estate, light industrial space</t>
  </si>
  <si>
    <t>A portfolio of light industrial assets of Colony Capital, was acquired by The Blackstone Group, through a $5.7 billion LBO on December 10, 2019.</t>
  </si>
  <si>
    <t>Colony Capital</t>
  </si>
  <si>
    <t>Colony Capital(www.clny.com)</t>
  </si>
  <si>
    <t>41115-52</t>
  </si>
  <si>
    <t>Protective Life</t>
  </si>
  <si>
    <t>Protective</t>
  </si>
  <si>
    <t>Protective Life Corporation</t>
  </si>
  <si>
    <t>Independence Holding, Aflac, Prudential Financial, AIA Group, Cigna, Symetra Financial, MetLife, Unum Group, Reinsurance Group of America, Chubb, Allstate, American International Group</t>
  </si>
  <si>
    <t>Protective Life is a provider of life insurance, group life insurance, health insurance and annuity products. It offers a broad range of life, asset protection, and retirement products. The company specializes in the acquisition of insurance policy blocks (including by cash consideration or by reinsurance). It was founded in 1907 and is headquartered in Birmingham, Alabama.</t>
  </si>
  <si>
    <t>acquisition, annuity, annuity product, health insurance, insurance service, policy blocks</t>
  </si>
  <si>
    <t>1989: 800, 1990: 788, 1991: 826, 1992: 826, 1993: 990, 1994: 1094, 1995: 1169, 1996: 1300, 1997: 1650, 1998: 2500, 1999: 2628, 2000: 2834, 2001: 2564, 2002: 2438, 2003: 2468, 2004: 2272, 2005: 2192, 2006: 2743, 2007: 2406, 2008: 2372, 2009: 2317, 2010: 2315, 2011: 2332, 2012: 2284, 2013: 2415, 2016: 2719, 2017: 2773, 2018: 2957, 2019: 3000, 2020: 3000, 2021: 3200</t>
  </si>
  <si>
    <t>Dai-Ichi Life Insurance</t>
  </si>
  <si>
    <t>74832-40P</t>
  </si>
  <si>
    <t>Tim Searcy</t>
  </si>
  <si>
    <t>Chief Information Security Officer</t>
  </si>
  <si>
    <t>tim.searcy@protective.com</t>
  </si>
  <si>
    <t>+1 (205) 268-1000</t>
  </si>
  <si>
    <t>2801 Highway</t>
  </si>
  <si>
    <t>280 South</t>
  </si>
  <si>
    <t>35223</t>
  </si>
  <si>
    <t>The company (NYSE: PL) was acquired by Dai Ichi Life Insurance (TKS: 8750) for $5.7 billion on February 01, 2015. The company is no longer actively tracked by PitchBook.</t>
  </si>
  <si>
    <t>Burr &amp; Forman(Legal Advisor), Raymond James Financial(Underwriter), Vaco(Consulting)</t>
  </si>
  <si>
    <t>Debevoise &amp; Plimpton(Legal Advisor), Greenberg Traurig(Legal Advisor), Morgan Stanley(Advisor: General), Nomura Securities(Advisor: General)</t>
  </si>
  <si>
    <t>41219-92</t>
  </si>
  <si>
    <t>Tw Telecom</t>
  </si>
  <si>
    <t>Time Warner Telecom</t>
  </si>
  <si>
    <t>TW Telecom, Inc.</t>
  </si>
  <si>
    <t>Consolidated Communications, Summit Broadband, Peerless Network, Jaguar Communications, Companhia de Telecomunicacoes de Macau, GCI Communication, Broadview Networks, Telefónica UK, Cricket Wireless, XO Holdings, Bell Canada, TracFone Wireless, Telephone &amp; Data Systems, TIM Celular, Inteliquent, Vyve Broadband, Deutsche Telekom, Alaska Communications Systems, Boost Mobile, Hawaiian Telcom Holdco, Level 3 Communications, Orange, Sprint, Republic Wireless, Singtel, Mediacom, RCN Telecom Services, FiberLight, Frontier Communications, C Spire Wireless, Unite Private Networks, Rise Broadband, MegaPath Holding, Grande Communications Networks, ComSouth Telecommunications, EarthLink, Hughes Network Systems, Bandwidth.com, FreedomPop, Skyriver, Suddenlink Communications, T-Mobile (US), Ooma, Verizon Communications, Lightower Fiber Networks, Cincinnati Bell</t>
  </si>
  <si>
    <t>Provider of telecommunication services. The company provides managed network services, specializing in Ethernet and transport data networking, internet access, local and long distance voice, voice over Internet protocol (VoIP) and network security services to enterprise organizations and communications services companies throughout the United States.</t>
  </si>
  <si>
    <t>network security service, network services, telecommunication service</t>
  </si>
  <si>
    <t>www.twtelecom.com</t>
  </si>
  <si>
    <t>1998: 898, 1999: 1259, 2000: 1834, 2001: 2661, 2002: 1893, 2003: 2009, 2004: 1986, 2005: 2034, 2006: 2784, 2007: 2859, 2008: 2844, 2009: 2870, 2010: 2975, 2011: 3051, 2012: 3147, 2013: 3397</t>
  </si>
  <si>
    <t>15117-85P</t>
  </si>
  <si>
    <t>Harold Teets</t>
  </si>
  <si>
    <t>10475 Park Meadows Drive</t>
  </si>
  <si>
    <t>80124</t>
  </si>
  <si>
    <t>The company was acquired by Level 3 Communications (LVLT:US) for $5.7 billion October 31, 2014.</t>
  </si>
  <si>
    <t>Corvex Management</t>
  </si>
  <si>
    <t>FTI Consulting(Advisor: General)</t>
  </si>
  <si>
    <t>ABN AMRO Commercial Finance(Underwriter), Bear Stearns(Underwriter), Cazenove(Underwriter), CIBC Oppenheimer(Underwriter), Cleary Gottlieb(Legal Advisor), Cornelli Gabelli e Associati(Underwriter), Cravath, Swaine &amp; Moore(Legal Advisor), Credit Suisse(Advisor: General), Dresdner Kleinwort Wasserstein(Underwriter), Evercore Group(Advisor: General), EY(Accounting), ING Barings Private Equity(Underwriter), J.C. Bradford &amp; Company(Underwriter), Jefferies Financial Group(Underwriter), Lehman Brothers(Underwriter), Morgan Stanley(Underwriter), NationsBanc Montgomery Securities(Underwriter), Neuberger Berman(Underwriter), Raymond James Financial(Advisor: General), Rothschild &amp; Co(Advisor: General), Traxi(Advisor: General), Utendahl Capital Partners(Underwriter), Wachtell, Lipton, Rosen &amp; Katz(Legal Advisor), Weil, Gotshal &amp; Manges(Legal Advisor), Wells Fargo Advisors(Underwriter)</t>
  </si>
  <si>
    <t>181905-94</t>
  </si>
  <si>
    <t>Zagrebacka Banka (non-performing loans)</t>
  </si>
  <si>
    <t>Portfolio of 77 non-performing loans (NPL). The portfolio includes secured and unsecured corporate and retail loans.</t>
  </si>
  <si>
    <t>secure loans, unsecured corporate loans, unsecured retail</t>
  </si>
  <si>
    <t>Croatia</t>
  </si>
  <si>
    <t>The non-performing loans of Zagrebacka Banka (ZAG: ZABA-R-A) were acquired by APS Holding for EUR 5100 million on June 7, 2017. The acquisition underlines the dedication of APS Holding to invest in the Croatian economy. The assets are no longer actively tracked by PitchBook.</t>
  </si>
  <si>
    <t>APS Holding</t>
  </si>
  <si>
    <t>Zagrebačka Banka</t>
  </si>
  <si>
    <t>Zagrebačka Banka(www.zaba.hr/home)</t>
  </si>
  <si>
    <t>56038-42</t>
  </si>
  <si>
    <t>Founder Group (HKG: 00418)</t>
  </si>
  <si>
    <t>Founder, PKU Founder</t>
  </si>
  <si>
    <t>Peking University Founder Group Corp.</t>
  </si>
  <si>
    <t>Founder Holdings Ltd is engaged in software development and systems integration. It operates in the business division of the provision of software development and system integration and information products distribution. Geographically, the company operates in Hong Kong, Mainland China and other countries, of which key revenue is generated from Mainland China. The group serves in the fields of printing, media, publishing, big data and fonts library.</t>
  </si>
  <si>
    <t>Holding Companies*, Other Communications and Networking, Other Hardware, Other Healthcare Services</t>
  </si>
  <si>
    <t>holding company, holding company operator, holding enterprise group, holding group, state-owned holding company, state-owned holding enterprise group</t>
  </si>
  <si>
    <t>www.founder.com</t>
  </si>
  <si>
    <t>1998: 2900, 1999: 2400, 2000: 2673, 2001: 2520, 2002: 2520, 2003: 2080, 2004: 2020, 2005: 1880, 2006: 1603, 2007: 1327, 2008: 1397, 2010: 1552, 2011: 1411, 2012: 1389, 2013: 1259, 2014: 1216, 2015: 1212, 2016: 1163, 2017: 1278, 2018: 1230, 2019: 1260, 2020: 1263</t>
  </si>
  <si>
    <t>00418</t>
  </si>
  <si>
    <t>263807-29P</t>
  </si>
  <si>
    <t>Wang Xuan</t>
  </si>
  <si>
    <t>wangxuan@founder.com</t>
  </si>
  <si>
    <t>+86 (0)10 8252 9966</t>
  </si>
  <si>
    <t>9th Floor, Fangzheng Building</t>
  </si>
  <si>
    <t>Zhongguancun, Number 298 Chengfu Road</t>
  </si>
  <si>
    <t>100871</t>
  </si>
  <si>
    <t>+86 (0)10 8252 9506</t>
  </si>
  <si>
    <t>contact@founder.com</t>
  </si>
  <si>
    <t>The company (HKG: 00418) reached a definitive agreement to be acquired by Ping An Insurance (Group) Company of China (SHG: 601318) for CNY 37.05 billion on April 30, 2021. Previously, the company (HKG: 00418) entered into administration on an undisclosed date. The company is being actively tracked by PitchBook.</t>
  </si>
  <si>
    <t>Green Pine Capital Partners</t>
  </si>
  <si>
    <t>Ping An Insurance (Group) Company of China</t>
  </si>
  <si>
    <t>Green Pine Capital Partners(pinevc.com.cn)</t>
  </si>
  <si>
    <t>Ping An Insurance (Group) Company of China(www.pingan.cn/en/index.shtml)</t>
  </si>
  <si>
    <t>NYPPEX Private Markets(Advisor: General)</t>
  </si>
  <si>
    <t>112921-66</t>
  </si>
  <si>
    <t>AEM</t>
  </si>
  <si>
    <t>Azienda Elettrica Municipale SpA</t>
  </si>
  <si>
    <t>Provider of electricity services. The company deals in distribution of electricity, water, gas and related services in Milan.</t>
  </si>
  <si>
    <t>Multi-Utilities*</t>
  </si>
  <si>
    <t>electricity generation, natural gas, power distribution</t>
  </si>
  <si>
    <t>www.aem.it</t>
  </si>
  <si>
    <t>Corso di Porta Vittoria, 4</t>
  </si>
  <si>
    <t>20122</t>
  </si>
  <si>
    <t>The company was merged with ASM Brescia to form A2A for EUR 3.9 billion on December 31, 2007. The company is no longer actively tracked by PitchBook.</t>
  </si>
  <si>
    <t>A2A</t>
  </si>
  <si>
    <t>BonelliErede(Legal Advisor), Chiomenti e Associati(Legal Advisor), Citigroup(Advisor: General), Cleary Gottlieb(Legal Advisor), JPMorgan Chase(Advisor: General), Mediobanca(Advisor: General)</t>
  </si>
  <si>
    <t>470572-48</t>
  </si>
  <si>
    <t>Prudential Financial (Retirement Plan Business)</t>
  </si>
  <si>
    <t>Provider of retirement plan services. The company offers defined-contribution, defined-benefit, nonqualified and rollover IRA, stable value and separate accounts services.</t>
  </si>
  <si>
    <t>defined-benefit, retirement plan advisory, retirement plan service, retirement planner, retirement planning tools</t>
  </si>
  <si>
    <t>New Company</t>
  </si>
  <si>
    <t>Newark, NJ</t>
  </si>
  <si>
    <t>751 Broad Street</t>
  </si>
  <si>
    <t>Newark</t>
  </si>
  <si>
    <t>07102</t>
  </si>
  <si>
    <t>Empower Retirement, a subsidiary of Great-West Lifeco (TSE: GWO), reached a definitive agreement to acquire the retirement plan business unit of Prudential Financial (NYS: PRU) for $5.65 billion on July 21, 2021. The acquisition will allow Empower to expand services to the broadening spectrum of workplace savings plans. The acquisition also includes Prudential's defined contribution, defined benefit, non-qualified and rollover IRA business in addition to its stable value and separate account investment products and platforms. The business unit is being actively tracked by PitchBook.</t>
  </si>
  <si>
    <t>Prudential Financial</t>
  </si>
  <si>
    <t>Empower Retirement</t>
  </si>
  <si>
    <t>Prudential Financial(www.prudential.com)</t>
  </si>
  <si>
    <t>Empower Retirement(www.empower-retirement.com)</t>
  </si>
  <si>
    <t>128129-23</t>
  </si>
  <si>
    <t>Bayer Diagnostics</t>
  </si>
  <si>
    <t>Distributor of medical equipment. The company engages in the distribution of medical testing and other related equipment to laboratories and point of care facilities.</t>
  </si>
  <si>
    <t>laboratory equipment, medical equipment distributor, testing equipment</t>
  </si>
  <si>
    <t>The company was acquired by Siemens Medical Solutions Diagnostics, a subsidiary of Siemens (ETR: SIE) for EUR 4.2 billion on July 3, 2007. The acquisition will enable Siemens Medical Solutions to expand its position in the high-growth molecular diagnostics market. The company is no longer actively tracked by PitchBook.</t>
  </si>
  <si>
    <t>Siemens Medical Solutions Diagnostics</t>
  </si>
  <si>
    <t>58332-70</t>
  </si>
  <si>
    <t>IVG Immobilien</t>
  </si>
  <si>
    <t>IVG Holding, IndustrieVerwaltungsGesellschaft</t>
  </si>
  <si>
    <t>IVG</t>
  </si>
  <si>
    <t>IVG Immobilien AG</t>
  </si>
  <si>
    <t>Operator of a holding company with interests in the acquisition and management of commercial real estate properties in Germany. The company buys, manages and sells properties for its own portfolio as well as for third parties and focuses on the exercise of shareholder rights ensuing from equity interests.</t>
  </si>
  <si>
    <t>Asset Management*, Holding Companies, Real Estate Investment Trusts (REITs)</t>
  </si>
  <si>
    <t>property, property acquisition, property management, real estate investment, real estate property</t>
  </si>
  <si>
    <t>www.ivg.de</t>
  </si>
  <si>
    <t>2006: 269, 2007: 222, 2008: 713, 2009: 654, 2010: 590, 2011: 613, 2012: 636, 2013: 537, 2014: 379, 2015: 551</t>
  </si>
  <si>
    <t>96343-84P</t>
  </si>
  <si>
    <t>Dietmar Binkowska</t>
  </si>
  <si>
    <t>dietmar.binkowska@ivg.de</t>
  </si>
  <si>
    <t>+49 (0)22 8304 0220 0</t>
  </si>
  <si>
    <t>Bonn, Germany</t>
  </si>
  <si>
    <t>Regus Campus, Fritz-Schäffer-Straße</t>
  </si>
  <si>
    <t>Fritz-Schaeffer-Str. 1</t>
  </si>
  <si>
    <t>Bonn</t>
  </si>
  <si>
    <t>53113</t>
  </si>
  <si>
    <t>+49 (0)18 0500 6534 007</t>
  </si>
  <si>
    <t>info@ivg.de</t>
  </si>
  <si>
    <t>Cerberus Capital Management, Aurelius Capital Management, Davidson Kempner Capital Management, Marathon Asset Management, Värde Partners and Morgan Stanley converted EUR 4.3 billion in debt into an equity stake worth 100% of the company on September 15, 2014. As part of the restructuring, the EUR 1.35 billion syndicated loan and a EUR 100 million bilateral loan facility were swapped into 80 percent of IVG's new equity, and EUR 400 million convertible bonds were swapped into 20 percent stake of the company.</t>
  </si>
  <si>
    <t>Aurelius Capital Management, Cerberus Capital Management, Davidson Kempner Capital Management, Marathon Asset Management, Morgan Stanley, Värde Partners</t>
  </si>
  <si>
    <t>Blackrock Capital Investment, Sal. Oppenheim jr. &amp; Cie., Santo Venture Capital, Third Avenue Management</t>
  </si>
  <si>
    <t>Aurelius Capital Management(www.aurelius-capital.com), Cerberus Capital Management(www.cerberus.com), Davidson Kempner Capital Management(www.davidsonkempner.com), Marathon Asset Management(www.marathonfund.com), Morgan Stanley(www.morganstanley.com), Värde Partners(www.varde.com)</t>
  </si>
  <si>
    <t>Blackrock Capital Investment(blackrockbkcc.gcs-web.com), Sal. Oppenheim jr. &amp; Cie.(www.oppenheim.de), Third Avenue Management(www.thirdave.com)</t>
  </si>
  <si>
    <t>Bögner Hensel &amp; Partner(Legal Advisor), GSK Stockmann(Legal Advisor), PwC(Auditor)</t>
  </si>
  <si>
    <t>Apollo Global Management(Debt Financing), Aurelius Capital Management(Debt Financing), Barclays Investment Bank(Debt Financing), Berenberg Bank(Lead Manager or Arranger), Blackrock Capital Investment(Debt Financing), Business Angels Frankfurt Rhein Main(Debt Financing), Cerberus Capital Management(Debt Financing), Commerzbank(Lead Manager or Arranger), Deutsche Bank(Lead Manager or Arranger), Dresdner Kleinwort Wasserstein(Debt Financing), DZ Bank(Debt Financing), Freitag &amp; Co(Advisor: General), German Central Cooperative Bank(Debt Financing), Helaba Landesbank Hessen-Thüringen(Debt Financing), Landesbank Baden-Württemberg(Debt Financing), LSF Loan Solutions Frankfurt(Debt Financing), Moelis &amp; Company(Advisor: General), NatWest Group(Debt Financing), Third Avenue Management(Debt Financing), TPG(Debt Financing), UBS Group(Lead Manager or Arranger), UniCredit(Debt Financing), Valuetrust Financial Advisors(Valuation/Appraiser), Värde Partners(Debt Financing), WestLB Private Equity Investments(Lead Manager or Arranger), WestLB Private Equity Investments(Debt Financing)</t>
  </si>
  <si>
    <t>Debt Conversion</t>
  </si>
  <si>
    <t>109553-05</t>
  </si>
  <si>
    <t>Abbott (Non-U.S. Developed Markets Specialty And Branded Generics Business)</t>
  </si>
  <si>
    <t>Manufacturer of proprietary pharmaceutical products as well as branded generics. The business provides generic pharmaceutical products.</t>
  </si>
  <si>
    <t>branding generics platform, pharmaceutical product, proprietary pharmaceutical product</t>
  </si>
  <si>
    <t>2015: 3800</t>
  </si>
  <si>
    <t>The Non-U.S. Developed Markets Specialty And Branded Generics Business of Abbott Laboratories (NYSE: ABT) was acquired by Mylan (NASDAQ: MYL) for $5.6 billion on February 27, 2015. The business is no longer actively tracked by PitchBook.</t>
  </si>
  <si>
    <t>119057-05</t>
  </si>
  <si>
    <t>Allegiance</t>
  </si>
  <si>
    <t>Allegiance Corp.</t>
  </si>
  <si>
    <t>Manufacturer and distributor of pharmaceuticals, medical, surgical and laboratory supplies. The company provides medical-surgical products including rubber gloves, operating room supplies. It also provides pharmaceuticals and other related healthcare products.</t>
  </si>
  <si>
    <t>Distributors (Healthcare), Surgical Devices*</t>
  </si>
  <si>
    <t>healthcare product, medical surgical product, operating room supply, surgical equipment</t>
  </si>
  <si>
    <t>www.allegiance.net</t>
  </si>
  <si>
    <t>131250-79P</t>
  </si>
  <si>
    <t>Russell Losee</t>
  </si>
  <si>
    <t>Director, Sales Engineering</t>
  </si>
  <si>
    <t>russell.losee@allegiance.net</t>
  </si>
  <si>
    <t>Waukegan, IL</t>
  </si>
  <si>
    <t>1430 Waukegan Road</t>
  </si>
  <si>
    <t>Waukegan</t>
  </si>
  <si>
    <t>60085</t>
  </si>
  <si>
    <t>The company was acquired by Cardinal Health (NYSE: CAH) for $5.6 billion in stock and $890 million in assumed liabilities on February 03, 1999. The company is no longer actively tracked by PitchBook.</t>
  </si>
  <si>
    <t>Baxter International, Tim Converse</t>
  </si>
  <si>
    <t>Baxter International(www.baxter.com)</t>
  </si>
  <si>
    <t>Tallman Insights(Consulting)</t>
  </si>
  <si>
    <t>Credit Suisse Securities (USA)(Advisor: General), Davis Polk(Legal Advisor), PwC(Auditor)</t>
  </si>
  <si>
    <t>279775-18</t>
  </si>
  <si>
    <t>BP (Trans Alaska Pipeline System and Prudhoe Bay oilfield)</t>
  </si>
  <si>
    <t>A portfolio of oil fields and gas pipelines located on the coast of the Arctic Ocean in northern Alaska.</t>
  </si>
  <si>
    <t>Other Energy*</t>
  </si>
  <si>
    <t>energy asset project, energy generating assets, gas project, oil field, pipelines and plant</t>
  </si>
  <si>
    <t>2019: 1600, 2020: 1600</t>
  </si>
  <si>
    <t>AK</t>
  </si>
  <si>
    <t>The Trans Alaska Pipeline System and Prudhoe Bay oilfield of BP was acquired by Hilcorp Energy, via its financial sponsors The Carlyle Group through a $5.6 billion LBO on June 30, 2020.</t>
  </si>
  <si>
    <t>Hilcorp Energy</t>
  </si>
  <si>
    <t>The Carlyle Group</t>
  </si>
  <si>
    <t>The Carlyle Group(www.carlyle.com)</t>
  </si>
  <si>
    <t>41271-04</t>
  </si>
  <si>
    <t>Engelhard</t>
  </si>
  <si>
    <t>Engelhard Corporation</t>
  </si>
  <si>
    <t>Manufacturer of specialty chemicals and catalyst intended to offer expertise in technologies that protect the environment. The company's catalysts are offered for various technologies like adsorbents, aircraft, battery materials, emissions catalyst, precious metal development, temperature sensing and more, enabling customers to protect the environment from pollution created by chemical goods.</t>
  </si>
  <si>
    <t>battery materials, catalyst, specialty chemicals, specialty chemicals company</t>
  </si>
  <si>
    <t>www.engelhard.com</t>
  </si>
  <si>
    <t>1989: 8100, 1990: 7000, 1991: 6400, 1992: 6030, 1993: 5750, 1994: 5800, 1995: 5100, 1996: 5800, 1997: 5675, 1998: 5900, 1999: 6420, 2000: 6420, 2001: 5870, 2002: 6000, 2003: 5839, 2004: 5864, 2005: 2000</t>
  </si>
  <si>
    <t>TTM 1Q2006</t>
  </si>
  <si>
    <t>143632-63P</t>
  </si>
  <si>
    <t>Craig Ostroff</t>
  </si>
  <si>
    <t>craig.ostroff@engelhard.com</t>
  </si>
  <si>
    <t>Iselin, NJ</t>
  </si>
  <si>
    <t>101 Wood Avenue</t>
  </si>
  <si>
    <t>Iselin</t>
  </si>
  <si>
    <t>08830</t>
  </si>
  <si>
    <t>The company was acquired by BASF (NYSE: BF) for $5.6 billion on May 31, 2006. The company went private after the transaction. The company is no longer actively tracked by PitchBook.</t>
  </si>
  <si>
    <t>Johnson &amp; Urban(Consulting), Sarasijam Technologies(Consulting)</t>
  </si>
  <si>
    <t>Cahill(Legal Advisor), Coopers &amp; Lybrand(Auditor), Mackenzie Partners(Advisor: General)</t>
  </si>
  <si>
    <t>13474-99</t>
  </si>
  <si>
    <t>GE Appliances</t>
  </si>
  <si>
    <t>Maytag, BSH Hausgeräte, Dacor, Glen Dimplex Group, Sub-Zero and Wolf International, Miele (Germany), Whirlpool, Wolf Home Products</t>
  </si>
  <si>
    <t>Manufacturer of home appliances in the United States and internationally. The company's products include refrigerators, microwaves, dishwashers, washers, cooktops, wall ovens trash compactors, providing customers products to help improve their lives at home.</t>
  </si>
  <si>
    <t>air conditioner, cooking ranges, dishwasher, fridge, washing machine</t>
  </si>
  <si>
    <t>www.geappliances.com</t>
  </si>
  <si>
    <t>2016: 12000, 2019: 12500, 2020: 14000, 2021: 14000</t>
  </si>
  <si>
    <t>Haier Group</t>
  </si>
  <si>
    <t>204479-29P</t>
  </si>
  <si>
    <t>Melanie Cook</t>
  </si>
  <si>
    <t>melanie.cook@geappliances.com</t>
  </si>
  <si>
    <t>Louisville, KY</t>
  </si>
  <si>
    <t>Louisville</t>
  </si>
  <si>
    <t>Kentucky</t>
  </si>
  <si>
    <t>The appliances unit of General Electric was acquired by Qingdao Haier (SHE:600690) for $5.6 billion on June 6, 2016. The transaction includes GE Appliances' 48.4% stake in Mabe.</t>
  </si>
  <si>
    <t>Black &amp; Decker, Electrolux, Midea Group Co., The Blackstone Group</t>
  </si>
  <si>
    <t>Black &amp; Decker(www.blackanddecker.com), Electrolux(www.electroluxgroup.com), Midea Group Co.(www.midea.com), The Blackstone Group(www.blackstone.com)</t>
  </si>
  <si>
    <t>China Development Bank(Debt Financing), Citibank(Debt Financing)</t>
  </si>
  <si>
    <t>60513-04</t>
  </si>
  <si>
    <t>Jardine Lloyd Thompson Group</t>
  </si>
  <si>
    <t>Jardine Insurance Brokers</t>
  </si>
  <si>
    <t>JLT</t>
  </si>
  <si>
    <t>Jardine Lloyd Thompson Group plc</t>
  </si>
  <si>
    <t>Delmarva Surety, John L. Wortham &amp; Son, Higginbotham Insurance Group, AssuredPartners, Epic Insurance Solutions Agency, Hub International, Insurance Office of America, ABD Insurance &amp; Financial Services, Parker Smith &amp; Feek, USI Insurance Services, Hays Companies, Risk Strategies Company, Howden Broking Group, NFP, Hope Aviation Insurance, Acrisure, Hylant Group, Alliant Insurance Services, AmWINS Group, CRC Group, Willis of Northern New England, Mcneil &amp; Company, Bollinger, Keenan &amp; Associates, Financial Benefit Services, Tysers, Automatic Data Processing Insurance Agency Inc., Confie Holding, Perspective Financial Group (Pennsylvania), AIG Korea, Beecher Carlson, Arthur J. Gallagher &amp; Company</t>
  </si>
  <si>
    <t>Provider of insurance brokerage services in London. The company provides insurance, reinsurance, and employee benefits services and also serves as a broker in its risk and insurance business, advising clients on the risks and requirements they face and acting as the intermediary between clients and insurers or reinsurers.</t>
  </si>
  <si>
    <t>Commercial/Professional Insurance, Insurance Brokers*, Re-Insurance</t>
  </si>
  <si>
    <t>insurance broker, insurance brokerage service, insurance services, reinsurance, reinsurance and employee benefit</t>
  </si>
  <si>
    <t>www.jlt.com</t>
  </si>
  <si>
    <t>1989: 193, 1990: 233, 1991: 286, 1992: 328, 1993: 341, 1994: 333, 1995: 344, 1996: 345, 1997: 3573, 1998: 3477, 1999: 3575, 2000: 3680, 2001: 4221, 2002: 4207, 2003: 4398, 2004: 5003, 2005: 5397, 2006: 5318, 2007: 5346, 2008: 5386, 2009: 5665, 2010: 6212, 2011: 6566, 2012: 7142, 2013: 8295, 2014: 9653, 2015: 10777, 2016: 10499, 2017: 10575, 2018: 10600, 2019: 10600</t>
  </si>
  <si>
    <t>Marsh &amp; Mclennan Companies</t>
  </si>
  <si>
    <t>67546-90P</t>
  </si>
  <si>
    <t>Paul Matthews</t>
  </si>
  <si>
    <t>Chief Executive Officer at Thistle Insurance Services</t>
  </si>
  <si>
    <t>paul.matthews@jlt.com</t>
  </si>
  <si>
    <t>The Saint Botolph Building</t>
  </si>
  <si>
    <t>138 Houndsditch</t>
  </si>
  <si>
    <t>EC3A 7AW</t>
  </si>
  <si>
    <t>The company was acquired by Marsh &amp; Mclennan Companies (NYS: MMC) for $5.6 billion on April 1, 2019. As part of the transaction, Marsh &amp; Mclennan assumed $1 billion of the company's liabilities. The acquisition will allow Marsh &amp; Mclennan to create a compelling value proposition and a platform to deliver exceptional service to its clients, colleagues and shareholders.</t>
  </si>
  <si>
    <t>Jardines</t>
  </si>
  <si>
    <t>Jardines(www.jardines.com)</t>
  </si>
  <si>
    <t>Barclays Bank UK(Advisor: General), Brunswick Group(Advisor: General), Clifford Chance(Legal Advisor), Eversheds International(Legal Advisor), JP Morgan Cazenove(Advisor: General), JPMorgan Chase(Advisor: General), Numis Securities(Advisor: General), Simon Robertson Associates(Advisor: General)</t>
  </si>
  <si>
    <t>41936-41</t>
  </si>
  <si>
    <t>NV Energy</t>
  </si>
  <si>
    <t>Nevada Power, Sierra Pacific Power</t>
  </si>
  <si>
    <t>NV Energy, Inc.</t>
  </si>
  <si>
    <t>Spark Energy, Enbridge, CenterPoint Energy, Crius Energy, Just Energy Group</t>
  </si>
  <si>
    <t>Operator of public utility firm based in Las Vegas, Nevada. The company provides a wide range of energy services and products and serves electric and natural gas customers in the Nevada region.</t>
  </si>
  <si>
    <t>Electric Utilities*, Gas Utilities, Other Energy Services</t>
  </si>
  <si>
    <t>electricity, electricity provider, natural gas, natural gas plant, natural gas provider</t>
  </si>
  <si>
    <t>www.nvenergy.com</t>
  </si>
  <si>
    <t>1990: 1940, 1991: 1940, 1992: 1800, 1993: 1800, 1994: 1800, 1995: 1800, 1996: 1470, 1997: 1478, 1998: 1476, 1999: 3250, 2000: 3232, 2001: 3333, 2002: 3194, 2003: 3150, 2004: 3152, 2005: 3158, 2006: 3212, 2007: 3270, 2008: 102662, 2009: 3087, 2010: 2916, 2011: 2811, 2012: 2699</t>
  </si>
  <si>
    <t>6226 West Sahara Avenue</t>
  </si>
  <si>
    <t>89146</t>
  </si>
  <si>
    <t>The company was acquired by MidAmerican Energy, a subsidiary of Berkshire Hathaway, for $5.6 billion as of May 30, 2013. The company is no longer actively tracked by PitchBook.</t>
  </si>
  <si>
    <t>Berkshire Hathaway Energy</t>
  </si>
  <si>
    <t>Choate(Legal Advisor), Perkins Coie(Legal Advisor)</t>
  </si>
  <si>
    <t>Harwood Feffer(Legal Advisor), Hogan Lovells(Legal Advisor), Lazard(Advisor: General), Sidley Austin(Legal Advisor), Woodburn and Wedge(Legal Advisor)</t>
  </si>
  <si>
    <t>Other - $4.40B</t>
  </si>
  <si>
    <t>42004-81</t>
  </si>
  <si>
    <t>PVR Partners</t>
  </si>
  <si>
    <t>Penn Virginia Resource Partners</t>
  </si>
  <si>
    <t>PVR Partners L.P.</t>
  </si>
  <si>
    <t>Provider of natural gas processing services. The company provides coal and natural resource management, natural gas gathering and leasing of coal properties.</t>
  </si>
  <si>
    <t>Coal Mining*, Energy Infrastructure, Energy Transportation</t>
  </si>
  <si>
    <t>coal reserves, natural gas pipeline, natural gas processing, processing plant</t>
  </si>
  <si>
    <t>2001: 24, 2002: 30, 2003: 32, 2004: 32, 2005: 111, 2006: 122, 2007: 129, 2008: 157, 2009: 167, 2010: 210, 2011: 250, 2012: 305, 2013: 321, 2014: 305</t>
  </si>
  <si>
    <t>40859-47P</t>
  </si>
  <si>
    <t>William Shea</t>
  </si>
  <si>
    <t>+1 (610) 975-8200</t>
  </si>
  <si>
    <t>Three Radnor Corporate Center</t>
  </si>
  <si>
    <t>Suite 301, 100 Matsonford Road</t>
  </si>
  <si>
    <t>The company (NYSE: PVR) was acquired by Regency Energy Partners (NYSE: RGP) for $5.6 billion on March 21, 2014. Regency Energy Partners (NYSE: RGP) is backed by multiple investors. The company is no longer actively tracked by PitchBook.</t>
  </si>
  <si>
    <t>Kayne Anderson Capital Advisors, Magnetar Capital, Riverstone Holdings</t>
  </si>
  <si>
    <t>Kayne Anderson Capital Advisors(www.kaynecapital.com), Magnetar Capital(www.magnetar.com), Riverstone Holdings(www.riverstonellc.com)</t>
  </si>
  <si>
    <t>Kekst CNC(Advisor: Communications), Richards Layton &amp; Finger(Legal Advisor)</t>
  </si>
  <si>
    <t>Evercore Group(Advisor: General), FS Energy and Power Fund(Debt Financing), Institutional Shareholder Services(Advisor: General), Morrow &amp; Company(Legal Advisor), Vinson &amp; Elkins(Legal Advisor)</t>
  </si>
  <si>
    <t>Loan - $5.25M (Subordinated)</t>
  </si>
  <si>
    <t>10224-55</t>
  </si>
  <si>
    <t>Rockwood Holdings</t>
  </si>
  <si>
    <t>Rockwood Specialties</t>
  </si>
  <si>
    <t>Rockwood Holdings, Inc.</t>
  </si>
  <si>
    <t>Developer, manufacturer and distributor of chemicals and advanced materials. The company distributes chemicals, performance additives, titanium dioxide pigments, advanced ceramics, specialty compounds and electronics. It also provides iron oxide pigments, wood protection products, inorganic chemicals, synthetic and organic thickeners, specialty pools, spa performance chemicals, algaecides and aquatic herbicides.</t>
  </si>
  <si>
    <t>Distributors/Wholesale (B2C), Industrial Chemicals, Specialty Chemicals*</t>
  </si>
  <si>
    <t>chemicals provider, iron oxide, titanium dioxide</t>
  </si>
  <si>
    <t>2003: 9443, 2004: 9443, 2005: 10774, 2006: 9525, 2007: 9800, 2008: 10200, 2009: 9500, 2010: 9600, 2011: 9700, 2012: 10200, 2013: 3500, 2015: 5001</t>
  </si>
  <si>
    <t>100 Overlook Center</t>
  </si>
  <si>
    <t>The company was acquired by Albermarle for $5.6 billion on January 12, 2015. The company is no longer actively tracked by PitchBook.</t>
  </si>
  <si>
    <t>Albemarle</t>
  </si>
  <si>
    <t>aPriori Capital Partners, Kohlberg Kravis Roberts, The Jordan Company</t>
  </si>
  <si>
    <t>aPriori Capital Partners(www.aprioricapital.com), Kohlberg Kravis Roberts(www.kkr.com), The Jordan Company(www.thejordancompany.com)</t>
  </si>
  <si>
    <t>Bank of America Merrill Lynch(Debt Financing), Chase Bank(Debt Financing), Citigroup(Advisor: General), Clifford Chance(Legal Advisor), Credit Suisse(Advisor: General), Deloitte(Auditor), Deutsche Bank(Underwriter), First Analysis(Underwriter), First Analysis(Lead Manager or Arranger), Hughes Hubbard &amp; Reed(Legal Advisor), J.P. Morgan(Underwriter), Lazard Middle Market(Advisor: General), Lehman Brothers(Underwriter), Simpson Thacher &amp; Bartlett(Legal Advisor), Slaughter and May(Legal Advisor), The Goldman Sachs Group(Debt Financing), UBS Group(Underwriter), Willkie Farr &amp; Gallagher(Legal Advisor)</t>
  </si>
  <si>
    <t>60939-91</t>
  </si>
  <si>
    <t>Canada Safeway</t>
  </si>
  <si>
    <t>Safeway Canada</t>
  </si>
  <si>
    <t>Canada Safeway Ltd.</t>
  </si>
  <si>
    <t>Owner and operator of grocery stores in Canada. The company offers packaged foods, flowers, gift cards, medicines, meat products and other grocery products.</t>
  </si>
  <si>
    <t>general merchandise, grocery chain, retail stores</t>
  </si>
  <si>
    <t>www.safeway.ca</t>
  </si>
  <si>
    <t>2014: 1283</t>
  </si>
  <si>
    <t>Empire Company</t>
  </si>
  <si>
    <t>63525-88P</t>
  </si>
  <si>
    <t>Paul Malo</t>
  </si>
  <si>
    <t>Chief Financial Officer &amp; Vice President, Finance</t>
  </si>
  <si>
    <t>paul.malo@safeway.com</t>
  </si>
  <si>
    <t>+1 (403) 730-3500</t>
  </si>
  <si>
    <t>PO Box 864</t>
  </si>
  <si>
    <t>Station M</t>
  </si>
  <si>
    <t>T2P 2J6</t>
  </si>
  <si>
    <t>+1 (403) 730-3888</t>
  </si>
  <si>
    <t>The company was acquired by Empire Company (TSX: EMP.A) for CAD 5.8 billion on November 4, 2013. The company is no longer actively tracked by PitchBook.</t>
  </si>
  <si>
    <t>Safeway</t>
  </si>
  <si>
    <t>Safeway(www.safeway.com)</t>
  </si>
  <si>
    <t>Latham &amp; Watkins(Legal Advisor), McCarthy Tétrault(Legal Advisor)</t>
  </si>
  <si>
    <t>14531-59</t>
  </si>
  <si>
    <t>Invensys</t>
  </si>
  <si>
    <t>Siebe, APV</t>
  </si>
  <si>
    <t>Invensys PLC</t>
  </si>
  <si>
    <t>Designer and supplier of automation and control equipment intended to increase productivity and reduce waste. The company's advanced equipment enables the world's manufacturing and energy-generating facilities, mainline and mass transit rail networks to maximize return on investments, conserve resources and optimize performance across its customer's value chain.</t>
  </si>
  <si>
    <t>Automation/Workflow Software, Industrial Supplies and Parts*, Other Commercial Products</t>
  </si>
  <si>
    <t>Oil &amp; Gas, TMT</t>
  </si>
  <si>
    <t>advances technologies, automation equipment, control equipment, natural gas, nuclear energy</t>
  </si>
  <si>
    <t>1985: 6938, 1986: 10323, 1987: 16219, 1988: 28164, 1989: 30542, 1990: 31027, 1991: 32740, 1992: 31928, 1993: 29634, 1994: 29927, 1995: 32300, 1996: 35815, 1997: 42091, 1998: 49765, 1999: 130626, 2000: 121672, 2001: 93509, 2002: 83669, 2003: 63369, 2004: 43594, 2005: 36356, 2006: 30861, 2007: 27784, 2008: 25995, 2009: 22131, 2010: 20345, 2011: 20332, 2012: 20623, 2013: 20807</t>
  </si>
  <si>
    <t>137459-62P</t>
  </si>
  <si>
    <t>Rob McGreevy</t>
  </si>
  <si>
    <t>Vice President of platform and applications software Solutions</t>
  </si>
  <si>
    <t>40 Grosvenor Place</t>
  </si>
  <si>
    <t>SW1X 7AW</t>
  </si>
  <si>
    <t>The company was acquired by Schneider Electric (XPAR: SU) for GBP 3.4 billion on January 17, 2014. The company is no longer actively tracked by PitchBook.</t>
  </si>
  <si>
    <t>Bushkin Associates(Advisor: General), Freshfields Bruckhaus Deringer(Legal Advisor), KLI Consulting(Consulting), Proudfoot(Consulting)</t>
  </si>
  <si>
    <t>Barclays(Advisor: General), Freshfields Bruckhaus Deringer(Legal Advisor), JP Morgan Cazenove(Advisor: General)</t>
  </si>
  <si>
    <t>13357-09</t>
  </si>
  <si>
    <t>Medidata Solutions</t>
  </si>
  <si>
    <t>Medidata</t>
  </si>
  <si>
    <t>Medidata Solutions, Inc.</t>
  </si>
  <si>
    <t>Anaplan, SAP, Medrio, Veeva Systems, Velos, Cerner, Merge eClinical, ArisGlobal, Aurea, Omnicomm Systems, CRF Health, eClinicalWorks, Workday, ElectrifAI, Comprehend, Algorithm, Nutanix, Alfresco Software, DATATRAK International, Parexel International, Salesforce.com, Clinovo, MasterControl, Pure Storage</t>
  </si>
  <si>
    <t>Medidata Solutions Inc provides cloud-based solutions for the clinical development programs of life sciences companies. Its customers include biopharmaceutical companies, device makers, contract research organizations, and academic institutions. The majority of the company's business comes from subscriptions to the Medidata Clinical Cloud, with the remainder of revenue coming from services. The Medidata Clinical Cloud provides solutions for study design and planning, data capture, patient activity measurement, risk-based monitoring, and payments. The services segment includes technology and support services and professional consulting services. The majority of the firm's revenue is generated within the United States.</t>
  </si>
  <si>
    <t>Biotechnology*, Business/Productivity Software, Vertical Market Software</t>
  </si>
  <si>
    <t>Life Sciences, SaaS, TMT</t>
  </si>
  <si>
    <t>clinical development, cloud-based, cloud-based service</t>
  </si>
  <si>
    <t>www.mdsol.com</t>
  </si>
  <si>
    <t>2008: 549, 2009: 574, 2010: 598, 2011: 690, 2012: 796, 2013: 923, 2014: 1077, 2015: 1254, 2016: 1424, 2017: 1680, 2018: 1998, 2019: 2200</t>
  </si>
  <si>
    <t>Dassault Systemes</t>
  </si>
  <si>
    <t>38888-56P</t>
  </si>
  <si>
    <t>Tarek Sherif</t>
  </si>
  <si>
    <t>Co-CEO and Co-founder</t>
  </si>
  <si>
    <t>+1 (212) 918-1800</t>
  </si>
  <si>
    <t>350 Hudson Street</t>
  </si>
  <si>
    <t>The company was acquired by Dassault Systemes (PAR: DSY), a subsidiary of Dassault Group, for EUR 5.06 billion on October 28, 2019. With this acquisition, Dassault Systèmes will reinforce its position as a science-based company by providing the Life Sciences industry with an integrated business experience platform for an end-to-end approach to research and discovery, development, clinical testing, manufacturing, and commercialization of new therapies and health technologies. The company is no longer actively tracked by PitchBook.</t>
  </si>
  <si>
    <t>Activate Venture Partners, Brian Model, Insight Partners, Silicon Alley Venture Partners, Stonehenge Capital, The Lambda Funds, Topmark Partners, Tribeca Venture Partners, Vision Ventures</t>
  </si>
  <si>
    <t>Activate Venture Partners(www.activatevp.com), Insight Partners(www.insightpartners.com), Silicon Alley Venture Partners(www.savp.com), Stonehenge Capital(www.stonehengecapital.com), The Lambda Funds(www.lambdafund.com), Topmark Partners(www.topmarkpartners.com), Tribeca Venture Partners(www.tribecavp.com), Vision Ventures(www.visionvp.com)</t>
  </si>
  <si>
    <t>Deloitte(Auditor), JBK Associates International(Consulting), Lois Paul &amp; Partners(Consulting), Perspective Group(Consulting)</t>
  </si>
  <si>
    <t>Citigroup Global Markets(Underwriter), Clifford Chance(Legal Advisor), Credit Suisse(Underwriter), Deloitte(Auditor), Jefferies Financial Group(Underwriter), Kahn Swick &amp; Foti(Legal Advisor), Madison Park Group(Advisor: General), Needham &amp; Company(Underwriter), Norton Rose Fulbright(Legal Advisor), The Goldman Sachs Group(Advisor: General)</t>
  </si>
  <si>
    <t>10511-47</t>
  </si>
  <si>
    <t>ALTANA Pharma</t>
  </si>
  <si>
    <t>ALTANA (Pharmaceuticals Division)</t>
  </si>
  <si>
    <t>ALTANA Pharma AG</t>
  </si>
  <si>
    <t>Provider of pharmaceutical respiratory and gastrointestinal products. The company provides pharmaceutical products in therapeutics, imaging and OTC medication.</t>
  </si>
  <si>
    <t>anti-inflammatory, gastrointestinal product, pulmonary disease</t>
  </si>
  <si>
    <t>2006: 9000</t>
  </si>
  <si>
    <t>Konstanz, Germany</t>
  </si>
  <si>
    <t>Byk-Gulden-Strasse 2</t>
  </si>
  <si>
    <t>Konstanz</t>
  </si>
  <si>
    <t>Baden Wuerttemberg</t>
  </si>
  <si>
    <t>78467</t>
  </si>
  <si>
    <t>+49 (0)75 3184 0</t>
  </si>
  <si>
    <t>+49 (0)75 3184 2474</t>
  </si>
  <si>
    <t>The company was acquired by Nycomed, via its financial sponsors Nordic Capital, DLJ Merchant Banking Partners and The Blackstone Group, through a EUR4.215 billion LBO on December 29, 2006.</t>
  </si>
  <si>
    <t>aPriori Capital Partners, Nordic Capital, The Blackstone Group</t>
  </si>
  <si>
    <t>aPriori Capital Partners(www.aprioricapital.com), Nordic Capital(www.nordiccapital.com), The Blackstone Group(www.blackstone.com)</t>
  </si>
  <si>
    <t>Freitag Gellert(Advisor: General), Freshfields Bruckhaus Deringer(Legal Advisor), Sullivan &amp; Cromwell(Legal Advisor), The Goldman Sachs Group(Advisor: General)</t>
  </si>
  <si>
    <t>11096-47</t>
  </si>
  <si>
    <t>Validus</t>
  </si>
  <si>
    <t>Validus Holdings, Ltd.</t>
  </si>
  <si>
    <t>TransRe, XL Group, Capsicum Re, Odyssey Re Holdings, RenaissanceRe Holdings, Aon, Argo Group International Holdings, Korean Reinsurance Company, W.R. Berkley, Everest Re Group, PartnerRe, The Hanover Insurance Group, Kenya Reinsurance Corporation, IRB-Brasil Resseguros, Scor, Chubb, Markel (Insurance Services), Factory Mutual Insurance Company, CNA Financial, Allied World, Onebeacon Insurance Group, Prudential Financial, Beazley Group, Equitable Life Insurance Company of Canada, Allianz Group, MetLife, Reinsurance Group of America, Prudential Insurance (Nepal)</t>
  </si>
  <si>
    <t>Validus Holdings is a Pembroke, Bermuda based company that is engaged in the global insurance and reinsurance. The company operates through four segments: Validus Re, AlphaCat, Talbot and Western World. Validus Re is a reinsurance segment focused on short tail lines of reinsurance. AlphaCat is a Bermuda-based investment adviser, managing capital from third parties and the company in insurance linked securities and other investments in the property catastrophe reinsurance space. Talbot is a specialty insurance segment. Western World is a specialty excess and surplus lines insurance segment operating within the United States commercial market.</t>
  </si>
  <si>
    <t>Other Insurance, Re-Insurance*</t>
  </si>
  <si>
    <t>aerospace, health, insurance, reinsurance</t>
  </si>
  <si>
    <t>www.validusholdings.com</t>
  </si>
  <si>
    <t>2005: 42, 2006: 52, 2007: 228, 2008: 280, 2009: 380, 2010: 460, 2011: 490, 2012: 630, 2013: 571, 2014: 814, 2015: 876, 2016: 886, 2017: 1264, 2018: 1000</t>
  </si>
  <si>
    <t>90439-84P</t>
  </si>
  <si>
    <t>Jonathan Ritz</t>
  </si>
  <si>
    <t>Chief Executive Officer of Validus Specialty</t>
  </si>
  <si>
    <t>+1 (201) 847-8600</t>
  </si>
  <si>
    <t>+1 (441) 278-9000</t>
  </si>
  <si>
    <t>+1 (441) 278-9090</t>
  </si>
  <si>
    <t>The company (NYSE: VR) was acquired by American International Group (NYSE: AIG) for $5.56 billion on July 18, 2018. The acquisition enhances AIG's General Insurance business, adding a leading reinsurance platform, an insurance-linked securities asset manager, a meaningful presence at Lloyd's and complementary capabilities in the US crop and excess and surplus markets.</t>
  </si>
  <si>
    <t>Aquiline Capital Partners, Caisse de dépôt et placement du Québec, GCP Capital Partners, Goldman Sachs Merchant Banking Division, Merrill Lynch Ventures, New Mountain Capital, North Cove Partners, Vestar Capital Partners</t>
  </si>
  <si>
    <t>Aquiline Capital Partners(www.aquiline.com), Caisse de dépôt et placement du Québec(www.cdpq.com), GCP Capital Partners(www.gcpcapital.com), New Mountain Capital(www.newmountaincapital.com), North Cove Partners(www.northcovepartners.com), Vestar Capital Partners(www.vestarcapital.com)</t>
  </si>
  <si>
    <t>WeissLaw(Legal Advisor), Wells Fargo Advisors(Underwriter)</t>
  </si>
  <si>
    <t>ABN AMRO Rothschild(Underwriter), Bank of America Merrill Lynch(Underwriter), Cahill(Legal Advisor), Calyon Financial(Underwriter), Cochran Caronia Waller(Underwriter), Comerica Bank(Underwriter), Conyers Dill &amp; Pearman(Legal Advisor), Deutsche Bank(Underwriter), Dowling &amp; Partners(Underwriter), HSBC Holdings(Underwriter), J.P. Morgan(Underwriter), J.P. Morgan Securities(Advisor: General), JMP Securities(Lead Manager or Arranger), Keefe, Bruyette &amp; Woods(Underwriter), NN Investment Partners Holdings(Underwriter), PwC(Accounting), Scotiabank Global Banking and Markets(Underwriter), Skadden, Arps, Slate, Meagher &amp; Flom(Legal Advisor), The Goldman Sachs Group(Underwriter), UBS Group(Underwriter), Wachovia Bank(Underwriter)</t>
  </si>
  <si>
    <t>55175-41</t>
  </si>
  <si>
    <t>BP (U.S. Gulf of Mexico Fields)</t>
  </si>
  <si>
    <t>A portfolio of oil fields. The portfolio consists of Marlin, Dorado, King, Horn Mountain, Holstein, Diana-Hoover and Ram Powell fields located in the Gulf of Mexico.</t>
  </si>
  <si>
    <t>Buildings and Property, Energy Production, Energy Refining, Other Energy*</t>
  </si>
  <si>
    <t>energy generation, gas exploration, oil exploration, oil refining</t>
  </si>
  <si>
    <t>Gulf of Mexico, Mexico</t>
  </si>
  <si>
    <t>Gulf of Mexico</t>
  </si>
  <si>
    <t>The Marlin, Dorado, King, Horn Mountain, Holstein, Diana-Hoover and Ram Powell fields of Royal Dutch Shell and BP was acquired by Plains Exploration and Production (NYSE: PXP) for $5.55 billion on November 30, 2012. Plains Exploration and Production is backed by EIG Global energy partners and Triangle Peak Partners. The asset is no longer actively tracked by PitchBook.</t>
  </si>
  <si>
    <t>60396-76</t>
  </si>
  <si>
    <t>DUET</t>
  </si>
  <si>
    <t>DUET Company Ltd.</t>
  </si>
  <si>
    <t>Operator of energy utility assets in Australia. The company is engaged in acquisition and investments in energy utility businesses through its subsidiaries.</t>
  </si>
  <si>
    <t>Holding Companies, Multi-Utilities*</t>
  </si>
  <si>
    <t>energy development, energy utility, power utility, power utility company</t>
  </si>
  <si>
    <t>www.duet.net.au</t>
  </si>
  <si>
    <t>2004: 274, 2005: 183, 2007: 1300, 2008: 1200, 2009: 1200, 2010: 1235</t>
  </si>
  <si>
    <t>133832-98P</t>
  </si>
  <si>
    <t>Jason Conroy</t>
  </si>
  <si>
    <t>+61 (0)3 9415 4189</t>
  </si>
  <si>
    <t>GPO Box 5282</t>
  </si>
  <si>
    <t>The company was acquired by Power Asset Holdings (0006: HK), Cheung Kong Infrastructure Holdings (1113: HK) and other undisclosed investors for AUD 7.4 billion on May 15, 2017. The company is no longer actively tracked by PitchBook.</t>
  </si>
  <si>
    <t>Power Assets Holdings</t>
  </si>
  <si>
    <t>CK Infrastructure Holdings</t>
  </si>
  <si>
    <t>AMP Capital Investors, Beulah Capital, Lazard, Macquarie Group, Multinet Group Holdings, Spark Infrastructure, UniSuper Management, Whitehelm Capital</t>
  </si>
  <si>
    <t>Power Assets Holdings(www.powerassets.com)</t>
  </si>
  <si>
    <t>AMP Capital Investors(www.ampcapital.com), Beulah Capital(www.beulahcapital.com), Lazard(www.lazard.com), Macquarie Group(www.macquarie.com), Multinet Group Holdings(www.multinetgas.com.au), Spark Infrastructure(www.sparkinfrastructure.com), UniSuper Management(www.unisuper.com.au), Whitehelm Capital(www.whitehelmcapital.com)</t>
  </si>
  <si>
    <t>Euromax Capital(Advisor: General)</t>
  </si>
  <si>
    <t>Allens(Legal Advisor), GRACosway Pty Ltd(Advisor: General), Gresham Partners (Sydney)(Advisor: General), KPMG(Accounting), KPMG Corporate Finance(Advisor: General), Macquarie Group(Underwriter), Mallesons Stephen Jaques(Legal Advisor), UBS Group(Advisor: General)</t>
  </si>
  <si>
    <t>61909-93</t>
  </si>
  <si>
    <t>Panalpina World Transport</t>
  </si>
  <si>
    <t>Alpina</t>
  </si>
  <si>
    <t>PWT, Panalpina</t>
  </si>
  <si>
    <t>Panalpina World Transport (Holding) Ltd.</t>
  </si>
  <si>
    <t>Pilot Freight Services, Echo Global Logistics, Freightquote, Ryder System, Rcs Logistics Ltd., Aramex, Coyote Logistics, Celadon Group, Oncarriage, Freightworks, Toll Holdings, Forward Air, Expeditors International of Washington, GlobalTranz Enterprises, Mainfreight, BNSF Logistics, Innovative B2B Logistics Solutions, Agility (Kuwait), Magna Transportation Group, Crane Worldwide Logistics, Penske Logistics, JAS Worldwide, Best Global Logistics, Rhenus Logistics, DHL Express, FLS Transportation Services, C.H. Robinson Worldwide, DSV, Saga Italia, Deutsche Post DHL Group, U.S. Xpress Enterprises, XPO Logistics, UTi Worldwide, Interstate Distributor Company, AIT Worldwide Logistics, Network Global Logistics, BDP International, Dhl International, UTI Spain &amp; Portugal, Neovia Logistics Services, DB Schenker, SEKO Logistics, NFI Industries, Barloworld Logistics, AirTrades Freight Forwarders, Burlington Northern Santa Fe, Cardinal Logistics, Unishippers Global Logistics, Schneider National, Ruan, Lasership, The Grimes Companies, Cerasis, TNT Fashion, Flash Global, Schneider Logistics International, Dynamic Parcel Distribution, APL Logistics, Norbert Dentressangle, Züst &amp; Bachmeier (Bremen), Swift Transportation, Nnr Global Logistics Usa, J.B. Hunt Transport Services, Logistics &amp; Distribution Services, FitzMark, Oocl Logistics, Total Transportation Concept, H.Essers, Savino Del Bene, Purolator, Hub Group, Brown Line, IQS Group, Bolloré, Hellmann Worldwide Logistics, Ozburn-Hessey Logistics, Span Alaska Transportation, CEVA Logistics, FM Logistic, Sankyu, American Global Logistics, Air Transport Services Group, Fiege, World Courier, Normandin Transit, Syncreon Group</t>
  </si>
  <si>
    <t>Panalpina World Transport is a supply-chain and logistics company. The company organises itself into three segments: air freight, ocean freight, and logistics. Air freight contributes the most significant portion of revenue, followed by ocean freight, which contributes a similar portion of revenue. Logistics includes distribution solutions and other value-added services. The company earns revenue globally, deriving the most significant portion from Europe, followed by the Americas and Asia Pacific.</t>
  </si>
  <si>
    <t>Logistics*, Other Transportation</t>
  </si>
  <si>
    <t>air logistics, commercial transport, freight logistics, logistics services, supply chain</t>
  </si>
  <si>
    <t>www.panalpinagroup.team</t>
  </si>
  <si>
    <t>2008: 15231, 2009: 13570, 2010: 14136, 2011: 15051, 2012: 15224, 2013: 16010, 2014: 15639, 2015: 14774, 2016: 14217, 2017: 14000, 2018: 14847, 2019: 14500</t>
  </si>
  <si>
    <t>Viaduktstrasse 42</t>
  </si>
  <si>
    <t>P.O. Box 4002</t>
  </si>
  <si>
    <t>The company (SWX: PWTN) was acquired by DSV (CSE: DSV) for DKK 37 billion on August 19, 2019. Under the deal, the company's shareholders will receive 2.375 DSV shares, with a nominal value of 1 Danish crown per share, for each of the company's share. The company is no longer actively tracked by PitchBook.</t>
  </si>
  <si>
    <t>DSV</t>
  </si>
  <si>
    <t>Artisan Partners Asset Management, Cevian Capital, EGS Beteiligungen</t>
  </si>
  <si>
    <t>Kuehne + Nagel</t>
  </si>
  <si>
    <t>Artisan Partners Asset Management(www.artisanpartners.com), Cevian Capital(www.ceviancapital.com), EGS Beteiligungen(www.ernst-goehner-stiftung.ch)</t>
  </si>
  <si>
    <t>Kuehne + Nagel(home.kuehne-nagel.com)</t>
  </si>
  <si>
    <t>Bryan Cave Leighton Paisner (Russia)(Legal Advisor), Schellenberg Wittmer(Legal Advisor)</t>
  </si>
  <si>
    <t>Alantra Partners(Advisor: General), Homburger(Legal Advisor), Jones Day(Legal Advisor), KPMG Corporate Finance(Advisor: General), Schellenberg Wittmer(Legal Advisor), Skadden, Arps, Slate, Meagher &amp; Flom(Legal Advisor), Vontobel Holding(Advisor: General)</t>
  </si>
  <si>
    <t>41111-92</t>
  </si>
  <si>
    <t>Beckman Coulter</t>
  </si>
  <si>
    <t>SmithKline Beckman, National Technical Laboratories</t>
  </si>
  <si>
    <t>Beckman</t>
  </si>
  <si>
    <t>Beckman Coulter, Inc.</t>
  </si>
  <si>
    <t>Ortho-Clinical Diagnostics, Cliniqa, PerkinElmer, EPD Solutions, Abbott Diagnostics, GE Healthcare, Meridian Bioscience, BioTek Instruments, Mediso, Foundation Medicine, Cepheid, Abbott (Healthcare), Hologic, Harvard Bioscience, Cavidi, Meril Life Sciences, C. R. Bard, Q-linea, Midmark, Biotronik, Strand (Decision/Risk Analysis), Affymetrix, Siemens Healthineers, Focus Diagnostics, Advanced Instruments, GenapSys, Tecan Group, Boston Scientific</t>
  </si>
  <si>
    <t>Manufacturer of clinical diagnostic products that are used in complex biomedical testing. The company's products are used for tests related to sepsis diagnosis, cardiovascular disease, reproductive health, anemia, drug monitoring and life sciences, thereby helping them deliver greater insights and accelerate care.</t>
  </si>
  <si>
    <t>biomedical testing, clinical diagnostics, diagnostic research, diagnostic system, life science</t>
  </si>
  <si>
    <t>www.beckmancoulter.com</t>
  </si>
  <si>
    <t>1989: 7287, 1990: 7054, 1991: 6883, 1992: 6900, 1993: 6581, 1994: 5900, 1995: 5700, 1996: 6100, 1997: 11171, 1998: 10064, 1999: 9500, 2000: 6945, 2001: 10094, 2002: 7100, 2003: 7400, 2004: 10169, 2005: 10416, 2006: 10340, 2007: 10500, 2008: 11000, 2009: 11800, 2010: 11900, 2011: 11800, 2015: 7293, 2019: 11000, 2020: 11000, 2021: 10000</t>
  </si>
  <si>
    <t>106025-68P</t>
  </si>
  <si>
    <t>James Utterback</t>
  </si>
  <si>
    <t>Assistant General Counsel, Regulatory Compliance</t>
  </si>
  <si>
    <t>jutterback@beckmancoulter.com</t>
  </si>
  <si>
    <t>+1 (714) 993-5321</t>
  </si>
  <si>
    <t>Brea, CA</t>
  </si>
  <si>
    <t>250 South Kraemer Boulevard</t>
  </si>
  <si>
    <t>Brea</t>
  </si>
  <si>
    <t>92821</t>
  </si>
  <si>
    <t>+1 (800) 232-3828</t>
  </si>
  <si>
    <t>The company was acquired by Danaher Corporation (NYSE: DHR) for $55.25 billions on June 29, 2011. A total of 66168634 were acquired for $83.5 per share. After the acquisition, the company was delisted from the NASDAQ Stock Exchange. The company is no longer actively tracked by PitchBook.</t>
  </si>
  <si>
    <t>Assess IT(Consulting), Knobbe Martens(Legal Advisor), Payne &amp; Fears(Legal Advisor), RA Capital Advisors(Advisor: General), Venetia Partners(Consulting), Western Reserve Partners(Advisor: General)</t>
  </si>
  <si>
    <t>Latham &amp; Watkins(Legal Advisor), The Goldman Sachs Group(Advisor: General)</t>
  </si>
  <si>
    <t>154219-06</t>
  </si>
  <si>
    <t>Blue Circle Industries</t>
  </si>
  <si>
    <t>Associated Portland Cement Manufacturers</t>
  </si>
  <si>
    <t>Blue Circle</t>
  </si>
  <si>
    <t>Blue Circle Industries Plc</t>
  </si>
  <si>
    <t>Provider of heavy building materials based in London, United Kingdom. The company offers products including cement, aggregates, concrete, roofing and other related products to the construction industries.</t>
  </si>
  <si>
    <t>aggregates mixture, building material supply, building materials product, building materials provider, cement business, cement supplier</t>
  </si>
  <si>
    <t>www.bluecircle.co.uk</t>
  </si>
  <si>
    <t>84 Eccleston Square</t>
  </si>
  <si>
    <t>SW1V 1PX</t>
  </si>
  <si>
    <t>The company was acquired by Lafarge and Dresdner Bank for $3.8 billion on March 2, 2001. The company is no longer actively tracked by PitchBook.</t>
  </si>
  <si>
    <t>Dresdner Bank, Lafarge</t>
  </si>
  <si>
    <t>Allen-Villere Partners(Advisor: General)</t>
  </si>
  <si>
    <t>Annex Capital(Advisor: General), BNP Paribas(Advisor: General), FD(Advisor: General)</t>
  </si>
  <si>
    <t>53532-19</t>
  </si>
  <si>
    <t>Mobilcom-debitel</t>
  </si>
  <si>
    <t>Mobilcom Communications</t>
  </si>
  <si>
    <t>Mobilcom</t>
  </si>
  <si>
    <t>Mobilcom-debitel GmbH</t>
  </si>
  <si>
    <t>Telefónica UK, T-Mobile (US)</t>
  </si>
  <si>
    <t>Provider of mobile telecommunication, network speech and data services. The company provides telecommunication products and services through its chain of shops operated within a franchise system as well as through sales partnerships with qualified specialized dealers. It concentrates on the marketing of mobile telephony contracts for the network operators T-Mobile, Vodafone, E-Plus and O2.</t>
  </si>
  <si>
    <t>Other Communications and Networking*, Telecommunications Service Providers</t>
  </si>
  <si>
    <t>data services, fixed network telephony, mobile contract, telecommunication services</t>
  </si>
  <si>
    <t>www.mobilcom-debitel.de</t>
  </si>
  <si>
    <t>1997: 300, 2020: 1500</t>
  </si>
  <si>
    <t>Freenet</t>
  </si>
  <si>
    <t>151516-18P</t>
  </si>
  <si>
    <t>Ingo Arnold</t>
  </si>
  <si>
    <t>ingo.arnold@mobilcom-debitel.de</t>
  </si>
  <si>
    <t>+49 (0)40 5555 4144 1</t>
  </si>
  <si>
    <t>Büdelsdorf, Germany</t>
  </si>
  <si>
    <t>Hollerstraße 126</t>
  </si>
  <si>
    <t>Büdelsdorf</t>
  </si>
  <si>
    <t>24782</t>
  </si>
  <si>
    <t>+49 (0)40 5555 4100 1</t>
  </si>
  <si>
    <t>impressum@mobilcom-debitel.de</t>
  </si>
  <si>
    <t>The company was acquired by freenet (ETR: FNTN) for $5.52 billion on March 2, 2007.</t>
  </si>
  <si>
    <t>1&amp;1 (Germany), Hannover Finanz Group, Orange, TPG</t>
  </si>
  <si>
    <t>1&amp;1 (Germany)(www.1und1.ag), Hannover Finanz Group(www.hannoverfinanz.de), Orange(www.orange.com), TPG(www.tpg.com)</t>
  </si>
  <si>
    <t>Pinsent Masons(Legal Advisor), Skillnet(Advisor: General)</t>
  </si>
  <si>
    <t>Chase Bank(Advisor: General)</t>
  </si>
  <si>
    <t>88409-08</t>
  </si>
  <si>
    <t>Porsche</t>
  </si>
  <si>
    <t>Dr. Ing. h.c. F. Porsche AG</t>
  </si>
  <si>
    <t>Tata Motors, Suzuki Motor, Opel Automobile, SAIC Motor Corporation, BMW Group, Daimler, Jaguar Land Rover Automotive, Ford Otomotiv Sanayi, Mazda Motor, Ford Australia, Nissan Motor, Volkswagen, Peugeot Hungaria, Volvo Car, Hyundai Motor, Harley-Davidson, Bentley Motors, Chevrolet, Baltic Motors, Renault Russia, Lamborghini, Bugatti Automobiles, Peugeot Slovakia, Rimac Automobili, Ferrari, D'Ieteren, Audi, Pagani Automobili</t>
  </si>
  <si>
    <t>Porsche is an automotive company that manufactures automobiles. It engages in the production of cars and automobile parts. The company primarily specializes in manufacturing sports cars, supercars and luxury SUV's. The company was founded in 1931 and is headquartered in Stuttgart, Germany.</t>
  </si>
  <si>
    <t>Climate Tech, Industrials, Manufacturing</t>
  </si>
  <si>
    <t>car manufacturer, climate tech company, heavy vehicle, motor parts, personal car, sports car, urban air mobility</t>
  </si>
  <si>
    <t>www.porsche.com</t>
  </si>
  <si>
    <t>2011: 8754, 2012: 10045, 2015: 10001, 2016: 26200, 2018: 32325, 2019: 32000, 2020: 36000, 2021: 36000</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</si>
  <si>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</si>
  <si>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158420-53P</t>
  </si>
  <si>
    <t>Oliver Blume</t>
  </si>
  <si>
    <t>oliver.blume@porsche.de</t>
  </si>
  <si>
    <t>+49 (0)71 1911 0</t>
  </si>
  <si>
    <t>Stuttgart, Germany</t>
  </si>
  <si>
    <t>Porscheplatz 1</t>
  </si>
  <si>
    <t>Stuttgart</t>
  </si>
  <si>
    <t>70435</t>
  </si>
  <si>
    <t>+49 (0)71 1911 2577 7</t>
  </si>
  <si>
    <t>info@porsche.de</t>
  </si>
  <si>
    <t>The company was acquired by Volkswagen (ETR: VOW) for EUR 4.5 billion on August 1, 2012.</t>
  </si>
  <si>
    <t>Porsche Automobil Holding</t>
  </si>
  <si>
    <t>Porsche Automobil Holding(www.porsche-se.com)</t>
  </si>
  <si>
    <t>Anderson Economic Group(Consulting), ASAP+(Consulting), BerlinerStrategen(Advisor: General), EY(Auditor), FisherBroyles(Legal Advisor), Matter Communications(Advisor: General), Mediobanca(Underwriter), S&amp;F Consultants(Consulting), Simon-Kucher &amp; Partners(Consulting)</t>
  </si>
  <si>
    <t>Mediobanca(Underwriter)</t>
  </si>
  <si>
    <t>41230-18</t>
  </si>
  <si>
    <t>Brocade Communication Systems</t>
  </si>
  <si>
    <t>Brocade</t>
  </si>
  <si>
    <t>Brocade Communication Systems, Inc.</t>
  </si>
  <si>
    <t>Teles, ZTE, InnoLight, Pluribus Networks, Ruckus Wireless, Chelsio Communications, Arris International, Barefoot Networks, CommScope, Source Photonics, Nokia Networks, Silver Peak, Cumulus, Harris Rf Communications, Netronome, Coriant, Solarflare, Emulex, Nokia, Qualcomm, Cisco Systems, Cavium, ColorChip, Tegile, Broadcom, Nvidia, Inphi, Aurrion, Ingram Micro</t>
  </si>
  <si>
    <t>Brocade Communication Systems was a developer of networking technology designed to provide future-proofed alternatives for consolidation, virtualization, and cloud computing. The company's technology offered storage networking, data centre, and ethernet fabric routing, software networking, and campus networking, enabling customers to build and grow successful businesses in a constantly changing environment. On November 17, 2017, the firm was acquired by Broadcom.</t>
  </si>
  <si>
    <t>cloud computing system, ethernet networking, fibre channel networking, networking equipment, virtual traffic manager</t>
  </si>
  <si>
    <t>www.brocade.com</t>
  </si>
  <si>
    <t>1998: 123, 1999: 182, 2000: 606, 2001: 1066, 2002: 1332, 2003: 1230, 2004: 1038, 2005: 1160, 2006: 1440, 2007: 2368, 2008: 2834, 2009: 4070, 2010: 4651, 2011: 4546, 2012: 4536, 2013: 4143, 2014: 4161, 2015: 4640, 2016: 5960, 2017: 5500, 2018: 6000</t>
  </si>
  <si>
    <t>130 Holger Way</t>
  </si>
  <si>
    <t>The company (NASDAQ : BRCD) was acquired by Broadcom for $5.5 billion on November 17, 2017. The acquirer also assumed liabilities of about $400 million. The acquisition will strengthen Brocade's ability to pursue market opportunities around 5G mobile services, Internet of Things (IoT), Smart Cities, OpenGtm technology for in-building wireless, and LTE/Wi-Fi convergence. The company is no longer actively tracked by PitchBook.</t>
  </si>
  <si>
    <t>Bay Partners, Crosspoint Venture Partners, Dell Ventures, Entrepreneurs Fund, Globespan Capital Partners, HighBAR Ventures, Lightspeed Venture Partners, Mohr Davidow Ventures, Norwest Venture Partners, Opus Capital, Soda Rock Partners, VKRM, Weiss Peck &amp; Greer, Western Technology Investment</t>
  </si>
  <si>
    <t>Bain Capital, Kohlberg Kravis Roberts, Silver Lake, The Blackstone Group, TPG, Warburg Pincus</t>
  </si>
  <si>
    <t>Bay Partners(www.baypartners.com), Crosspoint Venture Partners(www.cpvp.com), Dell Ventures(www.dellventures.com), Entrepreneurs Fund(www.entrepreneursfund.com), Globespan Capital Partners(www.globespancapital.com), HighBAR Ventures(www.highbarventures.com), Lightspeed Venture Partners(www.lsvp.com), Mohr Davidow Ventures(www.mdv.com), Norwest Venture Partners(www.nvp.com), Opus Capital(www.opuscapitalventures.com), Soda Rock Partners(www.sodarockpartners.com), VKRM(www.vkrm.com), Western Technology Investment(www.westerntech.com)</t>
  </si>
  <si>
    <t>Bain Capital(www.baincapital.com), Kohlberg Kravis Roberts(www.kkr.com), Silver Lake(www.silverlake.com), The Blackstone Group(www.blackstone.com), TPG(www.tpg.com), Warburg Pincus(www.warburgpincus.com)</t>
  </si>
  <si>
    <t>GTK Partners(Advisor: General), Moore Stephens International(Accounting), ON Partners(Consulting), Silicon Legal Strategy(Legal Advisor), Site Selection Group(Advisor: General), The Millard Group (Connecticut)(Consulting), Think &amp; Grow(Consulting), Wells Fargo(Debt Financing)</t>
  </si>
  <si>
    <t>Allen &amp; Overy(Legal Advisor), Andersen Global(Accounting), Bank of America Merrill Lynch(Underwriter), Barclays Investment Bank(Advisor: General), BMO Financial Group(Debt Financing), Brad Peery Capital(Underwriter), BT Alex.Brown(Underwriter), Citigroup(Debt Financing), Credit Suisse(Debt Financing), Dain Rauscher Wessels(Underwriter), Deutsche Bank(Debt Financing), Edward Jones Investments(Underwriter), Evercore Group(Advisor: General), Friend &amp; Company(Underwriter), FS KKR Capital Corp. II(Debt Financing), Morgan Keegan(Underwriter), Morgan Stanley(Underwriter), Needham &amp; Company(Underwriter), Qatalyst Partners(Advisor: General), Robertson Stephens (Out of Business in 2017)(Underwriter), Soundview Technology Group(Underwriter), U.S. Bancorp(Underwriter), Western Technology Investment(Debt Financing), Wilson Sonsini Goodrich &amp; Rosati(Legal Advisor)</t>
  </si>
  <si>
    <t>11432-35</t>
  </si>
  <si>
    <t>Cabela's</t>
  </si>
  <si>
    <t>Cabela's, Inc.</t>
  </si>
  <si>
    <t>Gander Mountain, Bass Pro Shops, Academy Sports + Outdoors, Big 5 Sporting Goods, Dunham's Sports, Sports Authority, West Marine, Modell's Sporting Goods, The Finish Line</t>
  </si>
  <si>
    <t>Marketer and retailer of outdoor merchandising products. The company is a direct marketer and specialty retailer of hunting, fishing, boating, camping, shooting and related outdoor recreation merchandise. It offers its products through stores, catalogs and e-commerce sites.</t>
  </si>
  <si>
    <t>Catalog Retail, General Merchandise Stores, Specialty Retail*</t>
  </si>
  <si>
    <t>hunting &amp; fishing, outdoor merchandise, recreation merchandise</t>
  </si>
  <si>
    <t>www.cabelas.com</t>
  </si>
  <si>
    <t>2003: 6800, 2004: 7830, 2005: 9800, 2006: 11700, 2007: 15000, 2008: 14700, 2010: 13300, 2011: 14800, 2012: 15200, 2013: 16400, 2014: 19300, 2016: 19700, 2017: 19000</t>
  </si>
  <si>
    <t>Bass Pro Shops</t>
  </si>
  <si>
    <t>73336-42P</t>
  </si>
  <si>
    <t>Mary Cabela</t>
  </si>
  <si>
    <t>mary.cabela@cabelas.com</t>
  </si>
  <si>
    <t>+1 (308) 254-5505</t>
  </si>
  <si>
    <t>Sidney, NE</t>
  </si>
  <si>
    <t>One Cabela Drive</t>
  </si>
  <si>
    <t>Sidney</t>
  </si>
  <si>
    <t>Nebraska</t>
  </si>
  <si>
    <t>69160</t>
  </si>
  <si>
    <t>investorrelationsdepartment@cabelas.com</t>
  </si>
  <si>
    <t>The company (NYSE: CAB) was acquired by Bass Pro Shops, via its financial sponsors The Goldman Sachs Group and Pamplona Capital Management, through a $5.5 billion public-to-private LBO on July 5, 2017. The combined companies will provide experience for customers, increased opportunities for team members and support for conservation activities. Goldman Sachs and Pamplona are providing financing to facilitate the transaction.</t>
  </si>
  <si>
    <t>CCMP Capital Advisors, Elliott Management, McCarthy Capital, Pamlico Capital</t>
  </si>
  <si>
    <t>Pamplona Capital Management, The Goldman Sachs Group</t>
  </si>
  <si>
    <t>CCMP Capital Advisors(www.ccmpcapital.com), Elliott Management(www.elliottmgmt.com), McCarthy Capital(www.mccarthycapital.com), Pamlico Capital(www.pamlicocapital.com)</t>
  </si>
  <si>
    <t>Pamplona Capital Management(www.pamplonafunds.com), The Goldman Sachs Group(www.goldmansachs.com)</t>
  </si>
  <si>
    <t>FBN Securities(Advisor: General), Gregory FCA Communications(Advisor: Communications), Integrity Square(Advisor: General), McMillanDoolittle(Advisor: General), Reitler Kailas &amp; Rosenblatt(Legal Advisor), Rendersi(Advisor: General), Site Selection Group(Advisor: General)</t>
  </si>
  <si>
    <t>Bank of America(Debt Financing), Benjamin F. Edwards &amp; Company(Advisor: General), Borden Ladner Gervais(Legal Advisor), Citigroup Global Markets(Debt Financing), Credit Suisse(Lead Manager or Arranger), Deloitte(Accounting), Edward Jones Investments(Underwriter), Guggenheim Partners(Advisor: General), J.P. Morgan(Lead Manager or Arranger), Kirkland &amp; Ellis(Legal Advisor), Koley Jessen(Legal Advisor), Oppenheimer &amp; Company(Underwriter), Pamplona Capital Management(Debt Financing), Piper Sandler(Underwriter), RBC Capital Markets(Debt Financing), Sidley Austin(Legal Advisor), Skadden, Arps, Slate, Meagher &amp; Flom(Legal Advisor), SPP Capital Partners(Advisor: General), Stephens(Underwriter), Sullivan &amp; Cromwell(Legal Advisor), The Goldman Sachs Group(Advisor: General), UBS Group(Debt Financing), Wachovia Bank(Underwriter), Wells Fargo(Debt Financing), Wells Fargo Advisors(Underwriter), Wells Fargo Securities(Debt Financing), William Blair &amp; Company(Underwriter)</t>
  </si>
  <si>
    <t>Loan - $5.00B (Term Loan); Loan (Mezzanine)</t>
  </si>
  <si>
    <t>14624-20</t>
  </si>
  <si>
    <t>Newfield Exploration</t>
  </si>
  <si>
    <t>Newfield</t>
  </si>
  <si>
    <t>Newfield Exploration Company</t>
  </si>
  <si>
    <t>Callon Petroleum Company, Ascent Resources (US), Contango Oil &amp; Gas, Jones Energy, Penn Virginia, Three Rivers Operating Company III, Jagged Peak Energy, Peregrine Oil &amp; Gas, Anadarko Petroleum, EXCO Resources, Chaparral Energy, PHX Minerals, Stone Energy, Oasis Petroleum, Arc Resources, Samson Resources II, Abraxas Petroleum, Chevron, Suncor Energy, Energean, Carrizo Oil and Gas, Royal Dutch Shell, Whiting Petroleum, Amplify Energy, Lilis Energy, EOG Resources, Apache, Givot Olam Oil Exploration, Concho Resources, Mayan Energy, Chesapeake Energy, Cimarex Energy, Devon Energy, XTO Energy, Cabot Oil &amp; Gas, Parsley Energy, Tengasco, Nine Point Energy, Noble Energy, Pioneer Natural Resources, White Star Petroleum, Occidental Petroleum, Enerplus, Battalion Oil, Crescent Point Energy, Amplify Energy (Acquired 2019), Equinor, ConocoPhillips, Marathon Oil, Fieldpoint Petroleum, Texas American Resources</t>
  </si>
  <si>
    <t>Newfield Exploration Company is an independent exploration and production company that participates in exploration, development, and production of crude oil, natural gas, and natural gas liquids. The company operates with a portfolio of onshore liquids-rich resource plays. Newfield Exploration has extensive drilling inventories in the United States' drilling areas. The majority of Newfield's operations are located in the Anadarko and Arkoma basins of Oklahoma, Willingston basin of North Dakota and Uinta basin of Utah. It also has oil producing assets offshore China. The majority of Newfield's oil, natural gas, and natural gas liquids are sold to a variety of purchasers under short-term contracts.</t>
  </si>
  <si>
    <t>crude oil exploration, natural gas liquid assets, oil and gas exploration, oil exploration</t>
  </si>
  <si>
    <t>www.newfield.com</t>
  </si>
  <si>
    <t>1989: 26, 1992: 42, 1993: 47, 1994: 50, 1995: 52, 1996: 66, 1997: 86, 1998: 96, 1999: 227, 2000: 348, 2001: 410, 2002: 488, 2003: 375, 2004: 640, 2005: 762, 2006: 871, 2007: 927, 2008: 1054, 2009: 1148, 2010: 1352, 2011: 1643, 2012: 1760, 2013: 1548, 2014: 1331, 2015: 1111, 2016: 994, 2017: 1010</t>
  </si>
  <si>
    <t>50769-28P</t>
  </si>
  <si>
    <t>Lee Boothby</t>
  </si>
  <si>
    <t>lee.boothby@newfield.com</t>
  </si>
  <si>
    <t>+1 (281) 210-5100</t>
  </si>
  <si>
    <t>4 Waterway Square Place</t>
  </si>
  <si>
    <t>+1 (281) 210-5101</t>
  </si>
  <si>
    <t>The company (NYSE: NFX) was acquired by Encana (TSE: ECA) for $5.5 billion on February 12, 2019. In addition, Encana also assumed $2.2 billion of the company's net debt. Encana will proceed with its previously announced $1.25 billion share buyback in 2019, following receipt of regulatory approvals and increase its dividend by 25 percent. The remaining 36.5% stake will be held by shareholders of the company. The company is no longer actively tracked by PitchBook.</t>
  </si>
  <si>
    <t>Charles Duncan, Citadel (Hedge Fund), Dartmouth College Endowment, Duke University Endowment, Millennium Management, SouthernSun Asset Management, University of Texas Investment Management Company, Warburg Pincus, Yale University</t>
  </si>
  <si>
    <t>Citadel (Hedge Fund)(www.citadel.com), Dartmouth College Endowment(home.dartmouth.edu), Duke University Endowment(www.duke.edu), Millennium Management(www.mlp.com), SouthernSun Asset Management(www.southernsunam.com), University of Texas Investment Management Company(www.utimco.org), Warburg Pincus(www.warburgpincus.com), Yale University(www.yale.edu)</t>
  </si>
  <si>
    <t>Entoro Capital(Advisor: General), Seaport Global(Advisor: General)</t>
  </si>
  <si>
    <t>Bank of America(Debt Financing), BMO Harris Bank(Debt Financing), Canadian Imperial Bank of Commerce(Debt Financing), Citigroup(Debt Financing), Credit Suisse(Debt Financing), Fifth Third Bank(Debt Financing), J.P. Morgan(Debt Financing), JPMorgan Chase(Debt Financing), Kahn Swick &amp; Foti(Legal Advisor), Kirkland &amp; Ellis(Legal Advisor), MUFG Bank(Debt Financing), Rigrodsky &amp; Long(Legal Advisor), Royal Bank of Canada(Debt Financing), Scotiabank(Debt Financing), Société Générale(Debt Financing), Sumitomo Mitsui Banking(Debt Financing), SunTrust Bank(Debt Financing), The Goldman Sachs Group(Debt Financing), U.S. Bancorp(Debt Financing), Wachtell, Lipton, Rosen &amp; Katz(Legal Advisor), Wells Fargo(Debt Financing)</t>
  </si>
  <si>
    <t>178951-78</t>
  </si>
  <si>
    <t>Novartis (Gerber baby-food business)</t>
  </si>
  <si>
    <t>Gerber</t>
  </si>
  <si>
    <t>Alete</t>
  </si>
  <si>
    <t>Provider of baby food products in United States. The business' baby food products include nutritional baby food, cereals, beverages and snacks.</t>
  </si>
  <si>
    <t>baby food, baby food product, cereals</t>
  </si>
  <si>
    <t>www.gerber.com</t>
  </si>
  <si>
    <t>2007: 4500</t>
  </si>
  <si>
    <t>Fremont, MI</t>
  </si>
  <si>
    <t>Fremont</t>
  </si>
  <si>
    <t>The business of Novartis (VTX: NOVN) was acquired by Nestle (VTX: NESN) for $5.5 billion on September 3, 2007. The deal would give Nestle's growing nutrition division annual sales of around 10 billion Swiss francs. The business is no longer actively tracked by PitchBook.</t>
  </si>
  <si>
    <t>BrandStar(Advisor: Communications)</t>
  </si>
  <si>
    <t>41309-56</t>
  </si>
  <si>
    <t>Southern Union</t>
  </si>
  <si>
    <t>Southern Union Co.</t>
  </si>
  <si>
    <t>Distributor of natural gas intended to transport and store natural gas. The company's natural gas distribution is primarily engaged in the interstate transportation and storage of natural gas from gas producing areas in Texas, Oklahoma, Colorado, the Gulf of Mexico and the Gulf Coast to markets throughout the Midwest and from the Gulf Coast to Florida enabling customers avail natural gas and liquefied natural gas (LNG).</t>
  </si>
  <si>
    <t>Energy Storage, Energy Traders and Brokers, Energy Transportation*</t>
  </si>
  <si>
    <t>gas storage, interstate transportation, liquefied natural gas, natural gas, natural gas storage, natural gas transportation, produce area, storage</t>
  </si>
  <si>
    <t>1990: 1028, 1991: 968, 1992: 900, 1993: 1923, 1994: 1811, 1995: 1743, 1996: 1623, 1997: 1561, 1998: 1586, 1999: 1563, 2000: 2296, 2001: 3105, 2002: 2662, 2003: 3023, 2004: 3012, 2005: 2888, 2006: 2312, 2007: 2337, 2008: 2413, 2009: 2446, 2010: 2437, 2011: 2437, 2012: 2256</t>
  </si>
  <si>
    <t>94537-63P</t>
  </si>
  <si>
    <t>George Lindemann</t>
  </si>
  <si>
    <t>+1 (713) 989-2000</t>
  </si>
  <si>
    <t>5051 Westheimer Road</t>
  </si>
  <si>
    <t>77056-5622</t>
  </si>
  <si>
    <t>The company was acquired by Energy Transfer Equity (NYSE: ETE) for $5.5 billion on March 26, 2012. The company is no longer actively tracked by PitchBook.</t>
  </si>
  <si>
    <t>The Williams Companies(co.williams.com)</t>
  </si>
  <si>
    <t>Credit Suisse Securities (USA)(Advisor: General), Evercore Group(Advisor: General), Potter Anderson &amp; Corroon(Legal Advisor), Vinson &amp; Elkins(Legal Advisor)</t>
  </si>
  <si>
    <t>56911-15</t>
  </si>
  <si>
    <t>Standard Bank Group (JSE: SBK)</t>
  </si>
  <si>
    <t>Standard Bank of British South Africa</t>
  </si>
  <si>
    <t>SBG</t>
  </si>
  <si>
    <t>Standard Bank Group, Ltd.</t>
  </si>
  <si>
    <t>Nedbank, Capitec Bank, Mercantile Bank Holdings, ABSA Bank, First National Bank (El Paso)</t>
  </si>
  <si>
    <t>Standard Bank Group Ltd provides banking and other financial services for its customers in roughly 20 countries in sub-Saharan Africa. Its two biggest business segments are personal and business banking and corporate and investment banking. The company earns most of its income from the personal and business banking segment, where it offers credit cards, mortgages, vehicle loans, insurance, and other lending and transactional products. The company generates nearly all its income in Africa, with most coming from South Africa.</t>
  </si>
  <si>
    <t>banking services, borrowing services, financial services, lending service, wealth management</t>
  </si>
  <si>
    <t>www.standardbank.com</t>
  </si>
  <si>
    <t>2004: 39080, 2008: 45315, 2009: 51411, 2010: 53351, 2011: 52127, 2012: 49017, 2013: 48808, 2014: 49259, 2015: 54361, 2016: 54767, 2017: 54558, 2018: 53178, 2019: 50691, 2020: 50707</t>
  </si>
  <si>
    <t>JSE</t>
  </si>
  <si>
    <t>SBK</t>
  </si>
  <si>
    <t>148551-94P</t>
  </si>
  <si>
    <t>Arno Daehnke</t>
  </si>
  <si>
    <t>Group Financial Director</t>
  </si>
  <si>
    <t>arno.daehnke@standardbank.com</t>
  </si>
  <si>
    <t>+234 (0)1 280 5595</t>
  </si>
  <si>
    <t>Off Sanusi Fanfuwa Street Victoria Island</t>
  </si>
  <si>
    <t>assetmanagement@stanbicibtc.com</t>
  </si>
  <si>
    <t>The company (JSE:SBK) received $5.5 billion of development capital from Industrial and Commercial Bank of China in 2007 through a private placement.</t>
  </si>
  <si>
    <t>Industrial and Commercial Bank of China</t>
  </si>
  <si>
    <t>Standard Chartered</t>
  </si>
  <si>
    <t>Industrial and Commercial Bank of China(www.icbc.com.cn)</t>
  </si>
  <si>
    <t>Standard Chartered(www.sc.com)</t>
  </si>
  <si>
    <t>BAC Romania(Advisor: General), Thanathip &amp; Partners(Legal Advisor), Thinking Dimensions Global(Consulting)</t>
  </si>
  <si>
    <t>11950-93</t>
  </si>
  <si>
    <t>Starz Entertainment</t>
  </si>
  <si>
    <t>Encore Media Group, Starz Entertainment Group, Starz Encore Group, Liberty Starz</t>
  </si>
  <si>
    <t>Starz Cable network</t>
  </si>
  <si>
    <t>Starz Entertainment LLC</t>
  </si>
  <si>
    <t>Hulu, A&amp;E Television Networks, 21st Century Fox, DirecTV, Zattoo International, Corus Entertainment, Home Box Office, Sling TV, Discovery, Amazon Studios, Silver Chalice Ventures, In Demand, Newcap Radio, Nordija, Endeavor Streaming, Disney/ABC Television Group, HOOQ, Orbit Showtime Network, Showtime Networks, Turner Broadcasting System, TiVo, NBCUniversal, Pandora Media, FuboTV, Entertainment One, Bell Media (Canada), Viacom, KlowdTV, Fox Family Worldwide, AMC Networks, The Walt Disney Company, FilmStruck, ViacomCBS, VUDU, Fandor</t>
  </si>
  <si>
    <t>Provider of media and entertainment services. The company provides premium subscription video programming for pay-TV networks, produces and distributes content for worldwide audiences, and offers on-demand, and online services to multichannel video distributors including cable operators, satellite television providers, telecommunications companies, and other online and digital platforms.</t>
  </si>
  <si>
    <t>content producer, multichannel video distributor, on demand tv, pay tv broadcasting, pay tv network, video content producer</t>
  </si>
  <si>
    <t>www.starz.com</t>
  </si>
  <si>
    <t>2009: 23073, 2010: 24073, 2011: 2177, 2012: 926, 2013: 959, 2014: 955, 2015: 772</t>
  </si>
  <si>
    <t>LionsGate Entertainment</t>
  </si>
  <si>
    <t>80119-45P</t>
  </si>
  <si>
    <t>Scott Macdonald</t>
  </si>
  <si>
    <t>scott.macdonald@starz.com</t>
  </si>
  <si>
    <t>+1 (855) 247-9175</t>
  </si>
  <si>
    <t>2950 Hollywood Way</t>
  </si>
  <si>
    <t>Floor 3</t>
  </si>
  <si>
    <t>91505</t>
  </si>
  <si>
    <t>The company, a subsidiary of LionsGate Entertainment (NYSE: LGF.A), is rumored to be in talks regarding a potential acquisition by CBS Corporation (NYSE: CBS) for $5.5 billion on an undisclosed date. Subsequently, the deal was cancelled.</t>
  </si>
  <si>
    <t>Liberty Ventures Group</t>
  </si>
  <si>
    <t>21st Century Fox(www.21cf.com)</t>
  </si>
  <si>
    <t>Salem Partners(Advisor: General)</t>
  </si>
  <si>
    <t>Baker Botts(Legal Advisor), Bank of America Merrill Lynch(Advisor: General), Deutsche Bank(Advisor: General), JPMorgan Chase(Advisor: General), Latham &amp; Watkins(Legal Advisor), LionTree Advisors(Advisor: General), The Raine Group(Advisor: General), Weil, Gotshal &amp; Manges(Legal Advisor)</t>
  </si>
  <si>
    <t>26322-31</t>
  </si>
  <si>
    <t>Sunoco (acquired 2012)</t>
  </si>
  <si>
    <t>Sun Company</t>
  </si>
  <si>
    <t>Sunoco, Inc.</t>
  </si>
  <si>
    <t>Distributor of refined petroleum. The company operates as a petroleum refiner and marketer and chemicals manufacturer with interests in logistics and coke making. The company's retail marketing segment engages in the retail sale of gasoline and middle distillates and operates of convenience stores under APlus brand name.</t>
  </si>
  <si>
    <t>Distributors/Wholesale, Energy Refining*, Other Energy Services</t>
  </si>
  <si>
    <t>CleanTech, Industrials, Manufacturing, Oil &amp; Gas, TMT</t>
  </si>
  <si>
    <t>energy service, petroleum product</t>
  </si>
  <si>
    <t>1989: 21608, 1990: 20926, 1991: 17000, 1992: 17000, 1993: 14500, 1994: 14500, 1995: 12000, 1996: 12150, 1997: 10900, 1998: 11100, 1999: 11300, 2000: 12300, 2001: 14200, 2002: 14000, 2003: 14900, 2004: 14200, 2005: 13800, 2006: 13800, 2007: 14200, 2008: 13700, 2009: 11200, 2010: 10200, 2011: 10500, 2014: 2176</t>
  </si>
  <si>
    <t>84904-03P</t>
  </si>
  <si>
    <t>Brian MacDonald</t>
  </si>
  <si>
    <t>bmacdonald@suncor.com</t>
  </si>
  <si>
    <t>+1 (403) 296-8000</t>
  </si>
  <si>
    <t>1818 Market Street</t>
  </si>
  <si>
    <t>19103</t>
  </si>
  <si>
    <t>+1 (215) 977-3000</t>
  </si>
  <si>
    <t>+1 (215) 977-3409</t>
  </si>
  <si>
    <t>sunocoir@sunocoinc.com</t>
  </si>
  <si>
    <t>The company was acquired by Energy Transfer Partners (NYSE: ETP) for $5.5 billion on October 5, 2012. The company is no longer actively tracked by PitchBook.</t>
  </si>
  <si>
    <t>Credit Suisse(Advisor: General), Innisfree M&amp;A(Legal Advisor), Morrow &amp; Company(Advisor: General), Wachtell, Lipton, Rosen &amp; Katz(Legal Advisor)</t>
  </si>
  <si>
    <t>10334-08</t>
  </si>
  <si>
    <t>Texas Capital Bank (NAS: TCBI)</t>
  </si>
  <si>
    <t>TCBI</t>
  </si>
  <si>
    <t>Texas Capital Bancshares, Inc.</t>
  </si>
  <si>
    <t>Prosperity Bancshares, Guaranty Bank &amp; Trust, Commerce Bank, Preferred Bank, East West Bancorp, Bank OZK, State Street, M&amp;T Bank, First Hawaiian Bank, First Republic Bank, Associated Bank, People's United Bank, First Midwest Bank, Citizens Bank, Cathay Bank, Guaranty Bank &amp; Trust Company, First Busey, Georgia Heritage Bank, Avenue Financial Holdings, Cadence Bank, Hanmi Bank, (CenterState Bank) Downtown Fort Pierce Branch, Western Alliance Bank, Banco Popular</t>
  </si>
  <si>
    <t>Texas Capital Bancshares Inc is a more than $10 billion asset bank that caters to middle-market companies and wealthy people in the Lone Star State. Business loans are the biggest portfolio in the loan book, with almost 60% share, followed by commercial real estate at 30%. Construction, consumer, and leasing credits make up the balance. The bank operates in Texas' main metropolitan areas, like Austin, Dallas, Fort Worth, Houston, and San Antonio.</t>
  </si>
  <si>
    <t>account, bank, banking, checking, deposit, financial services, loans, money market, savings</t>
  </si>
  <si>
    <t>www.texascapitalbank.com</t>
  </si>
  <si>
    <t>2002: 215, 2003: 305, 2004: 510, 2005: 709, 2006: 503, 2007: 510, 2008: 547, 2009: 631, 2010: 699, 2011: 786, 2012: 881, 2013: 1016, 2014: 1142, 2015: 1329, 2016: 1442, 2017: 1564, 2018: 1641, 2019: 1738, 2020: 1619</t>
  </si>
  <si>
    <t>57516-13P</t>
  </si>
  <si>
    <t>Julie Anderson</t>
  </si>
  <si>
    <t>julie.anderson@texascapitalbank.com</t>
  </si>
  <si>
    <t>+1 (214) 932-6600</t>
  </si>
  <si>
    <t>2000 McKinney Avenue</t>
  </si>
  <si>
    <t>+1 (214) 932-6682</t>
  </si>
  <si>
    <t>info@texascapitalbank.com</t>
  </si>
  <si>
    <t>The company had reached a definitive agreement to be acquired by Independent Bank Group (NAS: IBTX) for $5.5 billion on December 9, 2019. The acquisition would have significantly diversified Independent Bank's customer base, business lines and loan concentrations. Subsequently, the deal was canceled on May 26, 2020. Previously, the company went public on the NASDAQ National Market under the ticker symbol 'TCBI' on August 13, 2003. It sold 6,000,000 shares at the issuing price of $11.</t>
  </si>
  <si>
    <t>CIC Partners, Hunt Capital Group, Texas Next Capital</t>
  </si>
  <si>
    <t>Independent Financial</t>
  </si>
  <si>
    <t>CIC Partners(www.cicpartners.com), Texas Next Capital(www.texasnextcapital.com)</t>
  </si>
  <si>
    <t>Independent Financial(www.independent-bank.com)</t>
  </si>
  <si>
    <t>EY(Auditor), Periculum Capital(Advisor: General), Raymond James Financial(Underwriter), Sandler O'Neill + Partners(Debt Financing), Saxony Partners(Consulting)</t>
  </si>
  <si>
    <t>Alston &amp; Bird(Legal Advisor), Jefferies Financial Group(Advisor: General), Jefferies Group(Advisor: General), Lehman Brothers(Underwriter), Piper Sandler(Underwriter), Sullivan &amp; Cromwell(Legal Advisor), SunTrust Robinson Humphrey(Underwriter), The Goldman Sachs Group(Advisor: General), Willkie Farr &amp; Gallagher(Legal Advisor)</t>
  </si>
  <si>
    <t>42964-30</t>
  </si>
  <si>
    <t>Tinkoff Bank</t>
  </si>
  <si>
    <t>CJSC Khimmashbank, Tinkoff Credit Systems, Tinkoff Credit Systems Bank</t>
  </si>
  <si>
    <t>Tinkoff</t>
  </si>
  <si>
    <t>Monzo, Starling Bank, N26, Revolut</t>
  </si>
  <si>
    <t>Provider of banking and online retail financial services in Russia. The company's financial ecosystem offers a full range of financial and lifestyle services for individuals and businesses via its mobile app and web interface. Its services include savings, investments, mortgage platforms, family banking, insurance, loan, travel and real estate services suited in accordance to clients needs.</t>
  </si>
  <si>
    <t>Financial Software, National Banks*</t>
  </si>
  <si>
    <t>FinTech, InsurTech</t>
  </si>
  <si>
    <t>brokerage planning, credit card, digital bank operator, digital banking, digital banking system, family banking, fintech, neo bank, online banking, saving and investing, vehicle insurance</t>
  </si>
  <si>
    <t>www.tinkoff.ru</t>
  </si>
  <si>
    <t>44023-96P</t>
  </si>
  <si>
    <t>Sergei Pirogov</t>
  </si>
  <si>
    <t>Director of Corporate Finance &amp; Member of the Board of Directors</t>
  </si>
  <si>
    <t>s.pirogov@tcsbank.ru</t>
  </si>
  <si>
    <t>+7 (8)495 648 1000</t>
  </si>
  <si>
    <t>1st Volokolamskiy proezd</t>
  </si>
  <si>
    <t>10, Street 1</t>
  </si>
  <si>
    <t>123060</t>
  </si>
  <si>
    <t>+7 (8)495 645 5909</t>
  </si>
  <si>
    <t>postmaster@tinkoff.ru</t>
  </si>
  <si>
    <t>The company, a subsidiary of TCS Group Holding, was in talks to be acquired for $5.48 billion on September 22, 2020. Subsequently, the deal was canceled in October. Previously, Vostok Emerging Finance sold a 3.6% stake in the company to an undisclosed buyer for $108 million on February 5, 2019.</t>
  </si>
  <si>
    <t>TCS Group Holding</t>
  </si>
  <si>
    <t>Baring Vostok Capital Partners, Egidaco Investments, Horizon Capital Kiev, The Goldman Sachs Group, VEF, VNV Global</t>
  </si>
  <si>
    <t>Baring Vostok Capital Partners(www.baring-vostok.com), Egidaco Investments(www.eginvestments.net), Horizon Capital Kiev(www.horizoncapital.com.ua), The Goldman Sachs Group(www.goldmansachs.com), VNV Global(www.vnv.global)</t>
  </si>
  <si>
    <t>JP Morgan Cazenove(Advisor: General), Renaissance Financial Holdings(Underwriter)</t>
  </si>
  <si>
    <t>228849-76</t>
  </si>
  <si>
    <t>Lloyds Banking (Irish residential mortgage portfolio)</t>
  </si>
  <si>
    <t>A residential mortgage portfolio in Ireland.</t>
  </si>
  <si>
    <t>mortgage assets, mortgage portfolio, residential mortgage, residential mortgage assets</t>
  </si>
  <si>
    <t>The Irish residential mortgage portfolio of Lloyds Banking Group (LON: LLOY) was acquired by Barclays Bank (LON: BARC) for GBP 4 billion on May 18, 2018. The sale is in line with the seller's strategy of becoming a low risk, UK focused bank and proceeds will be used for general corporate purposes. The assets are no longer actively tracked by PitchBook.</t>
  </si>
  <si>
    <t>Lloyds Banking Group(www.lloydsbankinggroup.com)</t>
  </si>
  <si>
    <t>14184-73</t>
  </si>
  <si>
    <t>Stuyvesant Town</t>
  </si>
  <si>
    <t>PCVST, StuyTown</t>
  </si>
  <si>
    <t>A private residential development located in New York, United States. The property has a combined total of over 11,200 apartments in 56 residential buildings across 80 acres of land. It offers expansive living spaces with large open lawn, water fountain and amenity spaces.</t>
  </si>
  <si>
    <t>live music and movies, onsite security, rental community, residential property, residential property owner</t>
  </si>
  <si>
    <t>www.stuytown.com</t>
  </si>
  <si>
    <t>2014: 501</t>
  </si>
  <si>
    <t>67862-53P</t>
  </si>
  <si>
    <t>Frank Biondi</t>
  </si>
  <si>
    <t>Chief Engineer</t>
  </si>
  <si>
    <t>frank.biondi@stuytown.com</t>
  </si>
  <si>
    <t>+1 (833) 203-6960</t>
  </si>
  <si>
    <t>252 First Avenue</t>
  </si>
  <si>
    <t>10009</t>
  </si>
  <si>
    <t>mciinfo@stuytown.com</t>
  </si>
  <si>
    <t>The residential property was acquired by The Blackstone Group and Ivanhoé Cambridge through a $5.45 billion LBO on December 18, 2015.</t>
  </si>
  <si>
    <t>Ivanhoé Cambridge, The Blackstone Group</t>
  </si>
  <si>
    <t>BlackRock Realty Advisors, CW Capital, MetLife, Tishman Speyer Properties</t>
  </si>
  <si>
    <t>Ivanhoé Cambridge(www.ivanhoecambridge.com), The Blackstone Group(www.blackstone.com)</t>
  </si>
  <si>
    <t>CW Capital(www.cwcapital.com), MetLife(www.metlife.com), Tishman Speyer Properties(www.tishmanspeyer.com)</t>
  </si>
  <si>
    <t>Bank of America Merrill Lynch(Advisor: General), CBRE Group(Advisor: General), Fried, Frank, Harris, Shriver &amp; Jacobson(Legal Advisor), Wells Fargo Advisors(Advisor: General)</t>
  </si>
  <si>
    <t>Eastdil Secured(Advisor: General), Moelis &amp; Company(Advisor: General), Wells Fargo Technology, Media &amp; Telecom Group(Debt Financing)</t>
  </si>
  <si>
    <t>Loan - $2.70B</t>
  </si>
  <si>
    <t>52314-13</t>
  </si>
  <si>
    <t>WPX Energy</t>
  </si>
  <si>
    <t>Catalyst Midstream Partners, LLC, Catalyst Midstream Partners</t>
  </si>
  <si>
    <t>WPX</t>
  </si>
  <si>
    <t>WPX Energy, Inc.</t>
  </si>
  <si>
    <t>Laredo Petroleum, Diamondback Energy, EOG Resources, Concho Resources, Anadarko Petroleum, Occidental Petroleum, Devon Energy, Noble Energy, Apache, Parsley Energy, Total, Eni, Pioneer Natural Resources, Ovintiv, Range Resources, Royal Dutch Shell, ConocoPhillips, Suncor Energy, Repsol, Husky Energy, Imperial Oil, RSP Permian, Marathon Oil, Chesapeake Energy, Chevron, Valero Energy</t>
  </si>
  <si>
    <t>WPX Energy, based in Tulsa, Oklahoma, is an unconventional oil and gas producer with acreage in the Williston Basin (Bakken), the Permian Basin, and the Rockies. At the end of 2019, the company reported net proven reserves of 528 million barrels of oil equivalent. Net production averaged 167 thousand barrels of oil equivalent per day in 2019, at a ratio of 79% liquids and 21% natural gas.</t>
  </si>
  <si>
    <t>oil &amp; gas field, oil and gas energy, oil producer, oil producer company, oil production</t>
  </si>
  <si>
    <t>www.wpxenergy.com</t>
  </si>
  <si>
    <t>2012: 1200, 2013: 1200, 2014: 1100, 2015: 1040, 2016: 650, 2017: 650, 2018: 600, 2019: 590</t>
  </si>
  <si>
    <t>31566-25P</t>
  </si>
  <si>
    <t>Karl Kurz</t>
  </si>
  <si>
    <t>+1 (415) 978-2170</t>
  </si>
  <si>
    <t>3500 One Williams Center</t>
  </si>
  <si>
    <t>74172</t>
  </si>
  <si>
    <t>The company was acquired by Devon Energy (NYS: DVN) for $5.432 billion on January 7, 2021. Devon shareholders will own approximately 57 percent of the combined company and WPX shareholders will own approximately 43 percent of the combined company on a fully diluted basis. The company is no longer actively tracked by PitchBook.</t>
  </si>
  <si>
    <t>Alinda Capital Partners, The Williams Companies</t>
  </si>
  <si>
    <t>Alinda Capital Partners(www.alinda.com), The Williams Companies(co.williams.com)</t>
  </si>
  <si>
    <t>ABN AMRO Bank(Advisor: General), BBVA USA Bancshares(Advisor: General), BOK Financial Securities(Advisor: General), Capital One Securities(Advisor: General), CIBC Capital Markets(Advisor: General), Credit Agricole(Underwriter), Mitsubishi UFJ Financial Group(Advisor: General), PNC(Underwriter), Seaport Global(Advisor: General), TD Securities(Advisor: General)</t>
  </si>
  <si>
    <t>Barclays Investment Bank(Underwriter), Citigroup(Underwriter), Credit Suisse(Underwriter), Gibson, Dunn &amp; Crutcher(Legal Advisor), Howard Weil(Underwriter), Joele Frank(Advisor: Communications), Kirkland &amp; Ellis(Legal Advisor), Morgan Stanley(Underwriter), RBC Capital Markets(Underwriter), Robert W. Baird &amp; Co(Underwriter), Scotiabank Global Banking and Markets(Underwriter), The Goldman Sachs Group(Underwriter), UBS Group(Underwriter), Wells Fargo Securities(Underwriter)</t>
  </si>
  <si>
    <t>41570-56</t>
  </si>
  <si>
    <t>RAI</t>
  </si>
  <si>
    <t>Reynolds American, Inc.</t>
  </si>
  <si>
    <t>V2 Tobacco, Japan Tobacco International, Oliver Twist, Blu eCigs, International Vapor Group, Turning Point Brands, Philip Morris International, Liggett Vector Brands, Universal (Tobacco Company)</t>
  </si>
  <si>
    <t>Manufacturer of tobacco and smokeless products. The company's tobacco and smokeless products include cigarettes, snuff, E-cigarettes and other related products.</t>
  </si>
  <si>
    <t>cigarettes, e-cigarette, nicotine, tobacco product</t>
  </si>
  <si>
    <t>www.reynoldsamerican.com</t>
  </si>
  <si>
    <t>1998: 9000, 1999: 7900, 2000: 9100, 2001: 9300, 2002: 9300, 2003: 7000, 2004: 9300, 2005: 8200, 2006: 7800, 2007: 7300, 2008: 6900, 2009: 6550, 2010: 5750, 2011: 5450, 2012: 5050, 2013: 5290, 2014: 5400, 2015: 5700, 2016: 5550, 2017: 5200, 2018: 5500, 2020: 13000</t>
  </si>
  <si>
    <t>58709-89P</t>
  </si>
  <si>
    <t>Susan Cameron</t>
  </si>
  <si>
    <t>Executive Chairman</t>
  </si>
  <si>
    <t>susancameron@tupperware.com</t>
  </si>
  <si>
    <t>+1 (888) 689-2961</t>
  </si>
  <si>
    <t>401 North Main Street</t>
  </si>
  <si>
    <t>P.O. Box 2990</t>
  </si>
  <si>
    <t>The company was acquired by British American Tobacco (LON: BATS) for GBP 41.8 billion July 25, 2017. The company is no longer actively tracked by PitchBook.</t>
  </si>
  <si>
    <t>Mantica Ventures(Consulting)</t>
  </si>
  <si>
    <t>Davis Advisors(Advisor: General), J.P. Morgan(Advisor: General), Jones Day(Legal Advisor), Kilpatrick Townsend &amp; Stockton(Legal Advisor), Lazard Middle Market(Advisor: General), Mackenzie Partners(Advisor: General), Moore &amp; Van Allen(Legal Advisor), The Goldman Sachs Group(Advisor: General), Weil, Gotshal &amp; Manges(Legal Advisor)</t>
  </si>
  <si>
    <t>57895-84</t>
  </si>
  <si>
    <t>Booker Group</t>
  </si>
  <si>
    <t>Giant Topco Limited</t>
  </si>
  <si>
    <t>Booker</t>
  </si>
  <si>
    <t>Booker Group PLC</t>
  </si>
  <si>
    <t>Nash Finch, Piggly Wiggly (U.S.), Whole Foods Market, ALDI, Fred Meyer, C&amp;S Wholesale Grocers, Associated Grocers Of Florida, Farmer Brothers, Star Markets Company, Sobeys, CSM Bakery Solutions, Sprouts Farmers Market, Affiliated Foods, Bidvest Hospitality Supplies, The Chefs' Warehouse, The Fresh Market, BJ's Wholesale Club, Supervalu, United Natural Foods</t>
  </si>
  <si>
    <t>Operator of whole-sell stores intended for retail food products. The company's retail stores offer branded and private-label goods enabling customers including independent convenience stores, grocers, leisure outlets, pubs, and restaurants to purchase branded items under one roof.</t>
  </si>
  <si>
    <t>food retail, food retail chain, food wholesaler, grocery wholesaler, wholesale business</t>
  </si>
  <si>
    <t>www.bookergroup.com</t>
  </si>
  <si>
    <t>2002: 36, 2003: 57, 2004: 63, 2005: 61, 2006: 242, 2007: 256, 2008: 8405, 2009: 8329, 2010: 8741, 2011: 9063, 2012: 9375, 2017: 13000, 2018: 13000</t>
  </si>
  <si>
    <t>Wellingborough, United Kingdom</t>
  </si>
  <si>
    <t>Equity House</t>
  </si>
  <si>
    <t>Irthlingborough Road</t>
  </si>
  <si>
    <t>Wellingborough</t>
  </si>
  <si>
    <t>NN8 1LT</t>
  </si>
  <si>
    <t>The company (LON: BOK) was acquired by Tesco (UK) (LON: TSCO) for GBP 3.89 billion on March 5, 2018. The company is no longer tracked by PitchBook.</t>
  </si>
  <si>
    <t>Blueheath, Iceland Foods, Kaupthing Capital Partners</t>
  </si>
  <si>
    <t>Iceland Foods(www.iceland.co.uk)</t>
  </si>
  <si>
    <t>Clifford Chance(Legal Advisor), Glass Lewis(Advisor: General), HSBC Holdings(Advisor: General), Investec(Advisor: General), JP Morgan Cazenove(Advisor: General)</t>
  </si>
  <si>
    <t>40780-90</t>
  </si>
  <si>
    <t>Gemalto</t>
  </si>
  <si>
    <t>Axalto</t>
  </si>
  <si>
    <t>Gemalto N.V.</t>
  </si>
  <si>
    <t>RSA Security, CipherCloud, Vision-Box, Proofpoint, Zscaler, Secure Thingz, HyTrust, ThreatMetrix, Secret Double Octopus, HP Security Voltage, OverWatchID, Mformation Software Technologies, Duo Security, InAuth, Illumio, ForgeRock, Imperva, Netskope, Unloq, CipherPoint, OneLogin, Entrust Datacard, Micro Focus International, Censornet, SonicWall, McAfee, CloudLock, CloudHealth Technologies, Protegrity (US), Socure, Core Security (Acquired 2015), Vormetric, IDEMIA, CloudPassage, Aporeto, ManagedMethods, Quarri, Auth0, Intrinsic-ID, Aqua Security, YPB Group, Keypasco, SysAid Technologies, Ping Identity, Intucell, Axis Technology Software, SecureAuth, SolarWinds, Very Good Security, AT&amp;T Cybersecurity, Bitglass, Cryptomathic, HID Global, Venafi, Zettaset, Camouflage Software, BioCatch, Corent Technology, Flexera Software, Veridos, PhishLabs, Zix, Tools4Ever, Giesecke+Devrient, Onegini, Securonix, 6d Technologies, Okta, Samsung SDS Company, Mobilethink, RiskIQ, Palo Alto Networks, Encap Security, Avanan, Eastwind Networks, FireEye, Accertify, SailPoint Technologies, ShiftLeft, Porticor, Omada Software, iWelcome, Certero, Identity Automation, Kaseya, Tanium, Dataguise, Adaptiva, Opswat, SuperCom, Avatier, Snow Software, Axios Systems, JumpCloud, Mobiliya, Aspera (Software), Black Duck, FileWave, OneSpan, ServiceNow, Forticode, Bell Identification, 1E, Informatica, Qelp, Lansweeper</t>
  </si>
  <si>
    <t>Provider of digital security services intended to enable the trusted connections. The company offers software applications, secure personal devices and other services such as mobile identity, online banking, data encryption, transport ticketing, e-Government, vehicle telematics, and software licensing capabilities, thereby enabling organizations to offer trusted digital services.</t>
  </si>
  <si>
    <t>IT Consulting and Outsourcing*, Network Management Software</t>
  </si>
  <si>
    <t>Cybersecurity, Mobile, TMT</t>
  </si>
  <si>
    <t>cyber security, data protection, digital security, identity authentication, security consulting</t>
  </si>
  <si>
    <t>www.gemalto.com</t>
  </si>
  <si>
    <t>2008: 9, 2009: 9, 2011: 12, 2018: 15000, 2019: 15000</t>
  </si>
  <si>
    <t>Meudon Cedex, France</t>
  </si>
  <si>
    <t>6, rue de la Verrerie - CS20001</t>
  </si>
  <si>
    <t>Meudon Cedex</t>
  </si>
  <si>
    <t>92197</t>
  </si>
  <si>
    <t>The company (AMS: GTO) was acquired by Thales Group (EPA: HO) for EUR 4.8 billion on April 2, 2019. The acquisition will allow Thales to reinforces its digital offering across five vertical markets (aeronautics, space, ground transportation, defense, and security. The company is no longer actively tracked by PitchBook.</t>
  </si>
  <si>
    <t>Thales Group</t>
  </si>
  <si>
    <t>Aqton, Convergence Partners (Africa), Fonds Strategique d'Investissement, SKion, TPG</t>
  </si>
  <si>
    <t>Atos</t>
  </si>
  <si>
    <t>Aqton(www.aqton.eu), Convergence Partners (Africa)(www.convergencepartners.com), Fonds Strategique d'Investissement(www.fonds-fsi.fr), SKion(www.skion.de), TPG(www.tpg.com)</t>
  </si>
  <si>
    <t>Atos(www.atos.net)</t>
  </si>
  <si>
    <t>BTD Consulting(Consulting), CFF Communications(Advisor: Communications), Red Chalk Group(Consulting)</t>
  </si>
  <si>
    <t>Allen &amp; Overy(Legal Advisor), BNP Paribas(Lead Manager or Arranger), BTD Consulting(Consulting), Citigroup(Lead Manager or Arranger), Darrois Villey Maillot Brochier(Legal Advisor), Deutsche Bank Securities(Advisor: General), J.P. Morgan(Advisor: General), Natixis(Lead Manager or Arranger), Norton Rose Fulbright Canada(Legal Advisor), Wilson Sonsini Goodrich &amp; Rosati(Legal Advisor)</t>
  </si>
  <si>
    <t>128437-75</t>
  </si>
  <si>
    <t>National Starch &amp; Chemical (Adhesives &amp; Electronic Materials Business)</t>
  </si>
  <si>
    <t>Manufacturer of adhesives. The company is engaged in the manufacture of sealants as well as electronic materials in Europe.</t>
  </si>
  <si>
    <t>electronic materials</t>
  </si>
  <si>
    <t>10 Finderne Avenue</t>
  </si>
  <si>
    <t>The Adhesives and Electronic Materials businesses of National Starch &amp; Chemical was acquired by Henkel (OTC: HEN) for GBP 2.7 billion on April 3, 2008. The company is no longer actively tracked by PitchBook.</t>
  </si>
  <si>
    <t>Henkel</t>
  </si>
  <si>
    <t>National Starch</t>
  </si>
  <si>
    <t>National Starch(www.nationalstarch.com)</t>
  </si>
  <si>
    <t>11757-43</t>
  </si>
  <si>
    <t>Allied World</t>
  </si>
  <si>
    <t>AWAC</t>
  </si>
  <si>
    <t>Allied World Assurance Company Holdings, Ltd</t>
  </si>
  <si>
    <t>Scor, PartnerRe, Prudential Life Insurance Company of Korea, QBE Insurance Group, The Hanover Insurance Group, XL Group, Sirius International Insurance Group, Validus Group, Munich Re, Beazley Group, RenaissanceRe Holdings, American International Group</t>
  </si>
  <si>
    <t>Provider of insurance and reinsurance services for individuals, companies, and governmental entities. The company offers a variety of insurance products like casualty, and commercial motor insurance, personal lines insurance, construction, and engineering insurance, crisis management, healthcare liability, and marine insurance, and a suite of reinsurance products and treaty structures for many lines of business.</t>
  </si>
  <si>
    <t>casualty insurance, crisis management insurance, healthcare liability insurance, marine insurance provider, specialty insurance</t>
  </si>
  <si>
    <t>www.awac.com</t>
  </si>
  <si>
    <t>2004: 235, 2005: 235, 2006: 279, 2007: 297, 2008: 578, 2009: 665, 2010: 674, 2011: 702, 2012: 818, 2013: 940, 2014: 1040, 2015: 1433, 2016: 1380</t>
  </si>
  <si>
    <t>Fairfax Financial Holdings</t>
  </si>
  <si>
    <t>57882-52P</t>
  </si>
  <si>
    <t>John Bender</t>
  </si>
  <si>
    <t>john.bender@awac.com</t>
  </si>
  <si>
    <t>+41 (0)41 768 1080</t>
  </si>
  <si>
    <t>27 Richmond Road</t>
  </si>
  <si>
    <t>+1 (441) 278-5400</t>
  </si>
  <si>
    <t>info@awac.com</t>
  </si>
  <si>
    <t>The company was acquired by Fairfax Financial Holdings (TSX: FFH) and Alberta Investment Management for $5.4 billion on July 6, 2017 through a public-to-private transaction. The combination of Allied World and Fairfax creates a world leader in property and casualty insurance, reinsurance and investments.</t>
  </si>
  <si>
    <t>Alberta Investment Management</t>
  </si>
  <si>
    <t>American International Group, Arthur J. Gallagher &amp; Company, CCP Equity Partners, Chubb Group of Insurance Companies (Acquired 2016), Goldman Sachs Merchant Banking Division, Mellon Financial, Swiss Re Group, Thomas H. Lee Partners</t>
  </si>
  <si>
    <t>Alberta Investment Management(www.aimco.ca)</t>
  </si>
  <si>
    <t>American International Group(www.aig.com), Arthur J. Gallagher &amp; Company(www.ajg.com), CCP Equity Partners(www.ccpequitypartners.com), Swiss Re Group(www.swissre.com), Thomas H. Lee Partners(www.thl.com)</t>
  </si>
  <si>
    <t>BNY Mellon(Custodian), PwC(Auditor), TigerRisk Partners(Advisor: General)</t>
  </si>
  <si>
    <t>ABN AMRO Bank(Underwriter), Baker &amp; McKenzie(Legal Advisor), Bank of America Merrill Lynch(Underwriter), Citigroup Global Markets(Underwriter), Cleary Gottlieb(Legal Advisor), Continental Stock Transfer &amp; Trust(Advisor: General), Conyers Dill &amp; Pearman(Legal Advisor), Credit Agricole(Underwriter), Credit Suisse(Underwriter), Deloitte(Accounting), Dowling &amp; Partners(Underwriter), Fox-Pitt Kelton Cochran Caronia Waller(Underwriter), HSBC Securities (Canada)(Underwriter), JP Morgan Asset Management(Underwriter), Keefe, Bruyette &amp; Woods(Underwriter), Lehman Brothers(Underwriter), Lenz &amp; Staehelin(Legal Advisor), Merrill Lynch Pierce Fenner &amp; Smith(Underwriter), The Goldman Sachs Group(Underwriter), The Williams Capital Group(Underwriter), Thomas Weisel Partners Group(Underwriter), Wachovia Bank(Underwriter), Walder Wyss(Legal Advisor), Wells Fargo(Underwriter), Willkie Farr &amp; Gallagher(Legal Advisor)</t>
  </si>
  <si>
    <t>41166-64</t>
  </si>
  <si>
    <t>Chiron</t>
  </si>
  <si>
    <t>Chiron Corporation</t>
  </si>
  <si>
    <t>Operator of a bio-pharmaceutical company. The company develops and provides bio-pharmaceuticals, vaccines and blood testing to cancer and other infectious diseases.</t>
  </si>
  <si>
    <t>Laboratory Services (Healthcare), Pharmaceuticals*</t>
  </si>
  <si>
    <t>biopharmaceuticals, blood testing, therapeutic product</t>
  </si>
  <si>
    <t>1989: 491, 1990: 611, 1991: 1510, 1992: 1867, 1993: 2179, 1994: 2179, 1995: 6894, 1996: 7434, 1997: 6482, 1998: 105192, 1999: 3110, 2000: 3422, 2001: 3736, 2002: 4044, 2003: 5332, 2004: 5400, 2005: 5500</t>
  </si>
  <si>
    <t>45007-66P</t>
  </si>
  <si>
    <t>William Rutter</t>
  </si>
  <si>
    <t>4560 Horton Street</t>
  </si>
  <si>
    <t>The company was acquired by Novartis (VTX: NOVN) for $5.4 billion on April 20, 2006. With the close of this transaction, Novartis will gain access to attractive strategic growth platforms in the dynamic vaccines market and the rapidly expanding diagnostics business. The company is no longer actively tracked by PitchBook.</t>
  </si>
  <si>
    <t>Foley &amp; Lardner(Legal Advisor), Viant Group(Advisor: Fairness Opinion)</t>
  </si>
  <si>
    <t>14172-49</t>
  </si>
  <si>
    <t>City National Bank</t>
  </si>
  <si>
    <t>City National Bank of Beverly Hills</t>
  </si>
  <si>
    <t>City National</t>
  </si>
  <si>
    <t>City National Corporation</t>
  </si>
  <si>
    <t>KeyBank, County National Bank, Standard Chartered Bank Kenya</t>
  </si>
  <si>
    <t>Provider of banking and investment services. The company offers private banking, small and mid-size business banking, commercial real estate, equipment leasing and finance, wealth management, franchise financing and other related services.</t>
  </si>
  <si>
    <t>Investment Banks*, National Banks</t>
  </si>
  <si>
    <t>banking business, commercial banking service, investment service</t>
  </si>
  <si>
    <t>www.cnb.com</t>
  </si>
  <si>
    <t>1989: 2197, 1990: 2255, 1991: 2000, 1992: 2000, 1993: 1650, 1994: 1650, 1995: 1650, 1996: 1650, 1997: 1650, 1998: 1650, 1999: 1874, 2000: 2034, 2001: 2084, 2002: 2250, 2003: 2348, 2004: 2397, 2005: 2539, 2006: 2689, 2007: 2914, 2008: 2989, 2009: 3017, 2010: 3178, 2011: 3256, 2012: 3472, 2013: 3566, 2014: 3570, 2015: 3600</t>
  </si>
  <si>
    <t>Royal Bank of Canada</t>
  </si>
  <si>
    <t>265316-59P</t>
  </si>
  <si>
    <t>John Bai</t>
  </si>
  <si>
    <t>Executive Vice President, Member of the Executive, and Strategy and Planning Committees &amp; Chief Financial Officer</t>
  </si>
  <si>
    <t>+1 (800) 773-7100</t>
  </si>
  <si>
    <t>City National Plaza</t>
  </si>
  <si>
    <t>555 South Flower Street</t>
  </si>
  <si>
    <t>90071</t>
  </si>
  <si>
    <t>+1 (310) 858-3334</t>
  </si>
  <si>
    <t>russell.goldsmith@cnb.com</t>
  </si>
  <si>
    <t>The company (NYSE: CYN) was acquired by Royal Bank of Canada (TSE: RY) for $5.4 billion on November 2, 2015. The amount consists of $2.6 billion in cash and 41.6 million Royal Bank of Canada common shares. In addition, Royal Bank of Canada will issue US$ 275 million of Royal Bank of Canada first preferred shares in exchange for all outstanding shares of City National preferred stock.</t>
  </si>
  <si>
    <t>Truist(www.truist.com)</t>
  </si>
  <si>
    <t>Benefit Capital Companies(Advisor: General), Optima Group(Consulting), Park Avenue Group(Advisor: General), Rosin &amp; Associates(Advisor: General), Rushton Atlantic(Valuation/Appraiser), The Alta Group(Advisor: General), The Mentor Group(Advisor: General)</t>
  </si>
  <si>
    <t>Bank of America Merrill Lynch(Advisor: General), Cleary Gottlieb(Legal Advisor), Innisfree M&amp;A(Legal Advisor), Merrill Lynch Pierce Fenner &amp; Smith(Advisor: General), Sandler O'Neill + Partners(Advisor: General), The Abernathy MacGregor Group(Advisor: Communications), Wachtell, Lipton, Rosen &amp; Katz(Legal Advisor)</t>
  </si>
  <si>
    <t>41655-52</t>
  </si>
  <si>
    <t>Federal-Mogul Holdings</t>
  </si>
  <si>
    <t>Federal-Mogul</t>
  </si>
  <si>
    <t>Federal-Mogul Holdings LLC</t>
  </si>
  <si>
    <t>ZF Friedrichshafen, American Axle &amp; Manufacturing, GKN Group, Magna International, Getrag, Benteler International, Metaldyne Performance Group, Arizona Brake &amp; Clutch Supply, Peugeot Hungaria, Vossloh Kiepe, Wanxiang America, Superior Industries International, Meritor, Delphi Technologies, Peugeot Slovakia, Shiloh Industries, Valeo, Wabco, Nexteer Automotive Group, Brose Group, Spectra Premium Industries, ThyssenKrupp, Beijing West Industries, ElringKlinger, SKF India, JTEKT, Mahle, Aptiv, AxleTech, Grupo Antolin, Visteon, GKN Automotive, The Timken Company, Legrand North America, Standard Motor Products, B/E Aerospace, Nokian Tyres, Haldex, Huray Automobiles, NSK Armatür Ve Aksesuar Sanayi Ve Ticaret, BMW Group, Mazda Motor, Volkswagen, Orbital Traction, Safran Group</t>
  </si>
  <si>
    <t>Supplier of industrial parts and components intended for the manufacturers of automotive, light commercial, heavy-duty and off-highway vehicles, as well as for power generation, aerospace, marine, rail and industrial markets. The company's products include original equipment powertrain products such as pistons, rings, liners, valve seats and guides, valvetrain, bearings, ignition, and sealing, vehicle aftermarket products, OEM parts, brake friction, chassis, wipers and other related components.</t>
  </si>
  <si>
    <t>automobile oem, automotive aftercare product, automotive aftermarket, automotive aftermarket parts, automotive oem, motor parts, original equipment manufacturer, original equipment parts, powertrain components, powertrain parts, systems protection equipment</t>
  </si>
  <si>
    <t>www.federalmogul.com</t>
  </si>
  <si>
    <t>2006: 43100, 2007: 50000, 2008: 43400, 2009: 39000, 2010: 42700, 2011: 45000, 2012: 45000, 2013: 44275, 2014: 48600, 2015: 53700, 2016: 53000, 2018: 55000</t>
  </si>
  <si>
    <t>128749-42P</t>
  </si>
  <si>
    <t>Jerome Rouquet</t>
  </si>
  <si>
    <t>+1 (248) 702-1203</t>
  </si>
  <si>
    <t>Southfield, MI</t>
  </si>
  <si>
    <t>27300 West 11 Mile Road</t>
  </si>
  <si>
    <t>Southfield</t>
  </si>
  <si>
    <t>48034</t>
  </si>
  <si>
    <t>+1 (248) 354-7700</t>
  </si>
  <si>
    <t>The company (NASDAQ: FDML), a subsidiary of Icahn Enterprises was acquired by Tenneco (NYSE: TEN) for $5.4 billion on October 1, 2018. The acquisition will enable the acquirer to expand its portfolio of brands, products, and capabilities. Tenneco will acquire the company for $5.4 billion through a combination of $800 million in cash, 5.7 million shares of Tenneco Class A common stock (representing a 9.9 percent voting interest), 23.8 million shares of Non-Voting Class B common stock and $2.964 billion in assumed liabilities. Under the agreement, Tenneco can reduce the number of shares of Class B Non-Voting common stock by up to 7.3 million shares and increase the cash consideration proportionately at the closing. Cash consideration of $800 million was financed through a new senior credit facility that will replace Tenneco's existing senior credit facilities and certain senior facilities of Federal-Mogul LLC. The new senior credit facility consists of a $1.7 billion term loan A, a $1.7 billion term loan B, and a $1.5 billion revolving credit facility. The company operates as a subsidiary of Tenneco. The company is no longer actively tracked by PitchBook.</t>
  </si>
  <si>
    <t>Tenneco</t>
  </si>
  <si>
    <t>Angle Advisors(Advisor: General), BDA Partners(Advisor: General), Corporate Professional(Advisor: General), Dickinson Wright(Legal Advisor), Lincoln International(Advisor: General), M.M. Dillon &amp; Co.(Advisor: General), Morgan Joseph TriArtisan(Advisor: General), Pachulski Stang Ziehl &amp; Jones(Legal Advisor), Texas Consilium(Consulting), XMS Capital Partners(Advisor: General), Zolfo Cooper(Advisor: General)</t>
  </si>
  <si>
    <t>Golub Capital BDC(Debt Financing), Houlihan Lokey(Advisor: General), Richards Layton &amp; Finger(Legal Advisor), White &amp; Case(Legal Advisor), Winston &amp; Strawn(Legal Advisor)</t>
  </si>
  <si>
    <t>10585-72</t>
  </si>
  <si>
    <t>Wright Medical Group</t>
  </si>
  <si>
    <t>Wright</t>
  </si>
  <si>
    <t>Wright Medical Group N.V.</t>
  </si>
  <si>
    <t>Breg, DJO Global, Aspen Medical Products, Shoulder Innovations, Active Implants, Corin Group, Implant Direct Sybron International, BioHorizons, Alpha-Stim, Orteq Sports Medicine, OMNI life science, MicroPort Scientific, Zimmer Biomet, K2M, ConforMIS, Sonoma Orthopedic Products, Integra LifeSciences, BioPro (Michigan), Spine Wave, NuVasive, Extremity Medical, Orthofix International, Exactech, Vexim, Misonix, Stryker, Biotronik, ArthroCare, Span-America Medical Systems, Zyga Technology, SeaSpine Holdings, Dentsply Sirona, Aspen Surgical, DePuy Synthes, Nico, Sunrise Medical, Boston Scientific, EndoGastric Solutions, KCI Holdings, Atec Spine</t>
  </si>
  <si>
    <t>Wright Medical Group develops medical devices and products in five categories: lower extremities, upper extremities, biologics, large joints, and sports medicine, and other. Products for lower extremities include joint implants and bone fixation devices for the foot and ankle, whereas products for upper extremities include implants and devices for the shoulder, elbow, wrist, and hand. The biologics business sells products used to treat damaged or diseased bone, tendons, and soft tissues or to stimulate bone growth. The large joints business sells hip and knee replacement implants. The firm's sports medicine products are used to mechanically repair tissue injuries. Wright Medical Group generates the majority of its revenue in the United States.</t>
  </si>
  <si>
    <t>3D Printing, Life Sciences, Manufacturing</t>
  </si>
  <si>
    <t>implants, limb fittings, medical devices, orthopedic implants, therapeutic tools</t>
  </si>
  <si>
    <t>www.wright.com</t>
  </si>
  <si>
    <t>2010: 784, 2011: 792, 2012: 916, 2013: 1076, 2014: 1121, 2015: 2295, 2016: 2394, 2017: 2675, 2018: 2894, 2019: 3030, 2020: 3000</t>
  </si>
  <si>
    <t>Stryker</t>
  </si>
  <si>
    <t>80624-35P</t>
  </si>
  <si>
    <t>Peter Cooke</t>
  </si>
  <si>
    <t>President &amp; Director</t>
  </si>
  <si>
    <t>peter.cooke@wright.com</t>
  </si>
  <si>
    <t>+1 (800) 238-7117</t>
  </si>
  <si>
    <t>1023 Cherry Road</t>
  </si>
  <si>
    <t>38117</t>
  </si>
  <si>
    <t>The company was acquired by Stryker (NYS: SYK) for approximately $5.4 billion on November 4, 2019. This acquisition enhances Stryker's global market position in trauma &amp; extremities, providing significant opportunities to advance innovation, improve outcomes and reach more patients.</t>
  </si>
  <si>
    <t>Apollo Investment, California Public Employees Retirement System, Duke Street, One Equity Partners, The Vertical Group, Thomas McNerney &amp; Partners, Warburg Pincus</t>
  </si>
  <si>
    <t>Apollo Investment(www.apolloic.com), California Public Employees Retirement System(www.calpers.ca.gov), Duke Street(www.dukestreet.com), One Equity Partners(www.oneequity.com), The Vertical Group(www.vertical-group.com), Thomas McNerney &amp; Partners(www.tm-partners.com), Warburg Pincus(www.warburgpincus.com)</t>
  </si>
  <si>
    <t>Andersen Global(Accounting), Deutsche Bank Securities(Advisor: General), KPMG(Auditor), Musculoskeletal Clinical Regulatory Advisers(Consulting), Oppenheimer Wolff &amp; Donnelly(Legal Advisor), Perella Weinberg Partners(Advisor: General), Rigrodsky &amp; Long(Legal Advisor)</t>
  </si>
  <si>
    <t>Andersen Global(Accounting), Bank of America Merrill Lynch(Underwriter), Bear Stearns(Underwriter), Brean Capital(Underwriter), Credit Suisse(Underwriter), Dain Rauscher Wessels(Underwriter), Deutsche Bank Securities(Underwriter), Fahnestock &amp; Co.(Underwriter), Gleacher and Company(Advisor: General), Guggenheim Partners(Advisor: General), Guggenheim Securities(Advisor: General), J.P. Morgan(Underwriter), Kahn Swick &amp; Foti(Legal Advisor), Latham &amp; Watkins(Legal Advisor), Lehman Brothers(Underwriter), MidCap Financial(Debt Financing), Morgan Keegan(Underwriter), Piper Sandler(Underwriter), Robertson Stephens (Out of Business in 2017)(Underwriter), Ropes &amp; Gray(Legal Advisor), Salomon Brothers(Underwriter), Stephens(Underwriter), Stibbe(Legal Advisor), Thomas Weisel Partners Group(Underwriter), William Blair &amp; Company(Underwriter), Willkie Farr &amp; Gallagher(Legal Advisor)</t>
  </si>
  <si>
    <t>232807-60</t>
  </si>
  <si>
    <t>Xiidra</t>
  </si>
  <si>
    <t>Shire (eye care business)</t>
  </si>
  <si>
    <t>Manufacturer of a prescription eye drop solution designed to treat the signs and symptoms of dry eye disease. The drug is approved to treat signs and symptoms of dry eye disease in multiple markets including the US, Canada and Australia and is under regulatory review in a number of additional markets.</t>
  </si>
  <si>
    <t>eye drop business, eyecare business, eyecare divisions, eyecare product</t>
  </si>
  <si>
    <t>2019: 400</t>
  </si>
  <si>
    <t>D02 Y754</t>
  </si>
  <si>
    <t>The company, a subsidiary of Takeda Pharmaceutical Company (TSE:4502/NYSE: TAK), was acquired by Novartis (SWX: NOVN) for approximately $5.4 billion on July 1, 2019. The company will receive a contingent payout of $1.9 million upon completion of future performance terms. Takeda intends to use the proceeds from these divestitures to reduce its debt and accelerate deleveraging toward its target of 2.0x net debt/adjusted EBITDA in the medium term. The business is no longer actively tracked by PitchBook.</t>
  </si>
  <si>
    <t>Takeda Pharmaceutical Company(www.takeda.com)</t>
  </si>
  <si>
    <t>10476-37</t>
  </si>
  <si>
    <t>Vertafore</t>
  </si>
  <si>
    <t>AMS Services, Agency Records Control, ARC</t>
  </si>
  <si>
    <t>Vertafore, Inc.</t>
  </si>
  <si>
    <t>Internet Pipeline, OneShield, Zywave, Epic-Premier Insurance Solutions, eBaoTech, InforcePRO, Westhill, Duck Creek Technologies, Applied Systems, Kronos Technologies, One, SAP, Exigis, TechCanary, docSTAR, Insurance Technologies (Colorado), Aisus, Vertikal, Insurance Technologies Corporation, Allay, Innoveo Solutions, MaxxVault, ISCS, Insurity, bswift, Flexible Architecture and Simplified Technology, RedTail Technology, EZLynx, HawkSoft, NetRate Systems, MyCOI, Workday, Mitchell International, Agency Revolution, Indio Technologies, Compulink Management Center, Flock (Business/Productivity Software), Guidewire Software, Code SixFour, Salesforce.com, HR360, Origami Risk, Maestro Health, Pegasystems, WORKTERRA, DataBank IMX, BambooHR</t>
  </si>
  <si>
    <t>Developer of cloud-based insurance software and services based in Denver, Colorado. The company specializes in developing cloud-based software that effectively manages the business with complete integrated applications and identifies opportunities for growth and makes data-driven decisions, enabling clients to manage and grow their business and reduce compliance risks across the entire producer lifecycle.</t>
  </si>
  <si>
    <t>Automation/Workflow Software, Business/Productivity Software*, Other Insurance</t>
  </si>
  <si>
    <t>agency management, business analysis, business reporting, comparative rating, insurance software, insurance software product</t>
  </si>
  <si>
    <t>www.vertafore.com</t>
  </si>
  <si>
    <t>2006: 830, 2014: 1111, 2016: 1300, 2020: 1900</t>
  </si>
  <si>
    <t>Roper Technologies</t>
  </si>
  <si>
    <t>49046-05P</t>
  </si>
  <si>
    <t>Amy Zupon</t>
  </si>
  <si>
    <t>azupon@vertafore.com</t>
  </si>
  <si>
    <t>+1 (800) 444-4813</t>
  </si>
  <si>
    <t>999 18th Street</t>
  </si>
  <si>
    <t>information@vertafore.com</t>
  </si>
  <si>
    <t>The company was acquired by Roper Technologies (NYS: ROP) for $5.4 billion on September 3, 2020. This transaction was supported in the form of revolving credit line and loan from undisclosed lenders.</t>
  </si>
  <si>
    <t>Bain Capital, Hellman &amp; Friedman, Insight Partners, JMI Equity, Stone Point Capital, TPG, Vista Equity Partners</t>
  </si>
  <si>
    <t>Bain Capital(www.baincapital.com), Hellman &amp; Friedman(www.hf.com), Insight Partners(www.insightpartners.com), JMI Equity(www.jmi.com), Stone Point Capital(www.stonepoint.com), TPG(www.tpg.com), Vista Equity Partners(www.vistaequitypartners.com)</t>
  </si>
  <si>
    <t>Apollo Investment(Debt Financing), Bank of America Merrill Lynch(Advisor: General), Barclays Investment Bank(Advisor: General), Barings(Debt Financing), Barings BDC(Debt Financing), Citibank(Debt Financing), Cleary Gottlieb(Legal Advisor), Corporate Capital Trust(Debt Financing), Credit Suisse(Debt Financing), Debevoise &amp; Plimpton(Legal Advisor), FS KKR Capital(Debt Financing), FS KKR Capital Corp. II(Debt Financing), Golub Capital(Debt Financing), Griffin Institutional Access Credit Fund(Debt Financing), Guggenheim Securities(Debt Financing), J.P. Morgan(Debt Financing), Kirkland &amp; Ellis(Legal Advisor), Macquarie Group(Debt Financing), Mizuho Bank(Debt Financing), Morgan Stanley(Debt Financing), New Mountain Finance(Debt Financing), Nomura Corporate Funding Americas(Debt Financing), Pamlico Capital(Debt Financing), Portman Ridge Finance Corp(Debt Financing), RBC Capital Markets(Debt Financing), Ropes &amp; Gray(Legal Advisor), Sierra Income(Debt Financing), Simpson Thacher &amp; Bartlett(Legal Advisor), Sixth Street Specialty Lending(Debt Financing)</t>
  </si>
  <si>
    <t>Loan; Revolving Credit Line</t>
  </si>
  <si>
    <t>43041-97</t>
  </si>
  <si>
    <t>CPFL Energia (BVMF: CPFE3)</t>
  </si>
  <si>
    <t>Companhia Paulista de Força e Luz</t>
  </si>
  <si>
    <t>CPFL</t>
  </si>
  <si>
    <t>CPFL Energia S.A.</t>
  </si>
  <si>
    <t>Enel Distribuição, Cia Energética de Minas Gerais</t>
  </si>
  <si>
    <t>CPFL Energia SA is engaged in the distribution, generation, and commercialization of electric energy in Brazil. It distributes electricity mainly in the states of Sao Paulo and the Rio Grande do Sul. The company's business segments consist of Distribution, Conventional Generation, Renewable Generation, Commercialization, and Services. It generates maximum revenue from the Distribution segment.</t>
  </si>
  <si>
    <t>electric supply, electric utility, electricity distributor, electricity generation</t>
  </si>
  <si>
    <t>www.cpfl.com.br</t>
  </si>
  <si>
    <t>2002: 5393, 2003: 5413, 2004: 5517, 2005: 5838, 2006: 5836, 2007: 7176, 2008: 7119, 2009: 7450, 2016: 5001</t>
  </si>
  <si>
    <t>CPFE3</t>
  </si>
  <si>
    <t>State Grid</t>
  </si>
  <si>
    <t>128298-97P</t>
  </si>
  <si>
    <t>Gustavo Estrella</t>
  </si>
  <si>
    <t>gestrella@cpfl.com.br</t>
  </si>
  <si>
    <t>+55 01 13841 8507</t>
  </si>
  <si>
    <t>Campinas, Brazil</t>
  </si>
  <si>
    <t>Engenheiro Miguel Noel Nascentes Burnier Highway</t>
  </si>
  <si>
    <t>São Quirino Park</t>
  </si>
  <si>
    <t>Campinas</t>
  </si>
  <si>
    <t>13088-900</t>
  </si>
  <si>
    <t>The company was acquired by State Grid for BRL 17.36 billion on January 23, 2017.</t>
  </si>
  <si>
    <t>Bank Bradesco, Camargo Correa Metais, Energy Sao Paulo, Previ, Votorantim (Brazil)</t>
  </si>
  <si>
    <t>Bank Bradesco(www.bradesco.com.br), Camargo Correa Metais(www.camargocorrea.com.br), Previ(previ.com.br), Votorantim (Brazil)(www.votorantim.com.br)</t>
  </si>
  <si>
    <t>Apsis Consultoria Empresarial(Consulting), Caslano(Advisor: General), Pinheiro Neto Advogados(Legal Advisor), Tauil &amp; Chequer(Legal Advisor)</t>
  </si>
  <si>
    <t>KPMG(Advisor: General), Laplace Finanças(Advisor: General)</t>
  </si>
  <si>
    <t>60550-30</t>
  </si>
  <si>
    <t>SIA (Milan)</t>
  </si>
  <si>
    <t>SIA-SSB</t>
  </si>
  <si>
    <t>SIA S.p.A.</t>
  </si>
  <si>
    <t>VFinance (Financial Software), Net Element, Temenos, mFino, Fidelity National Information Services, Murex, Finastra, IDEMIA, Bankingly, Indus Software Technologies, Kyriba, ProPay, Cryptomathic, 2C2P, Digital River, CheckAlt, ACI Worldwide, Financial Software &amp; Systems, ShopKeep, Diebold Nixdorf, Evertec, Fiserv, First Data, BitGo, Pay and Shop, Aptexx, Wirecard, QRails, Gemalto, Nets, Invoice Cloud, Mozido, Sequent Software, Bell Identification, SIX Payment Services, CurrencyCloud, Ingenico Group, Altisource Portfolio Solutions, Dovetail Group, Axoni, R3, Bloq, YapStone, Aria Systems, WePay</t>
  </si>
  <si>
    <t>Provider of services and technologies to the banking and finance sector through a digital platform based in Milan, Italy. The company's financial services include design, implementation and management of infrastructure and technology services dedicated to financial institutions, central banks, enterprises and public administrations, enabling them to help in the areas of payments, money, network services and capital markets.</t>
  </si>
  <si>
    <t>Application Software, Financial Software*, Network Management Software</t>
  </si>
  <si>
    <t>banking and finance, banking and finance service, card processing, network services, payment system, transaction processing</t>
  </si>
  <si>
    <t>www.sia.eu</t>
  </si>
  <si>
    <t>2012: 1479, 2016: 2023, 2018: 2048</t>
  </si>
  <si>
    <t>132742-09P</t>
  </si>
  <si>
    <t>Fabio Balbinot</t>
  </si>
  <si>
    <t>fabio.balbinot@italfondiario.it</t>
  </si>
  <si>
    <t>+39 02 6084 1</t>
  </si>
  <si>
    <t>Via Gonin 36</t>
  </si>
  <si>
    <t>+39 02 6084 3920</t>
  </si>
  <si>
    <t>The company reached a definitive agreement to be acquired by Nexi (MIL: NEXI) for EUR 4.56 billion on October 4, 2020. Previously, the company was acquired by Poste Italiane and CDP Equity through a EUR 2.4 billion LBO on November 6, 2019. The company is being actively tracked by PitchBook.</t>
  </si>
  <si>
    <t>Banco BPM, CDP Equity, Deutsche Bank, Intesa Sanpaolo, Mediolanum, MPS Enterprises, Poste Italiane, UniCredit</t>
  </si>
  <si>
    <t>Banca Monte dei Paschi di Siena, BNP Paribas, Fondi Italiani per le Infrastrutture, HAT Orizzonte SGR</t>
  </si>
  <si>
    <t>Banco BPM(www.bancobpm.it), CDP Equity(www.cdpequity.it), Deutsche Bank(www.db.com), Intesa Sanpaolo(www.group.intesasanpaolo.com), Mediolanum(www.mediolanum.it), MPS Enterprises(www.mps.fi), Poste Italiane(www.posteitaliane.it), UniCredit(unicreditgroup.eu)</t>
  </si>
  <si>
    <t>Banca Monte dei Paschi di Siena(www.mps.it), BNP Paribas(www.group.bnpparibas), Fondi Italiani per le Infrastrutture(www.f2isgr.it), HAT Orizzonte SGR(orizzontesgr.it)</t>
  </si>
  <si>
    <t>Nexi(www.nexi.it)</t>
  </si>
  <si>
    <t>Banca Monte dei Paschi di Siena(Debt Financing), Banco BPM(Debt Financing), BNP Paribas(Debt Financing), Gianni &amp; Origoni(Legal Advisor), IMI Corporate &amp; Investment Banking(Debt Financing), J.P. Morgan(Advisor: General), Rothschild &amp; Co(Advisor: General), Tremonti Romagnoli Piccardi e Associati(Legal Advisor), UBI Banca (Private Investment)(Debt Financing), UniCredit(Debt Financing)</t>
  </si>
  <si>
    <t>126240-31</t>
  </si>
  <si>
    <t>Equity Residential (72 Properties Portfolio in the United States)</t>
  </si>
  <si>
    <t>A portfolio of residential 72 properties. It comprises 23,262 apartment units of low- and mid-rise rental buildings in suburban markets around Denver, Seattle, Washington, D.C., South Florida and Southern California.</t>
  </si>
  <si>
    <t>apartments project, apartments property, residential project, residential property asset, residential property project</t>
  </si>
  <si>
    <t>The apartment complexes of Equity Residential were acquired by Starwood Capital Group through a $5.36 billion LBO on January 27, 2016.</t>
  </si>
  <si>
    <t>Starwood Capital Group</t>
  </si>
  <si>
    <t>Equity Residential</t>
  </si>
  <si>
    <t>Starwood Capital Group(www.starwoodcapital.com)</t>
  </si>
  <si>
    <t>Equity Residential(www.equityapartments.com)</t>
  </si>
  <si>
    <t>Wells Fargo(Debt Financing)</t>
  </si>
  <si>
    <t>99691-84</t>
  </si>
  <si>
    <t>Guanggi Fiat Auto</t>
  </si>
  <si>
    <t>GAC Fiat</t>
  </si>
  <si>
    <t>Guanggi Fiat Auto Ltd.</t>
  </si>
  <si>
    <t>Developer, manufacturer and distributor of vehicle parts and components. The company comprises of complete car business and engine business.</t>
  </si>
  <si>
    <t>Distributors/Wholesale*, Other Commercial Products</t>
  </si>
  <si>
    <t>automobile manufacturing, engine business, vehicle parts</t>
  </si>
  <si>
    <t>www.gacfiatauto.com</t>
  </si>
  <si>
    <t>85393-81P</t>
  </si>
  <si>
    <t>John Burton</t>
  </si>
  <si>
    <t>john.burton@gacfiatauto.com</t>
  </si>
  <si>
    <t>+86 (0)731 8998 9998</t>
  </si>
  <si>
    <t>Changsha, China</t>
  </si>
  <si>
    <t>NO.7 East 6th Road, Grandee Business Office</t>
  </si>
  <si>
    <t>Changsha Economic &amp; Technical Development Zone</t>
  </si>
  <si>
    <t>Changsha</t>
  </si>
  <si>
    <t>410100</t>
  </si>
  <si>
    <t>+86 (0)731 8998 9600</t>
  </si>
  <si>
    <t>callcenter@gacfiatauto.com</t>
  </si>
  <si>
    <t>The company received EUR 4.8 billion of debt financing from a group of twelve book runner banks on June 9, 2015.</t>
  </si>
  <si>
    <t>Fiat Group, Guangzhou Automobile</t>
  </si>
  <si>
    <t>Guangzhou Automobile(www.gac.com.cn)</t>
  </si>
  <si>
    <t>Revolving Credit Line</t>
  </si>
  <si>
    <t>Revolving Credit Line - $5.36B</t>
  </si>
  <si>
    <t>43641-28</t>
  </si>
  <si>
    <t>Danske Bank(Sampo)</t>
  </si>
  <si>
    <t>Sampo Bank</t>
  </si>
  <si>
    <t>Sampo Pankki</t>
  </si>
  <si>
    <t>Danske Bank Plc</t>
  </si>
  <si>
    <t>Provider of banking and financial services. The company provides commercial and personal banking services.</t>
  </si>
  <si>
    <t>banking and finance, banking facility, commercial bank</t>
  </si>
  <si>
    <t>www.sampopankki.fi</t>
  </si>
  <si>
    <t>Helsinki, Finland</t>
  </si>
  <si>
    <t>Unioninkatu 22</t>
  </si>
  <si>
    <t>Helsinki</t>
  </si>
  <si>
    <t>00075</t>
  </si>
  <si>
    <t>Finland</t>
  </si>
  <si>
    <t>The company was acquired by Danske Bank (CSE: DANSKE) for DKK 30.8 billion on February 1, 2007. The company is no longer actively tracked by PitchBook.</t>
  </si>
  <si>
    <t>Danske Bank</t>
  </si>
  <si>
    <t>JPMorgan Chase(Advisor: General), Krogerus(Legal Advisor), Roschier(Legal Advisor)</t>
  </si>
  <si>
    <t>51456-16</t>
  </si>
  <si>
    <t>OSIsoft</t>
  </si>
  <si>
    <t>OSI Systems</t>
  </si>
  <si>
    <t>OSIsoft, LLC</t>
  </si>
  <si>
    <t>SkyFoundry, Logi Analytics, Infruid Labs, Seeq, Hortonworks, Dimensional Insight, Profisee, InfluxData, Falkonry, Kalido, Logmatic.io, Lanner Group, Information Builders, InvoTech Systems, Pentaho, Correlata Solutions, Zoomdata, ScienceLogic, InfinityQS, SAS Institute, BMC Software, Looker, Utopia Global, Solix Technologies, Snowflake, Behavox, ThoughtSpot, Black Lake Technologies, Splunk, Rubrik, Cherwell Software, Privitar, Drishti, Informatica, ICONICS, Loggly, Datahero, TrendMiner, SIMUL8, Arcadia Data, QiSOFT, Izenda, Better HR, Sight Machine, Plutoshift, Dataguise, Datanomers, Preactor International, ServiceNow, Bit Stew Systems, GoodData, Sisense, ETAP, SAP, Riverbed Technology, Workday, CA Technologies, Urchin Software, 7Park Data, BeyondTrust, Yellowfin, PTC Software, Qurater Technologies, Logz.io, Polecat, Aras, Micro Focus International, Qlik Technologies, Presenso, TIBCO Software, Lotame, Quarrio, Comet Solutions, BeyondCore, MuleSoft, Camouflage Software, Sumo Logic, MicroStrategy, VisionWare, Airware, River Logic, Cygnet Software, ColdLight Solutions, Infor Global Solutions, ESI Group, MSC Software, Blue Yonder (Arizona), OAG Analytics, Aspen Technology, Tecplot, ElectSolve</t>
  </si>
  <si>
    <t>Provider of the enterprise infrastructure systems to manage assets, mitigate risks and identify new market opportunities. The company's system gathers, archives and processes operational data from automation and control systems, providing the tools needed to manipulate and distribute the data, turning it into meaningful information that can be processed and viewed in enterprise applications, web portals, and graphical dashboards via standard browsers.</t>
  </si>
  <si>
    <t>Business/Productivity Software*, Database Software</t>
  </si>
  <si>
    <t>data distribution, data infrastructure, data manipulation, digital twins, industrial software, pi system, risk mitigation</t>
  </si>
  <si>
    <t>www.osisoft.com</t>
  </si>
  <si>
    <t>2010: 255, 2011: 750, 2014: 917, 2016: 1200, 2018: 1300, 2020: 1400</t>
  </si>
  <si>
    <t>36285-67P</t>
  </si>
  <si>
    <t>Patrick Kennedy</t>
  </si>
  <si>
    <t>Founder, Chief Executive Officer &amp; Board Member</t>
  </si>
  <si>
    <t>+1 (510) 297-5800</t>
  </si>
  <si>
    <t>San Leandro, CA</t>
  </si>
  <si>
    <t>San Leandro Tech Campus</t>
  </si>
  <si>
    <t>1600 Alvarado Street</t>
  </si>
  <si>
    <t>San Leandro</t>
  </si>
  <si>
    <t>94577</t>
  </si>
  <si>
    <t>+1 (510) 357-8136</t>
  </si>
  <si>
    <t>The company reached a definitive agreement to be acquired by Aveva Group (LON: AVV) for $5 billion on August 7, 2020. Previously, TCV, Kleiner Perkins and Tola Capital sold their stake in the company to SoftBank Investment Advisers for an undisclosed amount on May 20, 2017. The company is being actively tracked by PitchBook.</t>
  </si>
  <si>
    <t>Aveva Group</t>
  </si>
  <si>
    <t>Kleiner Perkins, Mitsui &amp; Co., SoftBank Investment Advisers, TCV, Tola Capital</t>
  </si>
  <si>
    <t>Kleiner Perkins(www.kleinerperkins.com), Mitsui &amp; Co.(www.mitsui.com), SoftBank Investment Advisers(www.visionfund.com), TCV(www.tcv.com), Tola Capital(www.tolacapital.com)</t>
  </si>
  <si>
    <t>Armstrong Group(Advisor: General), Ashurst(Legal Advisor), Fenwick &amp; West(Legal Advisor), Morgan Stanley(Advisor: General), Slaughter and May(Legal Advisor)</t>
  </si>
  <si>
    <t>64051-12</t>
  </si>
  <si>
    <t>Gagfah</t>
  </si>
  <si>
    <t>NLG Acquisition Investments</t>
  </si>
  <si>
    <t>Gagfah SA</t>
  </si>
  <si>
    <t>Provider of real estate services. The company is engaged in the ownership and management of residential property portfolio located throughout Germany.</t>
  </si>
  <si>
    <t>Other Financial Services*, Real Estate Services (B2C)</t>
  </si>
  <si>
    <t>commercial space, residential property</t>
  </si>
  <si>
    <t>www.gagfah.com</t>
  </si>
  <si>
    <t>2008: 1441, 2009: 1971, 2010: 1912, 2011: 1813, 2012: 1877, 2013: 1943, 2014: 1577</t>
  </si>
  <si>
    <t>86286-61P</t>
  </si>
  <si>
    <t>Thomas Zinnöcker</t>
  </si>
  <si>
    <t>tzinnocker@gagfah.com</t>
  </si>
  <si>
    <t>2-4, rue Beck</t>
  </si>
  <si>
    <t>1222</t>
  </si>
  <si>
    <t>The company (ETR: GFJ) was acquired by Deutsche Annington Immobilien Group (XETRA: ANN) for EUR 4.7 billion on February 23, 2015. Deutsche Annington Immobilien Group is backed by various private equity investors. The company is no longer actively tracked by PitchBook.</t>
  </si>
  <si>
    <t>Fortress Partners Capital Management, ZG Ventures</t>
  </si>
  <si>
    <t>Fortress Partners Capital Management(www.fortresspartners.com)</t>
  </si>
  <si>
    <t>Bank of America Merrill Lynch(Advisor: General), Deutsche Bank(Underwriter), Deutsche Bank Securities(Advisor: General), Dresdner Kleinwort Wasserstein(Underwriter), DZ Bank(Underwriter), J.P. Morgan(Underwriter), Lehman Brothers(Underwriter), Morgan Stanley(Underwriter), Norddeutsche Landesbank(Underwriter), Rothschild &amp; Co(Advisor: General), The Goldman Sachs Group(Underwriter)</t>
  </si>
  <si>
    <t>59881-06</t>
  </si>
  <si>
    <t>Beiersdorf (ETR: BEI)</t>
  </si>
  <si>
    <t>Beiersdorf AG</t>
  </si>
  <si>
    <t>Oriflame Cosmetics, Colgate-Palmolive (India), Apivita, Shiseido Americas, SC Johnson, Pai Skincare, Mary Kay, O Boticário, Natura Cosmetics, Nu Skin Enterprises, Galderma, First Quality Nonwovens, MAC Cosmetics, Iredale Mineral Cosmetics, Elizabeth Arden, Jafra Cosmetics International, E.L.F. Cosmetics, Avon Products, BullFrog Sunscreen, Revlon, Amway, L'Occitane (Korea), L'Occitane Suisse, Eugene Perma France, Iconic London, Colgate-Palmolive, Korres Natural Products, Caudalie, Nuxe Paris, Stila Cosmetics, Kimberly-Clark, The Estée Lauder Companies, Dabur India, Melaleuca, Groupe Clarins, The Body Shop International, Colgate-Palmolive (Pakistan), Tatcha, New Avon, SkinMedica, Kao, Givaudan, Johnson &amp; Johnson, REN Clean Skincare, Paula's Choice, United-Guardian, Immunotec, Coty, L'Occitane International, Unilever Pakistan Foods, Shiseido Company, Procter &amp; Gamble</t>
  </si>
  <si>
    <t>Beiersdorf is a Germany-based company engaged in producing personal products, with a focus on manufacturing cosmetic products. The company operates through two business segments. Consumer provides skin care and beauty care products and operates portfolio brands such as Nivea, Eucerin, La Prairie, Labello, Hansaplast, Elastoplast, and Florena. The other business segment markets self-adhesive system and product solutions, primarily for industrial customers, under the Tesa brand. Beiersdorf is majority-owned by Maxingvest.</t>
  </si>
  <si>
    <t>beauty care, beauty care product, beauty cream, personal care, personal care product, skincare</t>
  </si>
  <si>
    <t>www.beiersdorf.com</t>
  </si>
  <si>
    <t>2008: 21766, 2010: 21695, 2011: 18877, 2012: 17897, 2013: 16708, 2014: 17398, 2015: 17881, 2016: 17934, 2017: 18934, 2018: 20059, 2019: 20213, 2020: 20466</t>
  </si>
  <si>
    <t>BEI</t>
  </si>
  <si>
    <t>191467-99P</t>
  </si>
  <si>
    <t>Dessi Temperley</t>
  </si>
  <si>
    <t>Group Chief Financial Officer &amp; Member of the Executive Board</t>
  </si>
  <si>
    <t>dessi.temperley@beiersdorf.com</t>
  </si>
  <si>
    <t>+49 (0)40 4909 0</t>
  </si>
  <si>
    <t>Hamburg, Germany</t>
  </si>
  <si>
    <t>Unnastrasse 48</t>
  </si>
  <si>
    <t>Hamburg</t>
  </si>
  <si>
    <t>20245</t>
  </si>
  <si>
    <t>+49 (0)40 4909 3434</t>
  </si>
  <si>
    <t>kontakt@beiersdorf.com</t>
  </si>
  <si>
    <t>Allianz Vorsorgekasse sold a 40% stake in the company to HGV Hamburger Ges Vermögens und Beteiligungsmanagement, Troma Alters, Maxingvest and Joachim Herz Stiftung for EUR 4.4 billion on December 17, 2003. It has been agreed that 19.6 percent of the company will be acquired by Tchibo Holding, 10.0 percent by HGV Hamburger Gesellschaft für Vermögens- und Beteiligungsverwaltung, Hamburg, 3.0 percent by Troma Alters- und Hinterbliebenen-stiftung, Hamburg.</t>
  </si>
  <si>
    <t>Allianz Vorsorgekasse, HGV Hamburger Ges Vermögens und Beteiligungsmanagement, Joachim Herz Stiftung, Troma Alters</t>
  </si>
  <si>
    <t>Maxingvest</t>
  </si>
  <si>
    <t>Allianz Vorsorgekasse(www.allianzvk.at), HGV Hamburger Ges Vermögens und Beteiligungsmanagement(www.hgv.hamburg.de), Joachim Herz Stiftung(www.joachim-herz-stiftung.de)</t>
  </si>
  <si>
    <t>Engage Innovate(Consulting), Ignore Gravity(Consulting), Pedersen &amp; Partners(Consulting), Radian (Tennessee)(Advisor: General), REL Consultancy(Consulting), Simon-Kucher &amp; Partners(Consulting)</t>
  </si>
  <si>
    <t>53499-25</t>
  </si>
  <si>
    <t>ATI Technologies</t>
  </si>
  <si>
    <t>Array Technology Inc.</t>
  </si>
  <si>
    <t>ATI</t>
  </si>
  <si>
    <t>ATI Technologies, Inc.</t>
  </si>
  <si>
    <t>Nvidia, Advanced Micro Devices</t>
  </si>
  <si>
    <t>Designer, marketer and seller of graphics accelerators and multimedia solutions. The company is a semiconductor technology corporation that specializes in the development of graphic processing units and chipsets.</t>
  </si>
  <si>
    <t>chipsets, graphics accelerator, graphics processing</t>
  </si>
  <si>
    <t>1998: 1477, 1999: 1857, 2000: 1857, 2001: 2032, 2002: 1900, 2003: 2200, 2004: 2700, 2005: 3469</t>
  </si>
  <si>
    <t>147522-61P</t>
  </si>
  <si>
    <t>Dave Orto</t>
  </si>
  <si>
    <t>Chief Operating Officer &amp; President</t>
  </si>
  <si>
    <t>Markham, Canada</t>
  </si>
  <si>
    <t>55 Commerce Valley Drive West</t>
  </si>
  <si>
    <t>Markham</t>
  </si>
  <si>
    <t>L3T 7V9</t>
  </si>
  <si>
    <t>The company was acquired by Advanced Micro Devices (NASDAQ: AMD) for $5.3 billion on October 25, 2006. The company is no longer actively tracked by PitchBook.</t>
  </si>
  <si>
    <t>Credit Suisse(Advisor: General), Genuity Capital Markets(Advisor: General), Shearman &amp; Sterling(Legal Advisor), Wilson Sonsini Goodrich &amp; Rosati(Legal Advisor)</t>
  </si>
  <si>
    <t>51196-51</t>
  </si>
  <si>
    <t>Cloudera (NYS: CLDR)</t>
  </si>
  <si>
    <t>Cloudera, Inc.</t>
  </si>
  <si>
    <t>Salesforce.com, Anaplan, Workday, Fastly, ServiceNow, Domo, Panoply (Database Software), Cambridge Semantics, Logi Analytics, Xplenty, Alooma, Qubole, Hortonworks, Astronomer, MarkLogic, Altiscale, Periscope Data, Incorta, MapR, Chartio, Platfora, SingleStore, Kx Systems, BIME Analytics, Paxata, Kinetica, ScyllaDB, Pentaho, Fauna, Logentries.com, Precisely (New York), Redis Labs, SnapLogic, InfluxData, Splunk, Yellowbrick Data, Ostrato, Tamr, SecureAuth, Databricks, Emcien, Talend, OmniSci, Vertica, Striim, Snowflake, Diamanti, Inspur Cloud, Confluent, Progress Software, Logmatic.io, Eventador.io, Board International, Tectonic (Business/Productivity Software), Dynatrace, Scalr, ScaleBase, StudyStream, Pure Storage, Cherwell Software, Dataiku, Zoomdata, Information Builders, Izenda, Klipfolio, BMC Software, Morpheus Data, Ping Identity, SQLstream, OneLogin, Cockroach Labs, NuoDB, Nutanix, DataTorrent, Looker, DataStax, MuleSoft, Loggly, Apcera, Microsoft, Extreme Networks, Notion Data, ThoughtSpot, Workwise, Velostrata, SAP, Qlik Technologies, Informatica, Urchin Software, Boomi, Micro Focus International, Inspur Group, Egenera, MariaDB, RJMetrics, Logz.io, Digital Reasoning, Trifacta, Streamlio, Apprenda, Rancher Labs, Aerospike, Zendesk, Vaadin, Iguazio, Pivotal Software, StreamSets, Domino Data Lab, GoodData, Amazon Web Services, The MathWorks, Sumo Logic, Riversand, Automic Software, Microsoft Visio, Predixion, Cloakware, VoltDB, Sight Machine, Tesseract Software, SkyKick, Aruba Networks, SAS Institute, Ververica, TIBCO Software, Socrata, Correlata Solutions, Riverbed Technology, Datameer, Apache.com.au, Element AI, ScienceLogic, MongoDB, Couchbase, CA Technologies, VMware, Datascience.com, RapidMiner, Infor Global Solutions, Zoho Corporation, Oracle NetSuite, Sinequa, RightScale, Actian, NICE Systems, SparkCognition, BigML, Verimatrix, Uptake, Infer, CognitiveScale, Symphony AyasdiAI, Pegasystems, Wolfram Research, Infinite Analytics, Distrix</t>
  </si>
  <si>
    <t>Cloudera Inc is an enterprise data cloud company. It sells software subscriptions and public cloud services for the Cloudera Data Platform (CDP) solution-set and software subscriptions for its traditional on-premises data platforms. Subscriptions include software access rights and technical support. It also provides professional services for the implementation and use of software subscriptions, machine learning expertise and consultation, training and education services. Its offerings are based predominantly on open source software, utilizing data stored natively in public cloud object stores as well as in various open source data stores. It licenses its products under a open source licensing model based on the Apache Software License (ASL) and the Affero General Public License (AGPL).</t>
  </si>
  <si>
    <t>Database Software</t>
  </si>
  <si>
    <t>Business/Productivity Software, Database Software*</t>
  </si>
  <si>
    <t>Artificial Intelligence &amp; Machine Learning, Big Data, Internet of Things, SaaS, TMT</t>
  </si>
  <si>
    <t>analytics platform, big data software, data analysis application, data management, data processing application, data system</t>
  </si>
  <si>
    <t>www.cloudera.com</t>
  </si>
  <si>
    <t>2015: 1000, 2016: 1400, 2017: 1470, 2018: 1648, 2019: 2947, 2020: 2765, 2021: 2728</t>
  </si>
  <si>
    <t>CLDR</t>
  </si>
  <si>
    <t>33913-00P</t>
  </si>
  <si>
    <t>Jim Frankola</t>
  </si>
  <si>
    <t>jim@cloudera.com</t>
  </si>
  <si>
    <t>+1 (650) 362-0488</t>
  </si>
  <si>
    <t>5470 Great America Parkway</t>
  </si>
  <si>
    <t>+1 (888) 789-1488</t>
  </si>
  <si>
    <t>info@cloudera.com</t>
  </si>
  <si>
    <t>The company entered into a definitive agreement to be acquired by Clayton, Dubilier &amp; Rice and Kohlberg Kravis Roberts through an estimated $5.3 billion public-to-private LBO on June 1, 2021. J.P. Morgan, Bank of America, and KKR Capital Markets have committed to providing debt financing for the transaction. Previously, the company (NYS: CLDR) repurchased 26 million shares from Intel Capital for $314.1 amount on December 23, 2020. The company is being actively tracked by PitchBook.</t>
  </si>
  <si>
    <t>Accel, ADS Ventures, American Funds Insurance Series, Ascolta Ventures, Canas Capital, Caterina Fake, DAG Ventures, Diane Greene, Fidelity Investments, Firsthand Technology Value Fund, Gideon Yu, Glynn Capital, Greylock Partners, GV, Harris Barton, Ignition Partners, In-Q-Tel, Intel Capital, Jeffrey Weiner, John Hancock Investments, Jonathan Heiliger, Karl Jacob, Manhattan Venture Partners, MassMutual Financial Group, MD Pham, Meritech Capital Partners, MicroVentures, MSD Capital, Newbury Ventures, Next Play Ventures, Oceanic Partners, Open Field Capital, Rafael Pinedo, Rising Tide Fund, SharesPost, Surender Punia, T. Rowe Price, Texas Atlantic Capital, The Capital Group Companies, The Hartford Financial Services Group, The Vanguard Group, USAA Corporate Development, Vaidya Capital Partners, Variable Annuity Life Insurance Company, Vertex Ventures US</t>
  </si>
  <si>
    <t>Clayton, Dubilier &amp; Rice, Kohlberg Kravis Roberts</t>
  </si>
  <si>
    <t>Accel(www.accel.com), ADS Ventures(www.ads-ventures.com), American Funds Insurance Series(www.americanfunds.com), Ascolta Ventures(www.ascoltavc.com), Canas Capital(www.canascapital.com), Caterina Fake(www.caterina.net), DAG Ventures(www.dagventures.com), Fidelity Investments(www.fidelity.com), Firsthand Technology Value Fund(www.firsthandtvf.com), Glynn Capital(www.glynncapital.com), Greylock Partners(www.greylock.com), GV(www.gv.com), Ignition Partners(www.ignition.vc), In-Q-Tel(www.iqt.org), Intel Capital(www.intelcapital.com), John Hancock Investments(jhinvestments.com), Manhattan Venture Partners(www.mvp.vc), MassMutual Financial Group(www.massmutual.com), Meritech Capital Partners(www.meritechcapital.com), MicroVentures(www.microventures.com), MSD Capital(www.msdcapital.com), Newbury Ventures(www.newburyven.com), Next Play Ventures(www.nextplayventures.com), Oceanic Partners(www.oceanic.us), Open Field Capital(www.ofcap.com), Rising Tide Fund(www.rtf.vc), SharesPost(www.sharespost.com), T. Rowe Price(www.troweprice.com), Texas Atlantic Capital(www.ta.capital), The Capital Group Companies(www.capitalgroup.com), The Hartford Financial Services Group(www.thehartford.com), The Vanguard Group(www.vanguard.com), USAA Corporate Development(www.usaacorpdev.com), Vaidya Capital Partners(www.vaidyacapital.com), Vertex Ventures US(www.vertexventures.com/us)</t>
  </si>
  <si>
    <t>Clayton, Dubilier &amp; Rice(www.cdr-inc.com), Kohlberg Kravis Roberts(www.kkr.com)</t>
  </si>
  <si>
    <t>Sequoia Consulting Group(Consulting)</t>
  </si>
  <si>
    <t>Allen &amp; Company(Advisor: General), Bank of America(Debt Financing), Bank of America Merrill Lynch(Underwriter), Citigroup Global Markets(Underwriter), DBO Partners(Advisor: General), Deutsche Bank Securities(Underwriter), EY(Accounting), Fenwick &amp; West(Legal Advisor), J.P. Morgan Securities(Underwriter), JMP Securities(Underwriter), KKR Capital Markets(Placement Agent), Latham &amp; Watkins(Legal Advisor), Morgan Stanley(Underwriter), Perkins Coie(Legal Advisor), Raymond James Financial(Underwriter), Stifel Financial(Underwriter)</t>
  </si>
  <si>
    <t>41325-49</t>
  </si>
  <si>
    <t>Covanta (NYS: CVA)</t>
  </si>
  <si>
    <t>Ogden Corporation</t>
  </si>
  <si>
    <t>Covanta Holding Corporation</t>
  </si>
  <si>
    <t>Advanced Disposal, EEW Energy from Waste, n2 Integrated Energy Solutions (Certain Assets)</t>
  </si>
  <si>
    <t>Covanta Holding Corp is a holding company engaged in the businesses of waste and energy services. It is engaged in the conversion of waste to energy, as well as other waste disposal and renewable energy production businesses. The firm generates its income in the form of waste and service revenue, energy revenue, recycled metals revenue, and other operating income. Geographically, the company operates in the United States.</t>
  </si>
  <si>
    <t>Energy Production, Environmental Services (B2B)*</t>
  </si>
  <si>
    <t>CleanTech</t>
  </si>
  <si>
    <t>energy from waste facility, recycling facility, sustainable waste, waste management, waste processing facility</t>
  </si>
  <si>
    <t>www.covanta.com</t>
  </si>
  <si>
    <t>1991: 179, 1992: 228, 1993: 230, 1994: 264, 1995: 232, 1996: 152, 1997: 159, 1998: 155, 1999: 138, 2000: 156, 2001: 117, 2002: 4030, 2003: 3800, 2004: 1837, 2005: 3600, 2006: 3300, 2007: 3500, 2008: 3700, 2009: 4100, 2010: 4100, 2011: 3700, 2012: 3500, 2013: 3500, 2014: 3500, 2015: 3800, 2016: 3600, 2017: 3700, 2018: 4000, 2019: 4000, 2020: 4000, 2021: 2102</t>
  </si>
  <si>
    <t>CVA</t>
  </si>
  <si>
    <t>58195-54P</t>
  </si>
  <si>
    <t>Bradford Helgeson</t>
  </si>
  <si>
    <t>bhelgeson@covanta.com</t>
  </si>
  <si>
    <t>+1 (862) 345-5000</t>
  </si>
  <si>
    <t>Morristown, NJ</t>
  </si>
  <si>
    <t>445 South Street</t>
  </si>
  <si>
    <t>Morristown</t>
  </si>
  <si>
    <t>07960</t>
  </si>
  <si>
    <t>info@covanta.com</t>
  </si>
  <si>
    <t>The company entered into a definitive agreement to be acquired by EQT through a $5.3 billion public-to-private LBO on July 14, 2021. Previously, the company was acquired by Equity Group Investments through a $541 million LBO on March 10, 2004. The company is being actively tracked by PitchBook.</t>
  </si>
  <si>
    <t>EQT, Kohlberg Kravis Roberts</t>
  </si>
  <si>
    <t>EQT(www.eqtgroup.com), Kohlberg Kravis Roberts(www.kkr.com)</t>
  </si>
  <si>
    <t>Avondale Partners(Advisor: General), Banco Bilbao Vizcaya Argentaria(Lead Manager or Arranger), BofA Securities(Lead Manager or Arranger), Capital One Securities(Advisor: General), CIB Bank(Lead Manager or Arranger), Citizens Capital(Lead Manager or Arranger), Credit Agricole(Lead Manager or Arranger), Farella Braun + Martel(Legal Advisor), Fifth Third Bank(Lead Manager or Arranger), FIH Partners(Advisor: General), Hill Ward Henderson(Legal Advisor), HSBC USA(Lead Manager or Arranger), J.P. Morgan(Advisor: General), MUFG Bank(Lead Manager or Arranger), Simpson Thacher &amp; Bartlett(Legal Advisor), SMBC Nikko Securities America(Advisor: General), Truist(Advisor: General)</t>
  </si>
  <si>
    <t>BofA Securities(Lead Manager or Arranger), Chilmark Partners(Advisor: General), Debevoise &amp; Plimpton(Legal Advisor)</t>
  </si>
  <si>
    <t>108728-92</t>
  </si>
  <si>
    <t>Devon OEI Operating</t>
  </si>
  <si>
    <t>Ocean Energy</t>
  </si>
  <si>
    <t>Devon OEI Operating Incorporation</t>
  </si>
  <si>
    <t>Devon OEI Operating, Inc.</t>
  </si>
  <si>
    <t>Provider of oil and gas exploration services. The company's services include oil extraction, natural gas extraction, oil production and other related services.</t>
  </si>
  <si>
    <t>gas exploration service, gas production, natural gas extraction, oil exploration service, oil production</t>
  </si>
  <si>
    <t>www.oceanenergy.com</t>
  </si>
  <si>
    <t>The company was acquired by Devon Energy (NYS: DVN) for $5.3 billion on April 25, 2003. The acquisition creates a balanced portfolio with North American and international assets, increased oil and gas production capabilities and greater internal growth opportunities through an active exploration program. The company is no longer actively tracked by PitchBook.</t>
  </si>
  <si>
    <t>85164-31</t>
  </si>
  <si>
    <t>Gulfstream Aerospace</t>
  </si>
  <si>
    <t>Gulfstream American</t>
  </si>
  <si>
    <t>Gulfstream, Gulfstream Aero</t>
  </si>
  <si>
    <t>Gulfstream Aerospace Corporation</t>
  </si>
  <si>
    <t>MD Helicopters, StandardAero, Spike Aerospace, Collins Aerospace, Embraer, Airbus, Spirit AeroSystems Holdings, Triumph Group, Mitsubishi Aircraft, Boeing, Airbus Group, Fokker Technologies, Advanced Integration Technology, Textron, Pratt &amp; Whitney, GE Aviation, Griffon Aerospace, Pacific Aerospace, Korea Aerospace Industries, Air Tractor, Bombardier, ATR, Safran Group, Thrush Aircraft, SpaceX, Northrop Grumman, Sikorsky Aircraft, Lockheed Martin, Ascent Aerospace, GippsAero, Orbital Sciences, BAE Systems</t>
  </si>
  <si>
    <t>Gulfstream Aerospace is a designer and manufacturer of business jet aircraft. The company designs develops, manufactures, markets and services business and personal aircraft in the United States, through the use of advanced technologies, providing clients with unmatched global product support and service at affordable prices.</t>
  </si>
  <si>
    <t>Aerospace and Defense*, Air</t>
  </si>
  <si>
    <t>aircraft designer, aircraft developer, aircraft manufacturer, aircraft manufacturing, jet aircraft, personal aircraft</t>
  </si>
  <si>
    <t>www.gulfstream.com</t>
  </si>
  <si>
    <t>2018: 16000, 2019: 18000</t>
  </si>
  <si>
    <t>67737-97P</t>
  </si>
  <si>
    <t>Jeannine Haas</t>
  </si>
  <si>
    <t>jeannine.haas@gulfstream.com</t>
  </si>
  <si>
    <t>Savannah, GA</t>
  </si>
  <si>
    <t>500 Gulfstream Road</t>
  </si>
  <si>
    <t>Mail Stop B-06</t>
  </si>
  <si>
    <t>Savannah</t>
  </si>
  <si>
    <t>31408</t>
  </si>
  <si>
    <t>info@gulfstream.com</t>
  </si>
  <si>
    <t>The company was acquired by General Dynamics (NYS: GD) for $5.3 billion on July 30, 1999.</t>
  </si>
  <si>
    <t>FCA US, Forstmann Little &amp; Co.</t>
  </si>
  <si>
    <t>10216-45</t>
  </si>
  <si>
    <t>Heller Financial</t>
  </si>
  <si>
    <t>Heller Financial, Inc.</t>
  </si>
  <si>
    <t>Provider of financial products and services. The company offers commercial finance, equipment leasing, real estate finance, corporate financing, equipment financing and aviation financing.</t>
  </si>
  <si>
    <t>commercial finance, corporate financing, energy financing</t>
  </si>
  <si>
    <t>www.hellerfinancial.com</t>
  </si>
  <si>
    <t>1994: 1228, 1997: 2344, 1998: 2714, 1999: 2695, 2000: 2514</t>
  </si>
  <si>
    <t>500 West Monroe Street</t>
  </si>
  <si>
    <t>Floor 44</t>
  </si>
  <si>
    <t>The company was acquired by General Electric Capital for $ 5300 million on October 25, 2001. The company is no longer actively tracked by PitchBook.</t>
  </si>
  <si>
    <t>Kepper, Tupper and Company(Advisor: General), Mann, Armistead &amp; Epperson(Advisor: General)</t>
  </si>
  <si>
    <t>65643-85</t>
  </si>
  <si>
    <t>Hexal</t>
  </si>
  <si>
    <t>Hexal Chemie GmbH &amp; Co. KG</t>
  </si>
  <si>
    <t>Hexal AG</t>
  </si>
  <si>
    <t>Provider of medicinal products based in Holzkirchen, Germany.</t>
  </si>
  <si>
    <t>allergy, brain and nerve, mecines, oncology, patient counselling</t>
  </si>
  <si>
    <t>www.hexal.de</t>
  </si>
  <si>
    <t>50196-43P</t>
  </si>
  <si>
    <t>Helmut Jeggle</t>
  </si>
  <si>
    <t>Head, Global Controlling</t>
  </si>
  <si>
    <t>helmut@vanguard.de</t>
  </si>
  <si>
    <t>+43 (0)1 798 1575 300</t>
  </si>
  <si>
    <t>Holzkirchen, Germany</t>
  </si>
  <si>
    <t>Industriestrasse 25</t>
  </si>
  <si>
    <t>Holzkirchen</t>
  </si>
  <si>
    <t>83607</t>
  </si>
  <si>
    <t>+49 (0)80 2490 80</t>
  </si>
  <si>
    <t>+49 (0)80 2490 8290</t>
  </si>
  <si>
    <t>The company was acquired by Novartis (SWX: NOVN) for $5.3 billion on February 21, 2005.</t>
  </si>
  <si>
    <t>10152-19</t>
  </si>
  <si>
    <t>NGP</t>
  </si>
  <si>
    <t>Natural Gas Partners</t>
  </si>
  <si>
    <t>NGP Energy Capital Management, LLC</t>
  </si>
  <si>
    <t>Provider of private equity investment services intended for growth of companies. The company's private equity investment services include direct equity investments in the energy sector, enabling the companies to get support and resources</t>
  </si>
  <si>
    <t>Private Equity*</t>
  </si>
  <si>
    <t>directing equity, private equity firm, private equity investment</t>
  </si>
  <si>
    <t>www.ngpenergycapital.com</t>
  </si>
  <si>
    <t>121555-27P</t>
  </si>
  <si>
    <t>Brian Patterson</t>
  </si>
  <si>
    <t>Partner, Investor Relations</t>
  </si>
  <si>
    <t>bpatterson@ngptrs.com</t>
  </si>
  <si>
    <t>+1 (972) 432-1440</t>
  </si>
  <si>
    <t>2850 North Harwood Street</t>
  </si>
  <si>
    <t>19th Floor</t>
  </si>
  <si>
    <t>+1 (972) 432-1441</t>
  </si>
  <si>
    <t>inquiries@ngptrs.com</t>
  </si>
  <si>
    <t>The company was in talks to receive $5.3 billion of financing from an undisclosed investor on July 10, 2017. Subsequently the deal was cancelled. Previously, the company was acquired by The Carlyle Group (NAS: CG) for an undisclosed amount on January 1, 2015. Post this transaction, The Carlyle Group holds a 55% stake in the company.</t>
  </si>
  <si>
    <t>Global Natural Resource Investments</t>
  </si>
  <si>
    <t>Global Natural Resource Investments(www.gnri.com)</t>
  </si>
  <si>
    <t>Chadbourne &amp; Parke(Legal Advisor), Cliffwater(LP Consultant: General), Gleacher and Company(Advisor: General), Kirkland &amp; Ellis(Legal Advisor), Locke Lord(Legal Advisor), Merrill Lynch Pierce Fenner &amp; Smith(Placement Agent), Pearson Partners International(Consulting), Shearman &amp; Sterling(Legal Advisor), Sullivan &amp; Cromwell(Legal Advisor), Thompson &amp; Knight(Legal Advisor), Vinson &amp; Elkins(Legal Advisor), Willkie Farr &amp; Gallagher(Legal Advisor)</t>
  </si>
  <si>
    <t>10494-19</t>
  </si>
  <si>
    <t>ProQuest (United States)</t>
  </si>
  <si>
    <t>ProQuest Information and Learning, ProQuest CSA, Bell &amp; Howell Company, Bell &amp; Howell Information and Learning</t>
  </si>
  <si>
    <t>ProQuest</t>
  </si>
  <si>
    <t>ProQuest LLC</t>
  </si>
  <si>
    <t>Taylor &amp; Francis Group, Springer Nature, Cengage Learning, ebrary, EBSCO Information Services</t>
  </si>
  <si>
    <t>Developer of databases comprising of periodicals, newspapers, dissertations, out-of-print books and other scholarly information. The company's databases are precise and allow serious research of virtually any research topic from multiple perspectives and across multiple formats as well as streamline research routines with automated bibliographic support and document management for the students, scholars and librarians.</t>
  </si>
  <si>
    <t>Educational Software</t>
  </si>
  <si>
    <t>Educational and Training Services (B2C), Educational Software*, Publishing</t>
  </si>
  <si>
    <t>SaaS</t>
  </si>
  <si>
    <t>books, dissertation, information service, newspaper, newspaper publication, periodicals, premium database</t>
  </si>
  <si>
    <t>www.proquest.com</t>
  </si>
  <si>
    <t>2007: 320, 2021: 2133</t>
  </si>
  <si>
    <t>12216-25P</t>
  </si>
  <si>
    <t>Matti Shem-Tov</t>
  </si>
  <si>
    <t>+1 (734) 761-4700</t>
  </si>
  <si>
    <t>789 East Eisenhower Parkway</t>
  </si>
  <si>
    <t>info@proquest.com</t>
  </si>
  <si>
    <t>The company reached a definitive agreement to be acquired by Clarivate Analytics (NYS: CLVT) for $5.3 billion on May 17, 2021. The consideration for the acquisition is approximately $4.0 billion in cash and $1.3 billion of equity. As a part of the transaction, Clarivate has secured a fully committed bridge facility of $4 billion from Citi and Goldman Sachs &amp; Co. LLC, which it intends to obtain before the closing of the transaction. Previously, the company received debt financing in the form of an incremental term loan credit facility from undisclosed lenders on 12 December, 2019. The company is being actively tracked by PitchBook.</t>
  </si>
  <si>
    <t>Atairos, Cambridge Information Group, The Goldman Sachs Group</t>
  </si>
  <si>
    <t>ABRY Partners</t>
  </si>
  <si>
    <t>Clarivate Analytics</t>
  </si>
  <si>
    <t>Atairos(www.atairos.com), Cambridge Information Group(www.cig.com), The Goldman Sachs Group(www.goldmansachs.com)</t>
  </si>
  <si>
    <t>ABRY Partners(www.abry.com)</t>
  </si>
  <si>
    <t>Clarivate Analytics(www.clarivate.com)</t>
  </si>
  <si>
    <t>STM Advisers(Advisor: General), WM Smith &amp; Co.(Advisor: General)</t>
  </si>
  <si>
    <t>Bank of America(Debt Financing), Capital One Financial(Debt Financing), CapM(Advisor: General), Cayman Islands(Debt Financing), Credit Suisse(Debt Financing), Evercore Group(Advisor: General), Fried, Frank, Harris, Shriver &amp; Jacobson(Legal Advisor), Goldman Sachs Specialty Lending Group(Debt Financing), Invesco(Advisor: General), JPMorgan Chase(Debt Financing), Main Street Capital(Debt Financing), Morgan Stanley(Debt Financing), Morgan Stanley(Advisor: General), New Mountain Finance(Debt Financing), Oxford Square Capital(Debt Financing), PennantPark Investment(Debt Financing), Sonenshine Partners(Advisor: General), The Goldman Sachs Group(Debt Financing), The Goldman Sachs Group(Advisor: General), UBS Group(Advisor: General)</t>
  </si>
  <si>
    <t>122250-43</t>
  </si>
  <si>
    <t>Lake Acquisitions</t>
  </si>
  <si>
    <t>Lake Acquisitions Ltd.</t>
  </si>
  <si>
    <t>Operator of a holding company. The company's activities include managing and operating 15 nuclear reactors in eight nuclear power stations with a total capacity of 8.9 gigawatt, enabling the citizens of UK to get a consistent supply of electricity.</t>
  </si>
  <si>
    <t>Energy Production, Holding Companies*</t>
  </si>
  <si>
    <t>electricity generator, holding company operator, nuclear reactor, power station</t>
  </si>
  <si>
    <t>120873-43P</t>
  </si>
  <si>
    <t>Daniel Camus</t>
  </si>
  <si>
    <t>SW1X 7EN</t>
  </si>
  <si>
    <t>China General Nuclear Power was in talks to acquire a 49% stake in the company for GBP 4 million on July 8, 2018. Subsequently the deal was canceled.</t>
  </si>
  <si>
    <t>Centrica, Électricité de France</t>
  </si>
  <si>
    <t>China General Nuclear Power</t>
  </si>
  <si>
    <t>Centrica(www.centrica.com), Électricité de France(www.edf.fr)</t>
  </si>
  <si>
    <t>China General Nuclear Power(en.cgnpc.com.cn)</t>
  </si>
  <si>
    <t>41065-12</t>
  </si>
  <si>
    <t>Health Net</t>
  </si>
  <si>
    <t>Foundation Health Systems, Health Systems International</t>
  </si>
  <si>
    <t>Health Net, LLC.</t>
  </si>
  <si>
    <t>Aetna, Navitus Health Solutions, Molina Healthcare, Cardinal Innovations Healthcare, Beacon Health Options, Universal American, Geisinger Health System, UnitedHealth Group, Prime Therapeutics, Optum, Express Scripts, Blue Shield of California, Oscar, Liberty Dental Plan, Anthem</t>
  </si>
  <si>
    <t>Provider of managed healthcare services through health plans and government-sponsored managed care plans. The company offers behavioral health, substance abuse and employee assistance programs, managed health care products related to prescription drugs, product coordination for multi-region employers, and administrative services for medical groups and self-funded benefits programs, helping people be healthy, secure and comfortable.</t>
  </si>
  <si>
    <t>behavioral healthcare program, health insurance service, managed health care, managed health providers, medical insurance</t>
  </si>
  <si>
    <t>www.healthnet.com</t>
  </si>
  <si>
    <t>1990: 509, 1991: 511, 1992: 511, 1993: 511, 1994: 511, 1995: 3500, 1996: 3825, 1997: 15200, 1998: 14000, 1999: 12000, 2000: 11000, 2001: 9800, 2002: 9400, 2003: 9053, 2004: 8569, 2005: 9286, 2006: 10068, 2007: 10228, 2008: 9646, 2009: 8922, 2010: 8169, 2011: 7471, 2012: 7378, 2013: 7659, 2014: 8014, 2015: 76544, 2018: 3000, 2019: 3000, 2020: 3000, 2021: 3000</t>
  </si>
  <si>
    <t>250408-63P</t>
  </si>
  <si>
    <t>Garrett Leaf</t>
  </si>
  <si>
    <t>garrett.leaf@healthnet.com</t>
  </si>
  <si>
    <t>21650 Oxnard Street</t>
  </si>
  <si>
    <t>Woodland Hills</t>
  </si>
  <si>
    <t>91367</t>
  </si>
  <si>
    <t>The company was acquired by Centene (NYS: CNC) for $5.287 billion on March 24, 2016. The total consideration for the acquisition was $5,297 million, consisting of Centene common shares valued at $3,038 million, $2,247 million in cash, and $2 million related to the fair value adjustment to stock-based compensation associated with pre-combination service. The deal will strengthen Centene's presence in the California Medicaid program, which is the country's largest with more than 12 million individuals. The company is no longer actively tracked by PitchBook.</t>
  </si>
  <si>
    <t>Madison Parker Capital</t>
  </si>
  <si>
    <t>Madison Parker Capital(www.madisonparkercapital.com)</t>
  </si>
  <si>
    <t>Accend Group(Consulting), Crowell &amp; Moring(Legal Advisor), Insurance Lounge(Advisor: General), Wigmore Insurance Agency(General Insurance)</t>
  </si>
  <si>
    <t>Cravath, Swaine &amp; Moore(Legal Advisor), J.P. Morgan(Advisor: General), Mackenzie Partners(Advisor: General), Morgan Lewis(Legal Advisor), Morris, Nichols, Arsht &amp; Tunnell(Legal Advisor), Sidley Austin(Legal Advisor)</t>
  </si>
  <si>
    <t>63220-33</t>
  </si>
  <si>
    <t>Novartis Animal Health</t>
  </si>
  <si>
    <t>Novartis Animal Health, Inc.</t>
  </si>
  <si>
    <t>Producer of pet and farm animal health products. The company provides treatments for pet ailments, therapeutic products for farm animals and other pet health products.</t>
  </si>
  <si>
    <t>Other Healthcare</t>
  </si>
  <si>
    <t>Other Healthcare*</t>
  </si>
  <si>
    <t>health product, pet health, pet therapeutic product, pet treatment</t>
  </si>
  <si>
    <t>www.ah.novartis.com</t>
  </si>
  <si>
    <t>2014: 3000, 2015: 3000, 2020: 3000</t>
  </si>
  <si>
    <t>Schwarzwaldallee 215</t>
  </si>
  <si>
    <t>The company was acquired by Eli Lilly (NYSE: LLY) for approximately $5.28 billion on January 1, 2015. The company is no longer actively tracked by PitchBook.</t>
  </si>
  <si>
    <t>Posse Herrera &amp; Ruiz(Legal Advisor)</t>
  </si>
  <si>
    <t>152092-36</t>
  </si>
  <si>
    <t>Fadesa Inmobiliaria</t>
  </si>
  <si>
    <t>Urbanizadora Inmobiliaria Fadese</t>
  </si>
  <si>
    <t>Fadesa</t>
  </si>
  <si>
    <t>Fadesa Inmobiliaria SA</t>
  </si>
  <si>
    <t>Provider of real estate development services Coruna, Spain. The company is engaged in the promotion, development and leasing of property.</t>
  </si>
  <si>
    <t>apartments leasing, real estate development, reit</t>
  </si>
  <si>
    <t>www.fadesa.es</t>
  </si>
  <si>
    <t>Martinsa Fadesa</t>
  </si>
  <si>
    <t>228137-95P</t>
  </si>
  <si>
    <t>Antonio Pardo</t>
  </si>
  <si>
    <t>apardo@fadesa.es</t>
  </si>
  <si>
    <t>+34 98 117 9200</t>
  </si>
  <si>
    <t>Coruna, Spain</t>
  </si>
  <si>
    <t>Edificio Fadesa</t>
  </si>
  <si>
    <t>Av Alfonso Molina S/n</t>
  </si>
  <si>
    <t>Coruna</t>
  </si>
  <si>
    <t>15008</t>
  </si>
  <si>
    <t>+34 98 117 0050</t>
  </si>
  <si>
    <t>The company was acquired by Martinsa Fadesa for $4B Euros on January, 2007.</t>
  </si>
  <si>
    <t>416549-71</t>
  </si>
  <si>
    <t>Philips Domestic Appliances</t>
  </si>
  <si>
    <t>(Philips) Household appliances division</t>
  </si>
  <si>
    <t>Retailer of household appliances. The company offers appliances such as coffee machines, air purifiers and air fryers for clients say to day use.</t>
  </si>
  <si>
    <t>air fryers, air purifier, coffee machine, household appliances provider, household goods, household product</t>
  </si>
  <si>
    <t>2021: 7000</t>
  </si>
  <si>
    <t>Philips</t>
  </si>
  <si>
    <t>226261-09P</t>
  </si>
  <si>
    <t>Henk de Jong</t>
  </si>
  <si>
    <t>+31 (0)20 597 7777</t>
  </si>
  <si>
    <t>Philips Center</t>
  </si>
  <si>
    <t>P.O. Box 77900</t>
  </si>
  <si>
    <t>1070 MX</t>
  </si>
  <si>
    <t>Philips has entered into a definitive agreement to sell its domestic appliances business to Hillhouse Capital Group through an estimated EUR 4.4 billion LBO on March 25, 2021. Philips expects to receive cash proceeds after tax and transaction-related costs of approximately EUR 3 billion and additionally a 15-year brand license agreement has been signed with annual payments that represent an estimated net present value of approximately EUR 0.7 billion. The business unit is being actively tracked by PitchBook.</t>
  </si>
  <si>
    <t>Philips(www.philips.com)</t>
  </si>
  <si>
    <t>16436-62</t>
  </si>
  <si>
    <t>G4S (UK)</t>
  </si>
  <si>
    <t>København Frederiksberg Nattevagt, Group 4 Securicor, Falck</t>
  </si>
  <si>
    <t>G4S</t>
  </si>
  <si>
    <t>G4S PLC</t>
  </si>
  <si>
    <t>Tops Security, Landmark Protection, Allied Universal, Securitas, AlliedBarton Security Services, Triple Canopy, Bedrock Protection Agency, FAM International Security, APG Security, Prosegur Compañia de Seguridad, GardaWorld, ISS World Services, Guardsmark, Security Engineers, Maco Transportadora de Caudales, Loomis</t>
  </si>
  <si>
    <t>G4S is a multinational security services company and constituent of the FTSE 250 Index. The company was formed through a series of large mergers, most notably in 2004 when British Securicor and Danish Group 4 Falck merged. G4S is now the world's largest security company and has operations in around 90 countries. With over 550,000 employees, it is also the world's third- largest private employer. The company offers a range of services from the supply of security personnel and response units to risk consulting and prison management.</t>
  </si>
  <si>
    <t>Security Services (B2B)*</t>
  </si>
  <si>
    <t>cash management, cctv, fire detection, intruder alarm, monitoring, security product, security services</t>
  </si>
  <si>
    <t>www.g4s.com</t>
  </si>
  <si>
    <t>2004: 306313, 2005: 395768, 2006: 440125, 2007: 507477, 2008: 561873, 2009: 592961, 2010: 616323, 2011: 639901, 2012: 648251, 2013: 629135, 2014: 631462, 2015: 611363, 2016: 600000, 2017: 570000, 2018: 560000, 2019: 557990, 2020: 533000, 2021: 533000</t>
  </si>
  <si>
    <t>Allied Universal</t>
  </si>
  <si>
    <t>62333-74P</t>
  </si>
  <si>
    <t>Ashley Almanza</t>
  </si>
  <si>
    <t>ashley.almanza@g4s.com</t>
  </si>
  <si>
    <t>+44 (0)20 8770 7000</t>
  </si>
  <si>
    <t>5th Floor, Southside</t>
  </si>
  <si>
    <t>105 Victoria Street</t>
  </si>
  <si>
    <t>SW1E 6QT</t>
  </si>
  <si>
    <t>enquiries@g4s.com</t>
  </si>
  <si>
    <t>The company was acquired by Allied Universal, via its financial sponsors Bank J. Safra Sarasin, Caisse de dépôt et placement du Québec, Stags Participations and Warburg Pincus, through a GBP 3.8 billion LBO on April 5, 2021.</t>
  </si>
  <si>
    <t>BlackRock, Cevian Capital, Invesco</t>
  </si>
  <si>
    <t>Bank J. Safra Sarasin, Caisse de dépôt et placement du Québec, GardaWorld, Kohlberg Kravis Roberts, Stags Participations, Warburg Pincus</t>
  </si>
  <si>
    <t>BlackRock(www.blackrock.com), Cevian Capital(www.ceviancapital.com), Invesco(www.invesco.com)</t>
  </si>
  <si>
    <t>Bank J. Safra Sarasin(www.jsafrasarasin.ch), Caisse de dépôt et placement du Québec(www.cdpq.com), GardaWorld(www.garda.com), Kohlberg Kravis Roberts(www.kkr.com), Stags Participations(www.stags.fr), Warburg Pincus(www.warburgpincus.com)</t>
  </si>
  <si>
    <t>Avila Rodriguez Hernandez Mena &amp; Garro(Legal Advisor), Carpedia International(Consulting), Decision Analytics(Advisor: General), Green Park(Advisor: General), IMA Corporate Finance(Advisor: General), Maple Capital Advisors(Advisor: General), Numis Securities(Advisor: General), REL Consultancy(Consulting), Sales Talent Agency(Consulting), Vector Partners(Advisor: General)</t>
  </si>
  <si>
    <t>Barclays Investment Bank(Underwriter), Brunswick Group(Advisor: General), Bruun &amp; Hjejle(Legal Advisor), Citigroup(Underwriter), J.P. Morgan(Underwriter), JP Morgan Cazenove(Advisor: General), KPMG Audit(Advisor: General), Lazard(Advisor: General), Linklaters(Legal Advisor), The Goldman Sachs Group(Advisor: General)</t>
  </si>
  <si>
    <t>43056-82</t>
  </si>
  <si>
    <t>Anheuser-Busch</t>
  </si>
  <si>
    <t>Anheuser-Busch Companies, LLC</t>
  </si>
  <si>
    <t>Wicked Weed Brewing, Beam Suntory, Tuthilltown Spirits, Brouwerij Bosteels, Bacardi-Martini, Dr Pepper Snapple Group, Boston Beer Co, Guinness, Obolon, Uinta Brewing, Anchor Brewers &amp; Distillers, Brooklyn Brewery, Palm Belgian Craft Brewers, Chase Distillery, Sleeman Breweries, Castle Brands, Hop Valley Brewing Company, Brown-Forman, Woodinville Whiskey, Adnams, Labatt Brewing Company, Radeberger Exportbierbrauerei, New Belgium Brewing, United Breweries</t>
  </si>
  <si>
    <t>Producer of beer based in Saint Louis, Missouri. The company is engaged in the production and distribution of specialty beers, malt liquors, specialty malt beverages, energy drinks, ale and malt-based products.</t>
  </si>
  <si>
    <t>beer firm, beer maker, beer producer, domestic beer, malt beverages</t>
  </si>
  <si>
    <t>www.anheuser-busch.com</t>
  </si>
  <si>
    <t>1989: 46608, 1990: 45432, 1991: 44836, 1992: 44871, 1993: 43345, 1994: 42622, 1995: 42529, 1996: 25123, 1997: 24326, 1998: 23344, 1999: 23645, 2000: 23725, 2001: 23432, 2002: 23176, 2003: 23316, 2004: 31435, 2005: 31485, 2006: 30183, 2007: 30849, 2016: 16000, 2017: 18000, 2019: 18000, 2020: 18000, 2021: 19000</t>
  </si>
  <si>
    <t>83989-36P</t>
  </si>
  <si>
    <t>Andy Goeler</t>
  </si>
  <si>
    <t>Chief Executive Officer, Anheuser-Busch InBev</t>
  </si>
  <si>
    <t>+1 (314) 577-2000</t>
  </si>
  <si>
    <t>One Busch Place</t>
  </si>
  <si>
    <t>63118</t>
  </si>
  <si>
    <t>+1 (314) 577-2900</t>
  </si>
  <si>
    <t>The company was acquired by Anheuser-Busch InBev (BRU: ABI) for $52.5 billion on November 18, 2008. The company is no longer tracked by PitchBook.</t>
  </si>
  <si>
    <t>Anderson Economic Group(Consulting), Atlas Advisors(Advisor: General), BrandStar(Advisor: Communications), Clarity Consultants(Consulting), Lewis Rice(Legal Advisor), Nilan Johnson Lewis(Legal Advisor), The Audible Group(Consulting), Tonex(Consulting)</t>
  </si>
  <si>
    <t>Bank of America Merrill Lynch(Advisor: General), Citigroup(Advisor: General), Moelis &amp; Company(Advisor: General), Simpson Thacher &amp; Bartlett(Legal Advisor), Skadden, Arps, Slate, Meagher &amp; Flom(Legal Advisor), The Goldman Sachs Group(Advisor: General), UBS Group(Advisor: General)</t>
  </si>
  <si>
    <t>97057-00</t>
  </si>
  <si>
    <t>BioLegend</t>
  </si>
  <si>
    <t>BioLegend Inc.</t>
  </si>
  <si>
    <t>GeneTex, BioVision, Beijing Mabworks Biotech, GenScript, SinocellTech, Apexigen, PeproTech, Aviva Systems Biology, Immunostep, Dynavax Technologies, eBioscience, Kineta, BeiGene, Axol Biosciences, Biological Industries, EpiGentek, Cisbio Bioassays, Proteintech, Advanced Proteome Therapeutics, MBL International, Cellectis, Cellecta, Charles River Laboratories, Karuna Therapeutics, Acris Antibodies, CaroGen, Advanced Cell Diagnostics, Novus Biologicals, OyaGen, GlobeImmune, Zafgen, Novavax, StemCell Technologies, Regenerative Medical Solutions, HumanZyme, Spring Bioscience, Cambrex, AnteoTech, MO BIO Laboratories, Cell Signaling Technology, Cusabio, Etubics, Innovent Biologics, Tonbo Biosciences</t>
  </si>
  <si>
    <t>Operator of a biotechnology company specializing in biomedical antibodies. The company develops antibodies and reagents like flow cytometry, cell biology and functional reagents for research in immunology, cancer research and stem cells research and development, intended to accelerate research and discovery with a diverse set of research areas including immunology, neuroscience, cancer, stem cells, and cell biology.</t>
  </si>
  <si>
    <t>biomedical antibodies, biomedical research, biotech company</t>
  </si>
  <si>
    <t>www.biolegend.com</t>
  </si>
  <si>
    <t>2016: 204, 2019: 500</t>
  </si>
  <si>
    <t>Deal (New) Merger/Acquisition, 2021|Announced/In Progress, Promotion (New) Gene Lay, Founder &amp; Chief Executive Officer &amp; President, News (New) , News (New) , News (New) , News (New) , News (New) , News (New) , News (New) , News (New) , News (New) , News (New) , News (New) , News (New) , News (New) , News (New)</t>
  </si>
  <si>
    <t>77701-87P</t>
  </si>
  <si>
    <t>Gene Lay</t>
  </si>
  <si>
    <t>Founder &amp; Chief Executive Officer &amp; President</t>
  </si>
  <si>
    <t>glay@biolegend.com</t>
  </si>
  <si>
    <t>+1 (858) 455-9588</t>
  </si>
  <si>
    <t>8999 BioLegend Way</t>
  </si>
  <si>
    <t>The company reached a definitive agreement to be acquired by PerkinElmer (NYS: PKI) for $5.25 billion on July 26, 2021. The acquisition will expand PerkinElmer's existing life science franchise into new segments, and its state-of-the-art campus in San Diego, California will become PerkinElmer's global Center of Excellence (CoE) for research reagent content development for the combined company. The company is being actively tracked by PitchBook.</t>
  </si>
  <si>
    <t>PerkinElmer</t>
  </si>
  <si>
    <t>PerkinElmer(www.perkinelmer.com)</t>
  </si>
  <si>
    <t>Hughes Marino(Consulting)</t>
  </si>
  <si>
    <t>J.P. Morgan Securities(Advisor: General), Pillsbury Winthrop Shaw Pittman(Legal Advisor)</t>
  </si>
  <si>
    <t>60509-44</t>
  </si>
  <si>
    <t>Solenis</t>
  </si>
  <si>
    <t>Ashland Water Technologies, CD&amp;R Seahawk Bidco</t>
  </si>
  <si>
    <t>Solenis LLC</t>
  </si>
  <si>
    <t>DuBois Chemicals, Kemira, Evonik Jayhawk Fine Chemicals Corporation, Delamine, Archroma, Canexus, Altana, ChemStation, U.S. Water Services, Chemetall, Jotun, Industrial Test Systems - ITS, Huntsman</t>
  </si>
  <si>
    <t>Manufacturer of specialty chemicals intended for the pulp, oil and gas, chemical processing, mining, bio-refining and municipal markets. The company offers a broad array of process, functional and water treatment chemicals as well as monitoring and control systems including biocides, corrosion inhibitors, oil and gas process aids, analyzers, strength additives and contaminant control agents, enabling clients in the water-intensive industries to improve operational efficiencies.</t>
  </si>
  <si>
    <t>Industrial Chemicals, Other Chemicals and Gases, Specialty Chemicals*</t>
  </si>
  <si>
    <t>paper chemicals, petroleum refining services, process aids, pulp and paper services, water chemicals, water treatment, water treatment chemicals, water treatment technology</t>
  </si>
  <si>
    <t>www.solenis.com</t>
  </si>
  <si>
    <t>2014: 3500, 2015: 3500, 2016: 3500, 2017: 3700, 2019: 5200, 2021: 5200</t>
  </si>
  <si>
    <t>61744-96P</t>
  </si>
  <si>
    <t>John Panichella</t>
  </si>
  <si>
    <t>jepanichella@solenis.com</t>
  </si>
  <si>
    <t>+1 (866) 337-1533</t>
  </si>
  <si>
    <t>2475 Pinnacle Drive</t>
  </si>
  <si>
    <t>19803</t>
  </si>
  <si>
    <t>The company has entered into a definitive agreement to be acquired by Sigura, via its financial sponsor Platinum Equity, through a $5.25 billion LBO on July 6, 2021. Previously, the company completed an undisclosed amount of debt refinancing round on January 31, 2020. The company is being actively tracked by PitchBook.</t>
  </si>
  <si>
    <t>Clayton, Dubilier &amp; Rice</t>
  </si>
  <si>
    <t>Ashland Global Holdings</t>
  </si>
  <si>
    <t>Advent International, Apollo Global Management, Bain Capital, Danaher, Onex, Platinum Equity, Rhône Group, Sigura, The Blackstone Group, The Goldman Sachs Group, TPG</t>
  </si>
  <si>
    <t>Clayton, Dubilier &amp; Rice(www.cdr-inc.com)</t>
  </si>
  <si>
    <t>Ashland Global Holdings(www.ashland.com)</t>
  </si>
  <si>
    <t>Advent International(www.adventinternational.com), Apollo Global Management(www.apollo.com), Bain Capital(www.baincapital.com), Danaher(www.danaher.com), Onex(www.onex.com), Platinum Equity(www.platinumequity.com), Rhône Group(www.rhonegroup.com), Sigura(www.iwcgwatertreatment.co.za), The Blackstone Group(www.blackstone.com), The Goldman Sachs Group(www.goldmansachs.com), TPG(www.tpg.com)</t>
  </si>
  <si>
    <t>American Capital Senior Floating(Debt Financing), Bain Capital Specialty Finance(Debt Financing), Bank of America Merrill Lynch(D&amp;O Insurance), Barings(Debt Financing), Barings BDC(Debt Financing), Blake, Cassels &amp; Graydon(Legal Advisor), CIC Private Debt(Debt Financing), Cravath, Swaine &amp; Moore(Legal Advisor), Credit Suisse(Debt Financing), Davis Polk(Legal Advisor), Macquarie Group(Debt Financing), Nomura Securities(Debt Financing), Pestalozzi(Legal Advisor), Squire Patton Boggs(Legal Advisor), The Blackstone Group(Debt Financing), The Goldman Sachs Group(Debt Financing)</t>
  </si>
  <si>
    <t>Loan; Loan - $0.50M (Second Lien; Floating)</t>
  </si>
  <si>
    <t>25300-18</t>
  </si>
  <si>
    <t>MICROS Systems</t>
  </si>
  <si>
    <t>MICROS Systems, Inc.</t>
  </si>
  <si>
    <t>Provider of information technology services for the hospitality and retail industries. The company offers a range of software, hardware and related services to manage hotels, food &amp; beverage operations and retailers.</t>
  </si>
  <si>
    <t>Other IT Services</t>
  </si>
  <si>
    <t>Other IT Services*</t>
  </si>
  <si>
    <t>Big Data, SaaS, TMT</t>
  </si>
  <si>
    <t>big data, enterprise information service, information technology service</t>
  </si>
  <si>
    <t>1990: 277, 1991: 299, 1992: 299, 1993: 385, 1994: 450, 1995: 653, 1996: 1289, 1997: 1534, 1998: 1754, 1999: 1952, 2000: 2551, 2001: 2586, 2002: 2507, 2003: 2749, 2004: 2892, 2005: 3253, 2006: 3800, 2007: 4360, 2008: 4619, 2009: 4757, 2010: 4646, 2011: 4953, 2012: 6383, 2013: 6506, 2014: 6809</t>
  </si>
  <si>
    <t>72897-85P</t>
  </si>
  <si>
    <t>Jay Upchurch</t>
  </si>
  <si>
    <t>jupchurch@micros.com</t>
  </si>
  <si>
    <t>+1 (443) 285-6000</t>
  </si>
  <si>
    <t>7031 Columbia Gateway Drive</t>
  </si>
  <si>
    <t>21046-2289</t>
  </si>
  <si>
    <t>+1 (443) 285-3334</t>
  </si>
  <si>
    <t>The company (NASDAQ: MCRS) was acquired by Oracle Corporation (NYSE: ORCL) for approximately $5.24 billion on June 22, 2014. The company is no longer actively tracked by PitchBook.</t>
  </si>
  <si>
    <t>Houlihan Capital(Valuation/Appraiser)</t>
  </si>
  <si>
    <t>Centerview Partners(Advisor: General), Morgan Lewis(Legal Advisor)</t>
  </si>
  <si>
    <t>115432-03</t>
  </si>
  <si>
    <t>Viridor Waste Management</t>
  </si>
  <si>
    <t>Viridor</t>
  </si>
  <si>
    <t>Viridor Limited</t>
  </si>
  <si>
    <t>Environmental Resource Group, Reconomy, Total Recycling Services, Red Industries, FCC Environmental, Recycling Lives, SwrNewstar, Grundon Waste Management, Biffa Municipal, Wales Environmental, Biffa Group</t>
  </si>
  <si>
    <t>Provider of waste management services based in the United Kingdom. The company offers services including recycling collections, management of general waste, construction waste, liquid waste and hazardous waste to industries.</t>
  </si>
  <si>
    <t>environment consultant, environmental service, waste consulting, waste management firm, waste managment, waste recycling</t>
  </si>
  <si>
    <t>www.viridor.co.uk</t>
  </si>
  <si>
    <t>2016: 1001, 2020: 3200</t>
  </si>
  <si>
    <t>178344-19P</t>
  </si>
  <si>
    <t>Phillip Piddington</t>
  </si>
  <si>
    <t>+44 (0)18 2372 1400</t>
  </si>
  <si>
    <t>Taunton, United Kingdom</t>
  </si>
  <si>
    <t>Viridor House</t>
  </si>
  <si>
    <t>Priory Bridge Road</t>
  </si>
  <si>
    <t>Taunton</t>
  </si>
  <si>
    <t>TA1 1AP</t>
  </si>
  <si>
    <t>enquiries@viridor.co.uk</t>
  </si>
  <si>
    <t>The company was acquired by Kohlberg Kravis Roberts, Hermes GPE and other undisclosed investors through a GBP 4.2 billion LBO on July 8, 2020. Pennon Group will use the funds from the sale to reduce its borrowings and pension obligations and will retain funds for opportunities and making returns to shareholders. Post this transaction, Kohlberg Kravis Roberts and other investors hold a 90% stake and Hermes GPE holds the remaining 9.45% stake in the company.</t>
  </si>
  <si>
    <t>Hermes GPE, Kohlberg Kravis Roberts</t>
  </si>
  <si>
    <t>Pennon Group</t>
  </si>
  <si>
    <t>Hermes GPE(www.hermesgpe.com), Kohlberg Kravis Roberts(www.kkr.com)</t>
  </si>
  <si>
    <t>Pennon Group(www.pennon-group.co.uk)</t>
  </si>
  <si>
    <t>Ashfords(Legal Advisor), Shepherd and Wedderburn(Legal Advisor), Winshaw(Consulting)</t>
  </si>
  <si>
    <t>Ashfords(Legal Advisor), Grant Thornton UK(Advisor: General), Kohlberg Kravis Roberts(Advisor: General), Liberty Corporate Finance(Advisor: General)</t>
  </si>
  <si>
    <t>149011-30</t>
  </si>
  <si>
    <t>Komi Oil</t>
  </si>
  <si>
    <t>Komi Oil refinery</t>
  </si>
  <si>
    <t>Komi Oil Ltd.</t>
  </si>
  <si>
    <t>Operator of an oil refinery with interests in exploitation and refining of oil deposits in the Komi Republic region of Russia. The refinery has an annual production capacity of 4.4 billion barrels of oil from South Zverinetsky &amp; Zverinetsky oil fields located in Russia.</t>
  </si>
  <si>
    <t>Buildings and Property, Energy Exploration, Energy Refining, Other Energy*</t>
  </si>
  <si>
    <t>oil exploration, oil extraction, oil extraction project, oil extraction service, oil refinery plant, oil refining, oil refining firm, refining services</t>
  </si>
  <si>
    <t>Komi Republic, Russia</t>
  </si>
  <si>
    <t>Komi Republic</t>
  </si>
  <si>
    <t>The company was acquired by Gaetano Holdings through a RUB 340.4 billion LBO on December 4, 2015.</t>
  </si>
  <si>
    <t>Gaetano Holdings</t>
  </si>
  <si>
    <t>59076-10</t>
  </si>
  <si>
    <t>Amer Sports</t>
  </si>
  <si>
    <t>Amer-Yhtymä</t>
  </si>
  <si>
    <t>Amer</t>
  </si>
  <si>
    <t>Amer Sports Oyj</t>
  </si>
  <si>
    <t>ASICS, Umbro, Dunlop Sport, VF Corporation, Rawlings Sporting Goods, Head, Fila Holding, Billabong, Under Armour, Nike, Deckers Brands, Marmot, Puma, Easton Sports, Columbia Sportswear, Cybex International, Spalding, Octane Fitness, Rossignol Group</t>
  </si>
  <si>
    <t>Amer Sports Oyj is a manufacturer of sporting goods across brands including Salomon, Wilson, and Atomic. The company organises itself into three segments: outdoor, ball sports, and fitness. The outdoor segment, which contributes the majority of company revenue, manufactures and supplies footwear, apparel, winter sports equipment, cycling components, and sports instruments. The ball sports segment, the next most significant contributor to consolidated revenue, includes racquets and team sports equipment, and golf equipment. The fitness segment manufactures and supplies fitness equipment. Europe, the Middle East, and Africa, or EMEA, and the Americas are the most significant geographical markets, providing roughly equal contributions to net sales, followed by Asia-Pacific.</t>
  </si>
  <si>
    <t>Recreational Goods</t>
  </si>
  <si>
    <t>Clothing, Recreational Goods*</t>
  </si>
  <si>
    <t>athleisure, sporting goods, sports apparel, sports equipment, sports footwear</t>
  </si>
  <si>
    <t>www.amersports.com</t>
  </si>
  <si>
    <t>2008: 6338, 2010: 6597, 2011: 7107, 2012: 7280, 2013: 7396, 2014: 7630, 2015: 7981, 2016: 8554, 2017: 8680, 2018: 9489</t>
  </si>
  <si>
    <t>100320-85P</t>
  </si>
  <si>
    <t>Jussi Siitonen</t>
  </si>
  <si>
    <t>jussi.siitonen@amersports.com</t>
  </si>
  <si>
    <t>+358 (0)20 712 2500</t>
  </si>
  <si>
    <t>Konepajankuja 6</t>
  </si>
  <si>
    <t>00511</t>
  </si>
  <si>
    <t>amer.communications@amersports.com</t>
  </si>
  <si>
    <t>The company (HEL: AMEAS) was acquired by ANTA Sports Products (HKG: 02020), Tencent Holdings (HKG: 00700), Chip Wilson and FountainVest Partners for approximately EUR 4.6 billion on December 7, 2018. After the transaction, ANTA Sports Products (HKG: 02020) will take 58 percent and Chip Wilson will take 20.6 percent stake in the company. The acceptance period for the tender offer will commence on December 20, 2018 at 9:30 a.m. (Finnish time) and expire on February 28, 2019 at 4:00 p.m. (Finnish time). The offeror reserves the right to extend the offer period in accordance with the terms and conditions of the tender offer.</t>
  </si>
  <si>
    <t>ANTA Sports Products, FountainVest Partners, Tencent Holdings</t>
  </si>
  <si>
    <t>Ajanta, Frasers Group, Keva, Nordea Bank Finland, Novator Finland</t>
  </si>
  <si>
    <t>ANTA Sports Products(www.anta.com), FountainVest Partners(www.fountainvest.com), Tencent Holdings(www.tencent.com/en-us/index.html)</t>
  </si>
  <si>
    <t>Ajanta(www.ajanta.fi), Frasers Group(www.sportsdirectplc.com), Keva(www.keva.fi/en)</t>
  </si>
  <si>
    <t>Nordhaven Corporate Finance(Advisor: General), SRi Group(Consulting), SRiCheyenne(Consulting), Tecnova(Consulting)</t>
  </si>
  <si>
    <t>Paul, Weiss, Rifkind, Wharton &amp; Garrison(Legal Advisor), The Goldman Sachs Group(Advisor: General), White &amp; Case(Legal Advisor)</t>
  </si>
  <si>
    <t>35018-56</t>
  </si>
  <si>
    <t>Cobham</t>
  </si>
  <si>
    <t>FR Group, Flight Refuelling Limited, FR Group PLC, Flight Refuelling (Holdings) Public Limited Company</t>
  </si>
  <si>
    <t>Cobham Limited</t>
  </si>
  <si>
    <t>Anaren, PV Labs, Northrop Grumman, Sagetech Avionics, Collins Aerospace, Airbus, General Dynamics, Chemring Group, Trivec Avant, Elbit Systems, L3 Harris Technologies, Honeywell, L3 Wescam, Sensor Systems, BAE Systems, Meggitt, Rolls-Royce, MDA, Kratos Defense &amp; Security Solutions, Berkeley Nucleonics Corporation, Panduit, COM DEV International, Zodiac Aerospace, L-3 Narda-Miteq, Antenna Products Corp., Marlink</t>
  </si>
  <si>
    <t>Manufacturer of aerospace and defense systems serving commercial, defense and security markets. The company offers a range of technologies and services in wireless, audio, video and data communications, including satellite communications, defence electronics, air-to-air refuelling, aviation services, life support and mission equipment to solve challenging problems and thereby help the customers to increase the safety and mission capabilities of their personnel and equipment in extreme environments.</t>
  </si>
  <si>
    <t>Aerospace and Defense*, Electronic Equipment and Instruments, Other Commercial Products</t>
  </si>
  <si>
    <t>Industrials, Manufacturing, Robotics and Drones, TMT</t>
  </si>
  <si>
    <t>aerospace equipment, aerospace equipment manufacturer, aviation equipment manufacturer, defense systems, defense systems component</t>
  </si>
  <si>
    <t>www.cobham.com</t>
  </si>
  <si>
    <t>1985: 2506, 1986: 2693, 1987: 2797, 1988: 3016, 1989: 3767, 1990: 3778, 1991: 3658, 1992: 3647, 1993: 3423, 1994: 3472, 1995: 3457, 1996: 3876, 1997: 4260, 1998: 5272, 1999: 5831, 2000: 6956, 2001: 7823, 2002: 7912, 2003: 8990, 2004: 9863, 2005: 10715, 2006: 9509, 2007: 8990, 2008: 10706, 2009: 12044, 2010: 11636, 2011: 10696, 2012: 9992, 2013: 10090, 2014: 10941, 2015: 12527, 2016: 10692, 2017: 10813, 2018: 10069, 2019: 11500, 2020: 10000</t>
  </si>
  <si>
    <t>254921-14P</t>
  </si>
  <si>
    <t>Sven Lewis</t>
  </si>
  <si>
    <t>sven.lewis@cobham.com</t>
  </si>
  <si>
    <t>Bournemouth, United Kingdom</t>
  </si>
  <si>
    <t>Tringham House</t>
  </si>
  <si>
    <t>580 Deansleigh Road</t>
  </si>
  <si>
    <t>Bournemouth</t>
  </si>
  <si>
    <t>BH7 7DT</t>
  </si>
  <si>
    <t>info@cobham.com</t>
  </si>
  <si>
    <t>The company was acquired by Advent International and The Blackstone Group through a GBP 4 billion public-to-private LBO on January 20, 2020. The company's shares have been delisted from the London Stock Exchange, where it was a constituent of the FTSE 250 index. The transaction was supported by debt financing in the form of a second-lien from The Carlyle Group and $60.65 million of second-lien debt from TCG BDC and TCG BDC II.</t>
  </si>
  <si>
    <t>Advent International, The Blackstone Group</t>
  </si>
  <si>
    <t>Advent International(www.adventinternational.com), The Blackstone Group(www.blackstone.com)</t>
  </si>
  <si>
    <t>Blackstone Credit(Advisor: General), Goldman Sachs Asset Management(Advisor: General), JPMorgan Chase(Advisor: General), Rothschild Holding(Advisor: General), Steven Douglas Associates(Consulting)</t>
  </si>
  <si>
    <t>Allen &amp; Overy(Legal Advisor), Bank of America(Advisor: General), Citigroup(Advisor: General), Credit Suisse(Advisor: General), JP Morgan Cazenove(Advisor: General), Linklaters(Legal Advisor), MHP Communications(Advisor: General), Rothschild &amp; Co(Advisor: General), TCG BDC(Debt Financing), TCG BDC II(Debt Financing), The Carlyle Group(Debt Financing)</t>
  </si>
  <si>
    <t>Loan - $30.33M (Second Lien; Floating); Loan - $30.33M (Second Lien; Floating); Loan (Second Lien)</t>
  </si>
  <si>
    <t>125989-30</t>
  </si>
  <si>
    <t>Royal Bank of Scotland (project finance assets)</t>
  </si>
  <si>
    <t>Portfolio of project finance assets in Europe, Middle-East and Africa. The assets include loans and properties including natural resources, power and other infrastructure.</t>
  </si>
  <si>
    <t>Buildings and Property*, Other Financial Services, Thrifts and Mortgage Finance</t>
  </si>
  <si>
    <t>energy finance, infrastructure finance, project finance</t>
  </si>
  <si>
    <t>Edinburgh, United Kingdom</t>
  </si>
  <si>
    <t>Gogarburn</t>
  </si>
  <si>
    <t>175 Glasgow Road</t>
  </si>
  <si>
    <t>Edinburgh</t>
  </si>
  <si>
    <t>EH12 1HQ</t>
  </si>
  <si>
    <t>+44 (0)13 1626 3263</t>
  </si>
  <si>
    <t>The portfolio of project finance assets of Royal Bank of Scotland (LON: RBS) was acquired by The Bank of Tokyo-Mitsubishi, a subsidiary of Mitsubishi UFJ Financial Group (TYO: 8306) for GBP 3.3 billion on March 31, 2012. The asset is no longer actively tracked by PitchBook.</t>
  </si>
  <si>
    <t>41155-84</t>
  </si>
  <si>
    <t>Amylin Pharmaceuticals</t>
  </si>
  <si>
    <t>Amylin</t>
  </si>
  <si>
    <t>Amylin Pharmaceuticals, LLC.</t>
  </si>
  <si>
    <t>Developer of drugs for the treatment of diabetes, obesity and other diseases. The company offers BYDUREON, a weekly diabetes treatment as an adjunct to diet and exercise to improve glycemic control in adult patients with type 2 diabetes. The company develops a dual chamber cartridge pen configuration of BYDUREON that allow patients to mix and administer BYDUREON from a pre-filled pen device.</t>
  </si>
  <si>
    <t>diabetes treatment, obesity</t>
  </si>
  <si>
    <t>1991: 73, 1992: 89, 1993: 104, 1994: 104, 1995: 104, 1996: 214, 1997: 278, 1998: 63, 1999: 75, 2000: 151, 2001: 215, 2002: 350, 2003: 535, 2004: 600, 2005: 1150, 2006: 1550, 2007: 1900, 2008: 1800, 2009: 1500, 2010: 1400, 2011: 1300, 2014: 1022</t>
  </si>
  <si>
    <t>46878-85P</t>
  </si>
  <si>
    <t>Laura Clague</t>
  </si>
  <si>
    <t>laura.clague@travere.com</t>
  </si>
  <si>
    <t>+1 (888) 969-7879</t>
  </si>
  <si>
    <t>9360 Towne Centre Drive</t>
  </si>
  <si>
    <t>The company was acquired by Bristol-Myers Squibb (NYSE: BMY) for $5.21 billion on August 8, 2012. The company is no longer actively tracked by PitchBook.</t>
  </si>
  <si>
    <t>BB Biotech, Cooper Hill Partners, Domain Associates, Sequoia Capital, Sutter Hill Ventures</t>
  </si>
  <si>
    <t>BB Biotech(www.bbbiotech.ch), Domain Associates(www.domainvc.com), Sequoia Capital(www.sequoiacap.com), Sutter Hill Ventures(www.shv.com)</t>
  </si>
  <si>
    <t>Joele Frank(Advisor: Communications), Richards Layton &amp; Finger(Legal Advisor), TouchStone Executive Consultants(Consulting), Vault Bioventures(Consulting)</t>
  </si>
  <si>
    <t>Credit Suisse(Advisor: General), Innisfree M&amp;A(Legal Advisor), Skadden, Arps, Slate, Meagher &amp; Flom(Legal Advisor), The Goldman Sachs Group(Advisor: General)</t>
  </si>
  <si>
    <t>126942-31</t>
  </si>
  <si>
    <t>Lenfest Communications</t>
  </si>
  <si>
    <t>Lenfest</t>
  </si>
  <si>
    <t>Lenfest Communications, Inc.</t>
  </si>
  <si>
    <t>Provider of cable television services in Wayne, Pennsylvania.</t>
  </si>
  <si>
    <t>Cable Service Providers*</t>
  </si>
  <si>
    <t>cable television, cable television company, cable television operator, cable television service, cable tv service, cable tv service provider</t>
  </si>
  <si>
    <t>www.lenfestmedia.com</t>
  </si>
  <si>
    <t>565 East Swedesford Road</t>
  </si>
  <si>
    <t>Suite 303</t>
  </si>
  <si>
    <t>The company, a subsidiary of AT&amp;T and the Lenfest family, was acquired by Comcast for $5.21 billion on January 18, 2000. The acquisition helps Comcast to solidify its position as the third largest cable operator. Comcast exchanged 116 million class A special common shares and assumed $1.5 billion in debt. The company is no longer actively tracked by PitchBook.</t>
  </si>
  <si>
    <t>41217-40</t>
  </si>
  <si>
    <t>Ariad Pharmaceuticals</t>
  </si>
  <si>
    <t>ARIAD</t>
  </si>
  <si>
    <t>Ariad Pharmaceuticals, Inc.</t>
  </si>
  <si>
    <t>Aileron Therapeutics, Kesios, NuvOx Pharma, Crinetics Pharmaceuticals, Aura Biosciences, NexImmune, Stemcentrx, eTheRNA Immunotherapies, Array BioPharma, Kbp Biosciences, Exelixis, Agios, Rhythm Pharmaceuticals, OncoGenex Pharmaceuticals, Forma Therapeutics, Spero Therapeutics, Apeptico Forschung und Entwicklung, Inovio Pharmaceuticals, Versartis, Rigontec, CNS Pharmaceuticals, CytomX Therapeutics, OrphoMed, Acerta Pharma, WaVe Life Sciences, Aldeyra Therapeutics, Regulus Therapeutics, BioNTech, Immune Design, Phathom Pharmaceuticals, Kite Pharma, Novelion Therapeutics, Synergy Pharmaceuticals, Selecta Biosciences, Bicycle Therapeutics, Perthera, Essa Pharma, Sucampo Pharmaceuticals, Gilead Sciences, Arrowhead Pharmaceuticals, Oncorus, Endocyte, Jounce Therapeutics, Cardior, Advanced Proteome Therapeutics, Achaogen, Apellis, Quanticel Pharmaceuticals, Embera NeuroTherapeutics, Voyager Therapeutics, Genentech, Ziopharm Oncology, Protagonist Therapeutics, AzurRx BioPharma, Ritter Pharmaceuticals, Intellia Therapeutics, Alnylam Pharmaceuticals, Ardelyx, United Therapeutics, Nanoviricides, Northwest Biotherapeutics, Xenetic Bioscience, CureVac, Albireo (United States), Loxo Oncology, Vividion Therapeutics, Intarcia, Regeneron Pharmaceuticals, Incyte, Pharmacyclics, Dicerna Pharmaceuticals, Circle Pharma, Ra Pharmaceuticals, Ironwood Pharmaceuticals, Viriom, Agenus, Synageva BioPharma, Bristol-Myers Squibb, Moderna Therapeutics, Immunomedics, Biogen, Sesen Bio, Actelion Pharmaceuticals, Amgen</t>
  </si>
  <si>
    <t>Developer of drugs intended for cancer treatment. The company focuses on the research and development of drugs for the treatment of cancer by targeting proteins and pathways involved in cancer.</t>
  </si>
  <si>
    <t>blood cancer, blood cancer drug, cancer drug, chronic myeloid leukemia, oncology research</t>
  </si>
  <si>
    <t>www.ariad.com</t>
  </si>
  <si>
    <t>1995: 87, 1996: 89, 1997: 120, 1998: 120, 1999: 56, 2000: 55, 2001: 69, 2002: 52, 2003: 52, 2004: 72, 2005: 108, 2006: 103, 2007: 116, 2008: 150, 2009: 149, 2010: 122, 2011: 150, 2012: 300, 2013: 307, 2014: 379, 2015: 459, 2016: 454</t>
  </si>
  <si>
    <t>79572-52P</t>
  </si>
  <si>
    <t>Anna Protopapas</t>
  </si>
  <si>
    <t>aprotopapas@mersana.com</t>
  </si>
  <si>
    <t>+1 (617) 498-0020</t>
  </si>
  <si>
    <t>26 Landsdowne Street</t>
  </si>
  <si>
    <t>02139-4234</t>
  </si>
  <si>
    <t>The company was acquired by Takeda Pharmaceutical (TKS: 4502) for $5.2 billion on February 16, 2017. The transaction will be funded by up to $4 billion of new debt and the remainder from existing cash. The acquisition is transformational for the acquirer and enhances their strong position in hematology in the U.S. and has the potential to broaden their solid tumor franchise globally. The company is no longer actively tracked by PitchBook.</t>
  </si>
  <si>
    <t>Azimuth Opportunity</t>
  </si>
  <si>
    <t>Avalon Ventures, BB Biotech, Fidelity Investments, Index Ventures, Ridgeback Capital, Sarissa Capital Management, The Vanguard Group, Wellington Management</t>
  </si>
  <si>
    <t>Baxalta, BioChem Pharma, Eli Lilly, GlaxoSmithKline</t>
  </si>
  <si>
    <t>Avalon Ventures(www.avalon-ventures.com), BB Biotech(www.bbbiotech.ch), Fidelity Investments(www.fidelity.com), Index Ventures(www.indexventures.com), Ridgeback Capital(www.ridgebackcap.com), Sarissa Capital Management(www.sarissacap.com), The Vanguard Group(www.vanguard.com), Wellington Management(www.wellington.com)</t>
  </si>
  <si>
    <t>Baxalta(www.baxalta.com), BioChem Pharma(www.biochempharma.com), Eli Lilly(lilly.com), GlaxoSmithKline(www.gsk.com)</t>
  </si>
  <si>
    <t>JMP Securities(Advisor: General), PA Consulting(Consulting)</t>
  </si>
  <si>
    <t>BMO Capital Markets(Underwriter), Cowen &amp; Company(Underwriter), Credit Suisse(Underwriter), Deloitte(Accounting), Direct Markets Holdings (merged 2007)(Underwriter), J.P. Morgan(Underwriter), Jefferies Financial Group(Underwriter), Lazard Capital Markets(Underwriter), Lehman Brothers(Underwriter), Mintz(Legal Advisor), Oppenheimer &amp; Company(Underwriter), Paul, Weiss, Rifkind, Wharton &amp; Garrison(Legal Advisor), RBC Capital Markets(Underwriter), Reedland Capital Partners(Placement Agent), SVB Leerink(Underwriter), The Goldman Sachs Group(Advisor: General), UBS Group(Underwriter), William Blair &amp; Company(Underwriter)</t>
  </si>
  <si>
    <t>54047-17</t>
  </si>
  <si>
    <t>Bemis Company</t>
  </si>
  <si>
    <t>Bemis</t>
  </si>
  <si>
    <t>Bemis Company, Inc.</t>
  </si>
  <si>
    <t>Constantia Flexibles, Clear Lam Packaging, ProAmpac, Flexpack Soluções em Embalagens, Flexo Transparent, Winpak, Huhtamaki PPL, Oracle Flexible Packaging, Huhtamäki, Scientex, Berry Global, Pregis, Coveris Holdings, Printpack, Amcor, Sealed Air, Poly Pak America, InterFlex Group, Sigma Plastics Group, Hood Packaging, Friesens Corporation, Klöckner Pentaplast, Solidus Solutions, Logoplaste, Technipaq, ALPLA Werke Alwin Lehner, Mondi, Charter Next Generation, Walki Group, Shields Bag And Printing, Orora, Rovema, Bryce Corporation, All4Labels Group, Vitex Packaging Group, Sonoco, Prolamina</t>
  </si>
  <si>
    <t>Manufacturer and supplier of flexible packaging products used by leading food, consumer products, healthcare, and other companies worldwide.</t>
  </si>
  <si>
    <t>Other Containers and Packaging*, Plastic Containers and Packaging</t>
  </si>
  <si>
    <t>flexible pouches, multiple packaging services, open packaging, packaging solutions, smart packaging, specialty film production</t>
  </si>
  <si>
    <t>www.bemis.com</t>
  </si>
  <si>
    <t>1989: 7500, 1990: 7950, 1991: 7796, 1992: 7733, 1993: 7565, 1994: 8100, 1995: 8515, 1996: 8876, 1997: 9275, 1998: 9400, 1999: 9500, 2000: 11000, 2001: 11000, 2002: 11800, 2003: 11500, 2004: 11900, 2005: 15900, 2006: 15700, 2007: 15700, 2008: 15400, 2009: 20400, 2010: 20000, 2011: 20165, 2012: 19564, 2013: 19106, 2014: 16944, 2015: 17500, 2016: 17500, 2017: 16500, 2018: 15694, 2019: 16000</t>
  </si>
  <si>
    <t>2301 Industrial Drive</t>
  </si>
  <si>
    <t>54956</t>
  </si>
  <si>
    <t>The company was acquired by Amcor (ASX: AMC) for $5.2 billion on June 11, 2019. The company is no longer actively tracked by PitchBook.</t>
  </si>
  <si>
    <t>Amcor</t>
  </si>
  <si>
    <t>Ben Franklin Technology Partner of Southeastern Pennsylvania</t>
  </si>
  <si>
    <t>Ben Franklin Technology Partner of Southeastern Pennsylvania(www.sep.benfranklin.org)</t>
  </si>
  <si>
    <t>Baker Tilly(Advisor: General), Liberty Advisor Group(Advisor: General)</t>
  </si>
  <si>
    <t>Baker &amp; Daniels(Legal Advisor), Innisfree M&amp;A(Legal Advisor), Kahn Swick &amp; Foti(Legal Advisor), McDermott Will &amp; Emery(Legal Advisor), MinterEllison(Legal Advisor), Rigrodsky &amp; Long(Legal Advisor), Squire Patton Boggs(Legal Advisor), The Goldman Sachs Group(Advisor: General)</t>
  </si>
  <si>
    <t>98437-87</t>
  </si>
  <si>
    <t>De Beers Group</t>
  </si>
  <si>
    <t>De Beers, De Beers Group of Companies</t>
  </si>
  <si>
    <t>De Beers plc</t>
  </si>
  <si>
    <t>Alrosa</t>
  </si>
  <si>
    <t>Provider of diamond exploration and mining services based in London, England. The company, through its continued focus on sustainable initiatives, focuses on offering varied diamond exploration, mining, retail trading and manufacturing services, allowing it to deliver a range of jewelry items and gifting options while advancing industry standards.</t>
  </si>
  <si>
    <t>Precious Metals and Minerals Mining</t>
  </si>
  <si>
    <t>Luxury Goods, Precious Metals and Minerals Mining*, Specialty Retail</t>
  </si>
  <si>
    <t>diamond exploration, diamond manufacturer, diamond merchant, diamond retailer, diamond trading, jewelry manufacturer</t>
  </si>
  <si>
    <t>www.debeersgroup.com</t>
  </si>
  <si>
    <t>2018: 20000, 2020: 20000, 2021: 20000</t>
  </si>
  <si>
    <t>Anglo American</t>
  </si>
  <si>
    <t>39699-10P</t>
  </si>
  <si>
    <t>Ekaterina Yakovenko</t>
  </si>
  <si>
    <t>Project Lead, Strategy and Innovation</t>
  </si>
  <si>
    <t>ekaterina.yakovenko@debeersgroup.com</t>
  </si>
  <si>
    <t>+44 (0)20 7997 6933</t>
  </si>
  <si>
    <t>20 Carlton House Terrace</t>
  </si>
  <si>
    <t>SW1Y 5AN</t>
  </si>
  <si>
    <t>+44 (0)20 7404 4444</t>
  </si>
  <si>
    <t>The company was acquired by Anglo American (UK) (LON: AAL) for $5.2 billion on November 4, 2011. Anglo American now owns 85% stake in the company.</t>
  </si>
  <si>
    <t>Government of Botswana</t>
  </si>
  <si>
    <t>Government of Botswana(www.gov.bw)</t>
  </si>
  <si>
    <t>101313-19</t>
  </si>
  <si>
    <t>Dime Community Bank</t>
  </si>
  <si>
    <t>Dime Savings Bank of Williamsburgh</t>
  </si>
  <si>
    <t>Dime</t>
  </si>
  <si>
    <t>Dime Community Bancshares, Inc.</t>
  </si>
  <si>
    <t>Astoria Financial, Friends Bank, Northern Trust, Wells Fargo, Salisbury Bank and Trust Company, Horizon Bank, Amerant Bank, Standard Chartered Bank Kenya, University Bancorp, BankUnited</t>
  </si>
  <si>
    <t>Dime Community Bancshares Inc operates as a holding company. It gathers deposits from customers within its market area and via the internet, and invests them in multifamily residential, commercial real estate, commercial and industrial (C&amp;I) loans, and one-to-four family residential real estate loans, as well as mortgage-backed securities, obligations of the U.S. government and government- sponsored enterprises (GSEs), and corporate debt and equity securities.</t>
  </si>
  <si>
    <t>banking service, banking service provider, banking services, checking account, credit facility, savings account</t>
  </si>
  <si>
    <t>www.dime.com</t>
  </si>
  <si>
    <t>1996: 208, 1997: 209, 1998: 211, 1999: 337, 2000: 248, 2001: 350, 2002: 411, 2003: 318, 2004: 395, 2005: 397, 2006: 409, 2007: 414, 2008: 453, 2009: 433, 2010: 442, 2011: 435, 2012: 421, 2013: 413, 2014: 409, 2015: 388, 2016: 383, 2017: 421, 2018: 443, 2019: 457, 2020: 875</t>
  </si>
  <si>
    <t>Washington Mutual Bank ( banking subsidiaries )</t>
  </si>
  <si>
    <t>218115-46P</t>
  </si>
  <si>
    <t>Patricia Schaubeck</t>
  </si>
  <si>
    <t>Executive Vice President &amp; General Counsel, Legal</t>
  </si>
  <si>
    <t>pschaubeck@dime.com</t>
  </si>
  <si>
    <t>+1 (718) 855-1942</t>
  </si>
  <si>
    <t>Hauppauge, NY</t>
  </si>
  <si>
    <t>898 Veterans Memorial Highway</t>
  </si>
  <si>
    <t>Suite 560</t>
  </si>
  <si>
    <t>Hauppauge</t>
  </si>
  <si>
    <t>11788</t>
  </si>
  <si>
    <t>+1 (718) 643-2729</t>
  </si>
  <si>
    <t>The company was acquired by Washington Mutual for $5.2 billion on January 26, 2001.</t>
  </si>
  <si>
    <t>Covington &amp; Burling(Legal Advisor), Cowan, Liebowitz &amp; Latman(Legal Advisor), Holland &amp; Knight(Legal Advisor), Kahn Swick &amp; Foti(Legal Advisor), Luse Gorman(Legal Advisor), M/Cap Advisors(Advisor: General), Piper Sandler(Advisor: General), Raymond James Financial(Advisor: General), Rigrodsky &amp; Long(Legal Advisor), Tallwave(Consulting)</t>
  </si>
  <si>
    <t>183051-28</t>
  </si>
  <si>
    <t>Hyundai Heavy Industries, Saudi Aramco &amp; Dussur JV</t>
  </si>
  <si>
    <t>Manufacturer of 4-stroke engines intended to support the growing demand for electricity in the MENA region as well as marine applications for very large and small vessels.</t>
  </si>
  <si>
    <t>Industrial Supplies and Parts*, Machinery (B2B)</t>
  </si>
  <si>
    <t>engine blocks, engine building, engine developer, engine manufacturer</t>
  </si>
  <si>
    <t>The company was formed for $5200 as a joint venture between Hyundai Heavy Industries (KEX: 009540) Dussur and Saudi Aramco on July 5, 2017. From the joint venture business, HHI expects a wide range of revenues in the form of royalty, engine part sales and technical support services.</t>
  </si>
  <si>
    <t>Dussur, Hyundai Heavy Industries, Saudi Aramco</t>
  </si>
  <si>
    <t>Dussur(www.dussur.com), Hyundai Heavy Industries(www.ksoe.co.kr), Saudi Aramco(www.aramco.com)</t>
  </si>
  <si>
    <t>11080-09</t>
  </si>
  <si>
    <t>LaSalle Hotel Properties</t>
  </si>
  <si>
    <t>LHP</t>
  </si>
  <si>
    <t>Chesapeake Lodging Trust, Vici Properties, RLJ Lodging Trust, Felcor Lodging Trust, Service Properties Trust, Ashford Hospitality Trust, Summit Hotel Properties, Hersha Hotels And Resorts</t>
  </si>
  <si>
    <t>Operator of a real estate investment trust in Bethesda, Maryland. The company's services include management of hotels and properties, enabling customers to meet the liquidity needs of the business.</t>
  </si>
  <si>
    <t>hotel portfolio, luxury hotel, real estate, real estate company, real estate operator</t>
  </si>
  <si>
    <t>www.lasallehotels.com</t>
  </si>
  <si>
    <t>2000: 19, 2001: 21, 2002: 22, 2003: 22, 2004: 23, 2005: 27, 2006: 31, 2007: 31, 2008: 30, 2009: 26, 2010: 29, 2011: 31, 2012: 33, 2013: 36, 2014: 35, 2015: 35, 2016: 35, 2017: 36</t>
  </si>
  <si>
    <t>Pebblebrook Hotel Trust</t>
  </si>
  <si>
    <t>79275-43P</t>
  </si>
  <si>
    <t>Linda Yau</t>
  </si>
  <si>
    <t>Vice President, Asset Management</t>
  </si>
  <si>
    <t>+1 (443) 758-9044</t>
  </si>
  <si>
    <t>Bethesda, MD</t>
  </si>
  <si>
    <t>7550 Wisconsin Avenue</t>
  </si>
  <si>
    <t>10th Floor</t>
  </si>
  <si>
    <t>Bethesda</t>
  </si>
  <si>
    <t>20814</t>
  </si>
  <si>
    <t>+1 (301) 941-1500</t>
  </si>
  <si>
    <t>+1 (301) 941-1553</t>
  </si>
  <si>
    <t>The company (NYSE: LHO) was acquired by Pebblebrook Hotel Trust (NYSE: PEB) for $5.2 billion on November 30, 2018. Under the terms of the agreement, for each LaSalle common share owned, each LaSalle shareholder will receive either a fixed amount of $37.80 in cash or a fixed exchange ratio of 0.92 of the acquirer's common share. The company is no longer actively tracked by PitchBook.</t>
  </si>
  <si>
    <t>Brookfield Asset Management, HG Vora Capital Management</t>
  </si>
  <si>
    <t>Brookfield Asset Management(www.brookfield.com), HG Vora Capital Management(www.hgvora.com)</t>
  </si>
  <si>
    <t>CCL Search(Consulting), Oppenheimer &amp; Company(Advisor: General)</t>
  </si>
  <si>
    <t>BMO Capital Markets(Debt Financing), Citigroup Global Markets(Advisor: General), DLA Piper(Legal Advisor), Glass Lewis(Advisor: General), Goodwin(Legal Advisor), Janney(Advisor: General), Kahn Swick &amp; Foti(Legal Advisor), Latham &amp; Watkins(Legal Advisor), Merrill Lynch Pierce Fenner &amp; Smith(Debt Financing), NatWest Group(Debt Financing), PNC(Debt Financing), Rowley Law(Legal Advisor), Sumitomo Mitsui Banking(Debt Financing), TD Bank(Debt Financing), The Goldman Sachs Group(Advisor: General), U.S. Bancorp(Debt Financing)</t>
  </si>
  <si>
    <t>41191-75</t>
  </si>
  <si>
    <t>Merck Millipore</t>
  </si>
  <si>
    <t>Merck Life Science, MilliporeSigma</t>
  </si>
  <si>
    <t>Roche Holding, Randox, Cisbio Bioassays, Mediso, GE Healthcare, Affymetrix, PerkinElmer, Diagenode, Eurogentec, NEN Life Sciences, Beckman Coulter, Cambrex, Abbott, Siemens Healthineers, Meridian Bioscience, Surmodics, Ortho-McNeil Pharmaceuticals, Tecan Group, Sysmex Nederland, Luminex, Applied Biosystems, Abbott Diagnostics, Abbott India, Viro-Immun Diagnostics, Cliniqa, Tesaro, Novus Biologicals, RayBiotech</t>
  </si>
  <si>
    <t>Provider of life science products and services. The company's innovative products are used in the research, development and manufacture of biotechnological and pharmaceutical drug therapies, as well as in research and application laboratories, enabling clients to avail quality and efficient services.</t>
  </si>
  <si>
    <t>Diagnostic Equipment*, Other Healthcare, Pharmaceuticals</t>
  </si>
  <si>
    <t>healthcare device, life science product, pharmaceutical customer</t>
  </si>
  <si>
    <t>www.emdmillipore.com</t>
  </si>
  <si>
    <t>1989: 5868, 1990: 6132, 1991: 5755, 1992: 5772, 1993: 3664, 1994: 898, 1995: 3338, 1996: 3482, 1997: 4754, 1998: 4289, 1999: 4600, 2000: 5200, 2001: 4160, 2002: 1600, 2003: 4300, 2004: 4500, 2005: 4800, 2006: 6100, 2007: 6000, 2008: 5900, 2009: 6100, 2010: 10000, 2015: 10000, 2018: 20000, 2019: 21000, 2020: 22000</t>
  </si>
  <si>
    <t>231207-49P</t>
  </si>
  <si>
    <t>Meeta Gulyani</t>
  </si>
  <si>
    <t>Head of Strategy, Business Development and Transformation</t>
  </si>
  <si>
    <t>meeta.gulyani@emdmillipore.com</t>
  </si>
  <si>
    <t>+1 (800) 645-5476</t>
  </si>
  <si>
    <t>400 Summit Drive</t>
  </si>
  <si>
    <t>01821</t>
  </si>
  <si>
    <t>The company was acquired by Merck (XTER:MRK) for $5.2 billion on July 15, 2010. Merck agreed to acquire Millipore on February 28, 2010 for $107 in cash per share of Millipore common stock. Millipore was delisted from the New York Stock Exchange and the shares were removed from registration with the U.S. Securities and Exchange Commission.</t>
  </si>
  <si>
    <t>Greylock Partners</t>
  </si>
  <si>
    <t>Greylock Partners(www.greylock.com)</t>
  </si>
  <si>
    <t>2e Creative(Advisor: Communications), BDA Partners(Advisor: General), First Analysis(Advisor: General)</t>
  </si>
  <si>
    <t>40744-81</t>
  </si>
  <si>
    <t>NPS Pharmaceuticals</t>
  </si>
  <si>
    <t>NPSP</t>
  </si>
  <si>
    <t>NPS Pharmaceuticals, Inc.</t>
  </si>
  <si>
    <t>Operator of a global biopharmaceutical company. The company delivers therapies and therapeutic products for the treatment of adult patients with short bowel syndrome.</t>
  </si>
  <si>
    <t>adult patients, bowel syndrome, global biopharmaceutical company, injection, therapeutic product</t>
  </si>
  <si>
    <t>www.npsp.com</t>
  </si>
  <si>
    <t>1993: 61, 1994: 69, 1995: 77, 1996: 90, 1997: 105, 1998: 101, 1999: 144, 2000: 136, 2001: 146, 2002: 183, 2003: 272, 2004: 356, 2005: 355, 2006: 196, 2007: 41, 2008: 47, 2009: 53, 2010: 63, 2011: 86, 2012: 149, 2013: 207, 2014: 365</t>
  </si>
  <si>
    <t>Bedminster Township, NJ</t>
  </si>
  <si>
    <t>550 Hills Drive</t>
  </si>
  <si>
    <t>Bedminster Township</t>
  </si>
  <si>
    <t>07921</t>
  </si>
  <si>
    <t>The company was acquired by Shire Pharmaceuticals (LSE: SHP) for $5.2 billion on February 21, 2015. The company is no longer actively tracked by PitchBook.</t>
  </si>
  <si>
    <t>Domain Associates, Eventide Asset Management, Great Point Partners, LRG Capital, Venrock</t>
  </si>
  <si>
    <t>Domain Associates(www.domainvc.com), Eventide Asset Management(www.eventidefunds.com), Great Point Partners(www.gppfunds.com), LRG Capital(www.lrgcap.com), Venrock(www.venrock.com)</t>
  </si>
  <si>
    <t>Joele Frank(Advisor: Communications), Oppenheimer &amp; Company(Advisor: General), ThinkEquity Partners(Advisor: General), Young &amp; Partners(Advisor: General)</t>
  </si>
  <si>
    <t>Jefferies Financial Group(Advisor: General), Reedland Capital Partners(Placement Agent), Skadden, Arps, Slate, Meagher &amp; Flom(Legal Advisor), Summer Street Research Partners(Lead Manager or Arranger), SVB Leerink(Advisor: General), The Goldman Sachs Group(Advisor: General)</t>
  </si>
  <si>
    <t>10253-35</t>
  </si>
  <si>
    <t>Pegasus Aviation Finance</t>
  </si>
  <si>
    <t>Pegasus Aviation, PAFCO, Pegasus</t>
  </si>
  <si>
    <t>Pegasus Aviation Finance Co.</t>
  </si>
  <si>
    <t>Provider of aircraft leasing services. The company provides commercial leasing and aircraft purchase services to airlines.</t>
  </si>
  <si>
    <t>Air*, Other Financial Services</t>
  </si>
  <si>
    <t>aircraft leasing, aircraft purchasing, commercial leasing</t>
  </si>
  <si>
    <t>www.pegasusaviation.com</t>
  </si>
  <si>
    <t>11671-30P</t>
  </si>
  <si>
    <t>Allen Della</t>
  </si>
  <si>
    <t>Executive Vice President &amp; Chief Operating Officer</t>
  </si>
  <si>
    <t>+1 (415) 434-3900</t>
  </si>
  <si>
    <t>Four Embarcadero Center</t>
  </si>
  <si>
    <t>35th Floor</t>
  </si>
  <si>
    <t>94111</t>
  </si>
  <si>
    <t>+1 (415) 434-3917</t>
  </si>
  <si>
    <t>info@pegasusaviation.com</t>
  </si>
  <si>
    <t>The company was acquired by AWAS Aviation Capital, via its financial sponsor Terra Firma Capital Partners, through a $5.2 billion SBO on May 11, 2007. The company is no longer actively tracked by PitchBook.</t>
  </si>
  <si>
    <t>AWAS Aviation Capital, World Fuel Services</t>
  </si>
  <si>
    <t>Canada Pension Plan Investment Board, Partners Group Global Opportunities, Princess Private Equity Holding, Terra Firma Capital Partners</t>
  </si>
  <si>
    <t>Canada Pension Plan Investment Board(www.cppinvestments.com), Partners Group Global Opportunities(pggo.net), Princess Private Equity Holding(princess-privateequity.net), Terra Firma Capital Partners(www.terrafirma.com)</t>
  </si>
  <si>
    <t>Bank of America Merrill Lynch(Advisor: General), DVB Bank(Debt Financing), J.P. Morgan(Advisor: General), Paul, Weiss, Rifkind, Wharton &amp; Garrison(Legal Advisor)</t>
  </si>
  <si>
    <t>437167-63</t>
  </si>
  <si>
    <t>Petrobras (Natural Gas Pipeline Unit)</t>
  </si>
  <si>
    <t>CIC Capital Corporation (Natural Gas Distribution Network)</t>
  </si>
  <si>
    <t>A 2048 kilometer natural gas pipeline unit based in Rio De Janeiro, Brazil. The network provides natural gas for Brazil's most industrialized and populated states in the south-central region of the country.</t>
  </si>
  <si>
    <t>Buildings and Property*, Energy Infrastructure, Energy Transportation, Other Energy</t>
  </si>
  <si>
    <t>clean energy, commercial asset, gas line piping, gas pipeline, natural gas</t>
  </si>
  <si>
    <t>Rio De Janeiro, Brazil</t>
  </si>
  <si>
    <t>Rio De Janeiro</t>
  </si>
  <si>
    <t>Petrobras 2048 kilometer natural gas pipeline unit was acquired by CIC Capital Corporation, Government of Singapore Investment Corporation (GIC) and Brookfield Infrastructure Partners through a $5.2 billion LBO on September 23, 2016.</t>
  </si>
  <si>
    <t>Brookfield Infrastructure Partners, CIC Capital Corporation, Government of Singapore Investment Corporation (GIC)</t>
  </si>
  <si>
    <t>Petrobras</t>
  </si>
  <si>
    <t>Brookfield Infrastructure Partners(www.bip.brookfield.com), Government of Singapore Investment Corporation (GIC)(www.gic.com.sg)</t>
  </si>
  <si>
    <t>Petrobras(www.petrobras.com.br)</t>
  </si>
  <si>
    <t>234594-46</t>
  </si>
  <si>
    <t>Vectol Zimbabwe</t>
  </si>
  <si>
    <t>Operator of a coal processing company. The company mines coal and produces liquid fuels, chemicals, and fertilizers.</t>
  </si>
  <si>
    <t>Coal Mining*, Energy Production</t>
  </si>
  <si>
    <t>coal extraction, coal mining, coal processing, coal to fertilizer, mineral extraction</t>
  </si>
  <si>
    <t>www.vectol.co.zw</t>
  </si>
  <si>
    <t>Borrowdale, United Kingdom</t>
  </si>
  <si>
    <t>Celestial Office Park, Block 6, 1st Floor</t>
  </si>
  <si>
    <t>Borrowdale Road</t>
  </si>
  <si>
    <t>Borrowdale</t>
  </si>
  <si>
    <t>info@vectol.co.zw</t>
  </si>
  <si>
    <t>The company was formed as a joint venture between Verify Engineering and Nkosikhona Holdings for $5.2 billion on May 18, 2018.</t>
  </si>
  <si>
    <t>Nkosikhona Holdings, Verify Engineering</t>
  </si>
  <si>
    <t>121271-50</t>
  </si>
  <si>
    <t>Verizon Communications (14 US States Wireless Operations)</t>
  </si>
  <si>
    <t>Provider of wireless telecommunications services. The company served approximately 4.8 million local access lines; 2.2 million long-distance customers, 1 million high-speed data customers, including approximately 110,000 FiOS Internet customers and 69,000 FiOS television customers. It provides mobile phone, text message and data services for phones, tablets and computers as well as wireless hotspot devices.</t>
  </si>
  <si>
    <t>data services, mobile phone, wireless telecommunication</t>
  </si>
  <si>
    <t>2010: 11000</t>
  </si>
  <si>
    <t>Frontier Communications</t>
  </si>
  <si>
    <t>Bernards, NJ</t>
  </si>
  <si>
    <t>1 Verizon Way</t>
  </si>
  <si>
    <t>Bernards</t>
  </si>
  <si>
    <t>07920</t>
  </si>
  <si>
    <t>The 14 US States Wireless Operations of Verizon Communications (NYSE: VZ) were acquired by Frontier Communications (NASDAQ: FTR) for $5.2 billion on July 1, 2010. The company is no longer actively tracked by PitchBook.</t>
  </si>
  <si>
    <t>158024-53</t>
  </si>
  <si>
    <t>World's Foremost Bank (Credit Card Assets)</t>
  </si>
  <si>
    <t>Portfolio of credit cards and related liabilities of Synovus Bank.</t>
  </si>
  <si>
    <t>credit card, credit card portfolio, loyalty card</t>
  </si>
  <si>
    <t>134044-66P</t>
  </si>
  <si>
    <t>Kevin Werts</t>
  </si>
  <si>
    <t>Chief Financial Officer, Chief Marketing Officer &amp; Treasurer</t>
  </si>
  <si>
    <t>Capital One Financial (NYS: COF) acquired Credit Card Assets of World's Foremost Bank for $5.2 billion on September 25, 2017. The asset is no longer actively tracked by PitchBook.</t>
  </si>
  <si>
    <t>Cabela's, Synovus Bank</t>
  </si>
  <si>
    <t>Cabela's(www.cabelas.com), Synovus Bank(www.synovus.com)</t>
  </si>
  <si>
    <t>134236-45</t>
  </si>
  <si>
    <t>Trans Mountain</t>
  </si>
  <si>
    <t>Trans Mountain Corporation</t>
  </si>
  <si>
    <t>Provider of energy transportation services intended to transport hydrocarbon products. The company's pipelines helps prevent damage from external forces and reduces the possibility of failure caused by corrosion, enabling oil and gas companies to transport and ship crude and refined oil from Alberta to the west coast of British Columbia.</t>
  </si>
  <si>
    <t>coast pipeline, fuel pipeline, natural oil, oil distributor, pipeline system, refined oil</t>
  </si>
  <si>
    <t>www.transmountain.com</t>
  </si>
  <si>
    <t>2020: 4900</t>
  </si>
  <si>
    <t>163089-91P</t>
  </si>
  <si>
    <t>Ian Anderson</t>
  </si>
  <si>
    <t>ian_anderson@transmountain.com</t>
  </si>
  <si>
    <t>+1 (866) 514-6700</t>
  </si>
  <si>
    <t>300 5th Avenue Southwest</t>
  </si>
  <si>
    <t>Suite 2700</t>
  </si>
  <si>
    <t>T2P 5J2</t>
  </si>
  <si>
    <t>info@transmountain.com</t>
  </si>
  <si>
    <t>The Government of Canada has received bids from Western Indigenous Pipeline Group and Project Reconciliation to acquire the company for CAD 6.9 billion on July 2, 2019. Previously, the company was acquired by Government of Canada for CAD 4.5 billion on August 31, 2018. The company is being actively tracked by PitchBook.</t>
  </si>
  <si>
    <t>Government of Canada</t>
  </si>
  <si>
    <t>Kinder Morgan Energy Partners, Terasen Gas</t>
  </si>
  <si>
    <t>Government of Canada(www.canada.ca)</t>
  </si>
  <si>
    <t>Terasen Gas(www.terasengas.com)</t>
  </si>
  <si>
    <t>Osler, Hoskin &amp; Harcourt(Legal Advisor)</t>
  </si>
  <si>
    <t>121596-13</t>
  </si>
  <si>
    <t>Inotera Memories</t>
  </si>
  <si>
    <t>Inotera</t>
  </si>
  <si>
    <t>Inotera Memories, Inc.</t>
  </si>
  <si>
    <t>Manufacturer of dynamic random access memory (DRAM) chips. The company provides DRAM foundry services based on 30nm process technology with a maximum planned capacity of approximately 120 thousand wafer starts per month. All production output is supplied to Micron Technology.</t>
  </si>
  <si>
    <t>Electronic Components, Production (Semiconductors)*</t>
  </si>
  <si>
    <t>process technology, random access memory</t>
  </si>
  <si>
    <t>www.inotera.com</t>
  </si>
  <si>
    <t>2006: 2898, 2007: 3421, 2008: 3577, 2009: 3112, 2010: 3457, 2011: 3629, 2012: 3608, 2015: 3608</t>
  </si>
  <si>
    <t>Taiwan</t>
  </si>
  <si>
    <t>667, Fuhsing 3rd Road</t>
  </si>
  <si>
    <t>Hwa-Ya Technology Park</t>
  </si>
  <si>
    <t>333</t>
  </si>
  <si>
    <t>+886 (0)3 3272988</t>
  </si>
  <si>
    <t>investor@inotera.com</t>
  </si>
  <si>
    <t>The company (TAI: 3474) was acquired by Micron Technology (NASDAQ: MU) for $5.19 billion on December 6, 2016. The deal will generate significant financial and strategic benefits for the company.</t>
  </si>
  <si>
    <t>Nanya Technology, Qimonda</t>
  </si>
  <si>
    <t>Nanya Technology(www.nanya.com)</t>
  </si>
  <si>
    <t>114018-31</t>
  </si>
  <si>
    <t>UCB Pharma</t>
  </si>
  <si>
    <t>Schwarz Pharma AG</t>
  </si>
  <si>
    <t>UCB Pharma GmbH</t>
  </si>
  <si>
    <t>Landsteiner Scientific, Astellas Pharma, GlaxoSmithKline, Arbor Pharmaceuticals, SynCore Biotechnology Company, Alkermes, Teva Pharmaceutical Industries, Otsuka Holdings, Ferrer Internacional, Boehringer Ingelheim, Alkem Laboratories, The Medicines Company, The Zambon Group, Lannett Company, Theravance Biopharma, Novo Nordisk, Novartis, Sentynl Therapeutics, Genentech, Lundbeck, Pfizer, Akorn, OncoMed Pharmaceuticals, Impax Laboratories, Mallinckrodt, Merck &amp; Co., Illumina, Celgene, Sagent Pharmaceuticals, Grunenthal, Allergan, Taro Pharmaceutical Industries, Janssen Global Services, AstraZeneca, Biogen, Salix Pharmaceuticals, Ipsen Group, Clinova, Intercept(Biotechnology), Virbac, US WorldMeds</t>
  </si>
  <si>
    <t>Developer and marketer of drugs. The company specializes in the research, development and market of drugs, pharmaceutical and biotechnological products.</t>
  </si>
  <si>
    <t>market drugs, medical supply</t>
  </si>
  <si>
    <t>ucb.de</t>
  </si>
  <si>
    <t>2007: 4400, 2008: 2126, 2009: 9324, 2010: 8898, 2011: 8506</t>
  </si>
  <si>
    <t>UCB</t>
  </si>
  <si>
    <t>52314-40P</t>
  </si>
  <si>
    <t>Mark Mcdade</t>
  </si>
  <si>
    <t>mark@qimingvc.com</t>
  </si>
  <si>
    <t>Alfred-Nobel-Strasse 10</t>
  </si>
  <si>
    <t>40789</t>
  </si>
  <si>
    <t>+49 (0)21 7348 4848</t>
  </si>
  <si>
    <t>+49 (0)21 7348 4841</t>
  </si>
  <si>
    <t>customerservice@ucb.com</t>
  </si>
  <si>
    <t>The company was acquired by UCB for EUR 3.94 billion on January 4, 2007. The company is no longer actively tracked by PitchBook.</t>
  </si>
  <si>
    <t>Destum Partners(Advisor: General), Insight Sourcing Group(Advisor: General), mInvestment Banking(Advisor: General)</t>
  </si>
  <si>
    <t>Mayer Brown(Legal Advisor), Rothschild &amp; Co(Advisor: General)</t>
  </si>
  <si>
    <t>65418-85</t>
  </si>
  <si>
    <t>Hong Yuan Securities</t>
  </si>
  <si>
    <t>Hong Yuan</t>
  </si>
  <si>
    <t>Hong Yuan Securities Company Ltd</t>
  </si>
  <si>
    <t>Provider of brokerage services. The company operates as a leading securities firm headquartered in Beijing and is involved in the purchase and sale of stocks, funds, warrants and bonds, the underwriting and distribution of IPO stocks as well as the investment on financial assets and derivatives.</t>
  </si>
  <si>
    <t>Asset Management*, Brokerage</t>
  </si>
  <si>
    <t>brokerage firm, financial service, investment service, securities brokerage firm</t>
  </si>
  <si>
    <t>www.hysec.com</t>
  </si>
  <si>
    <t>2014: 94</t>
  </si>
  <si>
    <t>83172-25P</t>
  </si>
  <si>
    <t>Hu Qiang</t>
  </si>
  <si>
    <t>Chief Executive Officer, Vice Chairman and General Manager</t>
  </si>
  <si>
    <t>No. 19 Taipingqiao Avenue</t>
  </si>
  <si>
    <t>100033</t>
  </si>
  <si>
    <t>The company was acquired by Shenwan Hongyuan Securities for RMB 32.2 billion on January 16, 2015.</t>
  </si>
  <si>
    <t>Shenwan Hongyuan Securities</t>
  </si>
  <si>
    <t>King &amp; Wood Mallesons(Legal Advisor), Northeast Securities(Advisor: General)</t>
  </si>
  <si>
    <t>10359-55</t>
  </si>
  <si>
    <t>Hulu</t>
  </si>
  <si>
    <t>Hulu, LLC</t>
  </si>
  <si>
    <t>Amazon Studios, Chili (Broadcasting, Radio and Television), Zattoo International, Starz Entertainment, Shemaroo Entertainment, Stan Entertainment, Pandora Media, Showtime Networks, Orbit Showtime Network, Home Box Office, LionsGate Entertainment, Endeavor Streaming, Hungama, A&amp;E Television Networks, FuboTV, SnagFilms, Spuul, VUDU, KlowdTV, HOOQ, Sling TV, Silver Chalice Ventures, Vevo, 21st Century Fox, Disney+Hotstar, Corus Entertainment, In Demand, Napster, Cox Communications, Fandor, MainStreaming, Vuclip, iStreamPlanet, BoxCast, Crackle, EROS International Media, Apalya, Plex, Fox Sports Southeast, Entertainment One, AMC Networks, Roku, FilmStruck, Turner Broadcasting System, 8tracks, Newcap Radio, FilmDoo, Viacom, Disney/ABC Television Group, Fox Family Worldwide</t>
  </si>
  <si>
    <t>Provider of online streaming services. The company's services offers instant access to live and on demand channels, original series and films and a premium library of TV and movies, enabling users access to thousands of hours of the best of entertainment content.</t>
  </si>
  <si>
    <t>online movies, online television, online tv, online video, premium original content, streaming service, video on demand, video sharing, video streaming</t>
  </si>
  <si>
    <t>www.hulu.com</t>
  </si>
  <si>
    <t>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 , News (New)</t>
  </si>
  <si>
    <t>167861-71P</t>
  </si>
  <si>
    <t>Kelly Campbell</t>
  </si>
  <si>
    <t>kelly.campbell@hulu.com</t>
  </si>
  <si>
    <t>2500 Broadway</t>
  </si>
  <si>
    <t>2nd Floor</t>
  </si>
  <si>
    <t>The company received $5175 million of debt financing in the form of term loan A from Wells Fargo and other undisclosed lenders on August 7, 2019.</t>
  </si>
  <si>
    <t>21st Century Fox, AT&amp;T, NBCUniversal, News Corp, Providence Equity Partners, Texas Economic Development Corporation, WarnerMedia</t>
  </si>
  <si>
    <t>Alphabet, Amazon.com, Facebook, Microsoft, Netflix, Samsung C&amp;T (Acquired in 2015), Verizon Communications, Yahoo</t>
  </si>
  <si>
    <t>21st Century Fox(www.21cf.com), AT&amp;T(www.att.com), NBCUniversal(www.nbcuniversal.com), News Corp(www.newscorp.com), Providence Equity Partners(www.provequity.com), Texas Economic Development Corporation(www.businessintexas.com), WarnerMedia(www.warnermedia.com)</t>
  </si>
  <si>
    <t>Alphabet(www.abc.xyz), Amazon.com(www.amazon.com), Facebook(www.facebook.com), Microsoft(www.microsoft.com), Netflix(www.netflix.com), Verizon Communications(www.verizon.com), Yahoo(www.yahoo.com)</t>
  </si>
  <si>
    <t>B2World(Advisor: General), Collegial Services(Consulting), ECA Partners(Consulting), hrQ(Consulting), Riviera Partners(Consulting)</t>
  </si>
  <si>
    <t>Bank of America(Underwriter), Guggenheim Partners(Advisor: General), J.P. Morgan(Underwriter), Morgan Stanley(Underwriter), Proskauer Rose(Legal Advisor), The Goldman Sachs Group(Underwriter), Wells Fargo(Debt Financing)</t>
  </si>
  <si>
    <t>Loan - $5.18B (Term Loan)</t>
  </si>
  <si>
    <t>13192-66</t>
  </si>
  <si>
    <t>Avista (US) (NYS: AVA)</t>
  </si>
  <si>
    <t>Washington Water Power</t>
  </si>
  <si>
    <t>Avista, Avista Utilities</t>
  </si>
  <si>
    <t>Avista Corporation</t>
  </si>
  <si>
    <t>EQT Production Company, QEP Resources, Dynegy, Duke Energy</t>
  </si>
  <si>
    <t>Avista Corp is an electric and natural gas utility company headquartered in Spokane, Washington. Avista primarily operates in the Pacific Northwest of the United States along with some operations in Juneau, Alaska. The company has two major business segments including Avista Utilities, which transmits and distributes electricity and natural gas; and AEL&amp;P, which provides electric services in Juneau, Alaska. The firm primarily uses hydroelectric, thermal, and wind energy to generate power. Secondarily, Avista engages in sheet metal fabrication of electronics for a variety of industries (computer, construction, medical industries, and so on).</t>
  </si>
  <si>
    <t>energy, energy distributor, energy production</t>
  </si>
  <si>
    <t>www.myavista.com</t>
  </si>
  <si>
    <t>1989: 1232, 1990: 1975, 1991: 1975, 1992: 1476, 1993: 1476, 1994: 1420, 1995: 1420, 1996: 3303, 1997: 3218, 1998: 3689, 1999: 1524, 2000: 2260, 2001: 1435, 2002: 1950, 2003: 1900, 2004: 1485, 2005: 1485, 2006: 1430, 2007: 2117, 2008: 2127, 2009: 2435, 2010: 2499, 2011: 2809, 2012: 3179, 2013: 3310, 2014: 1874, 2015: 1938, 2016: 1982, 2017: 1948, 2018: 2026, 2019: 1920, 2020: 1200</t>
  </si>
  <si>
    <t>AVA</t>
  </si>
  <si>
    <t>58175-29P</t>
  </si>
  <si>
    <t>Mark Thies</t>
  </si>
  <si>
    <t>mark.thies@avistacorp.com</t>
  </si>
  <si>
    <t>+1 (509) 495-4203</t>
  </si>
  <si>
    <t>Spokane, WA</t>
  </si>
  <si>
    <t>1411 E. Mission Ave.</t>
  </si>
  <si>
    <t>Spokane</t>
  </si>
  <si>
    <t>99252-0001</t>
  </si>
  <si>
    <t>info@avistacorp.com</t>
  </si>
  <si>
    <t>The company (NYS: AVA) was in talks to be acquired by Hydro One (TSX: H) for CAD 6.7 billion on July 19, 2017. Post this transaction, the company was to be delisted from the stock exchange. Subsequently, the deal got canceled. As required by the merger agreement, Hydro One will pay Avista a US$103 million termination fee as a result of the termination of the merger agreement.</t>
  </si>
  <si>
    <t>BlackRock Fund Advisors, The Vanguard Group</t>
  </si>
  <si>
    <t>Hydro One Networks</t>
  </si>
  <si>
    <t>The Vanguard Group(www.vanguard.com)</t>
  </si>
  <si>
    <t>Hydro One Networks(www.hydroone.com)</t>
  </si>
  <si>
    <t>Van Ness Feldman(Legal Advisor)</t>
  </si>
  <si>
    <t>Bank of America Merrill Lynch(Advisor: General), Kirkland &amp; Ellis(Legal Advisor), Rigrodsky &amp; Long(Legal Advisor)</t>
  </si>
  <si>
    <t>64159-21</t>
  </si>
  <si>
    <t>UEM Group (Malaysia)</t>
  </si>
  <si>
    <t>UEM</t>
  </si>
  <si>
    <t>UEM Group Berhad</t>
  </si>
  <si>
    <t>Provider of engineering and construction services based in Kuala Lumpur, Malaysia. The company delivers and manages key infrastructure development projects, which include expressway construction, township development, property development, urban transits, water infrastructure, airports and other related engineering and construction services, to the public and private sectors.</t>
  </si>
  <si>
    <t>civil engineering service, engineering services, infrastructural services, infrastructure, infrastructure services</t>
  </si>
  <si>
    <t>www.uem.com.my</t>
  </si>
  <si>
    <t>2019: 15500</t>
  </si>
  <si>
    <t>56671-93P</t>
  </si>
  <si>
    <t>Azmil Aziz</t>
  </si>
  <si>
    <t>+60 (0)3 2034 0000</t>
  </si>
  <si>
    <t>Kuala Lumpur, Malaysia</t>
  </si>
  <si>
    <t>17-2 Mercu UEM, Jalan Stesen Sentral 5</t>
  </si>
  <si>
    <t>Kuala Lumpur Sentral</t>
  </si>
  <si>
    <t>Kuala Lumpur</t>
  </si>
  <si>
    <t>50470</t>
  </si>
  <si>
    <t>+60 (0)3 2727 6868</t>
  </si>
  <si>
    <t>+60 (0)3 2727 2222</t>
  </si>
  <si>
    <t>uemcomms@uemnet.com</t>
  </si>
  <si>
    <t>The company was in talks to be acquired by Eco World International (KLS: 5283) for an undisclosed amount on October 9, 2020. Subsequently, the deal was cancelled.</t>
  </si>
  <si>
    <t>Khazanah Nasional</t>
  </si>
  <si>
    <t>Renong Group</t>
  </si>
  <si>
    <t>Employees Provident Fund (Malaysia), MMC Corporation, Permodalan Nasional</t>
  </si>
  <si>
    <t>Khazanah Nasional(www.khazanah.com.my)</t>
  </si>
  <si>
    <t>Employees Provident Fund (Malaysia)(www.kwsp.gov.my), MMC Corporation(www.mmc.com.my), Permodalan Nasional(www.pnb.com.my)</t>
  </si>
  <si>
    <t>59648-68</t>
  </si>
  <si>
    <t>Bridgemarq Real Estate Services (TSE: BRE)</t>
  </si>
  <si>
    <t>Brookfield Real Estate Services</t>
  </si>
  <si>
    <t>Bridgemarq</t>
  </si>
  <si>
    <t>Bridgemarq Real Estate Services, Inc.</t>
  </si>
  <si>
    <t>Bridgemarq Real Estate Services Inc is a Canada-based real estate services company. Its segment includes providing information and services to real estate agents and brokers in Canada through a portfolio of real estate services brands. It supplies realtors with information, tools, and services to assist them in providing and delivery of real estate sales services. The company's brands include Royal LePage and Via Capitale and Johnston and Daniel.</t>
  </si>
  <si>
    <t>Media and Information Services (B2B), Real Estate Services (B2C)*</t>
  </si>
  <si>
    <t>brokerage services, real estate brokerage, real estate operations, real estate services, residential property</t>
  </si>
  <si>
    <t>www.bridgemarq.com</t>
  </si>
  <si>
    <t>2021: 27</t>
  </si>
  <si>
    <t>BRE</t>
  </si>
  <si>
    <t>111412-27P</t>
  </si>
  <si>
    <t>Glen McMillan</t>
  </si>
  <si>
    <t>glen.mcmillan@brookfieldres.com</t>
  </si>
  <si>
    <t>+1 (416) 359-5605</t>
  </si>
  <si>
    <t>39 Wynford Drive</t>
  </si>
  <si>
    <t>M3C 3K5</t>
  </si>
  <si>
    <t>+1 (416) 510-5800</t>
  </si>
  <si>
    <t>+1 (416) 446-0050</t>
  </si>
  <si>
    <t>info@bridgemarq.com</t>
  </si>
  <si>
    <t>The company is rumored to be in talks with Brookfield Asset Management (TSE: BAM.A) regarding a potential acquisition for CAD 6.5 billion on April 2, 2021. The company is being actively tracked by PitchBook.</t>
  </si>
  <si>
    <t>American Stock Transfer &amp; Trust Company(Custodian)</t>
  </si>
  <si>
    <t>42437-26</t>
  </si>
  <si>
    <t>Progressive Waste Solutions</t>
  </si>
  <si>
    <t>BFI Canada</t>
  </si>
  <si>
    <t>Progressive Waste, PWS</t>
  </si>
  <si>
    <t>Progressive Waste Solutions Ltd.</t>
  </si>
  <si>
    <t>Advanced Disposal, Webb Waste, GFL Environmental, Inland Waste Solutions, Advantage Waste Systems, Waste Pro USA, Envirotec Services, Capital Waste Services, Advanced Waste Services, Alpine Waste &amp; Recycling, Coastal Waste &amp; Recycling, WCA Waste Corporation, Recology, Lakeshore Recycling Systems, Ekokem Group, Anderson Rubbish Disposal, Rivergreen Water Recycling, Waste Management, Stericycle, Heritage Environmental Services, WasteZero, Emterra Group</t>
  </si>
  <si>
    <t>Provider of non-hazardous solid waste management services in Canada. The company offers non-hazardous waste collection and landfill disposal services for municipal, commercial, industrial and residential customers.</t>
  </si>
  <si>
    <t>solid waste disposal service</t>
  </si>
  <si>
    <t>www.progressivewaste.com</t>
  </si>
  <si>
    <t>2002: 670, 2003: 670, 2004: 2500, 2005: 2500, 2006: 2900, 2009: 4214, 2010: 6575, 2011: 7000, 2012: 7500, 2013: 7500, 2014: 7900, 2015: 7900</t>
  </si>
  <si>
    <t>125900-29P</t>
  </si>
  <si>
    <t>Dan Pio</t>
  </si>
  <si>
    <t>dan.pio@progressivewaste.com</t>
  </si>
  <si>
    <t>Vaughan, Canada</t>
  </si>
  <si>
    <t>400 Applewood Crescent</t>
  </si>
  <si>
    <t>Second Floor</t>
  </si>
  <si>
    <t>Vaughan</t>
  </si>
  <si>
    <t>L4K 0C3</t>
  </si>
  <si>
    <t>The company was acquired by Waste Connections (NYSE: WCN) for $5.16 billion on June 1, 2016. Under the terms of the agreement, 0.4815 share of Waste Connections will be exchanged for 1 share of Progressive Waste Solutions. The shareholders of the company will own 30% of the combined company. The company is no longer actively tracked by PitchBook.</t>
  </si>
  <si>
    <t>Waste Connections</t>
  </si>
  <si>
    <t>HCI Equity Partners</t>
  </si>
  <si>
    <t>HCI Equity Partners(www.hciequity.com)</t>
  </si>
  <si>
    <t>Bank of America Merrill Lynch(Underwriter), BMO Capital Markets(Advisor: General), BMO Nesbitt Burns(Underwriter), CIBC Capital Markets(Lead Manager or Arranger), Deloitte(Accounting), Desjardins Securities(Underwriter), Glass Lewis(Advisor: General), Goodman and Carr(Legal Advisor), HollisWealth(Underwriter), Institutional Shareholder Services(Advisor: General), J.P. Morgan(Underwriter), J.P. Morgan Securities(Advisor: General), National Bank of Canada(Advisor: General), Raymond James Financial(Underwriter), Scotiabank Global Banking and Markets(Underwriter), Stikeman Elliott(Legal Advisor), TD Securities(Underwriter), Weil, Gotshal &amp; Manges(Legal Advisor)</t>
  </si>
  <si>
    <t>112945-15</t>
  </si>
  <si>
    <t>Borsa Italiana</t>
  </si>
  <si>
    <t>Borsa Italiana SpA</t>
  </si>
  <si>
    <t>Provider of stock market management services based in Milan, Italy. The company specializes in trading services, market data, intermediaries, publications, market analysis and statistics, catering to domestic and international brokers.</t>
  </si>
  <si>
    <t>market compliance, property management, stock exchange, stock market analysis</t>
  </si>
  <si>
    <t>www.borsaitaliana.it</t>
  </si>
  <si>
    <t>Piazza degli Affari, 6</t>
  </si>
  <si>
    <t>The company, a subsidiary of London Stock Exchange Group (LON: LSE), was acquired by Euronext (PAR: ENX) for EUR 4.325 billion on April 29, 2021. The revenue generated from the transaction will enable London Stock Exchange to acquire Refinitiv. The company is no longer actively tracked by PitchBook.</t>
  </si>
  <si>
    <t>Euronext</t>
  </si>
  <si>
    <t>IntesaBci, London Stock Exchange Group</t>
  </si>
  <si>
    <t>London Stock Exchange Group(www.lseg.com)</t>
  </si>
  <si>
    <t>Avvalor Corporate Solutions(Advisor: General), Barclays(Advisor: General), EnVent Capital Markets(Advisor: General), The Goldman Sachs Group(Advisor: General)</t>
  </si>
  <si>
    <t>Bank of America Merrill Lynch(Advisor: General), Barclays(Advisor: General), Chiomenti Studio Legale(Legal Advisor), Freshfields Bruckhaus Deringer(Legal Advisor), J.P. Morgan(Advisor: General), Linklaters(Legal Advisor), Mediobanca(Advisor: General), Morgan Stanley(Advisor: General), Robey Warshaw(Advisor: General), Rothschild &amp; Co(Advisor: General), Royal Bank of Canada(Advisor: General), Shearman &amp; Sterling(Legal Advisor), The Goldman Sachs Group(Advisor: General)</t>
  </si>
  <si>
    <t>227016-73</t>
  </si>
  <si>
    <t>The Center</t>
  </si>
  <si>
    <t>A 73-storey office tower located in the central district of Hong Kong. The building is one of the few skyscrapers that is entirely steel-structured with no reinforced concrete core.</t>
  </si>
  <si>
    <t>building, office building, office space, office tower, tower blocks</t>
  </si>
  <si>
    <t>The Center was acquired by C.H.M.T. Peaceful Development Asia Property for HKD 40.2 billion on November 1, 2017. The asset is no longer actively tracked by PitchBook.</t>
  </si>
  <si>
    <t>C.H.M.T. Peaceful Development Asia Property</t>
  </si>
  <si>
    <t>10451-98</t>
  </si>
  <si>
    <t>Triad Hospitals</t>
  </si>
  <si>
    <t>Owner and operator of hospitals. The company provides health care services through hospitals and ambulatory surgery centers that it owns and operates in small cities and selected urban markets primarily in the southern, mid-western and western United States.</t>
  </si>
  <si>
    <t>1999: 14700, 2000: 15500, 2001: 33000, 2002: 34000, 2003: 45500, 2004: 38600, 2005: 38000, 2006: 42000, 2007: 42000</t>
  </si>
  <si>
    <t>14240-53P</t>
  </si>
  <si>
    <t>Daniel Moen</t>
  </si>
  <si>
    <t>EVP, Development</t>
  </si>
  <si>
    <t>+1 (214) 473-7000</t>
  </si>
  <si>
    <t>5800 Tennyson Parkway</t>
  </si>
  <si>
    <t>The company was acquired by Community Health Systems (NYSE: CYH) for $5.15 billion on July 25, 2007.</t>
  </si>
  <si>
    <t>Community Health Systems</t>
  </si>
  <si>
    <t>CCMP Capital Advisors, Goldman Sachs Merchant Banking Division</t>
  </si>
  <si>
    <t>Davis Polk(Legal Advisor), Dewey &amp; LeBoeuf(Legal Advisor), Lehman Brothers(Advisor: General)</t>
  </si>
  <si>
    <t>11027-53</t>
  </si>
  <si>
    <t>Bankia</t>
  </si>
  <si>
    <t>Banco Financiero y de Ahorros (BFA)</t>
  </si>
  <si>
    <t>Bankia S.A.</t>
  </si>
  <si>
    <t>Lakeland Bank, Bank of Western Australia, Banco Santander, Truist, Banco Bilbao Vizcaya Argentaria, CaixaBank, Northern Trust, Wells Fargo, Grupo Financiero Banorte, First Nationwide Bank, Caixa d'Estalvis de Girona, Kiwibank, Commerzbank (Schweiz), Nationwide Building Society, SunTrust Bank, Canadian Imperial Bank of Commerce, HSBC Holdings, Northeast Bank, Investec, BBVA USA Bancshares, Mediobanca, Bank of Queensland, Commonwealth Bank of Australia, Regions Financial, DNB Financial, KAS BANK, Banco Santander Peru, Bank OZK, HSBC Bank Canada, Westpac Banking, PNC, Westpac Vanuatu, Credit Agricole, Banco BPM, Banco Popular, First Busey, Bank of America, Deutsche Bank, Southern States Bank, Bankinter</t>
  </si>
  <si>
    <t>Bankia SAU is a Spanish banking subsidiary of a financial services group. The bank reports earnings through three segments that include retail banking, business banking, and its corporate centre. An overwhelming majority of the bank's activities, as well as its credit exposure, is in the Spanish domestic market. Net interest income is the greatest contributor to the net revenue of the retail banking segment, where most of the bank's loan portfolio is concentrated and where most of its profits are derived. The bank's loan portfolio is mostly exposed toward mortgages. The majority of the bank's financial assets available-for-sale are toward government agencies, primarily those of the Spanish government.</t>
  </si>
  <si>
    <t>business banking, national bank, private banking, retail banking</t>
  </si>
  <si>
    <t>www.bankia.com</t>
  </si>
  <si>
    <t>2011: 22901, 2012: 20959, 2013: 17230, 2014: 15081, 2015: 14329, 2016: 13490, 2017: 17217, 2018: 17842, 2019: 16069, 2020: 16006</t>
  </si>
  <si>
    <t>CaixaBank</t>
  </si>
  <si>
    <t>Valencia, Spain</t>
  </si>
  <si>
    <t>Pintor Sorolla 8</t>
  </si>
  <si>
    <t>Valencia</t>
  </si>
  <si>
    <t>46002</t>
  </si>
  <si>
    <t>The company was acquired by CaixaBank (XMAD: CABK) for EUR 4.3 billion on March 26, 2021. The merger will create Spain's largest domestically focused lender and should enable CaixaBank to slash costs by closing branches at a time when Spanish banks are dealing with tough competition and negatives rates.</t>
  </si>
  <si>
    <t>Fondo de Reestructuracion Ordenada Bancaria, Government of Spain, Katalysator, Kistefos, Santander Consumer Finance</t>
  </si>
  <si>
    <t>Fondo de Reestructuracion Ordenada Bancaria(www.frob.es), Katalysator(www.katalysator.no), Kistefos(www.kistefos.no), Santander Consumer Finance(www.santanderconsumer.com)</t>
  </si>
  <si>
    <t>Alantra Partners(Advisor: General), Analistas Financieros Internacionales(Advisor: General), Eneas Alternative Investments(Advisor: General), EY(Auditor), KPMG(Auditor), Montalbán Atlas Capital(Advisor: General), Pareto Securities(Advisor: General), Secondcap(LP Consultant: General), Thommessen(Legal Advisor), Wiersholm(Legal Advisor)</t>
  </si>
  <si>
    <t>Banco Popular(Lead Manager or Arranger), Bank of America Merrill Lynch(Underwriter), Barclays(Underwriter), BBVA Bancomer(Lead Manager or Arranger), BDO Spain(Advisor: General), BNP Paribas(Underwriter), Caixa Geral de Depósitos(Lead Manager or Arranger), Commerzbank(Lead Manager or Arranger), Deutsche Bank(Underwriter), EY(Auditor), J.P. Morgan(Underwriter), Lazard Middle Market(Advisor: General), Mediobanca(Lead Manager or Arranger), Morgan Stanley(Advisor: General), Pareto Securities(Advisor: General), Proskauer Rose(Legal Advisor), Santander Corporate &amp; Investment Banking(Underwriter), Société Générale(Lead Manager or Arranger), STJ Advisors(Advisor: General), UBS Group(Underwriter), UniCredit(Lead Manager or Arranger), Wiersholm(Legal Advisor)</t>
  </si>
  <si>
    <t>111831-13</t>
  </si>
  <si>
    <t>Servizi Assicurativi del Commercio Estero</t>
  </si>
  <si>
    <t>SACE</t>
  </si>
  <si>
    <t>Servizi Assicurativi del Commercio Estero S.p.A.</t>
  </si>
  <si>
    <t>Provider of insurance and financial products based in Italy. The company is primarily engaged in providing export credit, credit insurance, investment protection, financial guarantees, sureties and factoring services.</t>
  </si>
  <si>
    <t>Other Financial Services, Other Insurance*</t>
  </si>
  <si>
    <t>credit insurance, credit recovery services, debt finance, export credit, investment protection</t>
  </si>
  <si>
    <t>www.sacesimest.it</t>
  </si>
  <si>
    <t>2015: 501</t>
  </si>
  <si>
    <t>255239-11P</t>
  </si>
  <si>
    <t>Michele De Capitani</t>
  </si>
  <si>
    <t>mdecapitani@sacesimest.it</t>
  </si>
  <si>
    <t>+39 06 6736 000</t>
  </si>
  <si>
    <t>Piazza Poli, 37/42</t>
  </si>
  <si>
    <t>00187</t>
  </si>
  <si>
    <t>info@sacesimest.it</t>
  </si>
  <si>
    <t>The company reached a definitive agreement to be acquired by The Italian Ministry of Economy and Finance for EUR 4.25 billion on March 2, 2021. The company is being actively tracked by PitchBook.</t>
  </si>
  <si>
    <t>Cassa Depositi e Prestiti</t>
  </si>
  <si>
    <t>Ministero dello Sviluppo Economico</t>
  </si>
  <si>
    <t>The Italian Ministry of Economy and Finance</t>
  </si>
  <si>
    <t>Cassa Depositi e Prestiti(en.cdp.it)</t>
  </si>
  <si>
    <t>The Italian Ministry of Economy and Finance(www.mef.gov.it)</t>
  </si>
  <si>
    <t>Moses &amp; Singer(Legal Advisor), Taylor-DeJongh(Advisor: General)</t>
  </si>
  <si>
    <t>107320-78</t>
  </si>
  <si>
    <t>Wirtgen</t>
  </si>
  <si>
    <t>Wirtgen GmbH</t>
  </si>
  <si>
    <t>Manufacturer of machinery and equipment based in Windhagen, Germany. The company offers material processing, cost-efficient operation and complete recycling of material, enabling road construction and mining industries to develop their construction and repairing processes with cutting-edge products.</t>
  </si>
  <si>
    <t>Building Products, Machinery (B2B)*</t>
  </si>
  <si>
    <t>cold recycling, construction machinery, construction machinery manufacturer, mining machinery, road construction, road construction equipment, road construction machinery</t>
  </si>
  <si>
    <t>www.wirtgen.de</t>
  </si>
  <si>
    <t>2015: 7160, 2017: 8200, 2019: 8700</t>
  </si>
  <si>
    <t>Deere</t>
  </si>
  <si>
    <t>202416-85P</t>
  </si>
  <si>
    <t>Domenic Ruccolo</t>
  </si>
  <si>
    <t>domenic.ruccolo@wirtgen-group.com</t>
  </si>
  <si>
    <t>+49 (0)26 4513 10</t>
  </si>
  <si>
    <t>Windhagen, Germany</t>
  </si>
  <si>
    <t>Reinhard-Wirtgen-Strasse 2</t>
  </si>
  <si>
    <t>Windhagen</t>
  </si>
  <si>
    <t>53578</t>
  </si>
  <si>
    <t>+49 (0)26 4513 1392</t>
  </si>
  <si>
    <t>info@wirtgen.de</t>
  </si>
  <si>
    <t>The company was acquired by Deere &amp; Company (NYSE: DE) for $5,136 million on December 1, 2017. The acquisition aligns with Deere's long-term strategy to expand in both of John Deere's global growth businesses of agriculture and construction.</t>
  </si>
  <si>
    <t>Becker, Glynn, Muffly, Chassin &amp; Hosinski(Legal Advisor), Boston Consulting Group(Advisor: General), Flick Gocke Schaumburg(Legal Advisor)</t>
  </si>
  <si>
    <t>113073-31</t>
  </si>
  <si>
    <t>General Electric (Japanese commercial finance business)</t>
  </si>
  <si>
    <t>Provider of financial services. The company offers corporate finance loans and other financial services to individual lenders and organizations.</t>
  </si>
  <si>
    <t>corporate financing, financing services</t>
  </si>
  <si>
    <t>The Japanese Commercial Finance Operations of General Electric was acquired by Sumitomo Mitsui Financial Group for JPY 579.5 billion on April 1, 2016. The business unit is no longer actively tracked by PitchBook.</t>
  </si>
  <si>
    <t>Sumitomo Mitsui Finance &amp; Leasing</t>
  </si>
  <si>
    <t>Mitsubishi UFJ Financial Group, Mizuho Financial Group</t>
  </si>
  <si>
    <t>Mitsubishi UFJ Financial Group(www.mufg.jp), Mizuho Financial Group(www.mizuho-fg.co.jp)</t>
  </si>
  <si>
    <t>40408-48</t>
  </si>
  <si>
    <t>Carphone Warehouse Group</t>
  </si>
  <si>
    <t>Carphone</t>
  </si>
  <si>
    <t>The Carphone Warehouse Ltd.</t>
  </si>
  <si>
    <t>Distributor of mobile phones and wireless-enabled computer tablets. The company is engaged in the distribution of various range of mobile phones and tablets while selling it through its retail outlets.</t>
  </si>
  <si>
    <t>Other Retail, Specialty Retail*</t>
  </si>
  <si>
    <t>mobile phone seller, mobile retailer, retailer</t>
  </si>
  <si>
    <t>www.carphonewarehouse.com</t>
  </si>
  <si>
    <t>2015: 749, 2016: 729, 2021: 500</t>
  </si>
  <si>
    <t>Dixons Carphone</t>
  </si>
  <si>
    <t>133927-57P</t>
  </si>
  <si>
    <t>Roger Taylor</t>
  </si>
  <si>
    <t>+44 (0)80 0049 6250</t>
  </si>
  <si>
    <t>Salford, United Kingdom</t>
  </si>
  <si>
    <t>PO Box 689</t>
  </si>
  <si>
    <t>Salford</t>
  </si>
  <si>
    <t>M5 0PD</t>
  </si>
  <si>
    <t>The company was acquired by Dixons Carphone (LON: DC.) for EUR 3.8 billion on August 7, 2014.</t>
  </si>
  <si>
    <t>Best Buy (Minnesota)</t>
  </si>
  <si>
    <t>Best Buy (Minnesota)(www.bestbuy.com)</t>
  </si>
  <si>
    <t>Bow &amp; Arrow(Consulting), Deloitte(Auditor), HSBC Bank UK(Auditor), Tughans Solicitors(Legal Advisor), White Space Strategy(Consulting), Withers Worldwide(Legal Advisor)</t>
  </si>
  <si>
    <t>Barclays(Debt Financing), BB&amp;T Capital Markets(Advisor: General), Freshfields Bruckhaus Deringer(Legal Advisor)</t>
  </si>
  <si>
    <t>41742-73</t>
  </si>
  <si>
    <t>URS</t>
  </si>
  <si>
    <t>URS Corporation</t>
  </si>
  <si>
    <t>HNTB, Emcor Group, Fluor, Balfour Beatty, Kiewit, Granite Construction, Tetra Tech, Jacobs Engineering Group, Hatch (Canada), Parsons, Bechtel, Hill International, Whiting-Turner, Cumming Group, Larsen &amp; Toubro, Je Dunn Construction, Hofincons Infotech and Industrial Services, Ch2M Hill, WSP Finland, Chicago Bridge &amp; Iron Company, Gilbane Building Company, SNC-Lavalin Group, Sweco (Sweden), Technip, Chiyoda Construction, Arcadis, APC Corporación, Burns &amp; McDonnell, Williams Industrial Services Group (Acquired), Woolpert, Weston Solutions, AECOM, Amec Foster Wheeler, Hitachi</t>
  </si>
  <si>
    <t>Provider of engineering, construction and technical services. The company provides services to the power, infrastructure, federal, industrial and commercial market sectors.</t>
  </si>
  <si>
    <t>construction service, infrastructure management, program management</t>
  </si>
  <si>
    <t>1990: 960, 1991: 1000, 1992: 1000, 1993: 1100, 1994: 1100, 1995: 1300, 1996: 3000, 1997: 3300, 1998: 6600, 1999: 15700, 2000: 15900, 2001: 16000, 2002: 25000, 2003: 26000, 2004: 27500, 2005: 29200, 2006: 29300, 2007: 56000, 2008: 50000, 2010: 47000, 2011: 48000, 2012: 57000, 2013: 50000, 2014: 50000</t>
  </si>
  <si>
    <t>AECOM</t>
  </si>
  <si>
    <t>16012-54P</t>
  </si>
  <si>
    <t>David Swindle</t>
  </si>
  <si>
    <t>dave.swindle@urs.com</t>
  </si>
  <si>
    <t>600 Montgomery Street</t>
  </si>
  <si>
    <t>26th Floor</t>
  </si>
  <si>
    <t>The company (NYSE: URS) was acquired by AECOM Technology (NYSE: ACM) for $5.12 billion on October 17, 2014. The acquisition further diversifies and broadens AECOM Technology's (NYSE: ACM) market presence, as URS (NYSE: URS) brings strong sector expertise in important end markets including oil &amp; gas, power and government services. AECOM Technology (NYSE: ACM) backed by KMCP Advisors. The company is no longer actively tracked by PitchBook.</t>
  </si>
  <si>
    <t>Crescent Capital Group</t>
  </si>
  <si>
    <t>Blum Capital Partners, JANA Partners</t>
  </si>
  <si>
    <t>Crescent Capital Group(www.crescentcap.com)</t>
  </si>
  <si>
    <t>Blum Capital Partners(www.blumcapital.com), JANA Partners(www.janapartners.com)</t>
  </si>
  <si>
    <t>M&amp;A Capital(Advisor: General), Morgan Joseph TriArtisan(Advisor: General), Psion Partners(Advisor: General), Sard Verbinnen(Advisor: Communications)</t>
  </si>
  <si>
    <t>Citigroup(Advisor: General), Clearsight Advisors(Advisor: General), Cooley(Legal Advisor), Credit Suisse First Boston(Debt Financing), Crescent Capital Group(Debt Financing), DBO Partners(Advisor: General), St. Charles Capital(Auditor), Wachtell, Lipton, Rosen &amp; Katz(Legal Advisor), Wells Fargo Capital Finance(Debt Financing)</t>
  </si>
  <si>
    <t>Loan - $675.00M (Senior); Loan - $900.00M (Senior); Loan (Subordinated)</t>
  </si>
  <si>
    <t>125572-42</t>
  </si>
  <si>
    <t>Zinifex</t>
  </si>
  <si>
    <t>Zinifex Ltd</t>
  </si>
  <si>
    <t>Provider of gold mining services. The company engages in the mining of zinc metal, lead metal and other metals in Australia.</t>
  </si>
  <si>
    <t>Gold Mining*, Multi-line Mining</t>
  </si>
  <si>
    <t>gold mining service, led metal, metal mining, zinc metal</t>
  </si>
  <si>
    <t>www.zinifex.com.au</t>
  </si>
  <si>
    <t>169830-19P</t>
  </si>
  <si>
    <t>Greig Gailey</t>
  </si>
  <si>
    <t>greig.gailey@zinifex.com.au</t>
  </si>
  <si>
    <t>+61 (0)3 9288 0333</t>
  </si>
  <si>
    <t>Freshwater Place, Level 29</t>
  </si>
  <si>
    <t>2 Southbank Boulevard</t>
  </si>
  <si>
    <t>+61 (0)3 9288 9191</t>
  </si>
  <si>
    <t>The company was acquired by Oxiana for AUD 5600 million on March 3, 2008. The company is no longer actively tracked by PitchBook.</t>
  </si>
  <si>
    <t>Oxiana</t>
  </si>
  <si>
    <t>Grant Samuel Group(Advisor: General)</t>
  </si>
  <si>
    <t>Allens(Legal Advisor), Citigroup(Underwriter), Deutsche Bank(Underwriter), Grant Samuel Group(Advisor: General), UBS Group(Underwriter)</t>
  </si>
  <si>
    <t>55892-08</t>
  </si>
  <si>
    <t>Sponda</t>
  </si>
  <si>
    <t>Sponda Plc</t>
  </si>
  <si>
    <t>Provider of real estate investment services intended for leasing business premises and developing and owning properties. The company specializes in the leasing of office properties and shopping centers, property development in urban locations, as well as property investment and sales and acquisitions, enabling clients to rent from a wide variety of urban sites, equipped with modern technology.</t>
  </si>
  <si>
    <t>housing society, industrial property, property acquisition, property investment company, real estate investment company</t>
  </si>
  <si>
    <t>www.sponda.fi</t>
  </si>
  <si>
    <t>2008: 137, 2009: 135, 2010: 124, 2011: 125, 2012: 123, 2013: 123, 2014: 124, 2015: 106, 2016: 111, 2017: 109</t>
  </si>
  <si>
    <t>52644-61P</t>
  </si>
  <si>
    <t>Tomi Asanti</t>
  </si>
  <si>
    <t>Head, Representative Office</t>
  </si>
  <si>
    <t>tomi.asanti@innovestorgroup.com</t>
  </si>
  <si>
    <t>+358 (0)40 741 2097</t>
  </si>
  <si>
    <t>Korkeavuorenkatu 45</t>
  </si>
  <si>
    <t>P.O. BOX 940</t>
  </si>
  <si>
    <t>00101</t>
  </si>
  <si>
    <t>+358 (0)20 431 31</t>
  </si>
  <si>
    <t>info@sponda.fi</t>
  </si>
  <si>
    <t>The company (HEL:SDA1V) was acquired by The Blackstone Group and Areim through an EUR 4.3 billion LBO on September 14, 2017. The Goldman Sachs Group provided EUR 340 million mezzanine financing while Royal Bank of Canada, Morgan Stanley and Citigroup provided senior debt financing. The company will be delisted from the stock exchange in the coming days.</t>
  </si>
  <si>
    <t>Areim, The Blackstone Group, The Goldman Sachs Group</t>
  </si>
  <si>
    <t>Forum Fastighet, Oy Palsk, Solidium</t>
  </si>
  <si>
    <t>Areim(www.areim.se/in-english), The Blackstone Group(www.blackstone.com), The Goldman Sachs Group(www.goldmansachs.com)</t>
  </si>
  <si>
    <t>Forum Fastighet(www.fforum.se), Solidium(www.solidium.fi)</t>
  </si>
  <si>
    <t>Carnegie Investment Bank(Advisor: General), Danske Bank(Debt Financing), ICECAPITAL Securities(Advisor: General)</t>
  </si>
  <si>
    <t>Castren &amp; Snellman(Legal Advisor), Citigroup(Debt Financing), Goldman Sachs Asset Management(Advisor: General), Morgan Stanley(Debt Financing), Royal Bank of Canada(Debt Financing), Swedbank(Debt Financing), UBS Group(Advisor: General)</t>
  </si>
  <si>
    <t>Loan - $404.24M (Mezzanine); Loan - $2.62B (Senior)</t>
  </si>
  <si>
    <t>60736-33</t>
  </si>
  <si>
    <t>De Lage Landen</t>
  </si>
  <si>
    <t>DLL</t>
  </si>
  <si>
    <t>De Lage Landen International B.V.</t>
  </si>
  <si>
    <t>Deutsche Schiffsbank, Citibanamex</t>
  </si>
  <si>
    <t>Provider of asset-based financial services. The company provides asset-based financial services such as vehicle leasing, financial advisory and other related services.</t>
  </si>
  <si>
    <t>Other Commercial Services*, Other Financial Services</t>
  </si>
  <si>
    <t>corporate leasing, equipment leasing service, vehicle leasing</t>
  </si>
  <si>
    <t>www.dllgroup.com</t>
  </si>
  <si>
    <t>2018: 3000, 2019: 5000</t>
  </si>
  <si>
    <t>126282-79P</t>
  </si>
  <si>
    <t>William Stephenson</t>
  </si>
  <si>
    <t>william.stephenson@delagelanden.com</t>
  </si>
  <si>
    <t>+31 (0)40 233 9911</t>
  </si>
  <si>
    <t>Eindhoven, Netherlands</t>
  </si>
  <si>
    <t>Vestdijk 51</t>
  </si>
  <si>
    <t>Eindhoven</t>
  </si>
  <si>
    <t>5611 CA</t>
  </si>
  <si>
    <t>+31 (0)40 233 8600</t>
  </si>
  <si>
    <t>info@dllgroup.com</t>
  </si>
  <si>
    <t>Rabobank was in talks to sell the company to undisclosed investors for EUR 4.5 billion on January 25, 2016. Subsequently the deal was cancelled on May 20, 2016. Previously, the company was acquired by Rabobank Group on an undisclosed date.</t>
  </si>
  <si>
    <t>Rabobank America</t>
  </si>
  <si>
    <t>Interpolis</t>
  </si>
  <si>
    <t>Interpolis(www.interpolis.nl)</t>
  </si>
  <si>
    <t>62787-07</t>
  </si>
  <si>
    <t>Atotech Deutschland (NYS: ATC)</t>
  </si>
  <si>
    <t>Atotech</t>
  </si>
  <si>
    <t>Atotech Deutschland GmbH</t>
  </si>
  <si>
    <t>PPG Industries, C.Uyemura &amp; Co., Element Solutions Inc</t>
  </si>
  <si>
    <t>Atotech Ltd is a provider of specialty electroplating solutions. It also delivers equipment and service to technology applications. The company's products used in smartphones, communication infrastructure, cloud computing infrastructure, computing and consumer electronics, automotive electronics, and automotive surface finishing. The firm operates in two business segments: Electronics and General Metal Finishing. The EL segment supplies chemistry, production equipment, and comprehensive services to the electronics industry including printed circuit board manufacturers, package substrate makers, and semiconductor companies. The GMF segment supplies chemistry, production technology, and comprehensive services to the surface finishing industries.</t>
  </si>
  <si>
    <t>Other Chemicals and Gases, Specialty Chemicals*</t>
  </si>
  <si>
    <t>electronics chemicals, electronics materials, electroplating systems, plating chemical manufacture, plating chemical seller, semiconductor chips, semiconductors, specialty chemicals, specialty chemicals manufacture</t>
  </si>
  <si>
    <t>www.atotech.com</t>
  </si>
  <si>
    <t>1993: 1600, 1996: 1600, 2006: 3000, 2016: 4000, 2017: 4000, 2018: 4000, 2019: 3787, 2020: 3862, 2021: 2059</t>
  </si>
  <si>
    <t>ATC</t>
  </si>
  <si>
    <t>57197-71P</t>
  </si>
  <si>
    <t>Peter Frauenknecht</t>
  </si>
  <si>
    <t>peter.frauenknecht@atotech.com</t>
  </si>
  <si>
    <t>+49 (0)30 3498 50</t>
  </si>
  <si>
    <t>Erasmusstraße 20</t>
  </si>
  <si>
    <t>10553</t>
  </si>
  <si>
    <t>+49 (0)30 3498 577</t>
  </si>
  <si>
    <t>info@atotech.com</t>
  </si>
  <si>
    <t>The company reached a definitive agreement to be acquired by Mks Instruments (NAS: MKSI) for $5.1 billion on July 1, 2021. The acquirer will acquire the company for $16.20 in cash and 0.0552 of a share of MKS stock for each Atotech share. Previously, the company raised $497.56 million in its initial public offering on the New York Stock Exchange under the ticker symbol of ATC on February 4, 2021. The company is being actively tracked by PitchBook.</t>
  </si>
  <si>
    <t>Mks Instruments</t>
  </si>
  <si>
    <t>Barclays(Advisor: General)</t>
  </si>
  <si>
    <t>Bank of America Merrill Lynch(Underwriter), Barclays Bank UK(Advisor: General), Barclays Investment Bank(Underwriter), BMO Capital Markets(Underwriter), Citigroup Global Markets(Underwriter), Credit Suisse(Underwriter), Credit Suisse Securities (USA)(Underwriter), Deutsche Bank Securities(Underwriter), Drexel Hamilton(Advisor: General), HSBC Securities (Canada)(Underwriter), J.P. Morgan(Advisor: General), Jefferies International(Underwriter), KPMG(Auditor), Latham &amp; Watkins(Legal Advisor), Mischler Financial Group(Underwriter), Ogier(Legal Advisor), RBC Capital Markets(Underwriter), Robert W. Baird &amp; Co(Underwriter), Scotto Partners(Legal Advisor), TCG Capital Markets(Underwriter), UBS Group(Underwriter)</t>
  </si>
  <si>
    <t>Loan (Senior Secured)</t>
  </si>
  <si>
    <t>41956-30</t>
  </si>
  <si>
    <t>Bally Technologies</t>
  </si>
  <si>
    <t>Alliance Gaming, Advanced Patent Technology</t>
  </si>
  <si>
    <t>Bally</t>
  </si>
  <si>
    <t>Bally Technologies, Inc.</t>
  </si>
  <si>
    <t>Quickspin, NetEnt, Universal Gaming Group, International Game Technology</t>
  </si>
  <si>
    <t>Manufacturer of slot machines and other gaming technology. The company's slot machines and other gaming technology include table game products, systems, mobile and gaming services, enabling the gaming operators to increase their operating efficiencies and revenue.</t>
  </si>
  <si>
    <t>Other Consumer Durables</t>
  </si>
  <si>
    <t>Entertainment Software, Other Consumer Durables*</t>
  </si>
  <si>
    <t>gaming device, gaming system, table game product</t>
  </si>
  <si>
    <t>1990: 962, 1991: 880, 1992: 908, 1993: 889, 1994: 927, 1995: 835, 1996: 835, 1997: 2210, 1998: 2350, 1999: 2500, 2000: 2302, 2001: 2400, 2002: 2500, 2003: 1540, 2004: 1735, 2005: 1640, 2006: 2020, 2007: 2262, 2008: 2814, 2009: 2907, 2010: 2620, 2011: 2827, 2012: 3146, 2013: 3443, 2014: 4000</t>
  </si>
  <si>
    <t>110431-36P</t>
  </si>
  <si>
    <t>Jason Stage</t>
  </si>
  <si>
    <t>Director of Development</t>
  </si>
  <si>
    <t>6601 South Bermuda Road</t>
  </si>
  <si>
    <t>89119</t>
  </si>
  <si>
    <t>The company was acquired by Scientific Games (NAS: SGMS) for $5.1 billion on November 21, 2014. The company is no longer actively tracked by PitchBook.</t>
  </si>
  <si>
    <t>Scientific Games</t>
  </si>
  <si>
    <t>Aramar Capital Group(Placement Agent), Scotiabank(Debt Financing), Seed Intellectual Property Law Group(Legal Advisor), Union Gaming Securities(Advisor: General), Wachovia Bank(Debt Financing), Wells Fargo(Debt Financing)</t>
  </si>
  <si>
    <t>American Capital (ACAS)(Debt Financing), Groton Partners(Advisor: General), Macquarie Group(Advisor: General), Skadden, Arps, Slate, Meagher &amp; Flom(Legal Advisor), Spectrum Gaming Capital(Advisor: General)</t>
  </si>
  <si>
    <t>52882-48</t>
  </si>
  <si>
    <t>Centocor</t>
  </si>
  <si>
    <t>Centocor Research &amp; Development</t>
  </si>
  <si>
    <t>Centocor, Inc.</t>
  </si>
  <si>
    <t>Developer of monoclonal antibody technology. The company develops monoclonal antibody-based products for cardiovascular and autoimmune diseases, cancer and inflammation.</t>
  </si>
  <si>
    <t>autoimmune disease, biopharmaceutical, monoclonal antibody technology</t>
  </si>
  <si>
    <t>www.centocor.com</t>
  </si>
  <si>
    <t>2014: 1303, 2017: 30000</t>
  </si>
  <si>
    <t>200 Great Valley Parkway</t>
  </si>
  <si>
    <t>The company was acquired by Johnson &amp; Johnson (NYSE: JNJ) on October 6, 1999 for $5.1 billion. The company is no longer actively tracked by PitchBook.</t>
  </si>
  <si>
    <t>Ben Franklin Technology Partner of Southeastern Pennsylvania, Canaan Partners, Greylock Partners, Venrock</t>
  </si>
  <si>
    <t>Ben Franklin Technology Partner of Southeastern Pennsylvania(www.sep.benfranklin.org), Canaan Partners(www.canaan.com), Greylock Partners(www.greylock.com), Venrock(www.venrock.com)</t>
  </si>
  <si>
    <t>51422-41</t>
  </si>
  <si>
    <t>SemGroup</t>
  </si>
  <si>
    <t>Seminole Group</t>
  </si>
  <si>
    <t>SemGroup Corp.</t>
  </si>
  <si>
    <t>Magellan Midstream Partners, JP Energy Partners, Kinder Morgan, EnLink Midstream, Enterprise Products Partners, BlueRacer Midstream, Tallgrass Energy Partners, Buckeye Partners, Plains All American Pipeline, Genesis Energy, ONEOK, TC Energy, Enable Midstream Partners, Antero Midstream Partners, CNX Midstream Partners, Blue Roads Solutions, Gazprom gazoraspredelenie Lipetsk, Spectra Energy, Blueknight Energy Partners, Tallgrass Energy, Teekay, Energy Transfer, Enbridge, Santa Fe Midstream, Summit Midstream Partners, Targa Resources, Corning Natural Gas</t>
  </si>
  <si>
    <t>Semgroup Corp provides gathering, transportation, storage, distribution, marketing, and other midstream services to producers, refiners of petroleum products, and other market participants located in the United States and Canada. The company utilizes pipelines, gathering systems, terminals, processing plants, and other distribution assets to service its host of customers. Lines of business for Semgroup are divided between the U.S. Liquids, U.S. Gas and Canada segments. The U.S. Liquids segment operates crude oil pipelines, truck transportation, storage, terminals, and marking businesses in the U.S. and is the largest segment. The other segments provide natural gas gathering, processing, and marketing services in the U.S. and Canada.</t>
  </si>
  <si>
    <t>energy developer, midstream energy, oil marketing, oil storage, oil transportation</t>
  </si>
  <si>
    <t>www.semgroupcorp.com</t>
  </si>
  <si>
    <t>2010: 800, 2011: 710, 2012: 690, 2013: 890, 2014: 1080, 2015: 1160, 2016: 1140, 2017: 1220, 2018: 880</t>
  </si>
  <si>
    <t>91659-43P</t>
  </si>
  <si>
    <t>Robert Fitzgerald</t>
  </si>
  <si>
    <t>462 South 4th Street</t>
  </si>
  <si>
    <t>40202</t>
  </si>
  <si>
    <t>The company was acquired by Energy Transfer Partners (NYS: ET), a subsidiary of Energy Transfer Equity (NYS: ETPpC), for $5.1 billion on December 5, 2019. The acquisition enables Energy Transfer Partners to increase its scale across multiple regions and provide increased connectivity for its crude oil and NGL transportation businesses. As a result of the transaction, SemGroup ceases to be a publicly traded company and its common stock is discontinued from trading on the New York Stock Exchange. The company is no longer actively tracked by PitchBook.</t>
  </si>
  <si>
    <t>CIBC Private Wealth Management, Energy Spectrum Capital, Ritchie Capital Management, Riverstone Holdings, Sandell Asset Management, The Carlyle Group, TortoiseEcofin, Warburg Pincus</t>
  </si>
  <si>
    <t>Plains All American Pipeline</t>
  </si>
  <si>
    <t>CIBC Private Wealth Management(www.private-wealth.us.cibc.com), Energy Spectrum Capital(www.energyspectrum.com), Ritchie Capital Management(www.ritchiecapital.com), Riverstone Holdings(www.riverstonellc.com), Sandell Asset Management(www.sandellmgmt.com), The Carlyle Group(www.carlyle.com), TortoiseEcofin(www.tortoiseecofin.com), Warburg Pincus(www.warburgpincus.com)</t>
  </si>
  <si>
    <t>Plains All American Pipeline(www.plainsallamerican.com)</t>
  </si>
  <si>
    <t>Bracewell(Legal Advisor), Bridgepoint Consulting(Consulting), Capstone Advisory Group(Advisor: General), FS Energy and Power Fund(Debt Financing), Kurtzman Carson Consultants(Advisor: General), Osler, Hoskin &amp; Harcourt(Legal Advisor), The Belanger Valuation Group(Valuation/Appraiser)</t>
  </si>
  <si>
    <t>Akin Gump Strauss Hauer &amp; Feld(Legal Advisor), Bank of America Merrill Lynch(Advisor: General), Barclays Investment Bank(Advisor: General), Boenning &amp; Scattergood(Advisor: General), Capstone Advisory Group(Advisor: General), Citigroup(Advisor: General), Edelman Financial Services(Advisor: General), Evercore Group(Advisor: General), FS KKR Capital(Debt Financing), Gibson, Dunn &amp; Crutcher(Legal Advisor), Goldin Associates(Advisor: General), Jefferies Financial Group(Advisor: General), Jefferies Group(Advisor: General), Kirkland &amp; Ellis(Legal Advisor), Kurtzman Carson Consultants(Advisor: General), Lehman Brothers(Advisor: General), Morris, Nichols, Arsht &amp; Tunnell(Legal Advisor), Raymond James Financial(Advisor: General), RBC Capital Markets(Advisor: General), Richards Layton &amp; Finger(Legal Advisor), Vinson &amp; Elkins(Legal Advisor), Wachtell, Lipton, Rosen &amp; Katz(Legal Advisor), Wells Fargo Advisors(Advisor: General)</t>
  </si>
  <si>
    <t>52146-55</t>
  </si>
  <si>
    <t>Lundin Mining (TSE: LUN)</t>
  </si>
  <si>
    <t>South Atlantic Diamonds, South Atlantic Resources</t>
  </si>
  <si>
    <t>Lundin</t>
  </si>
  <si>
    <t>Lundin Mining Corporation</t>
  </si>
  <si>
    <t>Boliden, Teck Resources, Aston Bay Holdings, Southern Copper, Western Copper And Gold, Anglo American South Africa, Rio Tinto, Alamos Gold, Anglo American (Zinc Assets), Base Resources, Copper Fox Metals, Polymet Mining, Dundee Precious Metals, Vedanta Resources, Northern Vertex Mining</t>
  </si>
  <si>
    <t>Lundin Mining Corp is a diversified Canadian base metals mining company withoperations in Brazil, Chile, Portugal, Sweden and the United States ofAmerica, primarily producing copper, zinc, gold and nickel.</t>
  </si>
  <si>
    <t>Iron and Steel Mining*, Multi-line Mining, Other Metals, Minerals and Mining</t>
  </si>
  <si>
    <t>metal mining, mining company, mining firm, mining portfolio, silver mining</t>
  </si>
  <si>
    <t>www.lundinmining.com</t>
  </si>
  <si>
    <t>2006: 1500, 2007: 1850, 2008: 1700, 2009: 1400, 2010: 1500, 2011: 1500, 2012: 2900, 2013: 3450, 2014: 7900, 2015: 7300, 2016: 7205, 2017: 8607, 2018: 8903, 2019: 11362, 2020: 10076</t>
  </si>
  <si>
    <t>LUN</t>
  </si>
  <si>
    <t>68709-34P</t>
  </si>
  <si>
    <t>Marie Inkster</t>
  </si>
  <si>
    <t>marie.inkster@lundinmining.com</t>
  </si>
  <si>
    <t>+1 (416) 342-5560</t>
  </si>
  <si>
    <t>150 King Street West, Suite 2200</t>
  </si>
  <si>
    <t>P.O Box 38</t>
  </si>
  <si>
    <t>M5H 1J9</t>
  </si>
  <si>
    <t>+1 (416) 348-0303</t>
  </si>
  <si>
    <t>info@lundinmining.com</t>
  </si>
  <si>
    <t>The company was in talks to be acquired by China Investment Corporation, Jinchuan Group or undisclosed private equity investors through a $5.095 billion LBO on April 29, 2011. Reportedly, US and Canadian pension funds and private equity investors have also been invited to join the consortium. Subsequently the deal was cancelled. Previously, HudBay Minerals (TSX: HBM) sold a 16.7% stake in the company to GMP Securities for $236 million on May 26, 2009.</t>
  </si>
  <si>
    <t>GMP Securities, HudBay Minerals</t>
  </si>
  <si>
    <t>China Investment Corporation, Jinchuan Group</t>
  </si>
  <si>
    <t>GMP Securities(www.gmpsecurities.com), HudBay Minerals(www.hudbayminerals.com)</t>
  </si>
  <si>
    <t>China Investment Corporation(www.china-inv.cn)</t>
  </si>
  <si>
    <t>Blake, Cassels &amp; Graydon(Legal Advisor), BMO Capital Markets(Advisor: General), Cassels Brock &amp; Blackwell(Legal Advisor), Conyers Dill &amp; Pearman(Legal Advisor), Haywood Securities(Placement Agent), Pareto Securities(Advisor: General), Red Cloud Klondike Strike(Advisor: General), Scotiabank(Debt Financing), Société Générale(Advisor: General)</t>
  </si>
  <si>
    <t>KPMG(Advisor: General), Osler, Hoskin &amp; Harcourt(Legal Advisor)</t>
  </si>
  <si>
    <t>109782-91</t>
  </si>
  <si>
    <t>Altius Holdings</t>
  </si>
  <si>
    <t>Altius Holdings, Inc.</t>
  </si>
  <si>
    <t>Explorer of oil and gas. The company is engaged in the production, exploration and development of oil and gas properties in Kazakhstan. It also operates four oil blocks in Kazakhstan.</t>
  </si>
  <si>
    <t>Energy Exploration*, Energy Infrastructure, Energy Production</t>
  </si>
  <si>
    <t>gas producer, oil explorer, oil property</t>
  </si>
  <si>
    <t>96219-10P</t>
  </si>
  <si>
    <t>Ryou Sang Soo</t>
  </si>
  <si>
    <t>Aktobe, Kazakhstan</t>
  </si>
  <si>
    <t>94 O Koshevoi Street</t>
  </si>
  <si>
    <t>Aktobe</t>
  </si>
  <si>
    <t>030012</t>
  </si>
  <si>
    <t>Kazakhstan</t>
  </si>
  <si>
    <t>Central Asia</t>
  </si>
  <si>
    <t>The company was acquired by Korea National Oil Corporation (PZ: KNOC) for KZT 75.1 billion on March 18, 2011, for an undisclosed amount. The company is no longer actively tracked by PitchBook.</t>
  </si>
  <si>
    <t>Korea National Oil</t>
  </si>
  <si>
    <t>Arawak Energy</t>
  </si>
  <si>
    <t>57636-19</t>
  </si>
  <si>
    <t>United Business Media</t>
  </si>
  <si>
    <t>United Newspapers</t>
  </si>
  <si>
    <t>UBM</t>
  </si>
  <si>
    <t>UBM PLC</t>
  </si>
  <si>
    <t>NDI Momentum, T3 Expo, Agency EA, ACCESS Destination Services, Jack Morton, Wilde Agency, Hill Holliday, Opus Agency, MAG Experiential Agency, Exhibit Works, Clarion UX, InVision Communications</t>
  </si>
  <si>
    <t>Provides business information services. The company's business information service provides data-based workflow products, intellectual property consultancy and analytical services, sales generation program and marketing services for website sponsorship and banner advertising as well as online directory products, enabling its clients to avail required information service as per their requirement.</t>
  </si>
  <si>
    <t>Media and Information Services (B2B)*, Other Commercial Services</t>
  </si>
  <si>
    <t>business information service, digital media, investor relations, marketing communications</t>
  </si>
  <si>
    <t>www.ubm.com</t>
  </si>
  <si>
    <t>2003: 5761, 2004: 6491, 2005: 6185, 2006: 5942, 2007: 6466, 2008: 6953, 2009: 6085, 2010: 6132, 2011: 6556, 2012: 5658, 2013: 5500, 2014: 4661, 2015: 3494, 2016: 3500, 2018: 3750, 2020: 6000</t>
  </si>
  <si>
    <t>240 Blackfriars Road</t>
  </si>
  <si>
    <t>SE1 8BF</t>
  </si>
  <si>
    <t>The company was acquired by Informa (LON: INF) for GBP 3.8 billion on June 15, 2018. The acquisition will enable the acquirer to build its scale in the exhibitions business which it has sought to diversify both geographically and by sector. Informa would hold about 65.5 per cent of the enterprise, with UBM owning the remaining 34.5 per cent. The company is no longer actively tracked by PitchBook.</t>
  </si>
  <si>
    <t>Informa</t>
  </si>
  <si>
    <t>Alisea Corporate Finance(Advisor: General), Berwin Leighton Paisner(Legal Advisor), Corporate Solutions(Advisor: General), Europa Partners(Advisor: General), La Fosse Associates(Consulting), martinwolf(Advisor: General), Q5 Partners(Advisor: General), Seward &amp; Kissel(Legal Advisor)</t>
  </si>
  <si>
    <t>Ogier(Legal Advisor)</t>
  </si>
  <si>
    <t>10609-30</t>
  </si>
  <si>
    <t>FIS Data Systems</t>
  </si>
  <si>
    <t>SunGard Data Systems</t>
  </si>
  <si>
    <t>SunGard</t>
  </si>
  <si>
    <t>SunGard Data Systems, Inc.</t>
  </si>
  <si>
    <t>SS&amp;C Technologies, Preqin Solutions, AFSVision, Ready Business System, Insurity, N'osairis Technology Solutions, Avaloq, Finantix, Fiserv, Advent Processing Solutions, IDI Billing Solutions, Kronos, NICE Systems, Prime Technology Group, Fidelity National Information Services, Formicary, Oracle NetSuite, Shareworks by Morgan Stanley, Harris Computer, Finastra, Probanx Information Systems, CGI Group, Infosys, SimCorp, Anvil Software, Adaptive Insights, thinkFolio, Cap Gemini BAS, Temenos, nCino, Pico Quantitative Trading, OpenLink Financial, VMware, Horizon Software International, Innovest Systems, DH, Recurly, ION Group, Tyler Technologies, TCube Solutions, Advisor Software, Brainloop, Pendo Systems, Amazon Web Services, InvestCloud, Anaplan, Infor Global Solutions, Fundtech, Seaweed File System, Oracle, Multifonds, Planful, Kyriba, Guidewire Software, Allvue Systems, Calypso Technology, Murex, Scivantage, eFront (France), TIBCO Software, Global Software (United States), PT. Global Innovation Technology, AccessPay, Datagenic, CameronTec Intressenter, FNA, FinancialCAD, Fidessa Group, BELLIN Treasury International, FinAnalytica, ICE Mortgage technology, GlobalView Software</t>
  </si>
  <si>
    <t>Provider of software and processing services. The company provides availability services as well as financial system and education software services for organizations, private sectors and government agencies. It also offers disaster recovery services, managed IT services, information availability consulting services and business continuity management software.</t>
  </si>
  <si>
    <t>Educational Software, Financial Software*, Systems and Information Management</t>
  </si>
  <si>
    <t>FinTech, SaaS, TMT</t>
  </si>
  <si>
    <t>education services, processing service, processing services, software developer, software processing services</t>
  </si>
  <si>
    <t>www.sungard.com</t>
  </si>
  <si>
    <t>1989: 1600, 1990: 1600, 1991: 1690, 1992: 2090, 1993: 2276, 1994: 2500, 1995: 2900, 1996: 3700, 1997: 4500, 1998: 5300, 1999: 6900, 2000: 7800, 2001: 8700, 2002: 8800, 2003: 10000, 2004: 13000, 2005: 15000, 2006: 16600, 2007: 17900, 2008: 20000, 2009: 20700, 2010: 20100, 2011: 17500, 2012: 17000, 2013: 17000, 2014: 13000, 2015: 26000, 2018: 26000, 2021: 25000</t>
  </si>
  <si>
    <t>680 East Swedesford Road</t>
  </si>
  <si>
    <t>The company was acquired by Fidelity National Information Services (NYS: FIS) for $5.07 billion on November 30, 2015. The company is no longer actively tracked by PitchBook.</t>
  </si>
  <si>
    <t>AlpInvest Partners, Bain Capital, Canada Pension Plan Investment Board, Goldman Sachs Merchant Banking Division, Greylock Partners, HarbourVest Partners, Integral Capital Partners, Kohlberg Kravis Roberts, Providence Equity Partners, Silver Lake, The Blackstone Group, TPG</t>
  </si>
  <si>
    <t>AlpInvest Partners(www.alpinvest.com), Bain Capital(www.baincapital.com), Canada Pension Plan Investment Board(www.cppinvestments.com), Greylock Partners(www.greylock.com), HarbourVest Partners(www.harbourvest.com), Integral Capital Partners(www.icp.com), Kohlberg Kravis Roberts(www.kkr.com), Providence Equity Partners(www.provequity.com), Silver Lake(www.silverlake.com), The Blackstone Group(www.blackstone.com), TPG(www.tpg.com)</t>
  </si>
  <si>
    <t>Alexander Partners(Advisor: General), Axinn, Veltrop &amp; Harkrider(Legal Advisor), Cicero Group(Advisor: General), Herzog Fox &amp; Neeman(Legal Advisor), KLS Associates(Consulting), Martyn Bassett Associates(Consulting), PMI Advisors(Consulting), Rapid Sales Revenue(Consulting), Strategic Business Intelligence(Consulting)</t>
  </si>
  <si>
    <t>American Capital (ACAS)(Debt Financing), Architect Partners(Debt Financing), Axinn, Veltrop &amp; Harkrider(Legal Advisor), Bank of America Merrill Lynch(Advisor: General), Barclays Bank UK(Underwriter), Barclays Investment Bank(Advisor: General), Citigroup(Advisor: General), Citigroup Global Markets(Debt Financing), Credit Suisse(Advisor: General), Credit Suisse Securities (USA)(Underwriter), Deutsche Bank(Advisor: General), Deutsche Bank Securities(Debt Financing), GE Capital(Debt Financing), Gladstone Capital(Debt Financing), Houlihan Lokey(Advisor: General), J.P. Morgan(Advisor: General), J.P. Morgan Securities(Underwriter), Lazard Middle Market(Advisor: General), Merrill Lynch Pierce Fenner &amp; Smith(Debt Financing), Morgan Lewis(Legal Advisor), Morgan Stanley(Advisor: General), Morris, Nichols, Arsht &amp; Tunnell(Legal Advisor), PwC(Auditor), RBC Capital Markets(Underwriter), Richards Layton &amp; Finger(Legal Advisor), Shearman &amp; Sterling(Legal Advisor), Simpson Thacher &amp; Bartlett(Legal Advisor), Sullivan &amp; Cromwell(Legal Advisor), The Goldman Sachs Group(Advisor: General), UBS Securities (China)(Underwriter), Wells Fargo Securities(Underwriter)</t>
  </si>
  <si>
    <t>49787-83</t>
  </si>
  <si>
    <t>NEX Group</t>
  </si>
  <si>
    <t>ICAP Newco plc</t>
  </si>
  <si>
    <t>NEX, Newco</t>
  </si>
  <si>
    <t>NEX Services Ltd</t>
  </si>
  <si>
    <t>Creditreform Latvija, Personal Capital, an Empower Company</t>
  </si>
  <si>
    <t>Provider of platforms, tools and expertise intended to offer customers better ways to execute trades and manage risk. The company's products and services underpin the entire trade life-cycle, pre, during and post execution and its lifecycle management and information services helps to optimize portfolios, control risk and reduce costs, enabling clients to execute efficiently and optimize resources throughout the transaction life-cycle.</t>
  </si>
  <si>
    <t>Other Financial Services*, Specialized Finance</t>
  </si>
  <si>
    <t>financial technology, risk mitigation, trade lifecycle, transaction lifecycle</t>
  </si>
  <si>
    <t>www.nex.com</t>
  </si>
  <si>
    <t>1995: 2445, 1996: 2340, 1997: 2278, 1998: 2260, 2000: 2859, 2001: 2131, 2002: 2132, 2003: 2519, 2004: 2860, 2005: 3008, 2006: 3070, 2007: 3465, 2008: 3673, 2009: 4196, 2010: 4535, 2011: 4899, 2012: 5080, 2013: 5047, 2014: 4940, 2015: 4306, 2016: 4271, 2017: 1935, 2018: 1934, 2019: 5000</t>
  </si>
  <si>
    <t>70803-73P</t>
  </si>
  <si>
    <t>Michael Spencer</t>
  </si>
  <si>
    <t>Founder, Group Chief Executive Officer &amp; Board Member</t>
  </si>
  <si>
    <t>+44 (0)20 7379 5151</t>
  </si>
  <si>
    <t>London Fruit and Wool Exchange</t>
  </si>
  <si>
    <t>1 Duval Square</t>
  </si>
  <si>
    <t>E1 6PW</t>
  </si>
  <si>
    <t>+44 (0)20 7818 9000</t>
  </si>
  <si>
    <t>info@nex.com</t>
  </si>
  <si>
    <t>The company (LON: NEX) was acquired by CME Group (NASDAQ: CME) for GBP 3.9 billion on November 2, 2018. The acquisition will expand CME's international footprint in Europe, the Middle East, Africa and Asia Pacific.</t>
  </si>
  <si>
    <t>Athenaeum Capital Partners</t>
  </si>
  <si>
    <t>Athenaeum Capital Partners(www.athcap.com)</t>
  </si>
  <si>
    <t>Liberum(Advisor: General)</t>
  </si>
  <si>
    <t>Citibank(Advisor: General), Clifford Chance(Legal Advisor), Evercore Group(Advisor: General), HSBC Holdings(Advisor: General), Macfarlanes(Legal Advisor), The Goldman Sachs Group(Advisor: General)</t>
  </si>
  <si>
    <t>225792-64</t>
  </si>
  <si>
    <t>Beijing Easyhome Furnishing Chain Store Group Company (SHE: 000785)</t>
  </si>
  <si>
    <t>Easyhome, Juran Holdings, juranholdings.com, juran.com.cn</t>
  </si>
  <si>
    <t>Beijing Easyhome Furnishing Chain Store Group Co., Ltd</t>
  </si>
  <si>
    <t>Easyhome New Retail Group Co Ltd, formerly Wuhan Zhongnan Commercial Group Co Ltd is a China-based commercial and retailing company. It is mainly engaged in commercial property development, shopping mall decoration, and e-commerce business. The company owns department stores, shopping mall, cheap supermarkets, hypermarkets and retail store with China Merchants Plaza Shopping Center, China Merchants Xudong Cheap Price Plaza and Wuhan Pinpin. The firm is also engaged in shop leasing and project development business.</t>
  </si>
  <si>
    <t>Internet Retail, Specialty Retail*</t>
  </si>
  <si>
    <t>home furnishers, home improvement stores, household supply, retail stores</t>
  </si>
  <si>
    <t>www.juran.com.cn</t>
  </si>
  <si>
    <t>1999: 4833, 2000: 4576, 2001: 5044, 2002: 4875, 2003: 4814, 2004: 5479, 2005: 4946, 2006: 4815, 2007: 6894, 2008: 7302, 2009: 7223, 2010: 7460, 2011: 7047, 2012: 7430, 2013: 7573, 2014: 7233, 2015: 6153, 2016: 5686, 2017: 5208, 2018: 5044, 2019: 11899, 2020: 11239</t>
  </si>
  <si>
    <t>000785</t>
  </si>
  <si>
    <t>179897-14P</t>
  </si>
  <si>
    <t>Linpeng Wang</t>
  </si>
  <si>
    <t>wanglinpeng@juran.com.cn</t>
  </si>
  <si>
    <t>+86 (0)10 8409 8665</t>
  </si>
  <si>
    <t>No.3, Dongzhimen South Street</t>
  </si>
  <si>
    <t>Dongcheng District</t>
  </si>
  <si>
    <t>The company acquired Wuhan Zhongnan Commercial Group Company through a reverse merger, resulting in the combined entity trading on the Shenzhen Stock Exchange under the ticker symbol 000785 on December 26. 2019.</t>
  </si>
  <si>
    <t>Wuhan Zhongnan Commercial Group Company</t>
  </si>
  <si>
    <t>Alibaba Group, Boyu Capital, ChinaEquity Group, Harvest Capital Partners, Jiuding Group, Sequoia Capital China, Taikang Asset Management, Yunfeng Capital</t>
  </si>
  <si>
    <t>Alibaba Group(www.alibabagroup.com), Boyu Capital(www.boyucapital.com), ChinaEquity Group(www.chinaequity.net), Jiuding Group(www.tcjdcapital.com), Sequoia Capital China(www.sequoiacap.com/china), Taikang Asset Management(www.taikangasset.cn), Yunfeng Capital(www.yfc.cn)</t>
  </si>
  <si>
    <t>465957-37</t>
  </si>
  <si>
    <t>Ulster Bank (Corporate and Commercial Loan Portfolio)</t>
  </si>
  <si>
    <t>Portfolio of corporate and commercial loans of bank based in Dublin, Republic of Ireland.</t>
  </si>
  <si>
    <t>commercial loans, corporate loans assets, loan portfolio, loan portfolio asset, loan portfolio sales</t>
  </si>
  <si>
    <t>2021: 280</t>
  </si>
  <si>
    <t>Block B</t>
  </si>
  <si>
    <t>Central Park, Leopardstown</t>
  </si>
  <si>
    <t>D18 N153</t>
  </si>
  <si>
    <t>Allied Irish Banks (DUB: A5G) reached a definitive agreement to acquire the corporate and commercial loan portfolio of Ulster Bank, a subsidiary of NatWest Group (LON: NWG), for EUR 4.2 billion on June 28, 2021. The transaction is in line with NatWest Group's decision to withdraw from the Republic of Ireland. The asset is being actively tracked by PitchBook.</t>
  </si>
  <si>
    <t>Ulster Bank</t>
  </si>
  <si>
    <t>Allied Irish Banks</t>
  </si>
  <si>
    <t>Ulster Bank(www.ulsterbank.com)</t>
  </si>
  <si>
    <t>Allied Irish Banks(www.aib.ie)</t>
  </si>
  <si>
    <t>40729-33</t>
  </si>
  <si>
    <t>Vedior</t>
  </si>
  <si>
    <t>Vedior N.V.</t>
  </si>
  <si>
    <t>Provider of international staffing and recruitment services for all categories of personnel. The company's services include permanent placement, outsourcing, training and professional and executive recruitment in sectors such as information technology, healthcare, accounting, engineering and education.</t>
  </si>
  <si>
    <t>Holding Companies*, Human Capital Services</t>
  </si>
  <si>
    <t>international staffing service, permanent placement, recruitment employee services</t>
  </si>
  <si>
    <t>www.vedior.com</t>
  </si>
  <si>
    <t>2007: 15933</t>
  </si>
  <si>
    <t>P.O. Box 75173</t>
  </si>
  <si>
    <t>1070 AD</t>
  </si>
  <si>
    <t>The company was acquired by Randstad (AMS: RAND) for EUR 3.248 billion on May 16, 2008. The company is no longer actively tracked by PitchBook.</t>
  </si>
  <si>
    <t>Randstad</t>
  </si>
  <si>
    <t>13379-59</t>
  </si>
  <si>
    <t>Annington</t>
  </si>
  <si>
    <t>Annington Homes Limited</t>
  </si>
  <si>
    <t>Owner and operator of residential property in the United Kingdom. The company's focus lies primarily in keeping long-term leasehold interest in the Ministry of Defence (MoD) married quarters estate. It also refurbishes and sells homes that are surplused by the MoD.</t>
  </si>
  <si>
    <t>Government</t>
  </si>
  <si>
    <t>Government*, Real Estate Services (B2C)</t>
  </si>
  <si>
    <t>property operator, rental service, residential property, residential property operator</t>
  </si>
  <si>
    <t>www.annington.co.uk</t>
  </si>
  <si>
    <t>152683-39P</t>
  </si>
  <si>
    <t>Andrew Chadd</t>
  </si>
  <si>
    <t>+44 (0)20 7960 7500</t>
  </si>
  <si>
    <t>1 James Street</t>
  </si>
  <si>
    <t>W1U 1DR</t>
  </si>
  <si>
    <t>enquiries@annington.co.uk</t>
  </si>
  <si>
    <t>The company received GBP 550 million of development capital from Terra Firma Capital Partners on July 5, 2017. As part of the transaction, GBP 3 billion of corporate bonds in sterling and EUR and GBP 400 million of loans from banks were raised in support of the deal. The proceeds from the transaction were used to refinance the company.</t>
  </si>
  <si>
    <t>Terra Firma Capital Partners</t>
  </si>
  <si>
    <t>Nomura Securities</t>
  </si>
  <si>
    <t>Terra Firma Capital Partners(www.terrafirma.com)</t>
  </si>
  <si>
    <t>Nomura Securities(www.nomura.com)</t>
  </si>
  <si>
    <t>Ashurst(Legal Advisor), Barclays(Debt Financing), Freshfields Bruckhaus Deringer(Legal Advisor), J.P. Morgan(Lead Manager or Arranger)</t>
  </si>
  <si>
    <t>Loan - $512.40M</t>
  </si>
  <si>
    <t>43026-58</t>
  </si>
  <si>
    <t>Progress Energy Resources</t>
  </si>
  <si>
    <t>Progress</t>
  </si>
  <si>
    <t>Progress Energy Resources Corp.</t>
  </si>
  <si>
    <t>Producer of petroleum and natural gas in British Columbia. The company's primary operating areas included the northeast British Columbia Foothills and Fort Saint John Plains regions.</t>
  </si>
  <si>
    <t>energy production, natural gas assets, oil energy</t>
  </si>
  <si>
    <t>www.progressenergy.com</t>
  </si>
  <si>
    <t>2008: 107, 2009: 107, 2010: 129, 2011: 142</t>
  </si>
  <si>
    <t>PETRONAS</t>
  </si>
  <si>
    <t>34736-50P</t>
  </si>
  <si>
    <t>Gary Miller</t>
  </si>
  <si>
    <t>Vice President, Operations</t>
  </si>
  <si>
    <t>garymiller@progressenergy.com</t>
  </si>
  <si>
    <t>+1 (403) 216-2510</t>
  </si>
  <si>
    <t>1200, 205 - Fifth Avenue Southwest</t>
  </si>
  <si>
    <t>T2P 2V7</t>
  </si>
  <si>
    <t>+1 (403) 216-2514</t>
  </si>
  <si>
    <t>info@progressenergy.com</t>
  </si>
  <si>
    <t>The company was acquired by Petronas for CAD 5.2 billion on June 28, 2012. The company is no longer actively tracked by PitchBook.</t>
  </si>
  <si>
    <t>PETRONAS, Quattro Exploration and Production</t>
  </si>
  <si>
    <t>ARC Financial</t>
  </si>
  <si>
    <t>ARC Financial(www.arcfinancial.com)</t>
  </si>
  <si>
    <t>BMO Capital Markets(Advisor: General), Burnet, Duckworth &amp; Palmer(Legal Advisor), Carter Ledyard &amp; Milburn(Legal Advisor), Hill Ward Henderson(Legal Advisor), Norton Rose Fulbright(Legal Advisor), PLS Energy Advisors(Advisor: General), Scotia Waterous(Advisor: General)</t>
  </si>
  <si>
    <t>BMO Capital Markets(Advisor: General), Burnet, Duckworth &amp; Palmer(Legal Advisor), Osler, Hoskin &amp; Harcourt(Legal Advisor), Scotia Waterous(Advisor: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</si>
</sst>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Red]\(#,##0.00\)"/>
    <numFmt numFmtId="165" formatCode="#,##0;[Red]\(#,##0\)"/>
    <numFmt numFmtId="166" formatCode="0000"/>
    <numFmt numFmtId="167" formatCode="#,##0.00&quot;%&quot;;[Red]\-#,##0.00&quot;%&quot;"/>
    <numFmt numFmtId="168" formatCode="#,###"/>
    <numFmt numFmtId="169" formatCode="dd\-mmm\-yyyy"/>
    <numFmt numFmtId="170" formatCode="#,##0;"/>
    <numFmt numFmtId="171" formatCode="#,##0.00\x;[Red]\-#,##0.00\x"/>
    <numFmt numFmtId="172" formatCode="#,##0;[Red]\-#,##0"/>
    <numFmt numFmtId="173" formatCode="#,##0.00;[Red]\-#,##0.00"/>
  </numFmts>
  <fonts count="291" x14ac:knownFonts="1">
    <font>
      <sz val="11"/>
      <color theme="1"/>
      <name val="Calibri"/>
      <family val="2"/>
      <scheme val="minor"/>
    </font>
    <font>
      <sz val="10"/>
      <name val="Arial"/>
      <family val="2"/>
      <charset val="204"/>
    </font>
    <font>
      <sz val="8"/>
      <color theme="1"/>
      <name val="Arial"/>
      <family val="2"/>
      <charset val="204"/>
    </font>
    <font>
      <sz val="8"/>
      <color indexed="8"/>
      <name val="Arial"/>
      <family val="2"/>
    </font>
    <font>
      <b/>
      <sz val="8"/>
      <color indexed="16"/>
      <name val="Arial"/>
      <family val="2"/>
    </font>
    <font>
      <sz val="8"/>
      <color indexed="8"/>
      <name val="Arial"/>
      <family val="2"/>
      <charset val="204"/>
    </font>
    <font>
      <b/>
      <sz val="16"/>
      <color indexed="8"/>
      <name val="Arial"/>
      <family val="2"/>
    </font>
    <font>
      <sz val="8"/>
      <color theme="1"/>
      <name val="Arial"/>
      <family val="2"/>
    </font>
    <font>
      <sz val="8"/>
      <color indexed="12"/>
      <name val="Arial"/>
      <family val="2"/>
    </font>
    <font>
      <b/>
      <sz val="8"/>
      <color indexed="9"/>
      <name val="Arial"/>
      <family val="2"/>
    </font>
    <font>
      <b/>
      <sz val="8"/>
      <color indexed="9"/>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color rgb="FF0000FF"/>
      <name val="Calibri"/>
      <family val="2"/>
    </font>
    <font>
      <sz val="8"/>
      <color rgb="FF0000FF"/>
      <name val="Calibri"/>
      <family val="2"/>
    </font>
    <font>
      <b/>
      <sz val="14"/>
      <color indexed="8"/>
      <name val="Arial"/>
      <family val="2"/>
    </font>
    <font>
      <i/>
      <sz val="10"/>
      <color indexed="8"/>
      <name val="Arial"/>
      <family val="2"/>
      <charset val="204"/>
    </font>
    <font>
      <i/>
      <sz val="10"/>
      <name val="Arial"/>
      <family val="2"/>
      <charset val="204"/>
    </font>
    <font>
      <i/>
      <sz val="10"/>
      <name val="Arial"/>
      <family val="2"/>
      <charset val="204"/>
    </font>
    <font>
      <i/>
      <sz val="10"/>
      <name val="Arial"/>
      <family val="2"/>
      <charset val="204"/>
    </font>
    <font>
      <i/>
      <sz val="10"/>
      <color theme="3" tint="0.39997558519241921"/>
      <name val="Arial"/>
      <family val="2"/>
      <charset val="204"/>
    </font>
    <font>
      <i/>
      <u/>
      <sz val="10"/>
      <color indexed="12"/>
      <name val="Arial"/>
      <family val="2"/>
      <charset val="204"/>
    </font>
    <font>
      <i/>
      <sz val="10"/>
      <color theme="3" tint="0.39997558519241921"/>
      <name val="Arial"/>
      <family val="2"/>
      <charset val="204"/>
    </font>
    <font>
      <sz val="8"/>
      <name val="Arial"/>
      <family val="2"/>
    </font>
  </fonts>
  <fills count="6">
    <fill>
      <patternFill patternType="none"/>
    </fill>
    <fill>
      <patternFill patternType="gray125"/>
    </fill>
    <fill>
      <patternFill patternType="solid">
        <fgColor indexed="9"/>
        <bgColor indexed="64"/>
      </patternFill>
    </fill>
    <fill>
      <patternFill patternType="solid">
        <fgColor rgb="FF4F81BD"/>
      </patternFill>
    </fill>
    <fill>
      <patternFill patternType="solid">
        <fgColor rgb="FFEEF3F8"/>
      </patternFill>
    </fill>
    <fill>
      <patternFill patternType="solid">
        <fgColor rgb="FFFFFFFF"/>
      </patternFill>
    </fill>
  </fills>
  <borders count="4">
    <border>
      <left/>
      <right/>
      <top/>
      <bottom/>
      <diagonal/>
    </border>
    <border>
      <left/>
      <right/>
      <top style="thin">
        <color indexed="8"/>
      </top>
      <bottom/>
      <diagonal/>
    </border>
    <border>
      <left/>
      <right style="thin">
        <color indexed="8"/>
      </right>
      <top style="thin">
        <color indexed="8"/>
      </top>
      <bottom/>
      <diagonal/>
    </border>
    <border>
      <left/>
      <right style="dotted">
        <color rgb="FF969696"/>
      </right>
      <top/>
      <bottom/>
      <diagonal/>
    </border>
  </borders>
  <cellStyleXfs count="2">
    <xf numFmtId="0" fontId="0" fillId="0" borderId="0"/>
    <xf numFmtId="0" fontId="1" fillId="0" borderId="0"/>
  </cellStyleXfs>
  <cellXfs count="292">
    <xf numFmtId="0" fontId="0" fillId="0" borderId="0" xfId="0"/>
    <xf numFmtId="0" fontId="3" fillId="2" borderId="0" xfId="0" applyFont="1" applyFill="1" applyAlignment="1">
      <alignment horizontal="right"/>
    </xf>
    <xf numFmtId="14" fontId="5" fillId="0" borderId="0" xfId="0" applyNumberFormat="1" applyFont="1" applyFill="1" applyAlignment="1">
      <alignment horizontal="left"/>
    </xf>
    <xf numFmtId="0" fontId="5" fillId="0" borderId="0" xfId="0" applyFont="1" applyFill="1"/>
    <xf numFmtId="0" fontId="6" fillId="0" borderId="0" xfId="0" applyFont="1" applyFill="1" applyAlignment="1">
      <alignment horizontal="left"/>
    </xf>
    <xf numFmtId="0" fontId="2" fillId="0" borderId="0" xfId="0" applyFont="1" applyAlignment="1">
      <alignment horizontal="right" vertical="top"/>
    </xf>
    <xf numFmtId="0" fontId="7" fillId="0" borderId="0" xfId="0" applyFont="1" applyAlignment="1">
      <alignment horizontal="right"/>
    </xf>
    <xf numFmtId="0" fontId="9" fillId="3" borderId="1" xfId="0" applyFont="1" applyFill="1" applyBorder="1" applyAlignment="1">
      <alignment horizontal="center" vertical="center" wrapText="1"/>
    </xf>
    <xf numFmtId="0" fontId="10" fillId="3" borderId="2" xfId="0" applyFont="1" applyFill="1" applyBorder="1" applyAlignment="1">
      <alignment horizontal="center" vertical="center" wrapText="1"/>
    </xf>
    <xf numFmtId="0" fontId="11" fillId="0" borderId="0" xfId="0" applyFont="1" applyAlignment="1">
      <alignment wrapText="1"/>
    </xf>
    <xf numFmtId="0" fontId="12" fillId="4" borderId="3" xfId="0" applyFont="1" applyFill="1" applyBorder="1" applyAlignment="1">
      <alignment vertical="top" indent="1"/>
    </xf>
    <xf numFmtId="0" fontId="13" fillId="4" borderId="3" xfId="0" applyFont="1" applyFill="1" applyBorder="1" applyAlignment="1">
      <alignment vertical="top" indent="1"/>
    </xf>
    <xf numFmtId="0" fontId="14" fillId="4" borderId="3" xfId="0" applyFont="1" applyFill="1" applyBorder="1" applyAlignment="1">
      <alignment vertical="top" indent="1"/>
    </xf>
    <xf numFmtId="0" fontId="15" fillId="4" borderId="3" xfId="0" applyFont="1" applyFill="1" applyBorder="1" applyAlignment="1">
      <alignment vertical="top" indent="1"/>
    </xf>
    <xf numFmtId="0" fontId="16" fillId="4" borderId="3" xfId="0" applyFont="1" applyFill="1" applyBorder="1" applyAlignment="1">
      <alignment vertical="top" indent="1"/>
    </xf>
    <xf numFmtId="0" fontId="17" fillId="4" borderId="3" xfId="0" applyFont="1" applyFill="1" applyBorder="1" applyAlignment="1">
      <alignment vertical="top" indent="1"/>
    </xf>
    <xf numFmtId="0" fontId="18" fillId="4" borderId="3" xfId="0" applyFont="1" applyFill="1" applyBorder="1" applyAlignment="1">
      <alignment vertical="top" indent="1"/>
    </xf>
    <xf numFmtId="0" fontId="19" fillId="4" borderId="3" xfId="0" applyFont="1" applyFill="1" applyBorder="1" applyAlignment="1">
      <alignment vertical="top" indent="1"/>
    </xf>
    <xf numFmtId="0" fontId="20" fillId="4" borderId="3" xfId="0" applyFont="1" applyFill="1" applyBorder="1" applyAlignment="1">
      <alignment vertical="top" indent="1"/>
    </xf>
    <xf numFmtId="0" fontId="21" fillId="4" borderId="3" xfId="0" applyFont="1" applyFill="1" applyBorder="1" applyAlignment="1">
      <alignment vertical="top" indent="1"/>
    </xf>
    <xf numFmtId="0" fontId="22" fillId="4" borderId="3" xfId="0" applyFont="1" applyFill="1" applyBorder="1" applyAlignment="1">
      <alignment vertical="top" indent="1"/>
    </xf>
    <xf numFmtId="0" fontId="23" fillId="4" borderId="3" xfId="0" applyFont="1" applyFill="1" applyBorder="1" applyAlignment="1">
      <alignment vertical="top" indent="1"/>
    </xf>
    <xf numFmtId="0" fontId="24" fillId="4" borderId="3" xfId="0" applyFont="1" applyFill="1" applyBorder="1" applyAlignment="1">
      <alignment vertical="top" indent="1"/>
    </xf>
    <xf numFmtId="0" fontId="25" fillId="4" borderId="3" xfId="0" applyFont="1" applyFill="1" applyBorder="1" applyAlignment="1">
      <alignment vertical="top" indent="1"/>
    </xf>
    <xf numFmtId="0" fontId="26" fillId="4" borderId="3" xfId="0" applyFont="1" applyFill="1" applyBorder="1" applyAlignment="1">
      <alignment vertical="top" indent="1"/>
    </xf>
    <xf numFmtId="0" fontId="27" fillId="4" borderId="3" xfId="0" applyFont="1" applyFill="1" applyBorder="1" applyAlignment="1">
      <alignment vertical="top" indent="1"/>
    </xf>
    <xf numFmtId="0" fontId="28" fillId="4" borderId="3" xfId="0" applyFont="1" applyFill="1" applyBorder="1" applyAlignment="1">
      <alignment vertical="top" indent="1"/>
    </xf>
    <xf numFmtId="164" fontId="29" fillId="4" borderId="3" xfId="0" applyNumberFormat="1" applyFont="1" applyFill="1" applyBorder="1" applyAlignment="1">
      <alignment horizontal="right" vertical="top" indent="1"/>
    </xf>
    <xf numFmtId="0" fontId="30" fillId="4" borderId="3" xfId="0" applyFont="1" applyFill="1" applyBorder="1" applyAlignment="1">
      <alignment vertical="top" indent="1"/>
    </xf>
    <xf numFmtId="0" fontId="31" fillId="4" borderId="3" xfId="0" applyFont="1" applyFill="1" applyBorder="1" applyAlignment="1">
      <alignment vertical="top" indent="1"/>
    </xf>
    <xf numFmtId="0" fontId="32" fillId="4" borderId="3" xfId="0" applyFont="1" applyFill="1" applyBorder="1" applyAlignment="1">
      <alignment vertical="top" indent="1"/>
    </xf>
    <xf numFmtId="0" fontId="33" fillId="4" borderId="3" xfId="0" applyFont="1" applyFill="1" applyBorder="1" applyAlignment="1">
      <alignment vertical="top" indent="1"/>
    </xf>
    <xf numFmtId="165" fontId="34" fillId="4" borderId="3" xfId="0" applyNumberFormat="1" applyFont="1" applyFill="1" applyBorder="1" applyAlignment="1">
      <alignment horizontal="right" vertical="top" indent="1"/>
    </xf>
    <xf numFmtId="0" fontId="35" fillId="4" borderId="3" xfId="0" applyFont="1" applyFill="1" applyBorder="1" applyAlignment="1">
      <alignment vertical="top" indent="1"/>
    </xf>
    <xf numFmtId="0" fontId="36" fillId="4" borderId="3" xfId="0" applyFont="1" applyFill="1" applyBorder="1" applyAlignment="1">
      <alignment vertical="top" indent="1"/>
    </xf>
    <xf numFmtId="0" fontId="37" fillId="4" borderId="3" xfId="0" applyFont="1" applyFill="1" applyBorder="1" applyAlignment="1">
      <alignment vertical="top" indent="1"/>
    </xf>
    <xf numFmtId="166" fontId="38" fillId="4" borderId="3" xfId="0" applyNumberFormat="1" applyFont="1" applyFill="1" applyBorder="1" applyAlignment="1">
      <alignment horizontal="right" vertical="top" indent="1"/>
    </xf>
    <xf numFmtId="0" fontId="39" fillId="4" borderId="3" xfId="0" applyFont="1" applyFill="1" applyBorder="1" applyAlignment="1">
      <alignment vertical="top" indent="1"/>
    </xf>
    <xf numFmtId="0" fontId="40" fillId="4" borderId="3" xfId="0" applyFont="1" applyFill="1" applyBorder="1" applyAlignment="1">
      <alignment vertical="top" indent="1"/>
    </xf>
    <xf numFmtId="0" fontId="41" fillId="4" borderId="3" xfId="0" applyFont="1" applyFill="1" applyBorder="1" applyAlignment="1">
      <alignment vertical="top" indent="1"/>
    </xf>
    <xf numFmtId="4" fontId="42" fillId="4" borderId="3" xfId="0" applyNumberFormat="1" applyFont="1" applyFill="1" applyBorder="1" applyAlignment="1">
      <alignment horizontal="right" vertical="top" indent="1"/>
    </xf>
    <xf numFmtId="4" fontId="43" fillId="4" borderId="3" xfId="0" applyNumberFormat="1" applyFont="1" applyFill="1" applyBorder="1" applyAlignment="1">
      <alignment horizontal="right" vertical="top" indent="1"/>
    </xf>
    <xf numFmtId="4" fontId="44" fillId="4" borderId="3" xfId="0" applyNumberFormat="1" applyFont="1" applyFill="1" applyBorder="1" applyAlignment="1">
      <alignment horizontal="right" vertical="top" indent="1"/>
    </xf>
    <xf numFmtId="4" fontId="45" fillId="4" borderId="3" xfId="0" applyNumberFormat="1" applyFont="1" applyFill="1" applyBorder="1" applyAlignment="1">
      <alignment horizontal="right" vertical="top" indent="1"/>
    </xf>
    <xf numFmtId="4" fontId="46" fillId="4" borderId="3" xfId="0" applyNumberFormat="1" applyFont="1" applyFill="1" applyBorder="1" applyAlignment="1">
      <alignment horizontal="right" vertical="top" indent="1"/>
    </xf>
    <xf numFmtId="4" fontId="47" fillId="4" borderId="3" xfId="0" applyNumberFormat="1" applyFont="1" applyFill="1" applyBorder="1" applyAlignment="1">
      <alignment horizontal="right" vertical="top" indent="1"/>
    </xf>
    <xf numFmtId="4" fontId="48" fillId="4" borderId="3" xfId="0" applyNumberFormat="1" applyFont="1" applyFill="1" applyBorder="1" applyAlignment="1">
      <alignment horizontal="right" vertical="top" indent="1"/>
    </xf>
    <xf numFmtId="4" fontId="49" fillId="4" borderId="3" xfId="0" applyNumberFormat="1" applyFont="1" applyFill="1" applyBorder="1" applyAlignment="1">
      <alignment horizontal="right" vertical="top" indent="1"/>
    </xf>
    <xf numFmtId="167" fontId="50" fillId="4" borderId="3" xfId="0" applyNumberFormat="1" applyFont="1" applyFill="1" applyBorder="1" applyAlignment="1">
      <alignment horizontal="right" vertical="top" indent="1"/>
    </xf>
    <xf numFmtId="0" fontId="51" fillId="4" borderId="3" xfId="0" applyFont="1" applyFill="1" applyBorder="1" applyAlignment="1">
      <alignment vertical="top" indent="1"/>
    </xf>
    <xf numFmtId="0" fontId="52" fillId="4" borderId="3" xfId="0" applyFont="1" applyFill="1" applyBorder="1" applyAlignment="1">
      <alignment vertical="top" indent="1"/>
    </xf>
    <xf numFmtId="0" fontId="53" fillId="4" borderId="3" xfId="0" applyFont="1" applyFill="1" applyBorder="1" applyAlignment="1">
      <alignment vertical="top" indent="1"/>
    </xf>
    <xf numFmtId="0" fontId="54" fillId="4" borderId="3" xfId="0" applyFont="1" applyFill="1" applyBorder="1" applyAlignment="1">
      <alignment vertical="top" indent="1"/>
    </xf>
    <xf numFmtId="0" fontId="55" fillId="4" borderId="3" xfId="0" applyFont="1" applyFill="1" applyBorder="1" applyAlignment="1">
      <alignment vertical="top" indent="1"/>
    </xf>
    <xf numFmtId="0" fontId="56" fillId="4" borderId="3" xfId="0" applyFont="1" applyFill="1" applyBorder="1" applyAlignment="1">
      <alignment vertical="top" indent="1"/>
    </xf>
    <xf numFmtId="0" fontId="57" fillId="4" borderId="3" xfId="0" applyFont="1" applyFill="1" applyBorder="1" applyAlignment="1">
      <alignment vertical="top" indent="1"/>
    </xf>
    <xf numFmtId="0" fontId="58" fillId="4" borderId="3" xfId="0" applyFont="1" applyFill="1" applyBorder="1" applyAlignment="1">
      <alignment vertical="top" indent="1"/>
    </xf>
    <xf numFmtId="0" fontId="59" fillId="4" borderId="3" xfId="0" applyFont="1" applyFill="1" applyBorder="1" applyAlignment="1">
      <alignment vertical="top" indent="1"/>
    </xf>
    <xf numFmtId="0" fontId="60" fillId="4" borderId="3" xfId="0" applyFont="1" applyFill="1" applyBorder="1" applyAlignment="1">
      <alignment vertical="top" indent="1"/>
    </xf>
    <xf numFmtId="0" fontId="61" fillId="4" borderId="3" xfId="0" applyFont="1" applyFill="1" applyBorder="1" applyAlignment="1">
      <alignment vertical="top" indent="1"/>
    </xf>
    <xf numFmtId="0" fontId="62" fillId="4" borderId="3" xfId="0" applyFont="1" applyFill="1" applyBorder="1" applyAlignment="1">
      <alignment vertical="top" indent="1"/>
    </xf>
    <xf numFmtId="0" fontId="63" fillId="4" borderId="3" xfId="0" applyFont="1" applyFill="1" applyBorder="1" applyAlignment="1">
      <alignment vertical="top" indent="1"/>
    </xf>
    <xf numFmtId="0" fontId="64" fillId="4" borderId="3" xfId="0" applyFont="1" applyFill="1" applyBorder="1" applyAlignment="1">
      <alignment vertical="top" indent="1"/>
    </xf>
    <xf numFmtId="0" fontId="65" fillId="4" borderId="3" xfId="0" applyFont="1" applyFill="1" applyBorder="1" applyAlignment="1">
      <alignment vertical="top" indent="1"/>
    </xf>
    <xf numFmtId="0" fontId="66" fillId="4" borderId="3" xfId="0" applyFont="1" applyFill="1" applyBorder="1" applyAlignment="1">
      <alignment vertical="top" indent="1"/>
    </xf>
    <xf numFmtId="0" fontId="67" fillId="4" borderId="3" xfId="0" applyFont="1" applyFill="1" applyBorder="1" applyAlignment="1">
      <alignment vertical="top" indent="1"/>
    </xf>
    <xf numFmtId="0" fontId="68" fillId="4" borderId="3" xfId="0" applyFont="1" applyFill="1" applyBorder="1" applyAlignment="1">
      <alignment vertical="top" indent="1"/>
    </xf>
    <xf numFmtId="0" fontId="69" fillId="4" borderId="3" xfId="0" applyFont="1" applyFill="1" applyBorder="1" applyAlignment="1">
      <alignment vertical="top" indent="1"/>
    </xf>
    <xf numFmtId="0" fontId="70" fillId="4" borderId="3" xfId="0" applyFont="1" applyFill="1" applyBorder="1" applyAlignment="1">
      <alignment vertical="top" indent="1"/>
    </xf>
    <xf numFmtId="168" fontId="71" fillId="4" borderId="3" xfId="0" applyNumberFormat="1" applyFont="1" applyFill="1" applyBorder="1" applyAlignment="1">
      <alignment horizontal="right" vertical="top" indent="1"/>
    </xf>
    <xf numFmtId="0" fontId="72" fillId="4" borderId="3" xfId="0" applyFont="1" applyFill="1" applyBorder="1" applyAlignment="1">
      <alignment vertical="top" indent="1"/>
    </xf>
    <xf numFmtId="0" fontId="73" fillId="4" borderId="3" xfId="0" applyFont="1" applyFill="1" applyBorder="1" applyAlignment="1">
      <alignment vertical="top" indent="1"/>
    </xf>
    <xf numFmtId="0" fontId="74" fillId="4" borderId="3" xfId="0" applyFont="1" applyFill="1" applyBorder="1" applyAlignment="1">
      <alignment vertical="top" indent="1"/>
    </xf>
    <xf numFmtId="0" fontId="75" fillId="4" borderId="3" xfId="0" applyFont="1" applyFill="1" applyBorder="1" applyAlignment="1">
      <alignment vertical="top" indent="1"/>
    </xf>
    <xf numFmtId="0" fontId="76" fillId="4" borderId="3" xfId="0" applyFont="1" applyFill="1" applyBorder="1" applyAlignment="1">
      <alignment vertical="top" indent="1"/>
    </xf>
    <xf numFmtId="0" fontId="77" fillId="4" borderId="3" xfId="0" applyFont="1" applyFill="1" applyBorder="1" applyAlignment="1">
      <alignment vertical="top" indent="1"/>
    </xf>
    <xf numFmtId="0" fontId="78" fillId="4" borderId="3" xfId="0" applyFont="1" applyFill="1" applyBorder="1" applyAlignment="1">
      <alignment vertical="top" indent="1"/>
    </xf>
    <xf numFmtId="0" fontId="79" fillId="4" borderId="3" xfId="0" applyFont="1" applyFill="1" applyBorder="1" applyAlignment="1">
      <alignment vertical="top" indent="1"/>
    </xf>
    <xf numFmtId="169" fontId="80" fillId="4" borderId="3" xfId="0" applyNumberFormat="1" applyFont="1" applyFill="1" applyBorder="1" applyAlignment="1">
      <alignment horizontal="right" vertical="top" indent="1"/>
    </xf>
    <xf numFmtId="164" fontId="81" fillId="4" borderId="3" xfId="0" applyNumberFormat="1" applyFont="1" applyFill="1" applyBorder="1" applyAlignment="1">
      <alignment horizontal="right" vertical="top" indent="1"/>
    </xf>
    <xf numFmtId="0" fontId="82" fillId="4" borderId="3" xfId="0" applyFont="1" applyFill="1" applyBorder="1" applyAlignment="1">
      <alignment vertical="top" indent="1"/>
    </xf>
    <xf numFmtId="164" fontId="83" fillId="4" borderId="3" xfId="0" applyNumberFormat="1" applyFont="1" applyFill="1" applyBorder="1" applyAlignment="1">
      <alignment horizontal="right" vertical="top" indent="1"/>
    </xf>
    <xf numFmtId="0" fontId="84" fillId="4" borderId="3" xfId="0" applyFont="1" applyFill="1" applyBorder="1" applyAlignment="1">
      <alignment vertical="top" indent="1"/>
    </xf>
    <xf numFmtId="0" fontId="85" fillId="4" borderId="3" xfId="0" applyFont="1" applyFill="1" applyBorder="1" applyAlignment="1">
      <alignment vertical="top" indent="1"/>
    </xf>
    <xf numFmtId="0" fontId="86" fillId="4" borderId="3" xfId="0" applyFont="1" applyFill="1" applyBorder="1" applyAlignment="1">
      <alignment vertical="top" indent="1"/>
    </xf>
    <xf numFmtId="0" fontId="87" fillId="4" borderId="3" xfId="0" applyFont="1" applyFill="1" applyBorder="1" applyAlignment="1">
      <alignment vertical="top" indent="1"/>
    </xf>
    <xf numFmtId="0" fontId="88" fillId="4" borderId="3" xfId="0" applyFont="1" applyFill="1" applyBorder="1" applyAlignment="1">
      <alignment vertical="top" indent="1"/>
    </xf>
    <xf numFmtId="0" fontId="89" fillId="4" borderId="3" xfId="0" applyFont="1" applyFill="1" applyBorder="1" applyAlignment="1">
      <alignment vertical="top" indent="1"/>
    </xf>
    <xf numFmtId="0" fontId="90" fillId="4" borderId="3" xfId="0" applyFont="1" applyFill="1" applyBorder="1" applyAlignment="1">
      <alignment vertical="top" indent="1"/>
    </xf>
    <xf numFmtId="169" fontId="91" fillId="4" borderId="3" xfId="0" applyNumberFormat="1" applyFont="1" applyFill="1" applyBorder="1" applyAlignment="1">
      <alignment horizontal="right" vertical="top" indent="1"/>
    </xf>
    <xf numFmtId="164" fontId="92" fillId="4" borderId="3" xfId="0" applyNumberFormat="1" applyFont="1" applyFill="1" applyBorder="1" applyAlignment="1">
      <alignment horizontal="right" vertical="top" indent="1"/>
    </xf>
    <xf numFmtId="0" fontId="93" fillId="4" borderId="3" xfId="0" applyFont="1" applyFill="1" applyBorder="1" applyAlignment="1">
      <alignment vertical="top" indent="1"/>
    </xf>
    <xf numFmtId="164" fontId="94" fillId="4" borderId="3" xfId="0" applyNumberFormat="1" applyFont="1" applyFill="1" applyBorder="1" applyAlignment="1">
      <alignment horizontal="right" vertical="top" indent="1"/>
    </xf>
    <xf numFmtId="0" fontId="95" fillId="4" borderId="3" xfId="0" applyFont="1" applyFill="1" applyBorder="1" applyAlignment="1">
      <alignment vertical="top" indent="1"/>
    </xf>
    <xf numFmtId="0" fontId="96" fillId="4" borderId="3" xfId="0" applyFont="1" applyFill="1" applyBorder="1" applyAlignment="1">
      <alignment vertical="top" indent="1"/>
    </xf>
    <xf numFmtId="0" fontId="97" fillId="4" borderId="3" xfId="0" applyFont="1" applyFill="1" applyBorder="1" applyAlignment="1">
      <alignment vertical="top" indent="1"/>
    </xf>
    <xf numFmtId="0" fontId="98" fillId="4" borderId="3" xfId="0" applyFont="1" applyFill="1" applyBorder="1" applyAlignment="1">
      <alignment vertical="top" indent="1"/>
    </xf>
    <xf numFmtId="0" fontId="99" fillId="4" borderId="3" xfId="0" applyFont="1" applyFill="1" applyBorder="1" applyAlignment="1">
      <alignment vertical="top" indent="1"/>
    </xf>
    <xf numFmtId="169" fontId="100" fillId="4" borderId="3" xfId="0" applyNumberFormat="1" applyFont="1" applyFill="1" applyBorder="1" applyAlignment="1">
      <alignment horizontal="right" vertical="top" indent="1"/>
    </xf>
    <xf numFmtId="164" fontId="101" fillId="4" borderId="3" xfId="0" applyNumberFormat="1" applyFont="1" applyFill="1" applyBorder="1" applyAlignment="1">
      <alignment horizontal="right" vertical="top" indent="1"/>
    </xf>
    <xf numFmtId="0" fontId="102" fillId="4" borderId="3" xfId="0" applyFont="1" applyFill="1" applyBorder="1" applyAlignment="1">
      <alignment vertical="top" indent="1"/>
    </xf>
    <xf numFmtId="0" fontId="103" fillId="4" borderId="3" xfId="0" applyFont="1" applyFill="1" applyBorder="1" applyAlignment="1">
      <alignment vertical="top" indent="1"/>
    </xf>
    <xf numFmtId="167" fontId="104" fillId="4" borderId="3" xfId="0" applyNumberFormat="1" applyFont="1" applyFill="1" applyBorder="1" applyAlignment="1">
      <alignment horizontal="right" vertical="top" indent="1"/>
    </xf>
    <xf numFmtId="170" fontId="105" fillId="4" borderId="3" xfId="0" applyNumberFormat="1" applyFont="1" applyFill="1" applyBorder="1" applyAlignment="1">
      <alignment horizontal="right" vertical="top" indent="1"/>
    </xf>
    <xf numFmtId="167" fontId="106" fillId="4" borderId="3" xfId="0" applyNumberFormat="1" applyFont="1" applyFill="1" applyBorder="1" applyAlignment="1">
      <alignment horizontal="right" vertical="top" indent="1"/>
    </xf>
    <xf numFmtId="167" fontId="107" fillId="4" borderId="3" xfId="0" applyNumberFormat="1" applyFont="1" applyFill="1" applyBorder="1" applyAlignment="1">
      <alignment horizontal="right" vertical="top" indent="1"/>
    </xf>
    <xf numFmtId="167" fontId="108" fillId="4" borderId="3" xfId="0" applyNumberFormat="1" applyFont="1" applyFill="1" applyBorder="1" applyAlignment="1">
      <alignment horizontal="right" vertical="top" indent="1"/>
    </xf>
    <xf numFmtId="170" fontId="109" fillId="4" borderId="3" xfId="0" applyNumberFormat="1" applyFont="1" applyFill="1" applyBorder="1" applyAlignment="1">
      <alignment horizontal="right" vertical="top" indent="1"/>
    </xf>
    <xf numFmtId="167" fontId="110" fillId="4" borderId="3" xfId="0" applyNumberFormat="1" applyFont="1" applyFill="1" applyBorder="1" applyAlignment="1">
      <alignment horizontal="right" vertical="top" indent="1"/>
    </xf>
    <xf numFmtId="170" fontId="111" fillId="4" borderId="3" xfId="0" applyNumberFormat="1" applyFont="1" applyFill="1" applyBorder="1" applyAlignment="1">
      <alignment horizontal="right" vertical="top" indent="1"/>
    </xf>
    <xf numFmtId="167" fontId="112" fillId="4" borderId="3" xfId="0" applyNumberFormat="1" applyFont="1" applyFill="1" applyBorder="1" applyAlignment="1">
      <alignment horizontal="right" vertical="top" indent="1"/>
    </xf>
    <xf numFmtId="170" fontId="113" fillId="4" borderId="3" xfId="0" applyNumberFormat="1" applyFont="1" applyFill="1" applyBorder="1" applyAlignment="1">
      <alignment horizontal="right" vertical="top" indent="1"/>
    </xf>
    <xf numFmtId="167" fontId="114" fillId="4" borderId="3" xfId="0" applyNumberFormat="1" applyFont="1" applyFill="1" applyBorder="1" applyAlignment="1">
      <alignment horizontal="right" vertical="top" indent="1"/>
    </xf>
    <xf numFmtId="170" fontId="115" fillId="4" borderId="3" xfId="0" applyNumberFormat="1" applyFont="1" applyFill="1" applyBorder="1" applyAlignment="1">
      <alignment horizontal="right" vertical="top" indent="1"/>
    </xf>
    <xf numFmtId="167" fontId="116" fillId="4" borderId="3" xfId="0" applyNumberFormat="1" applyFont="1" applyFill="1" applyBorder="1" applyAlignment="1">
      <alignment horizontal="right" vertical="top" indent="1"/>
    </xf>
    <xf numFmtId="170" fontId="117" fillId="4" borderId="3" xfId="0" applyNumberFormat="1" applyFont="1" applyFill="1" applyBorder="1" applyAlignment="1">
      <alignment horizontal="right" vertical="top" indent="1"/>
    </xf>
    <xf numFmtId="171" fontId="118" fillId="4" borderId="3" xfId="0" applyNumberFormat="1" applyFont="1" applyFill="1" applyBorder="1" applyAlignment="1">
      <alignment horizontal="right" vertical="top" indent="1"/>
    </xf>
    <xf numFmtId="170" fontId="119" fillId="4" borderId="3" xfId="0" applyNumberFormat="1" applyFont="1" applyFill="1" applyBorder="1" applyAlignment="1">
      <alignment horizontal="right" vertical="top" indent="1"/>
    </xf>
    <xf numFmtId="171" fontId="120" fillId="4" borderId="3" xfId="0" applyNumberFormat="1" applyFont="1" applyFill="1" applyBorder="1" applyAlignment="1">
      <alignment horizontal="right" vertical="top" indent="1"/>
    </xf>
    <xf numFmtId="167" fontId="121" fillId="4" borderId="3" xfId="0" applyNumberFormat="1" applyFont="1" applyFill="1" applyBorder="1" applyAlignment="1">
      <alignment horizontal="right" vertical="top" indent="1"/>
    </xf>
    <xf numFmtId="171" fontId="122" fillId="4" borderId="3" xfId="0" applyNumberFormat="1" applyFont="1" applyFill="1" applyBorder="1" applyAlignment="1">
      <alignment horizontal="right" vertical="top" indent="1"/>
    </xf>
    <xf numFmtId="170" fontId="123" fillId="4" borderId="3" xfId="0" applyNumberFormat="1" applyFont="1" applyFill="1" applyBorder="1" applyAlignment="1">
      <alignment horizontal="right" vertical="top" indent="1"/>
    </xf>
    <xf numFmtId="171" fontId="124" fillId="4" borderId="3" xfId="0" applyNumberFormat="1" applyFont="1" applyFill="1" applyBorder="1" applyAlignment="1">
      <alignment horizontal="right" vertical="top" indent="1"/>
    </xf>
    <xf numFmtId="170" fontId="125" fillId="4" borderId="3" xfId="0" applyNumberFormat="1" applyFont="1" applyFill="1" applyBorder="1" applyAlignment="1">
      <alignment horizontal="right" vertical="top" indent="1"/>
    </xf>
    <xf numFmtId="171" fontId="126" fillId="4" borderId="3" xfId="0" applyNumberFormat="1" applyFont="1" applyFill="1" applyBorder="1" applyAlignment="1">
      <alignment horizontal="right" vertical="top" indent="1"/>
    </xf>
    <xf numFmtId="170" fontId="127" fillId="4" borderId="3" xfId="0" applyNumberFormat="1" applyFont="1" applyFill="1" applyBorder="1" applyAlignment="1">
      <alignment horizontal="right" vertical="top" indent="1"/>
    </xf>
    <xf numFmtId="171" fontId="128" fillId="4" borderId="3" xfId="0" applyNumberFormat="1" applyFont="1" applyFill="1" applyBorder="1" applyAlignment="1">
      <alignment horizontal="right" vertical="top" indent="1"/>
    </xf>
    <xf numFmtId="170" fontId="129" fillId="4" borderId="3" xfId="0" applyNumberFormat="1" applyFont="1" applyFill="1" applyBorder="1" applyAlignment="1">
      <alignment horizontal="right" vertical="top" indent="1"/>
    </xf>
    <xf numFmtId="171" fontId="130" fillId="4" borderId="3" xfId="0" applyNumberFormat="1" applyFont="1" applyFill="1" applyBorder="1" applyAlignment="1">
      <alignment horizontal="right" vertical="top" indent="1"/>
    </xf>
    <xf numFmtId="170" fontId="131" fillId="4" borderId="3" xfId="0" applyNumberFormat="1" applyFont="1" applyFill="1" applyBorder="1" applyAlignment="1">
      <alignment horizontal="right" vertical="top" indent="1"/>
    </xf>
    <xf numFmtId="170" fontId="132" fillId="4" borderId="3" xfId="0" applyNumberFormat="1" applyFont="1" applyFill="1" applyBorder="1" applyAlignment="1">
      <alignment horizontal="right" vertical="top" indent="1"/>
    </xf>
    <xf numFmtId="172" fontId="133" fillId="4" borderId="3" xfId="0" applyNumberFormat="1" applyFont="1" applyFill="1" applyBorder="1" applyAlignment="1">
      <alignment horizontal="right" vertical="top" indent="1"/>
    </xf>
    <xf numFmtId="167" fontId="134" fillId="4" borderId="3" xfId="0" applyNumberFormat="1" applyFont="1" applyFill="1" applyBorder="1" applyAlignment="1">
      <alignment horizontal="right" vertical="top" indent="1"/>
    </xf>
    <xf numFmtId="170" fontId="135" fillId="4" borderId="3" xfId="0" applyNumberFormat="1" applyFont="1" applyFill="1" applyBorder="1" applyAlignment="1">
      <alignment horizontal="right" vertical="top" indent="1"/>
    </xf>
    <xf numFmtId="172" fontId="136" fillId="4" borderId="3" xfId="0" applyNumberFormat="1" applyFont="1" applyFill="1" applyBorder="1" applyAlignment="1">
      <alignment horizontal="right" vertical="top" indent="1"/>
    </xf>
    <xf numFmtId="167" fontId="137" fillId="4" borderId="3" xfId="0" applyNumberFormat="1" applyFont="1" applyFill="1" applyBorder="1" applyAlignment="1">
      <alignment horizontal="right" vertical="top" indent="1"/>
    </xf>
    <xf numFmtId="170" fontId="138" fillId="4" borderId="3" xfId="0" applyNumberFormat="1" applyFont="1" applyFill="1" applyBorder="1" applyAlignment="1">
      <alignment horizontal="right" vertical="top" indent="1"/>
    </xf>
    <xf numFmtId="173" fontId="139" fillId="4" borderId="3" xfId="0" applyNumberFormat="1" applyFont="1" applyFill="1" applyBorder="1" applyAlignment="1">
      <alignment horizontal="right" vertical="top" indent="1"/>
    </xf>
    <xf numFmtId="167" fontId="140" fillId="4" borderId="3" xfId="0" applyNumberFormat="1" applyFont="1" applyFill="1" applyBorder="1" applyAlignment="1">
      <alignment horizontal="right" vertical="top" indent="1"/>
    </xf>
    <xf numFmtId="0" fontId="141" fillId="4" borderId="3" xfId="0" applyFont="1" applyFill="1" applyBorder="1" applyAlignment="1">
      <alignment vertical="top" indent="1"/>
    </xf>
    <xf numFmtId="169" fontId="142" fillId="4" borderId="3" xfId="0" applyNumberFormat="1" applyFont="1" applyFill="1" applyBorder="1" applyAlignment="1">
      <alignment horizontal="right" vertical="top" indent="1"/>
    </xf>
    <xf numFmtId="164" fontId="143" fillId="4" borderId="3" xfId="0" applyNumberFormat="1" applyFont="1" applyFill="1" applyBorder="1" applyAlignment="1">
      <alignment horizontal="right" vertical="top" indent="1"/>
    </xf>
    <xf numFmtId="169" fontId="144" fillId="4" borderId="3" xfId="0" applyNumberFormat="1" applyFont="1" applyFill="1" applyBorder="1" applyAlignment="1">
      <alignment horizontal="right" vertical="top" indent="1"/>
    </xf>
    <xf numFmtId="0" fontId="145" fillId="4" borderId="3" xfId="0" applyFont="1" applyFill="1" applyBorder="1" applyAlignment="1">
      <alignment vertical="top" indent="1"/>
    </xf>
    <xf numFmtId="0" fontId="146" fillId="5" borderId="3" xfId="0" applyFont="1" applyFill="1" applyBorder="1" applyAlignment="1">
      <alignment vertical="top" indent="1"/>
    </xf>
    <xf numFmtId="0" fontId="147" fillId="5" borderId="3" xfId="0" applyFont="1" applyFill="1" applyBorder="1" applyAlignment="1">
      <alignment vertical="top" indent="1"/>
    </xf>
    <xf numFmtId="0" fontId="148" fillId="5" borderId="3" xfId="0" applyFont="1" applyFill="1" applyBorder="1" applyAlignment="1">
      <alignment vertical="top" indent="1"/>
    </xf>
    <xf numFmtId="0" fontId="149" fillId="5" borderId="3" xfId="0" applyFont="1" applyFill="1" applyBorder="1" applyAlignment="1">
      <alignment vertical="top" indent="1"/>
    </xf>
    <xf numFmtId="0" fontId="150" fillId="5" borderId="3" xfId="0" applyFont="1" applyFill="1" applyBorder="1" applyAlignment="1">
      <alignment vertical="top" indent="1"/>
    </xf>
    <xf numFmtId="0" fontId="151" fillId="5" borderId="3" xfId="0" applyFont="1" applyFill="1" applyBorder="1" applyAlignment="1">
      <alignment vertical="top" indent="1"/>
    </xf>
    <xf numFmtId="0" fontId="152" fillId="5" borderId="3" xfId="0" applyFont="1" applyFill="1" applyBorder="1" applyAlignment="1">
      <alignment vertical="top" indent="1"/>
    </xf>
    <xf numFmtId="0" fontId="153" fillId="5" borderId="3" xfId="0" applyFont="1" applyFill="1" applyBorder="1" applyAlignment="1">
      <alignment vertical="top" indent="1"/>
    </xf>
    <xf numFmtId="0" fontId="154" fillId="5" borderId="3" xfId="0" applyFont="1" applyFill="1" applyBorder="1" applyAlignment="1">
      <alignment vertical="top" indent="1"/>
    </xf>
    <xf numFmtId="0" fontId="155" fillId="5" borderId="3" xfId="0" applyFont="1" applyFill="1" applyBorder="1" applyAlignment="1">
      <alignment vertical="top" indent="1"/>
    </xf>
    <xf numFmtId="0" fontId="156" fillId="5" borderId="3" xfId="0" applyFont="1" applyFill="1" applyBorder="1" applyAlignment="1">
      <alignment vertical="top" indent="1"/>
    </xf>
    <xf numFmtId="0" fontId="157" fillId="5" borderId="3" xfId="0" applyFont="1" applyFill="1" applyBorder="1" applyAlignment="1">
      <alignment vertical="top" indent="1"/>
    </xf>
    <xf numFmtId="0" fontId="158" fillId="5" borderId="3" xfId="0" applyFont="1" applyFill="1" applyBorder="1" applyAlignment="1">
      <alignment vertical="top" indent="1"/>
    </xf>
    <xf numFmtId="0" fontId="159" fillId="5" borderId="3" xfId="0" applyFont="1" applyFill="1" applyBorder="1" applyAlignment="1">
      <alignment vertical="top" indent="1"/>
    </xf>
    <xf numFmtId="0" fontId="160" fillId="5" borderId="3" xfId="0" applyFont="1" applyFill="1" applyBorder="1" applyAlignment="1">
      <alignment vertical="top" indent="1"/>
    </xf>
    <xf numFmtId="0" fontId="161" fillId="5" borderId="3" xfId="0" applyFont="1" applyFill="1" applyBorder="1" applyAlignment="1">
      <alignment vertical="top" indent="1"/>
    </xf>
    <xf numFmtId="0" fontId="162" fillId="5" borderId="3" xfId="0" applyFont="1" applyFill="1" applyBorder="1" applyAlignment="1">
      <alignment vertical="top" indent="1"/>
    </xf>
    <xf numFmtId="164" fontId="163" fillId="5" borderId="3" xfId="0" applyNumberFormat="1" applyFont="1" applyFill="1" applyBorder="1" applyAlignment="1">
      <alignment horizontal="right" vertical="top" indent="1"/>
    </xf>
    <xf numFmtId="0" fontId="164" fillId="5" borderId="3" xfId="0" applyFont="1" applyFill="1" applyBorder="1" applyAlignment="1">
      <alignment vertical="top" indent="1"/>
    </xf>
    <xf numFmtId="0" fontId="165" fillId="5" borderId="3" xfId="0" applyFont="1" applyFill="1" applyBorder="1" applyAlignment="1">
      <alignment vertical="top" indent="1"/>
    </xf>
    <xf numFmtId="0" fontId="166" fillId="5" borderId="3" xfId="0" applyFont="1" applyFill="1" applyBorder="1" applyAlignment="1">
      <alignment vertical="top" indent="1"/>
    </xf>
    <xf numFmtId="0" fontId="167" fillId="5" borderId="3" xfId="0" applyFont="1" applyFill="1" applyBorder="1" applyAlignment="1">
      <alignment vertical="top" indent="1"/>
    </xf>
    <xf numFmtId="165" fontId="168" fillId="5" borderId="3" xfId="0" applyNumberFormat="1" applyFont="1" applyFill="1" applyBorder="1" applyAlignment="1">
      <alignment horizontal="right" vertical="top" indent="1"/>
    </xf>
    <xf numFmtId="0" fontId="169" fillId="5" borderId="3" xfId="0" applyFont="1" applyFill="1" applyBorder="1" applyAlignment="1">
      <alignment vertical="top" indent="1"/>
    </xf>
    <xf numFmtId="0" fontId="170" fillId="5" borderId="3" xfId="0" applyFont="1" applyFill="1" applyBorder="1" applyAlignment="1">
      <alignment vertical="top" indent="1"/>
    </xf>
    <xf numFmtId="0" fontId="171" fillId="5" borderId="3" xfId="0" applyFont="1" applyFill="1" applyBorder="1" applyAlignment="1">
      <alignment vertical="top" indent="1"/>
    </xf>
    <xf numFmtId="166" fontId="172" fillId="5" borderId="3" xfId="0" applyNumberFormat="1" applyFont="1" applyFill="1" applyBorder="1" applyAlignment="1">
      <alignment horizontal="right" vertical="top" indent="1"/>
    </xf>
    <xf numFmtId="0" fontId="173" fillId="5" borderId="3" xfId="0" applyFont="1" applyFill="1" applyBorder="1" applyAlignment="1">
      <alignment vertical="top" indent="1"/>
    </xf>
    <xf numFmtId="0" fontId="174" fillId="5" borderId="3" xfId="0" applyFont="1" applyFill="1" applyBorder="1" applyAlignment="1">
      <alignment vertical="top" indent="1"/>
    </xf>
    <xf numFmtId="0" fontId="175" fillId="5" borderId="3" xfId="0" applyFont="1" applyFill="1" applyBorder="1" applyAlignment="1">
      <alignment vertical="top" indent="1"/>
    </xf>
    <xf numFmtId="4" fontId="176" fillId="5" borderId="3" xfId="0" applyNumberFormat="1" applyFont="1" applyFill="1" applyBorder="1" applyAlignment="1">
      <alignment horizontal="right" vertical="top" indent="1"/>
    </xf>
    <xf numFmtId="4" fontId="177" fillId="5" borderId="3" xfId="0" applyNumberFormat="1" applyFont="1" applyFill="1" applyBorder="1" applyAlignment="1">
      <alignment horizontal="right" vertical="top" indent="1"/>
    </xf>
    <xf numFmtId="4" fontId="178" fillId="5" borderId="3" xfId="0" applyNumberFormat="1" applyFont="1" applyFill="1" applyBorder="1" applyAlignment="1">
      <alignment horizontal="right" vertical="top" indent="1"/>
    </xf>
    <xf numFmtId="4" fontId="179" fillId="5" borderId="3" xfId="0" applyNumberFormat="1" applyFont="1" applyFill="1" applyBorder="1" applyAlignment="1">
      <alignment horizontal="right" vertical="top" indent="1"/>
    </xf>
    <xf numFmtId="4" fontId="180" fillId="5" borderId="3" xfId="0" applyNumberFormat="1" applyFont="1" applyFill="1" applyBorder="1" applyAlignment="1">
      <alignment horizontal="right" vertical="top" indent="1"/>
    </xf>
    <xf numFmtId="4" fontId="181" fillId="5" borderId="3" xfId="0" applyNumberFormat="1" applyFont="1" applyFill="1" applyBorder="1" applyAlignment="1">
      <alignment horizontal="right" vertical="top" indent="1"/>
    </xf>
    <xf numFmtId="4" fontId="182" fillId="5" borderId="3" xfId="0" applyNumberFormat="1" applyFont="1" applyFill="1" applyBorder="1" applyAlignment="1">
      <alignment horizontal="right" vertical="top" indent="1"/>
    </xf>
    <xf numFmtId="4" fontId="183" fillId="5" borderId="3" xfId="0" applyNumberFormat="1" applyFont="1" applyFill="1" applyBorder="1" applyAlignment="1">
      <alignment horizontal="right" vertical="top" indent="1"/>
    </xf>
    <xf numFmtId="167" fontId="184" fillId="5" borderId="3" xfId="0" applyNumberFormat="1" applyFont="1" applyFill="1" applyBorder="1" applyAlignment="1">
      <alignment horizontal="right" vertical="top" indent="1"/>
    </xf>
    <xf numFmtId="0" fontId="185" fillId="5" borderId="3" xfId="0" applyFont="1" applyFill="1" applyBorder="1" applyAlignment="1">
      <alignment vertical="top" indent="1"/>
    </xf>
    <xf numFmtId="0" fontId="186" fillId="5" borderId="3" xfId="0" applyFont="1" applyFill="1" applyBorder="1" applyAlignment="1">
      <alignment vertical="top" indent="1"/>
    </xf>
    <xf numFmtId="0" fontId="187" fillId="5" borderId="3" xfId="0" applyFont="1" applyFill="1" applyBorder="1" applyAlignment="1">
      <alignment vertical="top" indent="1"/>
    </xf>
    <xf numFmtId="0" fontId="188" fillId="5" borderId="3" xfId="0" applyFont="1" applyFill="1" applyBorder="1" applyAlignment="1">
      <alignment vertical="top" indent="1"/>
    </xf>
    <xf numFmtId="0" fontId="189" fillId="5" borderId="3" xfId="0" applyFont="1" applyFill="1" applyBorder="1" applyAlignment="1">
      <alignment vertical="top" indent="1"/>
    </xf>
    <xf numFmtId="0" fontId="190" fillId="5" borderId="3" xfId="0" applyFont="1" applyFill="1" applyBorder="1" applyAlignment="1">
      <alignment vertical="top" indent="1"/>
    </xf>
    <xf numFmtId="0" fontId="191" fillId="5" borderId="3" xfId="0" applyFont="1" applyFill="1" applyBorder="1" applyAlignment="1">
      <alignment vertical="top" indent="1"/>
    </xf>
    <xf numFmtId="0" fontId="192" fillId="5" borderId="3" xfId="0" applyFont="1" applyFill="1" applyBorder="1" applyAlignment="1">
      <alignment vertical="top" indent="1"/>
    </xf>
    <xf numFmtId="0" fontId="193" fillId="5" borderId="3" xfId="0" applyFont="1" applyFill="1" applyBorder="1" applyAlignment="1">
      <alignment vertical="top" indent="1"/>
    </xf>
    <xf numFmtId="0" fontId="194" fillId="5" borderId="3" xfId="0" applyFont="1" applyFill="1" applyBorder="1" applyAlignment="1">
      <alignment vertical="top" indent="1"/>
    </xf>
    <xf numFmtId="0" fontId="195" fillId="5" borderId="3" xfId="0" applyFont="1" applyFill="1" applyBorder="1" applyAlignment="1">
      <alignment vertical="top" indent="1"/>
    </xf>
    <xf numFmtId="0" fontId="196" fillId="5" borderId="3" xfId="0" applyFont="1" applyFill="1" applyBorder="1" applyAlignment="1">
      <alignment vertical="top" indent="1"/>
    </xf>
    <xf numFmtId="0" fontId="197" fillId="5" borderId="3" xfId="0" applyFont="1" applyFill="1" applyBorder="1" applyAlignment="1">
      <alignment vertical="top" indent="1"/>
    </xf>
    <xf numFmtId="0" fontId="198" fillId="5" borderId="3" xfId="0" applyFont="1" applyFill="1" applyBorder="1" applyAlignment="1">
      <alignment vertical="top" indent="1"/>
    </xf>
    <xf numFmtId="0" fontId="199" fillId="5" borderId="3" xfId="0" applyFont="1" applyFill="1" applyBorder="1" applyAlignment="1">
      <alignment vertical="top" indent="1"/>
    </xf>
    <xf numFmtId="0" fontId="200" fillId="5" borderId="3" xfId="0" applyFont="1" applyFill="1" applyBorder="1" applyAlignment="1">
      <alignment vertical="top" indent="1"/>
    </xf>
    <xf numFmtId="0" fontId="201" fillId="5" borderId="3" xfId="0" applyFont="1" applyFill="1" applyBorder="1" applyAlignment="1">
      <alignment vertical="top" indent="1"/>
    </xf>
    <xf numFmtId="0" fontId="202" fillId="5" borderId="3" xfId="0" applyFont="1" applyFill="1" applyBorder="1" applyAlignment="1">
      <alignment vertical="top" indent="1"/>
    </xf>
    <xf numFmtId="0" fontId="203" fillId="5" borderId="3" xfId="0" applyFont="1" applyFill="1" applyBorder="1" applyAlignment="1">
      <alignment vertical="top" indent="1"/>
    </xf>
    <xf numFmtId="0" fontId="204" fillId="5" borderId="3" xfId="0" applyFont="1" applyFill="1" applyBorder="1" applyAlignment="1">
      <alignment vertical="top" indent="1"/>
    </xf>
    <xf numFmtId="168" fontId="205" fillId="5" borderId="3" xfId="0" applyNumberFormat="1" applyFont="1" applyFill="1" applyBorder="1" applyAlignment="1">
      <alignment horizontal="right" vertical="top" indent="1"/>
    </xf>
    <xf numFmtId="0" fontId="206" fillId="5" borderId="3" xfId="0" applyFont="1" applyFill="1" applyBorder="1" applyAlignment="1">
      <alignment vertical="top" indent="1"/>
    </xf>
    <xf numFmtId="0" fontId="207" fillId="5" borderId="3" xfId="0" applyFont="1" applyFill="1" applyBorder="1" applyAlignment="1">
      <alignment vertical="top" indent="1"/>
    </xf>
    <xf numFmtId="0" fontId="208" fillId="5" borderId="3" xfId="0" applyFont="1" applyFill="1" applyBorder="1" applyAlignment="1">
      <alignment vertical="top" indent="1"/>
    </xf>
    <xf numFmtId="0" fontId="209" fillId="5" borderId="3" xfId="0" applyFont="1" applyFill="1" applyBorder="1" applyAlignment="1">
      <alignment vertical="top" indent="1"/>
    </xf>
    <xf numFmtId="0" fontId="210" fillId="5" borderId="3" xfId="0" applyFont="1" applyFill="1" applyBorder="1" applyAlignment="1">
      <alignment vertical="top" indent="1"/>
    </xf>
    <xf numFmtId="0" fontId="211" fillId="5" borderId="3" xfId="0" applyFont="1" applyFill="1" applyBorder="1" applyAlignment="1">
      <alignment vertical="top" indent="1"/>
    </xf>
    <xf numFmtId="0" fontId="212" fillId="5" borderId="3" xfId="0" applyFont="1" applyFill="1" applyBorder="1" applyAlignment="1">
      <alignment vertical="top" indent="1"/>
    </xf>
    <xf numFmtId="0" fontId="213" fillId="5" borderId="3" xfId="0" applyFont="1" applyFill="1" applyBorder="1" applyAlignment="1">
      <alignment vertical="top" indent="1"/>
    </xf>
    <xf numFmtId="169" fontId="214" fillId="5" borderId="3" xfId="0" applyNumberFormat="1" applyFont="1" applyFill="1" applyBorder="1" applyAlignment="1">
      <alignment horizontal="right" vertical="top" indent="1"/>
    </xf>
    <xf numFmtId="164" fontId="215" fillId="5" borderId="3" xfId="0" applyNumberFormat="1" applyFont="1" applyFill="1" applyBorder="1" applyAlignment="1">
      <alignment horizontal="right" vertical="top" indent="1"/>
    </xf>
    <xf numFmtId="0" fontId="216" fillId="5" borderId="3" xfId="0" applyFont="1" applyFill="1" applyBorder="1" applyAlignment="1">
      <alignment vertical="top" indent="1"/>
    </xf>
    <xf numFmtId="164" fontId="217" fillId="5" borderId="3" xfId="0" applyNumberFormat="1" applyFont="1" applyFill="1" applyBorder="1" applyAlignment="1">
      <alignment horizontal="right" vertical="top" indent="1"/>
    </xf>
    <xf numFmtId="0" fontId="218" fillId="5" borderId="3" xfId="0" applyFont="1" applyFill="1" applyBorder="1" applyAlignment="1">
      <alignment vertical="top" indent="1"/>
    </xf>
    <xf numFmtId="0" fontId="219" fillId="5" borderId="3" xfId="0" applyFont="1" applyFill="1" applyBorder="1" applyAlignment="1">
      <alignment vertical="top" indent="1"/>
    </xf>
    <xf numFmtId="0" fontId="220" fillId="5" borderId="3" xfId="0" applyFont="1" applyFill="1" applyBorder="1" applyAlignment="1">
      <alignment vertical="top" indent="1"/>
    </xf>
    <xf numFmtId="0" fontId="221" fillId="5" borderId="3" xfId="0" applyFont="1" applyFill="1" applyBorder="1" applyAlignment="1">
      <alignment vertical="top" indent="1"/>
    </xf>
    <xf numFmtId="0" fontId="222" fillId="5" borderId="3" xfId="0" applyFont="1" applyFill="1" applyBorder="1" applyAlignment="1">
      <alignment vertical="top" indent="1"/>
    </xf>
    <xf numFmtId="0" fontId="223" fillId="5" borderId="3" xfId="0" applyFont="1" applyFill="1" applyBorder="1" applyAlignment="1">
      <alignment vertical="top" indent="1"/>
    </xf>
    <xf numFmtId="0" fontId="224" fillId="5" borderId="3" xfId="0" applyFont="1" applyFill="1" applyBorder="1" applyAlignment="1">
      <alignment vertical="top" indent="1"/>
    </xf>
    <xf numFmtId="169" fontId="225" fillId="5" borderId="3" xfId="0" applyNumberFormat="1" applyFont="1" applyFill="1" applyBorder="1" applyAlignment="1">
      <alignment horizontal="right" vertical="top" indent="1"/>
    </xf>
    <xf numFmtId="164" fontId="226" fillId="5" borderId="3" xfId="0" applyNumberFormat="1" applyFont="1" applyFill="1" applyBorder="1" applyAlignment="1">
      <alignment horizontal="right" vertical="top" indent="1"/>
    </xf>
    <xf numFmtId="0" fontId="227" fillId="5" borderId="3" xfId="0" applyFont="1" applyFill="1" applyBorder="1" applyAlignment="1">
      <alignment vertical="top" indent="1"/>
    </xf>
    <xf numFmtId="164" fontId="228" fillId="5" borderId="3" xfId="0" applyNumberFormat="1" applyFont="1" applyFill="1" applyBorder="1" applyAlignment="1">
      <alignment horizontal="right" vertical="top" indent="1"/>
    </xf>
    <xf numFmtId="0" fontId="229" fillId="5" borderId="3" xfId="0" applyFont="1" applyFill="1" applyBorder="1" applyAlignment="1">
      <alignment vertical="top" indent="1"/>
    </xf>
    <xf numFmtId="0" fontId="230" fillId="5" borderId="3" xfId="0" applyFont="1" applyFill="1" applyBorder="1" applyAlignment="1">
      <alignment vertical="top" indent="1"/>
    </xf>
    <xf numFmtId="0" fontId="231" fillId="5" borderId="3" xfId="0" applyFont="1" applyFill="1" applyBorder="1" applyAlignment="1">
      <alignment vertical="top" indent="1"/>
    </xf>
    <xf numFmtId="0" fontId="232" fillId="5" borderId="3" xfId="0" applyFont="1" applyFill="1" applyBorder="1" applyAlignment="1">
      <alignment vertical="top" indent="1"/>
    </xf>
    <xf numFmtId="0" fontId="233" fillId="5" borderId="3" xfId="0" applyFont="1" applyFill="1" applyBorder="1" applyAlignment="1">
      <alignment vertical="top" indent="1"/>
    </xf>
    <xf numFmtId="169" fontId="234" fillId="5" borderId="3" xfId="0" applyNumberFormat="1" applyFont="1" applyFill="1" applyBorder="1" applyAlignment="1">
      <alignment horizontal="right" vertical="top" indent="1"/>
    </xf>
    <xf numFmtId="164" fontId="235" fillId="5" borderId="3" xfId="0" applyNumberFormat="1" applyFont="1" applyFill="1" applyBorder="1" applyAlignment="1">
      <alignment horizontal="right" vertical="top" indent="1"/>
    </xf>
    <xf numFmtId="0" fontId="236" fillId="5" borderId="3" xfId="0" applyFont="1" applyFill="1" applyBorder="1" applyAlignment="1">
      <alignment vertical="top" indent="1"/>
    </xf>
    <xf numFmtId="0" fontId="237" fillId="5" borderId="3" xfId="0" applyFont="1" applyFill="1" applyBorder="1" applyAlignment="1">
      <alignment vertical="top" indent="1"/>
    </xf>
    <xf numFmtId="167" fontId="238" fillId="5" borderId="3" xfId="0" applyNumberFormat="1" applyFont="1" applyFill="1" applyBorder="1" applyAlignment="1">
      <alignment horizontal="right" vertical="top" indent="1"/>
    </xf>
    <xf numFmtId="170" fontId="239" fillId="5" borderId="3" xfId="0" applyNumberFormat="1" applyFont="1" applyFill="1" applyBorder="1" applyAlignment="1">
      <alignment horizontal="right" vertical="top" indent="1"/>
    </xf>
    <xf numFmtId="167" fontId="240" fillId="5" borderId="3" xfId="0" applyNumberFormat="1" applyFont="1" applyFill="1" applyBorder="1" applyAlignment="1">
      <alignment horizontal="right" vertical="top" indent="1"/>
    </xf>
    <xf numFmtId="167" fontId="241" fillId="5" borderId="3" xfId="0" applyNumberFormat="1" applyFont="1" applyFill="1" applyBorder="1" applyAlignment="1">
      <alignment horizontal="right" vertical="top" indent="1"/>
    </xf>
    <xf numFmtId="167" fontId="242" fillId="5" borderId="3" xfId="0" applyNumberFormat="1" applyFont="1" applyFill="1" applyBorder="1" applyAlignment="1">
      <alignment horizontal="right" vertical="top" indent="1"/>
    </xf>
    <xf numFmtId="170" fontId="243" fillId="5" borderId="3" xfId="0" applyNumberFormat="1" applyFont="1" applyFill="1" applyBorder="1" applyAlignment="1">
      <alignment horizontal="right" vertical="top" indent="1"/>
    </xf>
    <xf numFmtId="167" fontId="244" fillId="5" borderId="3" xfId="0" applyNumberFormat="1" applyFont="1" applyFill="1" applyBorder="1" applyAlignment="1">
      <alignment horizontal="right" vertical="top" indent="1"/>
    </xf>
    <xf numFmtId="170" fontId="245" fillId="5" borderId="3" xfId="0" applyNumberFormat="1" applyFont="1" applyFill="1" applyBorder="1" applyAlignment="1">
      <alignment horizontal="right" vertical="top" indent="1"/>
    </xf>
    <xf numFmtId="167" fontId="246" fillId="5" borderId="3" xfId="0" applyNumberFormat="1" applyFont="1" applyFill="1" applyBorder="1" applyAlignment="1">
      <alignment horizontal="right" vertical="top" indent="1"/>
    </xf>
    <xf numFmtId="170" fontId="247" fillId="5" borderId="3" xfId="0" applyNumberFormat="1" applyFont="1" applyFill="1" applyBorder="1" applyAlignment="1">
      <alignment horizontal="right" vertical="top" indent="1"/>
    </xf>
    <xf numFmtId="167" fontId="248" fillId="5" borderId="3" xfId="0" applyNumberFormat="1" applyFont="1" applyFill="1" applyBorder="1" applyAlignment="1">
      <alignment horizontal="right" vertical="top" indent="1"/>
    </xf>
    <xf numFmtId="170" fontId="249" fillId="5" borderId="3" xfId="0" applyNumberFormat="1" applyFont="1" applyFill="1" applyBorder="1" applyAlignment="1">
      <alignment horizontal="right" vertical="top" indent="1"/>
    </xf>
    <xf numFmtId="167" fontId="250" fillId="5" borderId="3" xfId="0" applyNumberFormat="1" applyFont="1" applyFill="1" applyBorder="1" applyAlignment="1">
      <alignment horizontal="right" vertical="top" indent="1"/>
    </xf>
    <xf numFmtId="170" fontId="251" fillId="5" borderId="3" xfId="0" applyNumberFormat="1" applyFont="1" applyFill="1" applyBorder="1" applyAlignment="1">
      <alignment horizontal="right" vertical="top" indent="1"/>
    </xf>
    <xf numFmtId="171" fontId="252" fillId="5" borderId="3" xfId="0" applyNumberFormat="1" applyFont="1" applyFill="1" applyBorder="1" applyAlignment="1">
      <alignment horizontal="right" vertical="top" indent="1"/>
    </xf>
    <xf numFmtId="170" fontId="253" fillId="5" borderId="3" xfId="0" applyNumberFormat="1" applyFont="1" applyFill="1" applyBorder="1" applyAlignment="1">
      <alignment horizontal="right" vertical="top" indent="1"/>
    </xf>
    <xf numFmtId="171" fontId="254" fillId="5" borderId="3" xfId="0" applyNumberFormat="1" applyFont="1" applyFill="1" applyBorder="1" applyAlignment="1">
      <alignment horizontal="right" vertical="top" indent="1"/>
    </xf>
    <xf numFmtId="167" fontId="255" fillId="5" borderId="3" xfId="0" applyNumberFormat="1" applyFont="1" applyFill="1" applyBorder="1" applyAlignment="1">
      <alignment horizontal="right" vertical="top" indent="1"/>
    </xf>
    <xf numFmtId="171" fontId="256" fillId="5" borderId="3" xfId="0" applyNumberFormat="1" applyFont="1" applyFill="1" applyBorder="1" applyAlignment="1">
      <alignment horizontal="right" vertical="top" indent="1"/>
    </xf>
    <xf numFmtId="170" fontId="257" fillId="5" borderId="3" xfId="0" applyNumberFormat="1" applyFont="1" applyFill="1" applyBorder="1" applyAlignment="1">
      <alignment horizontal="right" vertical="top" indent="1"/>
    </xf>
    <xf numFmtId="171" fontId="258" fillId="5" borderId="3" xfId="0" applyNumberFormat="1" applyFont="1" applyFill="1" applyBorder="1" applyAlignment="1">
      <alignment horizontal="right" vertical="top" indent="1"/>
    </xf>
    <xf numFmtId="170" fontId="259" fillId="5" borderId="3" xfId="0" applyNumberFormat="1" applyFont="1" applyFill="1" applyBorder="1" applyAlignment="1">
      <alignment horizontal="right" vertical="top" indent="1"/>
    </xf>
    <xf numFmtId="171" fontId="260" fillId="5" borderId="3" xfId="0" applyNumberFormat="1" applyFont="1" applyFill="1" applyBorder="1" applyAlignment="1">
      <alignment horizontal="right" vertical="top" indent="1"/>
    </xf>
    <xf numFmtId="170" fontId="261" fillId="5" borderId="3" xfId="0" applyNumberFormat="1" applyFont="1" applyFill="1" applyBorder="1" applyAlignment="1">
      <alignment horizontal="right" vertical="top" indent="1"/>
    </xf>
    <xf numFmtId="171" fontId="262" fillId="5" borderId="3" xfId="0" applyNumberFormat="1" applyFont="1" applyFill="1" applyBorder="1" applyAlignment="1">
      <alignment horizontal="right" vertical="top" indent="1"/>
    </xf>
    <xf numFmtId="170" fontId="263" fillId="5" borderId="3" xfId="0" applyNumberFormat="1" applyFont="1" applyFill="1" applyBorder="1" applyAlignment="1">
      <alignment horizontal="right" vertical="top" indent="1"/>
    </xf>
    <xf numFmtId="171" fontId="264" fillId="5" borderId="3" xfId="0" applyNumberFormat="1" applyFont="1" applyFill="1" applyBorder="1" applyAlignment="1">
      <alignment horizontal="right" vertical="top" indent="1"/>
    </xf>
    <xf numFmtId="170" fontId="265" fillId="5" borderId="3" xfId="0" applyNumberFormat="1" applyFont="1" applyFill="1" applyBorder="1" applyAlignment="1">
      <alignment horizontal="right" vertical="top" indent="1"/>
    </xf>
    <xf numFmtId="170" fontId="266" fillId="5" borderId="3" xfId="0" applyNumberFormat="1" applyFont="1" applyFill="1" applyBorder="1" applyAlignment="1">
      <alignment horizontal="right" vertical="top" indent="1"/>
    </xf>
    <xf numFmtId="172" fontId="267" fillId="5" borderId="3" xfId="0" applyNumberFormat="1" applyFont="1" applyFill="1" applyBorder="1" applyAlignment="1">
      <alignment horizontal="right" vertical="top" indent="1"/>
    </xf>
    <xf numFmtId="167" fontId="268" fillId="5" borderId="3" xfId="0" applyNumberFormat="1" applyFont="1" applyFill="1" applyBorder="1" applyAlignment="1">
      <alignment horizontal="right" vertical="top" indent="1"/>
    </xf>
    <xf numFmtId="170" fontId="269" fillId="5" borderId="3" xfId="0" applyNumberFormat="1" applyFont="1" applyFill="1" applyBorder="1" applyAlignment="1">
      <alignment horizontal="right" vertical="top" indent="1"/>
    </xf>
    <xf numFmtId="172" fontId="270" fillId="5" borderId="3" xfId="0" applyNumberFormat="1" applyFont="1" applyFill="1" applyBorder="1" applyAlignment="1">
      <alignment horizontal="right" vertical="top" indent="1"/>
    </xf>
    <xf numFmtId="167" fontId="271" fillId="5" borderId="3" xfId="0" applyNumberFormat="1" applyFont="1" applyFill="1" applyBorder="1" applyAlignment="1">
      <alignment horizontal="right" vertical="top" indent="1"/>
    </xf>
    <xf numFmtId="170" fontId="272" fillId="5" borderId="3" xfId="0" applyNumberFormat="1" applyFont="1" applyFill="1" applyBorder="1" applyAlignment="1">
      <alignment horizontal="right" vertical="top" indent="1"/>
    </xf>
    <xf numFmtId="173" fontId="273" fillId="5" borderId="3" xfId="0" applyNumberFormat="1" applyFont="1" applyFill="1" applyBorder="1" applyAlignment="1">
      <alignment horizontal="right" vertical="top" indent="1"/>
    </xf>
    <xf numFmtId="167" fontId="274" fillId="5" borderId="3" xfId="0" applyNumberFormat="1" applyFont="1" applyFill="1" applyBorder="1" applyAlignment="1">
      <alignment horizontal="right" vertical="top" indent="1"/>
    </xf>
    <xf numFmtId="0" fontId="275" fillId="5" borderId="3" xfId="0" applyFont="1" applyFill="1" applyBorder="1" applyAlignment="1">
      <alignment vertical="top" indent="1"/>
    </xf>
    <xf numFmtId="169" fontId="276" fillId="5" borderId="3" xfId="0" applyNumberFormat="1" applyFont="1" applyFill="1" applyBorder="1" applyAlignment="1">
      <alignment horizontal="right" vertical="top" indent="1"/>
    </xf>
    <xf numFmtId="164" fontId="277" fillId="5" borderId="3" xfId="0" applyNumberFormat="1" applyFont="1" applyFill="1" applyBorder="1" applyAlignment="1">
      <alignment horizontal="right" vertical="top" indent="1"/>
    </xf>
    <xf numFmtId="169" fontId="278" fillId="5" borderId="3" xfId="0" applyNumberFormat="1" applyFont="1" applyFill="1" applyBorder="1" applyAlignment="1">
      <alignment horizontal="right" vertical="top" indent="1"/>
    </xf>
    <xf numFmtId="0" fontId="279" fillId="5" borderId="3" xfId="0" applyFont="1" applyFill="1" applyBorder="1" applyAlignment="1">
      <alignment vertical="top" indent="1"/>
    </xf>
    <xf numFmtId="0" fontId="280" fillId="4" borderId="3" xfId="0" applyFont="1" applyFill="1" applyBorder="1" applyAlignment="1">
      <alignment horizontal="left" vertical="top" indent="1"/>
    </xf>
    <xf numFmtId="0" fontId="281" fillId="5" borderId="3" xfId="0" applyFont="1" applyFill="1" applyBorder="1" applyAlignment="1">
      <alignment horizontal="left" vertical="top" indent="1"/>
    </xf>
    <xf numFmtId="0" fontId="282" fillId="2" borderId="0" xfId="0" applyNumberFormat="1" applyFont="1" applyFill="1" applyBorder="1"/>
    <xf numFmtId="0" fontId="283" fillId="2" borderId="0" xfId="0" applyNumberFormat="1" applyFont="1" applyFill="1" applyBorder="1"/>
    <xf numFmtId="0" fontId="284" fillId="2" borderId="0" xfId="0" applyNumberFormat="1" applyFont="1" applyFill="1" applyBorder="1"/>
    <xf numFmtId="0" fontId="285" fillId="2" borderId="0" xfId="0" applyNumberFormat="1" applyFont="1" applyFill="1" applyBorder="1"/>
    <xf numFmtId="0" fontId="286" fillId="2" borderId="0" xfId="0" applyNumberFormat="1" applyFont="1" applyFill="1" applyBorder="1"/>
    <xf numFmtId="0" fontId="287" fillId="2" borderId="0" xfId="0" applyNumberFormat="1" applyFont="1" applyFill="1" applyBorder="1" applyAlignment="1" applyProtection="1"/>
    <xf numFmtId="0" fontId="288" fillId="2" borderId="0" xfId="1" applyNumberFormat="1" applyFont="1" applyFill="1" applyBorder="1" applyAlignment="1" applyProtection="1"/>
    <xf numFmtId="0" fontId="289" fillId="2" borderId="0" xfId="0" applyNumberFormat="1" applyFont="1" applyFill="1" applyBorder="1" applyAlignment="1" applyProtection="1"/>
    <xf numFmtId="0" fontId="290" fillId="0" borderId="0" xfId="0" applyFont="1" applyAlignment="1">
      <alignment wrapText="1"/>
    </xf>
    <xf numFmtId="0" fontId="4" fillId="2" borderId="0" xfId="0" applyFont="1" applyFill="1" applyAlignment="1">
      <alignment horizontal="left" vertical="top" wrapText="1"/>
    </xf>
    <xf numFmtId="0" fontId="8" fillId="0" borderId="0" xfId="0" applyFont="1" applyAlignment="1">
      <alignment wrapText="1"/>
    </xf>
    <xf numFmtId="0" fontId="0" fillId="0" borderId="0" xfId="0" applyAlignment="1">
      <alignment horizontal="left"/>
    </xf>
  </cellXfs>
  <cellStyles count="2">
    <cellStyle name="Normal" xfId="0" builtinId="0"/>
    <cellStyle name="Normal 2" xfId="1" xr:uid="{00000000-0005-0000-0000-000000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1009488</xdr:colOff>
      <xdr:row>0</xdr:row>
      <xdr:rowOff>314325</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828800" cy="314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y.pitchbook.com/?pcc=494516-98"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clientservices@pitchbook.com" TargetMode="External"/><Relationship Id="rId2" Type="http://schemas.openxmlformats.org/officeDocument/2006/relationships/hyperlink" Target="mailto:clientservices@pitchbook.com" TargetMode="External"/><Relationship Id="rId1" Type="http://schemas.openxmlformats.org/officeDocument/2006/relationships/hyperlink" Target="https://pitchbook.com/subscription-agre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1011"/>
  <sheetViews>
    <sheetView showGridLines="0" tabSelected="1" topLeftCell="E1" workbookViewId="0">
      <selection activeCell="F6" sqref="F6:G6"/>
    </sheetView>
  </sheetViews>
  <sheetFormatPr defaultRowHeight="14.25" x14ac:dyDescent="0.45"/>
  <cols>
    <col min="1" max="1" width="12.33203125" customWidth="1"/>
    <col min="2" max="2" width="57.796875" customWidth="1"/>
    <col min="3" max="4" width="28.86328125" customWidth="1" collapsed="1"/>
    <col min="5" max="5" width="30.33203125" customWidth="1"/>
    <col min="6" max="7" width="29.33203125" customWidth="1"/>
    <col min="8" max="8" width="30.6640625" customWidth="1"/>
    <col min="9" max="9" width="14.46484375" customWidth="1"/>
    <col min="10" max="10" width="39" customWidth="1"/>
    <col min="11" max="12" width="30.6640625" customWidth="1"/>
    <col min="13" max="13" width="29.19921875" customWidth="1"/>
    <col min="14" max="14" width="33.19921875" customWidth="1"/>
    <col min="15" max="15" width="28.46484375" customWidth="1"/>
    <col min="16" max="16" width="28.86328125" customWidth="1"/>
    <col min="17" max="17" width="31.1328125" customWidth="1"/>
    <col min="18" max="18" width="22.53125" customWidth="1"/>
    <col min="19" max="19" width="21.46484375" customWidth="1"/>
    <col min="20" max="20" width="23.19921875" customWidth="1"/>
    <col min="21" max="21" width="26" customWidth="1"/>
    <col min="22" max="22" width="21.6640625" customWidth="1"/>
    <col min="23" max="23" width="18.1328125" customWidth="1"/>
    <col min="24" max="24" width="17.796875" customWidth="1"/>
    <col min="25" max="25" width="17" customWidth="1"/>
    <col min="26" max="26" width="14.46484375" customWidth="1"/>
    <col min="27" max="27" width="20" customWidth="1"/>
    <col min="28" max="28" width="22.19921875" customWidth="1"/>
    <col min="29" max="30" width="26.796875" customWidth="1"/>
    <col min="31" max="31" width="15.19921875" customWidth="1"/>
    <col min="32" max="32" width="18.1328125" customWidth="1"/>
    <col min="33" max="33" width="17.796875" customWidth="1"/>
    <col min="34" max="38" width="15.19921875" customWidth="1"/>
    <col min="39" max="39" width="28.19921875" customWidth="1"/>
    <col min="40" max="40" width="18.796875" customWidth="1"/>
    <col min="41" max="41" width="26.46484375" customWidth="1"/>
    <col min="42" max="42" width="22" customWidth="1"/>
    <col min="43" max="43" width="26.86328125" customWidth="1"/>
    <col min="44" max="44" width="27.33203125" customWidth="1"/>
    <col min="45" max="45" width="28" customWidth="1"/>
    <col min="46" max="46" width="23.1328125" customWidth="1"/>
    <col min="47" max="48" width="23.6640625" customWidth="1"/>
    <col min="49" max="49" width="15.86328125" customWidth="1"/>
    <col min="50" max="50" width="23.86328125" customWidth="1"/>
    <col min="51" max="51" width="19.6640625" customWidth="1"/>
    <col min="52" max="52" width="17.86328125" customWidth="1"/>
    <col min="53" max="53" width="16.46484375" customWidth="1"/>
    <col min="54" max="54" width="14.46484375" customWidth="1"/>
    <col min="55" max="55" width="24" customWidth="1"/>
    <col min="56" max="56" width="23.1328125" customWidth="1"/>
    <col min="57" max="57" width="26.86328125" customWidth="1"/>
    <col min="58" max="58" width="37.53125" customWidth="1"/>
    <col min="59" max="59" width="28.86328125" customWidth="1"/>
    <col min="60" max="60" width="23.46484375" customWidth="1"/>
    <col min="61" max="63" width="28.86328125" customWidth="1"/>
    <col min="64" max="66" width="34.1328125" customWidth="1"/>
    <col min="67" max="68" width="28.86328125" customWidth="1"/>
    <col min="69" max="69" width="25.1328125" customWidth="1"/>
    <col min="70" max="70" width="24.53125" customWidth="1"/>
    <col min="71" max="71" width="30.6640625" customWidth="1"/>
    <col min="72" max="72" width="29.46484375" customWidth="1"/>
    <col min="73" max="73" width="35.6640625" customWidth="1"/>
    <col min="74" max="74" width="29.796875" customWidth="1"/>
    <col min="75" max="76" width="31.33203125" customWidth="1"/>
    <col min="77" max="77" width="30.1328125" customWidth="1"/>
    <col min="78" max="78" width="31.796875" customWidth="1"/>
    <col min="79" max="79" width="26.53125" customWidth="1"/>
    <col min="80" max="80" width="26.86328125" customWidth="1"/>
    <col min="81" max="81" width="24.33203125" customWidth="1"/>
    <col min="82" max="82" width="30.33203125" customWidth="1"/>
    <col min="83" max="83" width="29.33203125" customWidth="1"/>
    <col min="84" max="84" width="35.46484375" customWidth="1"/>
    <col min="85" max="85" width="29.46484375" customWidth="1"/>
    <col min="86" max="87" width="31.1328125" customWidth="1"/>
    <col min="88" max="88" width="29.796875" customWidth="1"/>
    <col min="89" max="90" width="25.1328125" customWidth="1"/>
    <col min="91" max="91" width="31.796875" customWidth="1"/>
    <col min="92" max="92" width="26.46484375" customWidth="1"/>
    <col min="93" max="93" width="18.6640625" customWidth="1"/>
    <col min="94" max="94" width="28.19921875" customWidth="1"/>
    <col min="95" max="95" width="25.796875" customWidth="1"/>
    <col min="96" max="96" width="27.86328125" customWidth="1"/>
    <col min="97" max="97" width="23" customWidth="1"/>
    <col min="98" max="98" width="32.53125" customWidth="1"/>
    <col min="99" max="99" width="24.33203125" customWidth="1"/>
    <col min="100" max="100" width="33.796875" customWidth="1"/>
    <col min="101" max="101" width="29.33203125" customWidth="1"/>
    <col min="102" max="102" width="38.796875" customWidth="1"/>
    <col min="103" max="103" width="26.53125" customWidth="1"/>
    <col min="104" max="104" width="36.1328125" customWidth="1"/>
    <col min="105" max="105" width="25.53125" customWidth="1"/>
    <col min="106" max="106" width="35.1328125" customWidth="1"/>
    <col min="107" max="107" width="18.86328125" customWidth="1"/>
    <col min="108" max="108" width="28.33203125" customWidth="1"/>
    <col min="109" max="109" width="26" customWidth="1"/>
    <col min="110" max="110" width="28" customWidth="1"/>
    <col min="111" max="111" width="23.19921875" customWidth="1"/>
    <col min="112" max="112" width="32.796875" customWidth="1"/>
    <col min="113" max="113" width="24.53125" customWidth="1"/>
    <col min="114" max="114" width="34.1328125" customWidth="1"/>
    <col min="115" max="115" width="29.46484375" customWidth="1"/>
    <col min="116" max="116" width="39" customWidth="1"/>
    <col min="117" max="117" width="26.796875" customWidth="1"/>
    <col min="118" max="118" width="36.19921875" customWidth="1"/>
    <col min="119" max="119" width="25.796875" customWidth="1"/>
    <col min="120" max="120" width="35.19921875" customWidth="1"/>
    <col min="121" max="121" width="31.6640625" customWidth="1"/>
    <col min="122" max="122" width="38.86328125" customWidth="1"/>
    <col min="123" max="123" width="40.86328125" customWidth="1"/>
    <col min="124" max="124" width="32.1328125" customWidth="1"/>
    <col min="125" max="125" width="39.19921875" customWidth="1"/>
    <col min="126" max="126" width="41.19921875" customWidth="1"/>
    <col min="127" max="127" width="23" customWidth="1"/>
    <col min="128" max="128" width="30.1328125" customWidth="1"/>
    <col min="129" max="129" width="32.1328125" customWidth="1"/>
    <col min="130" max="130" width="28.86328125" customWidth="1"/>
    <col min="131" max="131" width="25.1328125" customWidth="1"/>
    <col min="132" max="132" width="24.33203125" customWidth="1"/>
    <col min="133" max="133" width="26.86328125" customWidth="1"/>
    <col min="134" max="134" width="29.46484375" customWidth="1"/>
    <col min="135" max="135" width="19.796875" customWidth="1"/>
  </cols>
  <sheetData>
    <row r="1" spans="1:135" ht="26.25" customHeight="1" x14ac:dyDescent="0.6">
      <c r="E1" s="4" t="s">
        <v>3</v>
      </c>
      <c r="F1" s="4"/>
      <c r="G1" s="4"/>
    </row>
    <row r="2" spans="1:135" ht="12" customHeight="1" x14ac:dyDescent="0.45"/>
    <row r="3" spans="1:135" ht="9.75" customHeight="1" x14ac:dyDescent="0.45">
      <c r="A3" s="6" t="s">
        <v>2</v>
      </c>
      <c r="B3" s="290" t="s">
        <v>5</v>
      </c>
      <c r="C3" s="291"/>
    </row>
    <row r="4" spans="1:135" x14ac:dyDescent="0.45">
      <c r="A4" s="5" t="s">
        <v>0</v>
      </c>
      <c r="B4" s="289" t="s">
        <v>4</v>
      </c>
      <c r="C4" s="289"/>
      <c r="D4" s="289"/>
    </row>
    <row r="5" spans="1:135" x14ac:dyDescent="0.45">
      <c r="B5" s="289"/>
      <c r="C5" s="289"/>
      <c r="D5" s="289"/>
      <c r="F5" s="1" t="s">
        <v>1</v>
      </c>
      <c r="G5" s="2" t="s">
        <v>6</v>
      </c>
    </row>
    <row r="6" spans="1:135" x14ac:dyDescent="0.45">
      <c r="B6" s="289"/>
      <c r="C6" s="289"/>
      <c r="D6" s="289"/>
      <c r="F6" s="1"/>
      <c r="G6" s="3"/>
    </row>
    <row r="8" spans="1:135" ht="23.25" customHeight="1" x14ac:dyDescent="0.45"/>
    <row r="9" spans="1:135" ht="35" customHeight="1" x14ac:dyDescent="0.45">
      <c r="A9" s="7" t="s">
        <v>7</v>
      </c>
      <c r="B9" s="7" t="s">
        <v>8</v>
      </c>
      <c r="C9" s="7" t="s">
        <v>9</v>
      </c>
      <c r="D9" s="7" t="s">
        <v>10</v>
      </c>
      <c r="E9" s="7" t="s">
        <v>11</v>
      </c>
      <c r="F9" s="7" t="s">
        <v>12</v>
      </c>
      <c r="G9" s="7" t="s">
        <v>13</v>
      </c>
      <c r="H9" s="7" t="s">
        <v>14</v>
      </c>
      <c r="I9" s="7" t="s">
        <v>15</v>
      </c>
      <c r="J9" s="7" t="s">
        <v>16</v>
      </c>
      <c r="K9" s="7" t="s">
        <v>17</v>
      </c>
      <c r="L9" s="7" t="s">
        <v>18</v>
      </c>
      <c r="M9" s="7" t="s">
        <v>19</v>
      </c>
      <c r="N9" s="7" t="s">
        <v>20</v>
      </c>
      <c r="O9" s="7" t="s">
        <v>21</v>
      </c>
      <c r="P9" s="7" t="s">
        <v>22</v>
      </c>
      <c r="Q9" s="7" t="s">
        <v>23</v>
      </c>
      <c r="R9" s="7" t="s">
        <v>24</v>
      </c>
      <c r="S9" s="7" t="s">
        <v>25</v>
      </c>
      <c r="T9" s="7" t="s">
        <v>26</v>
      </c>
      <c r="U9" s="7" t="s">
        <v>27</v>
      </c>
      <c r="V9" s="7" t="s">
        <v>28</v>
      </c>
      <c r="W9" s="7" t="s">
        <v>29</v>
      </c>
      <c r="X9" s="7" t="s">
        <v>30</v>
      </c>
      <c r="Y9" s="7" t="s">
        <v>31</v>
      </c>
      <c r="Z9" s="7" t="s">
        <v>32</v>
      </c>
      <c r="AA9" s="7" t="s">
        <v>33</v>
      </c>
      <c r="AB9" s="7" t="s">
        <v>34</v>
      </c>
      <c r="AC9" s="7" t="s">
        <v>35</v>
      </c>
      <c r="AD9" s="7" t="s">
        <v>36</v>
      </c>
      <c r="AE9" s="7" t="s">
        <v>37</v>
      </c>
      <c r="AF9" s="7" t="s">
        <v>38</v>
      </c>
      <c r="AG9" s="7" t="s">
        <v>39</v>
      </c>
      <c r="AH9" s="7" t="s">
        <v>40</v>
      </c>
      <c r="AI9" s="7" t="s">
        <v>41</v>
      </c>
      <c r="AJ9" s="7" t="s">
        <v>42</v>
      </c>
      <c r="AK9" s="7" t="s">
        <v>43</v>
      </c>
      <c r="AL9" s="7" t="s">
        <v>44</v>
      </c>
      <c r="AM9" s="7" t="s">
        <v>45</v>
      </c>
      <c r="AN9" s="7" t="s">
        <v>46</v>
      </c>
      <c r="AO9" s="7" t="s">
        <v>47</v>
      </c>
      <c r="AP9" s="7" t="s">
        <v>48</v>
      </c>
      <c r="AQ9" s="7" t="s">
        <v>49</v>
      </c>
      <c r="AR9" s="7" t="s">
        <v>50</v>
      </c>
      <c r="AS9" s="7" t="s">
        <v>51</v>
      </c>
      <c r="AT9" s="7" t="s">
        <v>52</v>
      </c>
      <c r="AU9" s="7" t="s">
        <v>53</v>
      </c>
      <c r="AV9" s="7" t="s">
        <v>54</v>
      </c>
      <c r="AW9" s="7" t="s">
        <v>55</v>
      </c>
      <c r="AX9" s="7" t="s">
        <v>56</v>
      </c>
      <c r="AY9" s="7" t="s">
        <v>57</v>
      </c>
      <c r="AZ9" s="7" t="s">
        <v>58</v>
      </c>
      <c r="BA9" s="7" t="s">
        <v>59</v>
      </c>
      <c r="BB9" s="7" t="s">
        <v>60</v>
      </c>
      <c r="BC9" s="7" t="s">
        <v>61</v>
      </c>
      <c r="BD9" s="7" t="s">
        <v>62</v>
      </c>
      <c r="BE9" s="7" t="s">
        <v>63</v>
      </c>
      <c r="BF9" s="7" t="s">
        <v>64</v>
      </c>
      <c r="BG9" s="7" t="s">
        <v>65</v>
      </c>
      <c r="BH9" s="7" t="s">
        <v>66</v>
      </c>
      <c r="BI9" s="7" t="s">
        <v>67</v>
      </c>
      <c r="BJ9" s="7" t="s">
        <v>68</v>
      </c>
      <c r="BK9" s="7" t="s">
        <v>69</v>
      </c>
      <c r="BL9" s="7" t="s">
        <v>70</v>
      </c>
      <c r="BM9" s="7" t="s">
        <v>71</v>
      </c>
      <c r="BN9" s="7" t="s">
        <v>72</v>
      </c>
      <c r="BO9" s="7" t="s">
        <v>73</v>
      </c>
      <c r="BP9" s="7" t="s">
        <v>74</v>
      </c>
      <c r="BQ9" s="7" t="s">
        <v>75</v>
      </c>
      <c r="BR9" s="7" t="s">
        <v>76</v>
      </c>
      <c r="BS9" s="7" t="s">
        <v>77</v>
      </c>
      <c r="BT9" s="7" t="s">
        <v>78</v>
      </c>
      <c r="BU9" s="7" t="s">
        <v>79</v>
      </c>
      <c r="BV9" s="7" t="s">
        <v>80</v>
      </c>
      <c r="BW9" s="7" t="s">
        <v>81</v>
      </c>
      <c r="BX9" s="7" t="s">
        <v>82</v>
      </c>
      <c r="BY9" s="7" t="s">
        <v>83</v>
      </c>
      <c r="BZ9" s="7" t="s">
        <v>84</v>
      </c>
      <c r="CA9" s="7" t="s">
        <v>85</v>
      </c>
      <c r="CB9" s="7" t="s">
        <v>86</v>
      </c>
      <c r="CC9" s="7" t="s">
        <v>87</v>
      </c>
      <c r="CD9" s="7" t="s">
        <v>88</v>
      </c>
      <c r="CE9" s="7" t="s">
        <v>89</v>
      </c>
      <c r="CF9" s="7" t="s">
        <v>90</v>
      </c>
      <c r="CG9" s="7" t="s">
        <v>91</v>
      </c>
      <c r="CH9" s="7" t="s">
        <v>92</v>
      </c>
      <c r="CI9" s="7" t="s">
        <v>93</v>
      </c>
      <c r="CJ9" s="7" t="s">
        <v>94</v>
      </c>
      <c r="CK9" s="7" t="s">
        <v>95</v>
      </c>
      <c r="CL9" s="7" t="s">
        <v>96</v>
      </c>
      <c r="CM9" s="7" t="s">
        <v>97</v>
      </c>
      <c r="CN9" s="7" t="s">
        <v>98</v>
      </c>
      <c r="CO9" s="7" t="s">
        <v>99</v>
      </c>
      <c r="CP9" s="7" t="s">
        <v>100</v>
      </c>
      <c r="CQ9" s="7" t="s">
        <v>101</v>
      </c>
      <c r="CR9" s="7" t="s">
        <v>102</v>
      </c>
      <c r="CS9" s="7" t="s">
        <v>103</v>
      </c>
      <c r="CT9" s="7" t="s">
        <v>104</v>
      </c>
      <c r="CU9" s="7" t="s">
        <v>105</v>
      </c>
      <c r="CV9" s="7" t="s">
        <v>106</v>
      </c>
      <c r="CW9" s="7" t="s">
        <v>107</v>
      </c>
      <c r="CX9" s="7" t="s">
        <v>108</v>
      </c>
      <c r="CY9" s="7" t="s">
        <v>109</v>
      </c>
      <c r="CZ9" s="7" t="s">
        <v>110</v>
      </c>
      <c r="DA9" s="7" t="s">
        <v>111</v>
      </c>
      <c r="DB9" s="7" t="s">
        <v>112</v>
      </c>
      <c r="DC9" s="7" t="s">
        <v>113</v>
      </c>
      <c r="DD9" s="7" t="s">
        <v>114</v>
      </c>
      <c r="DE9" s="7" t="s">
        <v>115</v>
      </c>
      <c r="DF9" s="7" t="s">
        <v>116</v>
      </c>
      <c r="DG9" s="7" t="s">
        <v>117</v>
      </c>
      <c r="DH9" s="7" t="s">
        <v>118</v>
      </c>
      <c r="DI9" s="7" t="s">
        <v>119</v>
      </c>
      <c r="DJ9" s="7" t="s">
        <v>120</v>
      </c>
      <c r="DK9" s="7" t="s">
        <v>121</v>
      </c>
      <c r="DL9" s="7" t="s">
        <v>122</v>
      </c>
      <c r="DM9" s="7" t="s">
        <v>123</v>
      </c>
      <c r="DN9" s="7" t="s">
        <v>124</v>
      </c>
      <c r="DO9" s="7" t="s">
        <v>125</v>
      </c>
      <c r="DP9" s="7" t="s">
        <v>126</v>
      </c>
      <c r="DQ9" s="7" t="s">
        <v>127</v>
      </c>
      <c r="DR9" s="7" t="s">
        <v>128</v>
      </c>
      <c r="DS9" s="7" t="s">
        <v>129</v>
      </c>
      <c r="DT9" s="7" t="s">
        <v>130</v>
      </c>
      <c r="DU9" s="7" t="s">
        <v>131</v>
      </c>
      <c r="DV9" s="7" t="s">
        <v>132</v>
      </c>
      <c r="DW9" s="7" t="s">
        <v>133</v>
      </c>
      <c r="DX9" s="7" t="s">
        <v>134</v>
      </c>
      <c r="DY9" s="7" t="s">
        <v>135</v>
      </c>
      <c r="DZ9" s="7" t="s">
        <v>136</v>
      </c>
      <c r="EA9" s="7" t="s">
        <v>137</v>
      </c>
      <c r="EB9" s="7" t="s">
        <v>138</v>
      </c>
      <c r="EC9" s="7" t="s">
        <v>139</v>
      </c>
      <c r="ED9" s="7" t="s">
        <v>140</v>
      </c>
      <c r="EE9" s="8" t="s">
        <v>141</v>
      </c>
    </row>
    <row r="10" spans="1:135" x14ac:dyDescent="0.45">
      <c r="A10" s="10" t="s">
        <v>151</v>
      </c>
      <c r="B10" s="11" t="s">
        <v>152</v>
      </c>
      <c r="C10" s="12" t="s">
        <v>153</v>
      </c>
      <c r="D10" s="13" t="s">
        <v>153</v>
      </c>
      <c r="E10" s="14" t="s">
        <v>153</v>
      </c>
      <c r="F10" s="15" t="s">
        <v>154</v>
      </c>
      <c r="G10" s="16" t="s">
        <v>155</v>
      </c>
      <c r="H10" s="17" t="s">
        <v>153</v>
      </c>
      <c r="I10" s="18" t="s">
        <v>151</v>
      </c>
      <c r="J10" s="19" t="s">
        <v>156</v>
      </c>
      <c r="K10" s="20" t="s">
        <v>157</v>
      </c>
      <c r="L10" s="21" t="s">
        <v>158</v>
      </c>
      <c r="M10" s="22" t="s">
        <v>159</v>
      </c>
      <c r="N10" s="23" t="s">
        <v>160</v>
      </c>
      <c r="O10" s="24" t="s">
        <v>153</v>
      </c>
      <c r="P10" s="25" t="s">
        <v>161</v>
      </c>
      <c r="Q10" s="26" t="s">
        <v>162</v>
      </c>
      <c r="R10" s="27" t="s">
        <v>153</v>
      </c>
      <c r="S10" s="28" t="s">
        <v>163</v>
      </c>
      <c r="T10" s="29" t="s">
        <v>164</v>
      </c>
      <c r="U10" s="30" t="s">
        <v>165</v>
      </c>
      <c r="V10" s="31" t="s">
        <v>166</v>
      </c>
      <c r="W10" s="32" t="s">
        <v>153</v>
      </c>
      <c r="X10" s="33" t="s">
        <v>153</v>
      </c>
      <c r="Y10" s="34" t="s">
        <v>153</v>
      </c>
      <c r="Z10" s="35" t="s">
        <v>153</v>
      </c>
      <c r="AA10" s="36">
        <v>1965</v>
      </c>
      <c r="AB10" s="37" t="s">
        <v>167</v>
      </c>
      <c r="AC10" s="38" t="s">
        <v>153</v>
      </c>
      <c r="AD10" s="39" t="s">
        <v>153</v>
      </c>
      <c r="AE10" s="40" t="s">
        <v>153</v>
      </c>
      <c r="AF10" s="41" t="s">
        <v>153</v>
      </c>
      <c r="AG10" s="42" t="s">
        <v>153</v>
      </c>
      <c r="AH10" s="43" t="s">
        <v>153</v>
      </c>
      <c r="AI10" s="44" t="s">
        <v>153</v>
      </c>
      <c r="AJ10" s="45" t="s">
        <v>153</v>
      </c>
      <c r="AK10" s="46" t="s">
        <v>153</v>
      </c>
      <c r="AL10" s="47" t="s">
        <v>153</v>
      </c>
      <c r="AM10" s="48" t="s">
        <v>153</v>
      </c>
      <c r="AN10" s="49" t="s">
        <v>168</v>
      </c>
      <c r="AO10" s="50" t="s">
        <v>169</v>
      </c>
      <c r="AP10" s="51" t="s">
        <v>170</v>
      </c>
      <c r="AQ10" s="52" t="s">
        <v>171</v>
      </c>
      <c r="AR10" s="53" t="s">
        <v>172</v>
      </c>
      <c r="AS10" s="54" t="s">
        <v>173</v>
      </c>
      <c r="AT10" s="55" t="s">
        <v>174</v>
      </c>
      <c r="AU10" s="56" t="s">
        <v>175</v>
      </c>
      <c r="AV10" s="57" t="s">
        <v>153</v>
      </c>
      <c r="AW10" s="58" t="s">
        <v>176</v>
      </c>
      <c r="AX10" s="59" t="s">
        <v>177</v>
      </c>
      <c r="AY10" s="60" t="s">
        <v>178</v>
      </c>
      <c r="AZ10" s="61" t="s">
        <v>179</v>
      </c>
      <c r="BA10" s="62" t="s">
        <v>173</v>
      </c>
      <c r="BB10" s="63" t="s">
        <v>153</v>
      </c>
      <c r="BC10" s="64" t="s">
        <v>153</v>
      </c>
      <c r="BD10" s="65" t="s">
        <v>180</v>
      </c>
      <c r="BE10" s="66" t="s">
        <v>181</v>
      </c>
      <c r="BF10" s="67" t="s">
        <v>182</v>
      </c>
      <c r="BG10" s="68" t="s">
        <v>153</v>
      </c>
      <c r="BH10" s="69" t="s">
        <v>153</v>
      </c>
      <c r="BI10" s="70" t="s">
        <v>167</v>
      </c>
      <c r="BJ10" s="71" t="s">
        <v>153</v>
      </c>
      <c r="BK10" s="72" t="s">
        <v>183</v>
      </c>
      <c r="BL10" s="73" t="s">
        <v>153</v>
      </c>
      <c r="BM10" s="74" t="s">
        <v>153</v>
      </c>
      <c r="BN10" s="75" t="s">
        <v>184</v>
      </c>
      <c r="BO10" s="76" t="s">
        <v>153</v>
      </c>
      <c r="BP10" s="77" t="s">
        <v>185</v>
      </c>
      <c r="BQ10" s="78" t="s">
        <v>153</v>
      </c>
      <c r="BR10" s="79">
        <v>138152.32999999999</v>
      </c>
      <c r="BS10" s="80" t="s">
        <v>186</v>
      </c>
      <c r="BT10" s="81">
        <v>138152.32999999999</v>
      </c>
      <c r="BU10" s="82" t="s">
        <v>187</v>
      </c>
      <c r="BV10" s="83" t="s">
        <v>188</v>
      </c>
      <c r="BW10" s="84" t="s">
        <v>189</v>
      </c>
      <c r="BX10" s="85" t="s">
        <v>153</v>
      </c>
      <c r="BY10" s="86" t="s">
        <v>165</v>
      </c>
      <c r="BZ10" s="87" t="s">
        <v>153</v>
      </c>
      <c r="CA10" s="88" t="s">
        <v>190</v>
      </c>
      <c r="CB10" s="89" t="s">
        <v>153</v>
      </c>
      <c r="CC10" s="90">
        <v>138152.32999999999</v>
      </c>
      <c r="CD10" s="91" t="s">
        <v>186</v>
      </c>
      <c r="CE10" s="92">
        <v>138152.32999999999</v>
      </c>
      <c r="CF10" s="93" t="s">
        <v>187</v>
      </c>
      <c r="CG10" s="94" t="s">
        <v>188</v>
      </c>
      <c r="CH10" s="95" t="s">
        <v>189</v>
      </c>
      <c r="CI10" s="96" t="s">
        <v>153</v>
      </c>
      <c r="CJ10" s="97" t="s">
        <v>165</v>
      </c>
      <c r="CK10" s="98" t="s">
        <v>153</v>
      </c>
      <c r="CL10" s="99" t="s">
        <v>153</v>
      </c>
      <c r="CM10" s="100" t="s">
        <v>153</v>
      </c>
      <c r="CN10" s="101" t="s">
        <v>190</v>
      </c>
      <c r="CO10" s="102">
        <v>0.23</v>
      </c>
      <c r="CP10" s="103">
        <v>91</v>
      </c>
      <c r="CQ10" s="104">
        <v>-0.08</v>
      </c>
      <c r="CR10" s="105">
        <v>-25.12</v>
      </c>
      <c r="CS10" s="106">
        <v>0.46</v>
      </c>
      <c r="CT10" s="107">
        <v>92</v>
      </c>
      <c r="CU10" s="108">
        <v>0</v>
      </c>
      <c r="CV10" s="109">
        <v>41</v>
      </c>
      <c r="CW10" s="110" t="s">
        <v>153</v>
      </c>
      <c r="CX10" s="111" t="s">
        <v>153</v>
      </c>
      <c r="CY10" s="112">
        <v>0.46</v>
      </c>
      <c r="CZ10" s="113">
        <v>94</v>
      </c>
      <c r="DA10" s="114">
        <v>0</v>
      </c>
      <c r="DB10" s="115">
        <v>41</v>
      </c>
      <c r="DC10" s="116">
        <v>3.33</v>
      </c>
      <c r="DD10" s="117">
        <v>78</v>
      </c>
      <c r="DE10" s="118">
        <v>-0.03</v>
      </c>
      <c r="DF10" s="119">
        <v>-0.91</v>
      </c>
      <c r="DG10" s="120">
        <v>6.5</v>
      </c>
      <c r="DH10" s="121">
        <v>87</v>
      </c>
      <c r="DI10" s="122">
        <v>0.16</v>
      </c>
      <c r="DJ10" s="123">
        <v>22</v>
      </c>
      <c r="DK10" s="124" t="s">
        <v>153</v>
      </c>
      <c r="DL10" s="125" t="s">
        <v>153</v>
      </c>
      <c r="DM10" s="126">
        <v>6.5</v>
      </c>
      <c r="DN10" s="127">
        <v>86</v>
      </c>
      <c r="DO10" s="128">
        <v>0.16</v>
      </c>
      <c r="DP10" s="129">
        <v>22</v>
      </c>
      <c r="DQ10" s="130" t="s">
        <v>153</v>
      </c>
      <c r="DR10" s="131" t="s">
        <v>153</v>
      </c>
      <c r="DS10" s="132" t="s">
        <v>153</v>
      </c>
      <c r="DT10" s="133">
        <v>104</v>
      </c>
      <c r="DU10" s="134">
        <v>-1</v>
      </c>
      <c r="DV10" s="135">
        <v>-0.95</v>
      </c>
      <c r="DW10" s="136">
        <v>50</v>
      </c>
      <c r="DX10" s="137">
        <v>0</v>
      </c>
      <c r="DY10" s="138">
        <v>0</v>
      </c>
      <c r="DZ10" s="139" t="s">
        <v>191</v>
      </c>
      <c r="EA10" s="140">
        <v>44366</v>
      </c>
      <c r="EB10" s="141">
        <v>138152.32999999999</v>
      </c>
      <c r="EC10" s="142" t="s">
        <v>153</v>
      </c>
      <c r="ED10" s="143" t="s">
        <v>188</v>
      </c>
      <c r="EE10" s="278" t="str">
        <f>HYPERLINK("https://my.pitchbook.com?c=60476-32", "View company online")</f>
        <v>View company online</v>
      </c>
    </row>
    <row r="11" spans="1:135" x14ac:dyDescent="0.45">
      <c r="A11" s="144" t="s">
        <v>192</v>
      </c>
      <c r="B11" s="145" t="s">
        <v>193</v>
      </c>
      <c r="C11" s="146" t="s">
        <v>153</v>
      </c>
      <c r="D11" s="147" t="s">
        <v>153</v>
      </c>
      <c r="E11" s="148" t="s">
        <v>153</v>
      </c>
      <c r="F11" s="149" t="s">
        <v>194</v>
      </c>
      <c r="G11" s="150" t="s">
        <v>195</v>
      </c>
      <c r="H11" s="151" t="s">
        <v>196</v>
      </c>
      <c r="I11" s="152" t="s">
        <v>192</v>
      </c>
      <c r="J11" s="153" t="s">
        <v>197</v>
      </c>
      <c r="K11" s="154" t="s">
        <v>198</v>
      </c>
      <c r="L11" s="155" t="s">
        <v>199</v>
      </c>
      <c r="M11" s="156" t="s">
        <v>200</v>
      </c>
      <c r="N11" s="157" t="s">
        <v>201</v>
      </c>
      <c r="O11" s="158" t="s">
        <v>202</v>
      </c>
      <c r="P11" s="159" t="s">
        <v>203</v>
      </c>
      <c r="Q11" s="160" t="s">
        <v>204</v>
      </c>
      <c r="R11" s="161" t="s">
        <v>153</v>
      </c>
      <c r="S11" s="162" t="s">
        <v>163</v>
      </c>
      <c r="T11" s="163" t="s">
        <v>205</v>
      </c>
      <c r="U11" s="164" t="s">
        <v>206</v>
      </c>
      <c r="V11" s="165" t="s">
        <v>207</v>
      </c>
      <c r="W11" s="166">
        <v>140000</v>
      </c>
      <c r="X11" s="167" t="s">
        <v>208</v>
      </c>
      <c r="Y11" s="168" t="s">
        <v>153</v>
      </c>
      <c r="Z11" s="169" t="s">
        <v>153</v>
      </c>
      <c r="AA11" s="170">
        <v>2000</v>
      </c>
      <c r="AB11" s="171" t="s">
        <v>153</v>
      </c>
      <c r="AC11" s="172" t="s">
        <v>153</v>
      </c>
      <c r="AD11" s="173" t="s">
        <v>153</v>
      </c>
      <c r="AE11" s="174" t="s">
        <v>153</v>
      </c>
      <c r="AF11" s="175" t="s">
        <v>153</v>
      </c>
      <c r="AG11" s="176" t="s">
        <v>153</v>
      </c>
      <c r="AH11" s="177" t="s">
        <v>153</v>
      </c>
      <c r="AI11" s="178" t="s">
        <v>153</v>
      </c>
      <c r="AJ11" s="179" t="s">
        <v>153</v>
      </c>
      <c r="AK11" s="180" t="s">
        <v>153</v>
      </c>
      <c r="AL11" s="181" t="s">
        <v>153</v>
      </c>
      <c r="AM11" s="182" t="s">
        <v>153</v>
      </c>
      <c r="AN11" s="183" t="s">
        <v>209</v>
      </c>
      <c r="AO11" s="184" t="s">
        <v>153</v>
      </c>
      <c r="AP11" s="185" t="s">
        <v>153</v>
      </c>
      <c r="AQ11" s="186" t="s">
        <v>153</v>
      </c>
      <c r="AR11" s="187" t="s">
        <v>153</v>
      </c>
      <c r="AS11" s="188" t="s">
        <v>153</v>
      </c>
      <c r="AT11" s="189" t="s">
        <v>210</v>
      </c>
      <c r="AU11" s="190" t="s">
        <v>211</v>
      </c>
      <c r="AV11" s="191" t="s">
        <v>153</v>
      </c>
      <c r="AW11" s="192" t="s">
        <v>212</v>
      </c>
      <c r="AX11" s="193" t="s">
        <v>213</v>
      </c>
      <c r="AY11" s="194" t="s">
        <v>214</v>
      </c>
      <c r="AZ11" s="195" t="s">
        <v>215</v>
      </c>
      <c r="BA11" s="196" t="s">
        <v>153</v>
      </c>
      <c r="BB11" s="197" t="s">
        <v>153</v>
      </c>
      <c r="BC11" s="198" t="s">
        <v>153</v>
      </c>
      <c r="BD11" s="199" t="s">
        <v>216</v>
      </c>
      <c r="BE11" s="200" t="s">
        <v>217</v>
      </c>
      <c r="BF11" s="201" t="s">
        <v>218</v>
      </c>
      <c r="BG11" s="202" t="s">
        <v>153</v>
      </c>
      <c r="BH11" s="203" t="s">
        <v>153</v>
      </c>
      <c r="BI11" s="204" t="s">
        <v>219</v>
      </c>
      <c r="BJ11" s="205" t="s">
        <v>220</v>
      </c>
      <c r="BK11" s="206" t="s">
        <v>153</v>
      </c>
      <c r="BL11" s="207" t="s">
        <v>153</v>
      </c>
      <c r="BM11" s="208" t="s">
        <v>221</v>
      </c>
      <c r="BN11" s="209" t="s">
        <v>153</v>
      </c>
      <c r="BO11" s="210" t="s">
        <v>222</v>
      </c>
      <c r="BP11" s="211" t="s">
        <v>223</v>
      </c>
      <c r="BQ11" s="212">
        <v>36620</v>
      </c>
      <c r="BR11" s="213" t="s">
        <v>153</v>
      </c>
      <c r="BS11" s="214" t="s">
        <v>153</v>
      </c>
      <c r="BT11" s="215" t="s">
        <v>153</v>
      </c>
      <c r="BU11" s="216" t="s">
        <v>153</v>
      </c>
      <c r="BV11" s="217" t="s">
        <v>224</v>
      </c>
      <c r="BW11" s="218" t="s">
        <v>153</v>
      </c>
      <c r="BX11" s="219" t="s">
        <v>153</v>
      </c>
      <c r="BY11" s="220" t="s">
        <v>225</v>
      </c>
      <c r="BZ11" s="221" t="s">
        <v>153</v>
      </c>
      <c r="CA11" s="222" t="s">
        <v>190</v>
      </c>
      <c r="CB11" s="223">
        <v>41691</v>
      </c>
      <c r="CC11" s="224">
        <v>130000</v>
      </c>
      <c r="CD11" s="225" t="s">
        <v>187</v>
      </c>
      <c r="CE11" s="226">
        <v>288888.89</v>
      </c>
      <c r="CF11" s="227" t="s">
        <v>186</v>
      </c>
      <c r="CG11" s="228" t="s">
        <v>226</v>
      </c>
      <c r="CH11" s="229" t="s">
        <v>153</v>
      </c>
      <c r="CI11" s="230" t="s">
        <v>153</v>
      </c>
      <c r="CJ11" s="231" t="s">
        <v>225</v>
      </c>
      <c r="CK11" s="232">
        <v>41691</v>
      </c>
      <c r="CL11" s="233" t="s">
        <v>153</v>
      </c>
      <c r="CM11" s="234" t="s">
        <v>153</v>
      </c>
      <c r="CN11" s="235" t="s">
        <v>190</v>
      </c>
      <c r="CO11" s="236" t="s">
        <v>153</v>
      </c>
      <c r="CP11" s="237" t="s">
        <v>153</v>
      </c>
      <c r="CQ11" s="238" t="s">
        <v>153</v>
      </c>
      <c r="CR11" s="239" t="s">
        <v>153</v>
      </c>
      <c r="CS11" s="240" t="s">
        <v>153</v>
      </c>
      <c r="CT11" s="241" t="s">
        <v>153</v>
      </c>
      <c r="CU11" s="242" t="s">
        <v>153</v>
      </c>
      <c r="CV11" s="243" t="s">
        <v>153</v>
      </c>
      <c r="CW11" s="244" t="s">
        <v>153</v>
      </c>
      <c r="CX11" s="245" t="s">
        <v>153</v>
      </c>
      <c r="CY11" s="246" t="s">
        <v>153</v>
      </c>
      <c r="CZ11" s="247" t="s">
        <v>153</v>
      </c>
      <c r="DA11" s="248" t="s">
        <v>153</v>
      </c>
      <c r="DB11" s="249" t="s">
        <v>153</v>
      </c>
      <c r="DC11" s="250" t="s">
        <v>153</v>
      </c>
      <c r="DD11" s="251" t="s">
        <v>153</v>
      </c>
      <c r="DE11" s="252" t="s">
        <v>153</v>
      </c>
      <c r="DF11" s="253" t="s">
        <v>153</v>
      </c>
      <c r="DG11" s="254" t="s">
        <v>153</v>
      </c>
      <c r="DH11" s="255" t="s">
        <v>153</v>
      </c>
      <c r="DI11" s="256" t="s">
        <v>153</v>
      </c>
      <c r="DJ11" s="257" t="s">
        <v>153</v>
      </c>
      <c r="DK11" s="258" t="s">
        <v>153</v>
      </c>
      <c r="DL11" s="259" t="s">
        <v>153</v>
      </c>
      <c r="DM11" s="260" t="s">
        <v>153</v>
      </c>
      <c r="DN11" s="261" t="s">
        <v>153</v>
      </c>
      <c r="DO11" s="262" t="s">
        <v>153</v>
      </c>
      <c r="DP11" s="263" t="s">
        <v>153</v>
      </c>
      <c r="DQ11" s="264" t="s">
        <v>153</v>
      </c>
      <c r="DR11" s="265" t="s">
        <v>153</v>
      </c>
      <c r="DS11" s="266" t="s">
        <v>153</v>
      </c>
      <c r="DT11" s="267" t="s">
        <v>153</v>
      </c>
      <c r="DU11" s="268" t="s">
        <v>153</v>
      </c>
      <c r="DV11" s="269" t="s">
        <v>153</v>
      </c>
      <c r="DW11" s="270" t="s">
        <v>153</v>
      </c>
      <c r="DX11" s="271" t="s">
        <v>153</v>
      </c>
      <c r="DY11" s="272" t="s">
        <v>153</v>
      </c>
      <c r="DZ11" s="273" t="s">
        <v>191</v>
      </c>
      <c r="EA11" s="274">
        <v>44366</v>
      </c>
      <c r="EB11" s="275">
        <v>288888.89</v>
      </c>
      <c r="EC11" s="276">
        <v>41691</v>
      </c>
      <c r="ED11" s="277" t="s">
        <v>226</v>
      </c>
      <c r="EE11" s="279" t="str">
        <f>HYPERLINK("https://my.pitchbook.com?c=106687-99", "View company online")</f>
        <v>View company online</v>
      </c>
    </row>
    <row r="12" spans="1:135" x14ac:dyDescent="0.45">
      <c r="A12" s="10" t="s">
        <v>227</v>
      </c>
      <c r="B12" s="11" t="s">
        <v>228</v>
      </c>
      <c r="C12" s="12" t="s">
        <v>153</v>
      </c>
      <c r="D12" s="13" t="s">
        <v>153</v>
      </c>
      <c r="E12" s="14" t="s">
        <v>153</v>
      </c>
      <c r="F12" s="15" t="s">
        <v>153</v>
      </c>
      <c r="G12" s="16" t="s">
        <v>229</v>
      </c>
      <c r="H12" s="17" t="s">
        <v>230</v>
      </c>
      <c r="I12" s="18" t="s">
        <v>227</v>
      </c>
      <c r="J12" s="19" t="s">
        <v>231</v>
      </c>
      <c r="K12" s="20" t="s">
        <v>232</v>
      </c>
      <c r="L12" s="21" t="s">
        <v>233</v>
      </c>
      <c r="M12" s="22" t="s">
        <v>234</v>
      </c>
      <c r="N12" s="23" t="s">
        <v>235</v>
      </c>
      <c r="O12" s="24" t="s">
        <v>153</v>
      </c>
      <c r="P12" s="25" t="s">
        <v>236</v>
      </c>
      <c r="Q12" s="26" t="s">
        <v>204</v>
      </c>
      <c r="R12" s="27">
        <v>825</v>
      </c>
      <c r="S12" s="28" t="s">
        <v>163</v>
      </c>
      <c r="T12" s="29" t="s">
        <v>164</v>
      </c>
      <c r="U12" s="30" t="s">
        <v>237</v>
      </c>
      <c r="V12" s="31" t="s">
        <v>238</v>
      </c>
      <c r="W12" s="32" t="s">
        <v>153</v>
      </c>
      <c r="X12" s="33" t="s">
        <v>153</v>
      </c>
      <c r="Y12" s="34" t="s">
        <v>153</v>
      </c>
      <c r="Z12" s="35" t="s">
        <v>153</v>
      </c>
      <c r="AA12" s="36">
        <v>2008</v>
      </c>
      <c r="AB12" s="37" t="s">
        <v>239</v>
      </c>
      <c r="AC12" s="38" t="s">
        <v>153</v>
      </c>
      <c r="AD12" s="39" t="s">
        <v>153</v>
      </c>
      <c r="AE12" s="40" t="s">
        <v>153</v>
      </c>
      <c r="AF12" s="41" t="s">
        <v>153</v>
      </c>
      <c r="AG12" s="42" t="s">
        <v>153</v>
      </c>
      <c r="AH12" s="43" t="s">
        <v>153</v>
      </c>
      <c r="AI12" s="44" t="s">
        <v>153</v>
      </c>
      <c r="AJ12" s="45" t="s">
        <v>153</v>
      </c>
      <c r="AK12" s="46" t="s">
        <v>153</v>
      </c>
      <c r="AL12" s="47" t="s">
        <v>153</v>
      </c>
      <c r="AM12" s="48" t="s">
        <v>153</v>
      </c>
      <c r="AN12" s="49" t="s">
        <v>153</v>
      </c>
      <c r="AO12" s="50" t="s">
        <v>240</v>
      </c>
      <c r="AP12" s="51" t="s">
        <v>241</v>
      </c>
      <c r="AQ12" s="52" t="s">
        <v>171</v>
      </c>
      <c r="AR12" s="53" t="s">
        <v>242</v>
      </c>
      <c r="AS12" s="54" t="s">
        <v>243</v>
      </c>
      <c r="AT12" s="55" t="s">
        <v>244</v>
      </c>
      <c r="AU12" s="56" t="s">
        <v>245</v>
      </c>
      <c r="AV12" s="57" t="s">
        <v>153</v>
      </c>
      <c r="AW12" s="58" t="s">
        <v>246</v>
      </c>
      <c r="AX12" s="59" t="s">
        <v>153</v>
      </c>
      <c r="AY12" s="60" t="s">
        <v>153</v>
      </c>
      <c r="AZ12" s="61" t="s">
        <v>247</v>
      </c>
      <c r="BA12" s="62" t="s">
        <v>243</v>
      </c>
      <c r="BB12" s="63" t="s">
        <v>153</v>
      </c>
      <c r="BC12" s="64" t="s">
        <v>153</v>
      </c>
      <c r="BD12" s="65" t="s">
        <v>248</v>
      </c>
      <c r="BE12" s="66" t="s">
        <v>248</v>
      </c>
      <c r="BF12" s="67" t="s">
        <v>249</v>
      </c>
      <c r="BG12" s="68" t="s">
        <v>153</v>
      </c>
      <c r="BH12" s="69" t="s">
        <v>153</v>
      </c>
      <c r="BI12" s="70" t="s">
        <v>250</v>
      </c>
      <c r="BJ12" s="71" t="s">
        <v>153</v>
      </c>
      <c r="BK12" s="72" t="s">
        <v>153</v>
      </c>
      <c r="BL12" s="73" t="s">
        <v>153</v>
      </c>
      <c r="BM12" s="74" t="s">
        <v>153</v>
      </c>
      <c r="BN12" s="75" t="s">
        <v>153</v>
      </c>
      <c r="BO12" s="76" t="s">
        <v>153</v>
      </c>
      <c r="BP12" s="77" t="s">
        <v>153</v>
      </c>
      <c r="BQ12" s="78" t="s">
        <v>153</v>
      </c>
      <c r="BR12" s="79" t="s">
        <v>153</v>
      </c>
      <c r="BS12" s="80" t="s">
        <v>153</v>
      </c>
      <c r="BT12" s="81" t="s">
        <v>153</v>
      </c>
      <c r="BU12" s="82" t="s">
        <v>153</v>
      </c>
      <c r="BV12" s="83" t="s">
        <v>251</v>
      </c>
      <c r="BW12" s="84" t="s">
        <v>153</v>
      </c>
      <c r="BX12" s="85" t="s">
        <v>153</v>
      </c>
      <c r="BY12" s="86" t="s">
        <v>252</v>
      </c>
      <c r="BZ12" s="87" t="s">
        <v>153</v>
      </c>
      <c r="CA12" s="88" t="s">
        <v>190</v>
      </c>
      <c r="CB12" s="89">
        <v>43586</v>
      </c>
      <c r="CC12" s="90">
        <v>115141.28</v>
      </c>
      <c r="CD12" s="91" t="s">
        <v>186</v>
      </c>
      <c r="CE12" s="92">
        <v>115141.28</v>
      </c>
      <c r="CF12" s="93" t="s">
        <v>187</v>
      </c>
      <c r="CG12" s="94" t="s">
        <v>226</v>
      </c>
      <c r="CH12" s="95" t="s">
        <v>153</v>
      </c>
      <c r="CI12" s="96" t="s">
        <v>153</v>
      </c>
      <c r="CJ12" s="97" t="s">
        <v>225</v>
      </c>
      <c r="CK12" s="98">
        <v>43586</v>
      </c>
      <c r="CL12" s="99" t="s">
        <v>153</v>
      </c>
      <c r="CM12" s="100" t="s">
        <v>153</v>
      </c>
      <c r="CN12" s="101" t="s">
        <v>190</v>
      </c>
      <c r="CO12" s="102">
        <v>0.98</v>
      </c>
      <c r="CP12" s="103">
        <v>96</v>
      </c>
      <c r="CQ12" s="104">
        <v>-0.02</v>
      </c>
      <c r="CR12" s="105">
        <v>-1.55</v>
      </c>
      <c r="CS12" s="106">
        <v>1.1299999999999999</v>
      </c>
      <c r="CT12" s="107">
        <v>96</v>
      </c>
      <c r="CU12" s="108">
        <v>-0.03</v>
      </c>
      <c r="CV12" s="109">
        <v>36</v>
      </c>
      <c r="CW12" s="110" t="s">
        <v>153</v>
      </c>
      <c r="CX12" s="111" t="s">
        <v>153</v>
      </c>
      <c r="CY12" s="112">
        <v>1.1299999999999999</v>
      </c>
      <c r="CZ12" s="113">
        <v>98</v>
      </c>
      <c r="DA12" s="114">
        <v>-0.03</v>
      </c>
      <c r="DB12" s="115">
        <v>36</v>
      </c>
      <c r="DC12" s="116">
        <v>65.13</v>
      </c>
      <c r="DD12" s="117">
        <v>99</v>
      </c>
      <c r="DE12" s="118">
        <v>0.49</v>
      </c>
      <c r="DF12" s="119">
        <v>0.77</v>
      </c>
      <c r="DG12" s="120">
        <v>28.44</v>
      </c>
      <c r="DH12" s="121">
        <v>97</v>
      </c>
      <c r="DI12" s="122">
        <v>141.24</v>
      </c>
      <c r="DJ12" s="123">
        <v>98</v>
      </c>
      <c r="DK12" s="124" t="s">
        <v>153</v>
      </c>
      <c r="DL12" s="125" t="s">
        <v>153</v>
      </c>
      <c r="DM12" s="126">
        <v>28.44</v>
      </c>
      <c r="DN12" s="127">
        <v>96</v>
      </c>
      <c r="DO12" s="128">
        <v>141.24</v>
      </c>
      <c r="DP12" s="129">
        <v>98</v>
      </c>
      <c r="DQ12" s="130" t="s">
        <v>153</v>
      </c>
      <c r="DR12" s="131" t="s">
        <v>153</v>
      </c>
      <c r="DS12" s="132" t="s">
        <v>153</v>
      </c>
      <c r="DT12" s="133">
        <v>453</v>
      </c>
      <c r="DU12" s="134">
        <v>6</v>
      </c>
      <c r="DV12" s="135">
        <v>1.34</v>
      </c>
      <c r="DW12" s="136">
        <v>44346</v>
      </c>
      <c r="DX12" s="137">
        <v>12</v>
      </c>
      <c r="DY12" s="138">
        <v>0.03</v>
      </c>
      <c r="DZ12" s="139" t="s">
        <v>191</v>
      </c>
      <c r="EA12" s="140">
        <v>43861</v>
      </c>
      <c r="EB12" s="141">
        <v>115141.28</v>
      </c>
      <c r="EC12" s="142">
        <v>43586</v>
      </c>
      <c r="ED12" s="143" t="s">
        <v>226</v>
      </c>
      <c r="EE12" s="278" t="str">
        <f>HYPERLINK("https://my.pitchbook.com?c=168813-28", "View company online")</f>
        <v>View company online</v>
      </c>
    </row>
    <row r="13" spans="1:135" x14ac:dyDescent="0.45">
      <c r="A13" s="144" t="s">
        <v>253</v>
      </c>
      <c r="B13" s="145" t="s">
        <v>254</v>
      </c>
      <c r="C13" s="146" t="s">
        <v>153</v>
      </c>
      <c r="D13" s="147" t="s">
        <v>153</v>
      </c>
      <c r="E13" s="148" t="s">
        <v>153</v>
      </c>
      <c r="F13" s="149" t="s">
        <v>153</v>
      </c>
      <c r="G13" s="150" t="s">
        <v>255</v>
      </c>
      <c r="H13" s="151" t="s">
        <v>153</v>
      </c>
      <c r="I13" s="152" t="s">
        <v>253</v>
      </c>
      <c r="J13" s="153" t="s">
        <v>256</v>
      </c>
      <c r="K13" s="154" t="s">
        <v>257</v>
      </c>
      <c r="L13" s="155" t="s">
        <v>258</v>
      </c>
      <c r="M13" s="156" t="s">
        <v>259</v>
      </c>
      <c r="N13" s="157" t="s">
        <v>260</v>
      </c>
      <c r="O13" s="158" t="s">
        <v>261</v>
      </c>
      <c r="P13" s="159" t="s">
        <v>262</v>
      </c>
      <c r="Q13" s="160" t="s">
        <v>204</v>
      </c>
      <c r="R13" s="161" t="s">
        <v>153</v>
      </c>
      <c r="S13" s="162" t="s">
        <v>163</v>
      </c>
      <c r="T13" s="163" t="s">
        <v>205</v>
      </c>
      <c r="U13" s="164" t="s">
        <v>237</v>
      </c>
      <c r="V13" s="165" t="s">
        <v>263</v>
      </c>
      <c r="W13" s="166">
        <v>44000</v>
      </c>
      <c r="X13" s="167" t="s">
        <v>264</v>
      </c>
      <c r="Y13" s="168" t="s">
        <v>153</v>
      </c>
      <c r="Z13" s="169" t="s">
        <v>153</v>
      </c>
      <c r="AA13" s="170">
        <v>1955</v>
      </c>
      <c r="AB13" s="171" t="s">
        <v>265</v>
      </c>
      <c r="AC13" s="172" t="s">
        <v>153</v>
      </c>
      <c r="AD13" s="173" t="s">
        <v>153</v>
      </c>
      <c r="AE13" s="174" t="s">
        <v>153</v>
      </c>
      <c r="AF13" s="175" t="s">
        <v>153</v>
      </c>
      <c r="AG13" s="176" t="s">
        <v>153</v>
      </c>
      <c r="AH13" s="177" t="s">
        <v>153</v>
      </c>
      <c r="AI13" s="178" t="s">
        <v>153</v>
      </c>
      <c r="AJ13" s="179" t="s">
        <v>153</v>
      </c>
      <c r="AK13" s="180" t="s">
        <v>153</v>
      </c>
      <c r="AL13" s="181" t="s">
        <v>153</v>
      </c>
      <c r="AM13" s="182" t="s">
        <v>153</v>
      </c>
      <c r="AN13" s="183" t="s">
        <v>266</v>
      </c>
      <c r="AO13" s="184" t="s">
        <v>267</v>
      </c>
      <c r="AP13" s="185" t="s">
        <v>268</v>
      </c>
      <c r="AQ13" s="186" t="s">
        <v>269</v>
      </c>
      <c r="AR13" s="187" t="s">
        <v>153</v>
      </c>
      <c r="AS13" s="188" t="s">
        <v>153</v>
      </c>
      <c r="AT13" s="189" t="s">
        <v>270</v>
      </c>
      <c r="AU13" s="190" t="s">
        <v>271</v>
      </c>
      <c r="AV13" s="191" t="s">
        <v>153</v>
      </c>
      <c r="AW13" s="192" t="s">
        <v>272</v>
      </c>
      <c r="AX13" s="193" t="s">
        <v>273</v>
      </c>
      <c r="AY13" s="194" t="s">
        <v>274</v>
      </c>
      <c r="AZ13" s="195" t="s">
        <v>215</v>
      </c>
      <c r="BA13" s="196" t="s">
        <v>153</v>
      </c>
      <c r="BB13" s="197" t="s">
        <v>153</v>
      </c>
      <c r="BC13" s="198" t="s">
        <v>153</v>
      </c>
      <c r="BD13" s="199" t="s">
        <v>216</v>
      </c>
      <c r="BE13" s="200" t="s">
        <v>217</v>
      </c>
      <c r="BF13" s="201" t="s">
        <v>275</v>
      </c>
      <c r="BG13" s="202" t="s">
        <v>153</v>
      </c>
      <c r="BH13" s="203" t="s">
        <v>153</v>
      </c>
      <c r="BI13" s="204" t="s">
        <v>265</v>
      </c>
      <c r="BJ13" s="205" t="s">
        <v>153</v>
      </c>
      <c r="BK13" s="206" t="s">
        <v>153</v>
      </c>
      <c r="BL13" s="207" t="s">
        <v>153</v>
      </c>
      <c r="BM13" s="208" t="s">
        <v>153</v>
      </c>
      <c r="BN13" s="209" t="s">
        <v>153</v>
      </c>
      <c r="BO13" s="210" t="s">
        <v>276</v>
      </c>
      <c r="BP13" s="211" t="s">
        <v>277</v>
      </c>
      <c r="BQ13" s="212">
        <v>36696</v>
      </c>
      <c r="BR13" s="213">
        <v>110000</v>
      </c>
      <c r="BS13" s="214" t="s">
        <v>186</v>
      </c>
      <c r="BT13" s="215">
        <v>110000</v>
      </c>
      <c r="BU13" s="216" t="s">
        <v>186</v>
      </c>
      <c r="BV13" s="217" t="s">
        <v>226</v>
      </c>
      <c r="BW13" s="218" t="s">
        <v>153</v>
      </c>
      <c r="BX13" s="219" t="s">
        <v>153</v>
      </c>
      <c r="BY13" s="220" t="s">
        <v>225</v>
      </c>
      <c r="BZ13" s="221" t="s">
        <v>153</v>
      </c>
      <c r="CA13" s="222" t="s">
        <v>190</v>
      </c>
      <c r="CB13" s="223">
        <v>36696</v>
      </c>
      <c r="CC13" s="224">
        <v>110000</v>
      </c>
      <c r="CD13" s="225" t="s">
        <v>186</v>
      </c>
      <c r="CE13" s="226">
        <v>110000</v>
      </c>
      <c r="CF13" s="227" t="s">
        <v>186</v>
      </c>
      <c r="CG13" s="228" t="s">
        <v>226</v>
      </c>
      <c r="CH13" s="229" t="s">
        <v>153</v>
      </c>
      <c r="CI13" s="230" t="s">
        <v>153</v>
      </c>
      <c r="CJ13" s="231" t="s">
        <v>225</v>
      </c>
      <c r="CK13" s="232">
        <v>36696</v>
      </c>
      <c r="CL13" s="233" t="s">
        <v>153</v>
      </c>
      <c r="CM13" s="234" t="s">
        <v>153</v>
      </c>
      <c r="CN13" s="235" t="s">
        <v>190</v>
      </c>
      <c r="CO13" s="236" t="s">
        <v>153</v>
      </c>
      <c r="CP13" s="237" t="s">
        <v>153</v>
      </c>
      <c r="CQ13" s="238" t="s">
        <v>153</v>
      </c>
      <c r="CR13" s="239" t="s">
        <v>153</v>
      </c>
      <c r="CS13" s="240" t="s">
        <v>153</v>
      </c>
      <c r="CT13" s="241" t="s">
        <v>153</v>
      </c>
      <c r="CU13" s="242" t="s">
        <v>153</v>
      </c>
      <c r="CV13" s="243" t="s">
        <v>153</v>
      </c>
      <c r="CW13" s="244" t="s">
        <v>153</v>
      </c>
      <c r="CX13" s="245" t="s">
        <v>153</v>
      </c>
      <c r="CY13" s="246" t="s">
        <v>153</v>
      </c>
      <c r="CZ13" s="247" t="s">
        <v>153</v>
      </c>
      <c r="DA13" s="248" t="s">
        <v>153</v>
      </c>
      <c r="DB13" s="249" t="s">
        <v>153</v>
      </c>
      <c r="DC13" s="250" t="s">
        <v>153</v>
      </c>
      <c r="DD13" s="251" t="s">
        <v>153</v>
      </c>
      <c r="DE13" s="252" t="s">
        <v>153</v>
      </c>
      <c r="DF13" s="253" t="s">
        <v>153</v>
      </c>
      <c r="DG13" s="254" t="s">
        <v>153</v>
      </c>
      <c r="DH13" s="255" t="s">
        <v>153</v>
      </c>
      <c r="DI13" s="256" t="s">
        <v>153</v>
      </c>
      <c r="DJ13" s="257" t="s">
        <v>153</v>
      </c>
      <c r="DK13" s="258" t="s">
        <v>153</v>
      </c>
      <c r="DL13" s="259" t="s">
        <v>153</v>
      </c>
      <c r="DM13" s="260" t="s">
        <v>153</v>
      </c>
      <c r="DN13" s="261" t="s">
        <v>153</v>
      </c>
      <c r="DO13" s="262" t="s">
        <v>153</v>
      </c>
      <c r="DP13" s="263" t="s">
        <v>153</v>
      </c>
      <c r="DQ13" s="264" t="s">
        <v>153</v>
      </c>
      <c r="DR13" s="265" t="s">
        <v>153</v>
      </c>
      <c r="DS13" s="266" t="s">
        <v>153</v>
      </c>
      <c r="DT13" s="267" t="s">
        <v>153</v>
      </c>
      <c r="DU13" s="268" t="s">
        <v>153</v>
      </c>
      <c r="DV13" s="269" t="s">
        <v>153</v>
      </c>
      <c r="DW13" s="270" t="s">
        <v>153</v>
      </c>
      <c r="DX13" s="271" t="s">
        <v>153</v>
      </c>
      <c r="DY13" s="272" t="s">
        <v>153</v>
      </c>
      <c r="DZ13" s="273" t="s">
        <v>191</v>
      </c>
      <c r="EA13" s="274">
        <v>44316</v>
      </c>
      <c r="EB13" s="275">
        <v>110000</v>
      </c>
      <c r="EC13" s="276">
        <v>36696</v>
      </c>
      <c r="ED13" s="277" t="s">
        <v>226</v>
      </c>
      <c r="EE13" s="279" t="str">
        <f>HYPERLINK("https://my.pitchbook.com?c=151770-52", "View company online")</f>
        <v>View company online</v>
      </c>
    </row>
    <row r="14" spans="1:135" x14ac:dyDescent="0.45">
      <c r="A14" s="10" t="s">
        <v>278</v>
      </c>
      <c r="B14" s="11" t="s">
        <v>279</v>
      </c>
      <c r="C14" s="12" t="s">
        <v>153</v>
      </c>
      <c r="D14" s="13" t="s">
        <v>153</v>
      </c>
      <c r="E14" s="14" t="s">
        <v>280</v>
      </c>
      <c r="F14" s="15" t="s">
        <v>153</v>
      </c>
      <c r="G14" s="16" t="s">
        <v>281</v>
      </c>
      <c r="H14" s="17" t="s">
        <v>282</v>
      </c>
      <c r="I14" s="18" t="s">
        <v>278</v>
      </c>
      <c r="J14" s="19" t="s">
        <v>283</v>
      </c>
      <c r="K14" s="20" t="s">
        <v>198</v>
      </c>
      <c r="L14" s="21" t="s">
        <v>284</v>
      </c>
      <c r="M14" s="22" t="s">
        <v>285</v>
      </c>
      <c r="N14" s="23" t="s">
        <v>286</v>
      </c>
      <c r="O14" s="24" t="s">
        <v>287</v>
      </c>
      <c r="P14" s="25" t="s">
        <v>288</v>
      </c>
      <c r="Q14" s="26" t="s">
        <v>289</v>
      </c>
      <c r="R14" s="27">
        <v>5104.97</v>
      </c>
      <c r="S14" s="28" t="s">
        <v>290</v>
      </c>
      <c r="T14" s="29" t="s">
        <v>291</v>
      </c>
      <c r="U14" s="30" t="s">
        <v>292</v>
      </c>
      <c r="V14" s="31" t="s">
        <v>293</v>
      </c>
      <c r="W14" s="32">
        <v>147000</v>
      </c>
      <c r="X14" s="33" t="s">
        <v>294</v>
      </c>
      <c r="Y14" s="34" t="s">
        <v>295</v>
      </c>
      <c r="Z14" s="35" t="s">
        <v>296</v>
      </c>
      <c r="AA14" s="36">
        <v>1976</v>
      </c>
      <c r="AB14" s="37" t="s">
        <v>153</v>
      </c>
      <c r="AC14" s="38" t="s">
        <v>297</v>
      </c>
      <c r="AD14" s="39" t="s">
        <v>298</v>
      </c>
      <c r="AE14" s="40">
        <v>325406</v>
      </c>
      <c r="AF14" s="41">
        <v>129776</v>
      </c>
      <c r="AG14" s="42">
        <v>76311</v>
      </c>
      <c r="AH14" s="43">
        <v>2085882.93</v>
      </c>
      <c r="AI14" s="44">
        <v>100050</v>
      </c>
      <c r="AJ14" s="45">
        <v>89133</v>
      </c>
      <c r="AK14" s="46">
        <v>2479114.46</v>
      </c>
      <c r="AL14" s="47">
        <v>51811</v>
      </c>
      <c r="AM14" s="48">
        <v>21.43</v>
      </c>
      <c r="AN14" s="49" t="s">
        <v>299</v>
      </c>
      <c r="AO14" s="50" t="s">
        <v>300</v>
      </c>
      <c r="AP14" s="51" t="s">
        <v>301</v>
      </c>
      <c r="AQ14" s="52" t="s">
        <v>302</v>
      </c>
      <c r="AR14" s="53" t="s">
        <v>303</v>
      </c>
      <c r="AS14" s="54" t="s">
        <v>304</v>
      </c>
      <c r="AT14" s="55" t="s">
        <v>305</v>
      </c>
      <c r="AU14" s="56" t="s">
        <v>306</v>
      </c>
      <c r="AV14" s="57" t="s">
        <v>153</v>
      </c>
      <c r="AW14" s="58" t="s">
        <v>307</v>
      </c>
      <c r="AX14" s="59" t="s">
        <v>308</v>
      </c>
      <c r="AY14" s="60" t="s">
        <v>309</v>
      </c>
      <c r="AZ14" s="61" t="s">
        <v>215</v>
      </c>
      <c r="BA14" s="62" t="s">
        <v>304</v>
      </c>
      <c r="BB14" s="63" t="s">
        <v>153</v>
      </c>
      <c r="BC14" s="64" t="s">
        <v>153</v>
      </c>
      <c r="BD14" s="65" t="s">
        <v>216</v>
      </c>
      <c r="BE14" s="66" t="s">
        <v>217</v>
      </c>
      <c r="BF14" s="67" t="s">
        <v>310</v>
      </c>
      <c r="BG14" s="68" t="s">
        <v>311</v>
      </c>
      <c r="BH14" s="69">
        <v>2</v>
      </c>
      <c r="BI14" s="70" t="s">
        <v>153</v>
      </c>
      <c r="BJ14" s="71" t="s">
        <v>312</v>
      </c>
      <c r="BK14" s="72" t="s">
        <v>153</v>
      </c>
      <c r="BL14" s="73" t="s">
        <v>313</v>
      </c>
      <c r="BM14" s="74" t="s">
        <v>314</v>
      </c>
      <c r="BN14" s="75" t="s">
        <v>153</v>
      </c>
      <c r="BO14" s="76" t="s">
        <v>315</v>
      </c>
      <c r="BP14" s="77" t="s">
        <v>316</v>
      </c>
      <c r="BQ14" s="78">
        <v>28126</v>
      </c>
      <c r="BR14" s="79">
        <v>0.25</v>
      </c>
      <c r="BS14" s="80" t="s">
        <v>186</v>
      </c>
      <c r="BT14" s="81">
        <v>0.75</v>
      </c>
      <c r="BU14" s="82" t="s">
        <v>187</v>
      </c>
      <c r="BV14" s="83" t="s">
        <v>317</v>
      </c>
      <c r="BW14" s="84" t="s">
        <v>317</v>
      </c>
      <c r="BX14" s="85" t="s">
        <v>153</v>
      </c>
      <c r="BY14" s="86" t="s">
        <v>318</v>
      </c>
      <c r="BZ14" s="87" t="s">
        <v>319</v>
      </c>
      <c r="CA14" s="88" t="s">
        <v>190</v>
      </c>
      <c r="CB14" s="89">
        <v>43435</v>
      </c>
      <c r="CC14" s="90">
        <v>100000</v>
      </c>
      <c r="CD14" s="91" t="s">
        <v>186</v>
      </c>
      <c r="CE14" s="92" t="s">
        <v>153</v>
      </c>
      <c r="CF14" s="93" t="s">
        <v>153</v>
      </c>
      <c r="CG14" s="94" t="s">
        <v>320</v>
      </c>
      <c r="CH14" s="95" t="s">
        <v>153</v>
      </c>
      <c r="CI14" s="96" t="s">
        <v>153</v>
      </c>
      <c r="CJ14" s="97" t="s">
        <v>321</v>
      </c>
      <c r="CK14" s="98">
        <v>43435</v>
      </c>
      <c r="CL14" s="99" t="s">
        <v>153</v>
      </c>
      <c r="CM14" s="100" t="s">
        <v>153</v>
      </c>
      <c r="CN14" s="101" t="s">
        <v>190</v>
      </c>
      <c r="CO14" s="102">
        <v>0.21</v>
      </c>
      <c r="CP14" s="103">
        <v>90</v>
      </c>
      <c r="CQ14" s="104">
        <v>-0.01</v>
      </c>
      <c r="CR14" s="105">
        <v>-3.7</v>
      </c>
      <c r="CS14" s="106">
        <v>0</v>
      </c>
      <c r="CT14" s="107">
        <v>8</v>
      </c>
      <c r="CU14" s="108">
        <v>0.37</v>
      </c>
      <c r="CV14" s="109">
        <v>95</v>
      </c>
      <c r="CW14" s="110">
        <v>-0.09</v>
      </c>
      <c r="CX14" s="111">
        <v>21</v>
      </c>
      <c r="CY14" s="112">
        <v>0.09</v>
      </c>
      <c r="CZ14" s="113">
        <v>90</v>
      </c>
      <c r="DA14" s="114">
        <v>0.37</v>
      </c>
      <c r="DB14" s="115">
        <v>95</v>
      </c>
      <c r="DC14" s="116">
        <v>28029.56</v>
      </c>
      <c r="DD14" s="117">
        <v>100</v>
      </c>
      <c r="DE14" s="118">
        <v>33.58</v>
      </c>
      <c r="DF14" s="119">
        <v>0.12</v>
      </c>
      <c r="DG14" s="120">
        <v>58521.51</v>
      </c>
      <c r="DH14" s="121">
        <v>100</v>
      </c>
      <c r="DI14" s="122">
        <v>20608.48</v>
      </c>
      <c r="DJ14" s="123">
        <v>100</v>
      </c>
      <c r="DK14" s="124">
        <v>71231.649999999994</v>
      </c>
      <c r="DL14" s="125">
        <v>100</v>
      </c>
      <c r="DM14" s="126">
        <v>45811.38</v>
      </c>
      <c r="DN14" s="127">
        <v>100</v>
      </c>
      <c r="DO14" s="128">
        <v>20608.48</v>
      </c>
      <c r="DP14" s="129">
        <v>100</v>
      </c>
      <c r="DQ14" s="130">
        <v>42203486</v>
      </c>
      <c r="DR14" s="131">
        <v>135229</v>
      </c>
      <c r="DS14" s="132">
        <v>0.32</v>
      </c>
      <c r="DT14" s="133">
        <v>733571</v>
      </c>
      <c r="DU14" s="134">
        <v>-1531</v>
      </c>
      <c r="DV14" s="135">
        <v>-0.21</v>
      </c>
      <c r="DW14" s="136">
        <v>6466819</v>
      </c>
      <c r="DX14" s="137">
        <v>15752</v>
      </c>
      <c r="DY14" s="138">
        <v>0.24</v>
      </c>
      <c r="DZ14" s="139" t="s">
        <v>191</v>
      </c>
      <c r="EA14" s="140">
        <v>44402</v>
      </c>
      <c r="EB14" s="141">
        <v>0.75</v>
      </c>
      <c r="EC14" s="142">
        <v>28126</v>
      </c>
      <c r="ED14" s="143" t="s">
        <v>317</v>
      </c>
      <c r="EE14" s="278" t="str">
        <f>HYPERLINK("https://my.pitchbook.com?c=41082-40", "View company online")</f>
        <v>View company online</v>
      </c>
    </row>
    <row r="15" spans="1:135" x14ac:dyDescent="0.45">
      <c r="A15" s="144" t="s">
        <v>322</v>
      </c>
      <c r="B15" s="145" t="s">
        <v>323</v>
      </c>
      <c r="C15" s="146" t="s">
        <v>153</v>
      </c>
      <c r="D15" s="147" t="s">
        <v>153</v>
      </c>
      <c r="E15" s="148" t="s">
        <v>324</v>
      </c>
      <c r="F15" s="149" t="s">
        <v>153</v>
      </c>
      <c r="G15" s="150" t="s">
        <v>153</v>
      </c>
      <c r="H15" s="151" t="s">
        <v>153</v>
      </c>
      <c r="I15" s="152" t="s">
        <v>322</v>
      </c>
      <c r="J15" s="153" t="s">
        <v>325</v>
      </c>
      <c r="K15" s="154" t="s">
        <v>232</v>
      </c>
      <c r="L15" s="155" t="s">
        <v>233</v>
      </c>
      <c r="M15" s="156" t="s">
        <v>326</v>
      </c>
      <c r="N15" s="157" t="s">
        <v>327</v>
      </c>
      <c r="O15" s="158" t="s">
        <v>153</v>
      </c>
      <c r="P15" s="159" t="s">
        <v>328</v>
      </c>
      <c r="Q15" s="160" t="s">
        <v>204</v>
      </c>
      <c r="R15" s="161" t="s">
        <v>153</v>
      </c>
      <c r="S15" s="162" t="s">
        <v>290</v>
      </c>
      <c r="T15" s="163" t="s">
        <v>205</v>
      </c>
      <c r="U15" s="164" t="s">
        <v>237</v>
      </c>
      <c r="V15" s="165" t="s">
        <v>153</v>
      </c>
      <c r="W15" s="166">
        <v>24225</v>
      </c>
      <c r="X15" s="167" t="s">
        <v>329</v>
      </c>
      <c r="Y15" s="168" t="s">
        <v>153</v>
      </c>
      <c r="Z15" s="169" t="s">
        <v>153</v>
      </c>
      <c r="AA15" s="170">
        <v>1991</v>
      </c>
      <c r="AB15" s="171" t="s">
        <v>153</v>
      </c>
      <c r="AC15" s="172" t="s">
        <v>153</v>
      </c>
      <c r="AD15" s="173" t="s">
        <v>153</v>
      </c>
      <c r="AE15" s="174" t="s">
        <v>153</v>
      </c>
      <c r="AF15" s="175" t="s">
        <v>153</v>
      </c>
      <c r="AG15" s="176" t="s">
        <v>153</v>
      </c>
      <c r="AH15" s="177" t="s">
        <v>153</v>
      </c>
      <c r="AI15" s="178" t="s">
        <v>153</v>
      </c>
      <c r="AJ15" s="179" t="s">
        <v>153</v>
      </c>
      <c r="AK15" s="180" t="s">
        <v>153</v>
      </c>
      <c r="AL15" s="181" t="s">
        <v>153</v>
      </c>
      <c r="AM15" s="182" t="s">
        <v>153</v>
      </c>
      <c r="AN15" s="183" t="s">
        <v>330</v>
      </c>
      <c r="AO15" s="184" t="s">
        <v>153</v>
      </c>
      <c r="AP15" s="185" t="s">
        <v>153</v>
      </c>
      <c r="AQ15" s="186" t="s">
        <v>153</v>
      </c>
      <c r="AR15" s="187" t="s">
        <v>153</v>
      </c>
      <c r="AS15" s="188" t="s">
        <v>153</v>
      </c>
      <c r="AT15" s="189" t="s">
        <v>331</v>
      </c>
      <c r="AU15" s="190" t="s">
        <v>332</v>
      </c>
      <c r="AV15" s="191" t="s">
        <v>153</v>
      </c>
      <c r="AW15" s="192" t="s">
        <v>333</v>
      </c>
      <c r="AX15" s="193" t="s">
        <v>153</v>
      </c>
      <c r="AY15" s="194" t="s">
        <v>334</v>
      </c>
      <c r="AZ15" s="195" t="s">
        <v>335</v>
      </c>
      <c r="BA15" s="196" t="s">
        <v>336</v>
      </c>
      <c r="BB15" s="197" t="s">
        <v>153</v>
      </c>
      <c r="BC15" s="198" t="s">
        <v>153</v>
      </c>
      <c r="BD15" s="199" t="s">
        <v>180</v>
      </c>
      <c r="BE15" s="200" t="s">
        <v>181</v>
      </c>
      <c r="BF15" s="201" t="s">
        <v>337</v>
      </c>
      <c r="BG15" s="202" t="s">
        <v>153</v>
      </c>
      <c r="BH15" s="203" t="s">
        <v>153</v>
      </c>
      <c r="BI15" s="204" t="s">
        <v>338</v>
      </c>
      <c r="BJ15" s="205" t="s">
        <v>153</v>
      </c>
      <c r="BK15" s="206" t="s">
        <v>153</v>
      </c>
      <c r="BL15" s="207" t="s">
        <v>153</v>
      </c>
      <c r="BM15" s="208" t="s">
        <v>153</v>
      </c>
      <c r="BN15" s="209" t="s">
        <v>153</v>
      </c>
      <c r="BO15" s="210" t="s">
        <v>153</v>
      </c>
      <c r="BP15" s="211" t="s">
        <v>339</v>
      </c>
      <c r="BQ15" s="212" t="s">
        <v>153</v>
      </c>
      <c r="BR15" s="213" t="s">
        <v>153</v>
      </c>
      <c r="BS15" s="214" t="s">
        <v>153</v>
      </c>
      <c r="BT15" s="215" t="s">
        <v>153</v>
      </c>
      <c r="BU15" s="216" t="s">
        <v>153</v>
      </c>
      <c r="BV15" s="217" t="s">
        <v>251</v>
      </c>
      <c r="BW15" s="218" t="s">
        <v>153</v>
      </c>
      <c r="BX15" s="219" t="s">
        <v>153</v>
      </c>
      <c r="BY15" s="220" t="s">
        <v>252</v>
      </c>
      <c r="BZ15" s="221" t="s">
        <v>153</v>
      </c>
      <c r="CA15" s="222" t="s">
        <v>190</v>
      </c>
      <c r="CB15" s="223">
        <v>39179</v>
      </c>
      <c r="CC15" s="224">
        <v>98190</v>
      </c>
      <c r="CD15" s="225" t="s">
        <v>153</v>
      </c>
      <c r="CE15" s="226">
        <v>98190</v>
      </c>
      <c r="CF15" s="227" t="s">
        <v>153</v>
      </c>
      <c r="CG15" s="228" t="s">
        <v>226</v>
      </c>
      <c r="CH15" s="229" t="s">
        <v>153</v>
      </c>
      <c r="CI15" s="230" t="s">
        <v>153</v>
      </c>
      <c r="CJ15" s="231" t="s">
        <v>225</v>
      </c>
      <c r="CK15" s="232">
        <v>39179</v>
      </c>
      <c r="CL15" s="233" t="s">
        <v>153</v>
      </c>
      <c r="CM15" s="234" t="s">
        <v>153</v>
      </c>
      <c r="CN15" s="235" t="s">
        <v>190</v>
      </c>
      <c r="CO15" s="236" t="s">
        <v>153</v>
      </c>
      <c r="CP15" s="237" t="s">
        <v>153</v>
      </c>
      <c r="CQ15" s="238" t="s">
        <v>153</v>
      </c>
      <c r="CR15" s="239" t="s">
        <v>153</v>
      </c>
      <c r="CS15" s="240" t="s">
        <v>153</v>
      </c>
      <c r="CT15" s="241" t="s">
        <v>153</v>
      </c>
      <c r="CU15" s="242" t="s">
        <v>153</v>
      </c>
      <c r="CV15" s="243" t="s">
        <v>153</v>
      </c>
      <c r="CW15" s="244" t="s">
        <v>153</v>
      </c>
      <c r="CX15" s="245" t="s">
        <v>153</v>
      </c>
      <c r="CY15" s="246" t="s">
        <v>153</v>
      </c>
      <c r="CZ15" s="247" t="s">
        <v>153</v>
      </c>
      <c r="DA15" s="248" t="s">
        <v>153</v>
      </c>
      <c r="DB15" s="249" t="s">
        <v>153</v>
      </c>
      <c r="DC15" s="250" t="s">
        <v>153</v>
      </c>
      <c r="DD15" s="251" t="s">
        <v>153</v>
      </c>
      <c r="DE15" s="252" t="s">
        <v>153</v>
      </c>
      <c r="DF15" s="253" t="s">
        <v>153</v>
      </c>
      <c r="DG15" s="254" t="s">
        <v>153</v>
      </c>
      <c r="DH15" s="255" t="s">
        <v>153</v>
      </c>
      <c r="DI15" s="256" t="s">
        <v>153</v>
      </c>
      <c r="DJ15" s="257" t="s">
        <v>153</v>
      </c>
      <c r="DK15" s="258" t="s">
        <v>153</v>
      </c>
      <c r="DL15" s="259" t="s">
        <v>153</v>
      </c>
      <c r="DM15" s="260" t="s">
        <v>153</v>
      </c>
      <c r="DN15" s="261" t="s">
        <v>153</v>
      </c>
      <c r="DO15" s="262" t="s">
        <v>153</v>
      </c>
      <c r="DP15" s="263" t="s">
        <v>153</v>
      </c>
      <c r="DQ15" s="264" t="s">
        <v>153</v>
      </c>
      <c r="DR15" s="265" t="s">
        <v>153</v>
      </c>
      <c r="DS15" s="266" t="s">
        <v>153</v>
      </c>
      <c r="DT15" s="267" t="s">
        <v>153</v>
      </c>
      <c r="DU15" s="268" t="s">
        <v>153</v>
      </c>
      <c r="DV15" s="269" t="s">
        <v>153</v>
      </c>
      <c r="DW15" s="270" t="s">
        <v>153</v>
      </c>
      <c r="DX15" s="271" t="s">
        <v>153</v>
      </c>
      <c r="DY15" s="272" t="s">
        <v>153</v>
      </c>
      <c r="DZ15" s="273" t="s">
        <v>191</v>
      </c>
      <c r="EA15" s="274">
        <v>44357</v>
      </c>
      <c r="EB15" s="275">
        <v>98190</v>
      </c>
      <c r="EC15" s="276">
        <v>39179</v>
      </c>
      <c r="ED15" s="277" t="s">
        <v>226</v>
      </c>
      <c r="EE15" s="279" t="str">
        <f>HYPERLINK("https://my.pitchbook.com?c=41224-06", "View company online")</f>
        <v>View company online</v>
      </c>
    </row>
    <row r="16" spans="1:135" x14ac:dyDescent="0.45">
      <c r="A16" s="10" t="s">
        <v>340</v>
      </c>
      <c r="B16" s="11" t="s">
        <v>341</v>
      </c>
      <c r="C16" s="12" t="s">
        <v>153</v>
      </c>
      <c r="D16" s="13" t="s">
        <v>153</v>
      </c>
      <c r="E16" s="14" t="s">
        <v>153</v>
      </c>
      <c r="F16" s="15" t="s">
        <v>153</v>
      </c>
      <c r="G16" s="16" t="s">
        <v>342</v>
      </c>
      <c r="H16" s="17" t="s">
        <v>153</v>
      </c>
      <c r="I16" s="18" t="s">
        <v>340</v>
      </c>
      <c r="J16" s="19" t="s">
        <v>343</v>
      </c>
      <c r="K16" s="20" t="s">
        <v>198</v>
      </c>
      <c r="L16" s="21" t="s">
        <v>199</v>
      </c>
      <c r="M16" s="22" t="s">
        <v>344</v>
      </c>
      <c r="N16" s="23" t="s">
        <v>345</v>
      </c>
      <c r="O16" s="24" t="s">
        <v>153</v>
      </c>
      <c r="P16" s="25" t="s">
        <v>346</v>
      </c>
      <c r="Q16" s="26" t="s">
        <v>204</v>
      </c>
      <c r="R16" s="27" t="s">
        <v>153</v>
      </c>
      <c r="S16" s="28" t="s">
        <v>290</v>
      </c>
      <c r="T16" s="29" t="s">
        <v>205</v>
      </c>
      <c r="U16" s="30" t="s">
        <v>237</v>
      </c>
      <c r="V16" s="31" t="s">
        <v>347</v>
      </c>
      <c r="W16" s="32" t="s">
        <v>153</v>
      </c>
      <c r="X16" s="33" t="s">
        <v>153</v>
      </c>
      <c r="Y16" s="34" t="s">
        <v>153</v>
      </c>
      <c r="Z16" s="35" t="s">
        <v>153</v>
      </c>
      <c r="AA16" s="36">
        <v>1890</v>
      </c>
      <c r="AB16" s="37" t="s">
        <v>153</v>
      </c>
      <c r="AC16" s="38" t="s">
        <v>153</v>
      </c>
      <c r="AD16" s="39" t="s">
        <v>153</v>
      </c>
      <c r="AE16" s="40" t="s">
        <v>153</v>
      </c>
      <c r="AF16" s="41" t="s">
        <v>153</v>
      </c>
      <c r="AG16" s="42" t="s">
        <v>153</v>
      </c>
      <c r="AH16" s="43" t="s">
        <v>153</v>
      </c>
      <c r="AI16" s="44" t="s">
        <v>153</v>
      </c>
      <c r="AJ16" s="45" t="s">
        <v>153</v>
      </c>
      <c r="AK16" s="46" t="s">
        <v>153</v>
      </c>
      <c r="AL16" s="47">
        <v>0</v>
      </c>
      <c r="AM16" s="48" t="s">
        <v>153</v>
      </c>
      <c r="AN16" s="49" t="s">
        <v>168</v>
      </c>
      <c r="AO16" s="50" t="s">
        <v>153</v>
      </c>
      <c r="AP16" s="51" t="s">
        <v>153</v>
      </c>
      <c r="AQ16" s="52" t="s">
        <v>153</v>
      </c>
      <c r="AR16" s="53" t="s">
        <v>153</v>
      </c>
      <c r="AS16" s="54" t="s">
        <v>153</v>
      </c>
      <c r="AT16" s="55" t="s">
        <v>348</v>
      </c>
      <c r="AU16" s="56" t="s">
        <v>349</v>
      </c>
      <c r="AV16" s="57" t="s">
        <v>153</v>
      </c>
      <c r="AW16" s="58" t="s">
        <v>350</v>
      </c>
      <c r="AX16" s="59" t="s">
        <v>153</v>
      </c>
      <c r="AY16" s="60" t="s">
        <v>351</v>
      </c>
      <c r="AZ16" s="61" t="s">
        <v>352</v>
      </c>
      <c r="BA16" s="62" t="s">
        <v>153</v>
      </c>
      <c r="BB16" s="63" t="s">
        <v>153</v>
      </c>
      <c r="BC16" s="64" t="s">
        <v>153</v>
      </c>
      <c r="BD16" s="65" t="s">
        <v>180</v>
      </c>
      <c r="BE16" s="66" t="s">
        <v>181</v>
      </c>
      <c r="BF16" s="67" t="s">
        <v>353</v>
      </c>
      <c r="BG16" s="68" t="s">
        <v>153</v>
      </c>
      <c r="BH16" s="69" t="s">
        <v>153</v>
      </c>
      <c r="BI16" s="70" t="s">
        <v>220</v>
      </c>
      <c r="BJ16" s="71" t="s">
        <v>153</v>
      </c>
      <c r="BK16" s="72" t="s">
        <v>153</v>
      </c>
      <c r="BL16" s="73" t="s">
        <v>153</v>
      </c>
      <c r="BM16" s="74" t="s">
        <v>153</v>
      </c>
      <c r="BN16" s="75" t="s">
        <v>153</v>
      </c>
      <c r="BO16" s="76" t="s">
        <v>354</v>
      </c>
      <c r="BP16" s="77" t="s">
        <v>355</v>
      </c>
      <c r="BQ16" s="78" t="s">
        <v>153</v>
      </c>
      <c r="BR16" s="79" t="s">
        <v>153</v>
      </c>
      <c r="BS16" s="80" t="s">
        <v>153</v>
      </c>
      <c r="BT16" s="81" t="s">
        <v>153</v>
      </c>
      <c r="BU16" s="82" t="s">
        <v>153</v>
      </c>
      <c r="BV16" s="83" t="s">
        <v>251</v>
      </c>
      <c r="BW16" s="84" t="s">
        <v>153</v>
      </c>
      <c r="BX16" s="85" t="s">
        <v>153</v>
      </c>
      <c r="BY16" s="86" t="s">
        <v>252</v>
      </c>
      <c r="BZ16" s="87" t="s">
        <v>153</v>
      </c>
      <c r="CA16" s="88" t="s">
        <v>190</v>
      </c>
      <c r="CB16" s="89">
        <v>36628</v>
      </c>
      <c r="CC16" s="90">
        <v>97508.53</v>
      </c>
      <c r="CD16" s="91" t="s">
        <v>186</v>
      </c>
      <c r="CE16" s="92">
        <v>97508.53</v>
      </c>
      <c r="CF16" s="93" t="s">
        <v>187</v>
      </c>
      <c r="CG16" s="94" t="s">
        <v>226</v>
      </c>
      <c r="CH16" s="95" t="s">
        <v>153</v>
      </c>
      <c r="CI16" s="96" t="s">
        <v>153</v>
      </c>
      <c r="CJ16" s="97" t="s">
        <v>225</v>
      </c>
      <c r="CK16" s="98">
        <v>36628</v>
      </c>
      <c r="CL16" s="99" t="s">
        <v>153</v>
      </c>
      <c r="CM16" s="100" t="s">
        <v>153</v>
      </c>
      <c r="CN16" s="101" t="s">
        <v>190</v>
      </c>
      <c r="CO16" s="102" t="s">
        <v>153</v>
      </c>
      <c r="CP16" s="103" t="s">
        <v>153</v>
      </c>
      <c r="CQ16" s="104" t="s">
        <v>153</v>
      </c>
      <c r="CR16" s="105" t="s">
        <v>153</v>
      </c>
      <c r="CS16" s="106" t="s">
        <v>153</v>
      </c>
      <c r="CT16" s="107" t="s">
        <v>153</v>
      </c>
      <c r="CU16" s="108" t="s">
        <v>153</v>
      </c>
      <c r="CV16" s="109" t="s">
        <v>153</v>
      </c>
      <c r="CW16" s="110" t="s">
        <v>153</v>
      </c>
      <c r="CX16" s="111" t="s">
        <v>153</v>
      </c>
      <c r="CY16" s="112" t="s">
        <v>153</v>
      </c>
      <c r="CZ16" s="113" t="s">
        <v>153</v>
      </c>
      <c r="DA16" s="114" t="s">
        <v>153</v>
      </c>
      <c r="DB16" s="115" t="s">
        <v>153</v>
      </c>
      <c r="DC16" s="116" t="s">
        <v>153</v>
      </c>
      <c r="DD16" s="117" t="s">
        <v>153</v>
      </c>
      <c r="DE16" s="118" t="s">
        <v>153</v>
      </c>
      <c r="DF16" s="119" t="s">
        <v>153</v>
      </c>
      <c r="DG16" s="120" t="s">
        <v>153</v>
      </c>
      <c r="DH16" s="121" t="s">
        <v>153</v>
      </c>
      <c r="DI16" s="122" t="s">
        <v>153</v>
      </c>
      <c r="DJ16" s="123" t="s">
        <v>153</v>
      </c>
      <c r="DK16" s="124" t="s">
        <v>153</v>
      </c>
      <c r="DL16" s="125" t="s">
        <v>153</v>
      </c>
      <c r="DM16" s="126" t="s">
        <v>153</v>
      </c>
      <c r="DN16" s="127" t="s">
        <v>153</v>
      </c>
      <c r="DO16" s="128" t="s">
        <v>153</v>
      </c>
      <c r="DP16" s="129" t="s">
        <v>153</v>
      </c>
      <c r="DQ16" s="130" t="s">
        <v>153</v>
      </c>
      <c r="DR16" s="131" t="s">
        <v>153</v>
      </c>
      <c r="DS16" s="132" t="s">
        <v>153</v>
      </c>
      <c r="DT16" s="133" t="s">
        <v>153</v>
      </c>
      <c r="DU16" s="134" t="s">
        <v>153</v>
      </c>
      <c r="DV16" s="135" t="s">
        <v>153</v>
      </c>
      <c r="DW16" s="136" t="s">
        <v>153</v>
      </c>
      <c r="DX16" s="137" t="s">
        <v>153</v>
      </c>
      <c r="DY16" s="138" t="s">
        <v>153</v>
      </c>
      <c r="DZ16" s="139" t="s">
        <v>191</v>
      </c>
      <c r="EA16" s="140">
        <v>44302</v>
      </c>
      <c r="EB16" s="141">
        <v>97508.53</v>
      </c>
      <c r="EC16" s="142">
        <v>36628</v>
      </c>
      <c r="ED16" s="143" t="s">
        <v>226</v>
      </c>
      <c r="EE16" s="278" t="str">
        <f>HYPERLINK("https://my.pitchbook.com?c=126489-16", "View company online")</f>
        <v>View company online</v>
      </c>
    </row>
    <row r="17" spans="1:135" x14ac:dyDescent="0.45">
      <c r="A17" s="144" t="s">
        <v>356</v>
      </c>
      <c r="B17" s="145" t="s">
        <v>357</v>
      </c>
      <c r="C17" s="146" t="s">
        <v>153</v>
      </c>
      <c r="D17" s="147" t="s">
        <v>153</v>
      </c>
      <c r="E17" s="148" t="s">
        <v>358</v>
      </c>
      <c r="F17" s="149" t="s">
        <v>153</v>
      </c>
      <c r="G17" s="150" t="s">
        <v>359</v>
      </c>
      <c r="H17" s="151" t="s">
        <v>360</v>
      </c>
      <c r="I17" s="152" t="s">
        <v>356</v>
      </c>
      <c r="J17" s="153" t="s">
        <v>361</v>
      </c>
      <c r="K17" s="154" t="s">
        <v>232</v>
      </c>
      <c r="L17" s="155" t="s">
        <v>362</v>
      </c>
      <c r="M17" s="156" t="s">
        <v>363</v>
      </c>
      <c r="N17" s="157" t="s">
        <v>364</v>
      </c>
      <c r="O17" s="158" t="s">
        <v>365</v>
      </c>
      <c r="P17" s="159" t="s">
        <v>366</v>
      </c>
      <c r="Q17" s="160" t="s">
        <v>367</v>
      </c>
      <c r="R17" s="161" t="s">
        <v>153</v>
      </c>
      <c r="S17" s="162" t="s">
        <v>368</v>
      </c>
      <c r="T17" s="163" t="s">
        <v>291</v>
      </c>
      <c r="U17" s="164" t="s">
        <v>369</v>
      </c>
      <c r="V17" s="165" t="s">
        <v>370</v>
      </c>
      <c r="W17" s="166">
        <v>181000</v>
      </c>
      <c r="X17" s="167" t="s">
        <v>371</v>
      </c>
      <c r="Y17" s="168" t="s">
        <v>372</v>
      </c>
      <c r="Z17" s="169" t="s">
        <v>373</v>
      </c>
      <c r="AA17" s="170">
        <v>1934</v>
      </c>
      <c r="AB17" s="171" t="s">
        <v>153</v>
      </c>
      <c r="AC17" s="172" t="s">
        <v>374</v>
      </c>
      <c r="AD17" s="173" t="s">
        <v>375</v>
      </c>
      <c r="AE17" s="174">
        <v>60478</v>
      </c>
      <c r="AF17" s="175">
        <v>8457</v>
      </c>
      <c r="AG17" s="176">
        <v>-2683</v>
      </c>
      <c r="AH17" s="177">
        <v>143401.85999999999</v>
      </c>
      <c r="AI17" s="178">
        <v>3605</v>
      </c>
      <c r="AJ17" s="179">
        <v>-946</v>
      </c>
      <c r="AK17" s="180">
        <v>130009.86</v>
      </c>
      <c r="AL17" s="181">
        <v>24511</v>
      </c>
      <c r="AM17" s="182">
        <v>32.18</v>
      </c>
      <c r="AN17" s="183" t="s">
        <v>376</v>
      </c>
      <c r="AO17" s="184" t="s">
        <v>377</v>
      </c>
      <c r="AP17" s="185" t="s">
        <v>378</v>
      </c>
      <c r="AQ17" s="186" t="s">
        <v>379</v>
      </c>
      <c r="AR17" s="187" t="s">
        <v>380</v>
      </c>
      <c r="AS17" s="188" t="s">
        <v>381</v>
      </c>
      <c r="AT17" s="189" t="s">
        <v>382</v>
      </c>
      <c r="AU17" s="190" t="s">
        <v>383</v>
      </c>
      <c r="AV17" s="191" t="s">
        <v>153</v>
      </c>
      <c r="AW17" s="192" t="s">
        <v>384</v>
      </c>
      <c r="AX17" s="193" t="s">
        <v>385</v>
      </c>
      <c r="AY17" s="194" t="s">
        <v>386</v>
      </c>
      <c r="AZ17" s="195" t="s">
        <v>215</v>
      </c>
      <c r="BA17" s="196" t="s">
        <v>381</v>
      </c>
      <c r="BB17" s="197" t="s">
        <v>153</v>
      </c>
      <c r="BC17" s="198" t="s">
        <v>153</v>
      </c>
      <c r="BD17" s="199" t="s">
        <v>216</v>
      </c>
      <c r="BE17" s="200" t="s">
        <v>217</v>
      </c>
      <c r="BF17" s="201" t="s">
        <v>387</v>
      </c>
      <c r="BG17" s="202" t="s">
        <v>153</v>
      </c>
      <c r="BH17" s="203" t="s">
        <v>153</v>
      </c>
      <c r="BI17" s="204" t="s">
        <v>153</v>
      </c>
      <c r="BJ17" s="205" t="s">
        <v>388</v>
      </c>
      <c r="BK17" s="206" t="s">
        <v>389</v>
      </c>
      <c r="BL17" s="207" t="s">
        <v>153</v>
      </c>
      <c r="BM17" s="208" t="s">
        <v>390</v>
      </c>
      <c r="BN17" s="209" t="s">
        <v>391</v>
      </c>
      <c r="BO17" s="210" t="s">
        <v>392</v>
      </c>
      <c r="BP17" s="211" t="s">
        <v>153</v>
      </c>
      <c r="BQ17" s="212">
        <v>25570</v>
      </c>
      <c r="BR17" s="213" t="s">
        <v>153</v>
      </c>
      <c r="BS17" s="214" t="s">
        <v>153</v>
      </c>
      <c r="BT17" s="215" t="s">
        <v>153</v>
      </c>
      <c r="BU17" s="216" t="s">
        <v>153</v>
      </c>
      <c r="BV17" s="217" t="s">
        <v>251</v>
      </c>
      <c r="BW17" s="218" t="s">
        <v>393</v>
      </c>
      <c r="BX17" s="219" t="s">
        <v>153</v>
      </c>
      <c r="BY17" s="220" t="s">
        <v>252</v>
      </c>
      <c r="BZ17" s="221" t="s">
        <v>153</v>
      </c>
      <c r="CA17" s="222" t="s">
        <v>190</v>
      </c>
      <c r="CB17" s="223">
        <v>42339</v>
      </c>
      <c r="CC17" s="224">
        <v>90700</v>
      </c>
      <c r="CD17" s="225" t="s">
        <v>186</v>
      </c>
      <c r="CE17" s="226">
        <v>90700</v>
      </c>
      <c r="CF17" s="227" t="s">
        <v>186</v>
      </c>
      <c r="CG17" s="228" t="s">
        <v>226</v>
      </c>
      <c r="CH17" s="229" t="s">
        <v>153</v>
      </c>
      <c r="CI17" s="230" t="s">
        <v>153</v>
      </c>
      <c r="CJ17" s="231" t="s">
        <v>225</v>
      </c>
      <c r="CK17" s="232">
        <v>42339</v>
      </c>
      <c r="CL17" s="233" t="s">
        <v>153</v>
      </c>
      <c r="CM17" s="234" t="s">
        <v>153</v>
      </c>
      <c r="CN17" s="235" t="s">
        <v>394</v>
      </c>
      <c r="CO17" s="236">
        <v>0.6</v>
      </c>
      <c r="CP17" s="237">
        <v>94</v>
      </c>
      <c r="CQ17" s="238">
        <v>-1.27</v>
      </c>
      <c r="CR17" s="239">
        <v>-67.989999999999995</v>
      </c>
      <c r="CS17" s="240">
        <v>1.24</v>
      </c>
      <c r="CT17" s="241">
        <v>96</v>
      </c>
      <c r="CU17" s="242">
        <v>-0.04</v>
      </c>
      <c r="CV17" s="243">
        <v>34</v>
      </c>
      <c r="CW17" s="244">
        <v>5.05</v>
      </c>
      <c r="CX17" s="245">
        <v>94</v>
      </c>
      <c r="CY17" s="246">
        <v>-2.57</v>
      </c>
      <c r="CZ17" s="247">
        <v>1</v>
      </c>
      <c r="DA17" s="248">
        <v>-0.04</v>
      </c>
      <c r="DB17" s="249">
        <v>34</v>
      </c>
      <c r="DC17" s="250">
        <v>433.04</v>
      </c>
      <c r="DD17" s="251">
        <v>100</v>
      </c>
      <c r="DE17" s="252">
        <v>2.17</v>
      </c>
      <c r="DF17" s="253">
        <v>0.5</v>
      </c>
      <c r="DG17" s="254">
        <v>272.88</v>
      </c>
      <c r="DH17" s="255">
        <v>100</v>
      </c>
      <c r="DI17" s="256">
        <v>593.20000000000005</v>
      </c>
      <c r="DJ17" s="257">
        <v>100</v>
      </c>
      <c r="DK17" s="258">
        <v>147.57</v>
      </c>
      <c r="DL17" s="259">
        <v>98</v>
      </c>
      <c r="DM17" s="260">
        <v>398.19</v>
      </c>
      <c r="DN17" s="261">
        <v>100</v>
      </c>
      <c r="DO17" s="262">
        <v>593.20000000000005</v>
      </c>
      <c r="DP17" s="263">
        <v>100</v>
      </c>
      <c r="DQ17" s="264">
        <v>86440</v>
      </c>
      <c r="DR17" s="265">
        <v>3914</v>
      </c>
      <c r="DS17" s="266">
        <v>4.74</v>
      </c>
      <c r="DT17" s="267">
        <v>6363</v>
      </c>
      <c r="DU17" s="268">
        <v>-446</v>
      </c>
      <c r="DV17" s="269">
        <v>-6.55</v>
      </c>
      <c r="DW17" s="270">
        <v>186215</v>
      </c>
      <c r="DX17" s="271">
        <v>63</v>
      </c>
      <c r="DY17" s="272">
        <v>0.03</v>
      </c>
      <c r="DZ17" s="273" t="s">
        <v>191</v>
      </c>
      <c r="EA17" s="274">
        <v>44403</v>
      </c>
      <c r="EB17" s="275">
        <v>90700</v>
      </c>
      <c r="EC17" s="276">
        <v>42339</v>
      </c>
      <c r="ED17" s="277" t="s">
        <v>226</v>
      </c>
      <c r="EE17" s="279" t="str">
        <f>HYPERLINK("https://my.pitchbook.com?c=11613-79", "View company online")</f>
        <v>View company online</v>
      </c>
    </row>
    <row r="18" spans="1:135" x14ac:dyDescent="0.45">
      <c r="A18" s="10" t="s">
        <v>395</v>
      </c>
      <c r="B18" s="11" t="s">
        <v>396</v>
      </c>
      <c r="C18" s="12" t="s">
        <v>153</v>
      </c>
      <c r="D18" s="13" t="s">
        <v>153</v>
      </c>
      <c r="E18" s="14" t="s">
        <v>153</v>
      </c>
      <c r="F18" s="15" t="s">
        <v>153</v>
      </c>
      <c r="G18" s="16" t="s">
        <v>153</v>
      </c>
      <c r="H18" s="17" t="s">
        <v>153</v>
      </c>
      <c r="I18" s="18" t="s">
        <v>395</v>
      </c>
      <c r="J18" s="19" t="s">
        <v>397</v>
      </c>
      <c r="K18" s="20" t="s">
        <v>198</v>
      </c>
      <c r="L18" s="21" t="s">
        <v>199</v>
      </c>
      <c r="M18" s="22" t="s">
        <v>344</v>
      </c>
      <c r="N18" s="23" t="s">
        <v>398</v>
      </c>
      <c r="O18" s="24" t="s">
        <v>399</v>
      </c>
      <c r="P18" s="25" t="s">
        <v>400</v>
      </c>
      <c r="Q18" s="26" t="s">
        <v>204</v>
      </c>
      <c r="R18" s="27" t="s">
        <v>153</v>
      </c>
      <c r="S18" s="28" t="s">
        <v>163</v>
      </c>
      <c r="T18" s="29" t="s">
        <v>205</v>
      </c>
      <c r="U18" s="30" t="s">
        <v>237</v>
      </c>
      <c r="V18" s="31" t="s">
        <v>153</v>
      </c>
      <c r="W18" s="32">
        <v>63000</v>
      </c>
      <c r="X18" s="33" t="s">
        <v>401</v>
      </c>
      <c r="Y18" s="34" t="s">
        <v>153</v>
      </c>
      <c r="Z18" s="35" t="s">
        <v>153</v>
      </c>
      <c r="AA18" s="36">
        <v>1983</v>
      </c>
      <c r="AB18" s="37" t="s">
        <v>402</v>
      </c>
      <c r="AC18" s="38" t="s">
        <v>153</v>
      </c>
      <c r="AD18" s="39" t="s">
        <v>153</v>
      </c>
      <c r="AE18" s="40" t="s">
        <v>153</v>
      </c>
      <c r="AF18" s="41" t="s">
        <v>153</v>
      </c>
      <c r="AG18" s="42" t="s">
        <v>153</v>
      </c>
      <c r="AH18" s="43" t="s">
        <v>153</v>
      </c>
      <c r="AI18" s="44" t="s">
        <v>153</v>
      </c>
      <c r="AJ18" s="45" t="s">
        <v>153</v>
      </c>
      <c r="AK18" s="46" t="s">
        <v>153</v>
      </c>
      <c r="AL18" s="47" t="s">
        <v>153</v>
      </c>
      <c r="AM18" s="48" t="s">
        <v>153</v>
      </c>
      <c r="AN18" s="49" t="s">
        <v>403</v>
      </c>
      <c r="AO18" s="50" t="s">
        <v>153</v>
      </c>
      <c r="AP18" s="51" t="s">
        <v>153</v>
      </c>
      <c r="AQ18" s="52" t="s">
        <v>153</v>
      </c>
      <c r="AR18" s="53" t="s">
        <v>153</v>
      </c>
      <c r="AS18" s="54" t="s">
        <v>153</v>
      </c>
      <c r="AT18" s="55" t="s">
        <v>404</v>
      </c>
      <c r="AU18" s="56" t="s">
        <v>405</v>
      </c>
      <c r="AV18" s="57" t="s">
        <v>406</v>
      </c>
      <c r="AW18" s="58" t="s">
        <v>407</v>
      </c>
      <c r="AX18" s="59" t="s">
        <v>408</v>
      </c>
      <c r="AY18" s="60" t="s">
        <v>409</v>
      </c>
      <c r="AZ18" s="61" t="s">
        <v>215</v>
      </c>
      <c r="BA18" s="62" t="s">
        <v>153</v>
      </c>
      <c r="BB18" s="63" t="s">
        <v>153</v>
      </c>
      <c r="BC18" s="64" t="s">
        <v>153</v>
      </c>
      <c r="BD18" s="65" t="s">
        <v>216</v>
      </c>
      <c r="BE18" s="66" t="s">
        <v>217</v>
      </c>
      <c r="BF18" s="67" t="s">
        <v>410</v>
      </c>
      <c r="BG18" s="68" t="s">
        <v>153</v>
      </c>
      <c r="BH18" s="69" t="s">
        <v>153</v>
      </c>
      <c r="BI18" s="70" t="s">
        <v>411</v>
      </c>
      <c r="BJ18" s="71" t="s">
        <v>153</v>
      </c>
      <c r="BK18" s="72" t="s">
        <v>153</v>
      </c>
      <c r="BL18" s="73" t="s">
        <v>153</v>
      </c>
      <c r="BM18" s="74" t="s">
        <v>153</v>
      </c>
      <c r="BN18" s="75" t="s">
        <v>153</v>
      </c>
      <c r="BO18" s="76" t="s">
        <v>412</v>
      </c>
      <c r="BP18" s="77" t="s">
        <v>413</v>
      </c>
      <c r="BQ18" s="78" t="s">
        <v>153</v>
      </c>
      <c r="BR18" s="79" t="s">
        <v>153</v>
      </c>
      <c r="BS18" s="80" t="s">
        <v>153</v>
      </c>
      <c r="BT18" s="81" t="s">
        <v>153</v>
      </c>
      <c r="BU18" s="82" t="s">
        <v>153</v>
      </c>
      <c r="BV18" s="83" t="s">
        <v>226</v>
      </c>
      <c r="BW18" s="84" t="s">
        <v>153</v>
      </c>
      <c r="BX18" s="85" t="s">
        <v>153</v>
      </c>
      <c r="BY18" s="86" t="s">
        <v>225</v>
      </c>
      <c r="BZ18" s="87" t="s">
        <v>153</v>
      </c>
      <c r="CA18" s="88" t="s">
        <v>190</v>
      </c>
      <c r="CB18" s="89">
        <v>39080</v>
      </c>
      <c r="CC18" s="90">
        <v>86000</v>
      </c>
      <c r="CD18" s="91" t="s">
        <v>186</v>
      </c>
      <c r="CE18" s="92">
        <v>86000</v>
      </c>
      <c r="CF18" s="93" t="s">
        <v>186</v>
      </c>
      <c r="CG18" s="94" t="s">
        <v>226</v>
      </c>
      <c r="CH18" s="95" t="s">
        <v>153</v>
      </c>
      <c r="CI18" s="96" t="s">
        <v>153</v>
      </c>
      <c r="CJ18" s="97" t="s">
        <v>225</v>
      </c>
      <c r="CK18" s="98">
        <v>39080</v>
      </c>
      <c r="CL18" s="99" t="s">
        <v>153</v>
      </c>
      <c r="CM18" s="100" t="s">
        <v>153</v>
      </c>
      <c r="CN18" s="101" t="s">
        <v>190</v>
      </c>
      <c r="CO18" s="102" t="s">
        <v>153</v>
      </c>
      <c r="CP18" s="103" t="s">
        <v>153</v>
      </c>
      <c r="CQ18" s="104" t="s">
        <v>153</v>
      </c>
      <c r="CR18" s="105" t="s">
        <v>153</v>
      </c>
      <c r="CS18" s="106" t="s">
        <v>153</v>
      </c>
      <c r="CT18" s="107" t="s">
        <v>153</v>
      </c>
      <c r="CU18" s="108" t="s">
        <v>153</v>
      </c>
      <c r="CV18" s="109" t="s">
        <v>153</v>
      </c>
      <c r="CW18" s="110" t="s">
        <v>153</v>
      </c>
      <c r="CX18" s="111" t="s">
        <v>153</v>
      </c>
      <c r="CY18" s="112" t="s">
        <v>153</v>
      </c>
      <c r="CZ18" s="113" t="s">
        <v>153</v>
      </c>
      <c r="DA18" s="114" t="s">
        <v>153</v>
      </c>
      <c r="DB18" s="115" t="s">
        <v>153</v>
      </c>
      <c r="DC18" s="116" t="s">
        <v>153</v>
      </c>
      <c r="DD18" s="117" t="s">
        <v>153</v>
      </c>
      <c r="DE18" s="118" t="s">
        <v>153</v>
      </c>
      <c r="DF18" s="119" t="s">
        <v>153</v>
      </c>
      <c r="DG18" s="120" t="s">
        <v>153</v>
      </c>
      <c r="DH18" s="121" t="s">
        <v>153</v>
      </c>
      <c r="DI18" s="122" t="s">
        <v>153</v>
      </c>
      <c r="DJ18" s="123" t="s">
        <v>153</v>
      </c>
      <c r="DK18" s="124" t="s">
        <v>153</v>
      </c>
      <c r="DL18" s="125" t="s">
        <v>153</v>
      </c>
      <c r="DM18" s="126" t="s">
        <v>153</v>
      </c>
      <c r="DN18" s="127" t="s">
        <v>153</v>
      </c>
      <c r="DO18" s="128" t="s">
        <v>153</v>
      </c>
      <c r="DP18" s="129" t="s">
        <v>153</v>
      </c>
      <c r="DQ18" s="130" t="s">
        <v>153</v>
      </c>
      <c r="DR18" s="131" t="s">
        <v>153</v>
      </c>
      <c r="DS18" s="132" t="s">
        <v>153</v>
      </c>
      <c r="DT18" s="133" t="s">
        <v>153</v>
      </c>
      <c r="DU18" s="134" t="s">
        <v>153</v>
      </c>
      <c r="DV18" s="135" t="s">
        <v>153</v>
      </c>
      <c r="DW18" s="136" t="s">
        <v>153</v>
      </c>
      <c r="DX18" s="137" t="s">
        <v>153</v>
      </c>
      <c r="DY18" s="138" t="s">
        <v>153</v>
      </c>
      <c r="DZ18" s="139" t="s">
        <v>191</v>
      </c>
      <c r="EA18" s="140">
        <v>44349</v>
      </c>
      <c r="EB18" s="141">
        <v>86000</v>
      </c>
      <c r="EC18" s="142">
        <v>39080</v>
      </c>
      <c r="ED18" s="143" t="s">
        <v>226</v>
      </c>
      <c r="EE18" s="278" t="str">
        <f>HYPERLINK("https://my.pitchbook.com?c=11123-74", "View company online")</f>
        <v>View company online</v>
      </c>
    </row>
    <row r="19" spans="1:135" x14ac:dyDescent="0.45">
      <c r="A19" s="144" t="s">
        <v>414</v>
      </c>
      <c r="B19" s="145" t="s">
        <v>415</v>
      </c>
      <c r="C19" s="146" t="s">
        <v>153</v>
      </c>
      <c r="D19" s="147" t="s">
        <v>153</v>
      </c>
      <c r="E19" s="148" t="s">
        <v>416</v>
      </c>
      <c r="F19" s="149" t="s">
        <v>417</v>
      </c>
      <c r="G19" s="150" t="s">
        <v>418</v>
      </c>
      <c r="H19" s="151" t="s">
        <v>419</v>
      </c>
      <c r="I19" s="152" t="s">
        <v>414</v>
      </c>
      <c r="J19" s="153" t="s">
        <v>420</v>
      </c>
      <c r="K19" s="154" t="s">
        <v>157</v>
      </c>
      <c r="L19" s="155" t="s">
        <v>421</v>
      </c>
      <c r="M19" s="156" t="s">
        <v>422</v>
      </c>
      <c r="N19" s="157" t="s">
        <v>423</v>
      </c>
      <c r="O19" s="158" t="s">
        <v>399</v>
      </c>
      <c r="P19" s="159" t="s">
        <v>424</v>
      </c>
      <c r="Q19" s="160" t="s">
        <v>204</v>
      </c>
      <c r="R19" s="161">
        <v>100</v>
      </c>
      <c r="S19" s="162" t="s">
        <v>290</v>
      </c>
      <c r="T19" s="163" t="s">
        <v>205</v>
      </c>
      <c r="U19" s="164" t="s">
        <v>237</v>
      </c>
      <c r="V19" s="165" t="s">
        <v>425</v>
      </c>
      <c r="W19" s="166">
        <v>56600</v>
      </c>
      <c r="X19" s="167" t="s">
        <v>426</v>
      </c>
      <c r="Y19" s="168" t="s">
        <v>153</v>
      </c>
      <c r="Z19" s="169" t="s">
        <v>153</v>
      </c>
      <c r="AA19" s="170">
        <v>1962</v>
      </c>
      <c r="AB19" s="171" t="s">
        <v>427</v>
      </c>
      <c r="AC19" s="172" t="s">
        <v>428</v>
      </c>
      <c r="AD19" s="173" t="s">
        <v>428</v>
      </c>
      <c r="AE19" s="174" t="s">
        <v>153</v>
      </c>
      <c r="AF19" s="175" t="s">
        <v>153</v>
      </c>
      <c r="AG19" s="176" t="s">
        <v>153</v>
      </c>
      <c r="AH19" s="177" t="s">
        <v>153</v>
      </c>
      <c r="AI19" s="178" t="s">
        <v>153</v>
      </c>
      <c r="AJ19" s="179" t="s">
        <v>153</v>
      </c>
      <c r="AK19" s="180" t="s">
        <v>153</v>
      </c>
      <c r="AL19" s="181" t="s">
        <v>153</v>
      </c>
      <c r="AM19" s="182" t="s">
        <v>153</v>
      </c>
      <c r="AN19" s="183" t="s">
        <v>429</v>
      </c>
      <c r="AO19" s="184" t="s">
        <v>430</v>
      </c>
      <c r="AP19" s="185" t="s">
        <v>431</v>
      </c>
      <c r="AQ19" s="186" t="s">
        <v>432</v>
      </c>
      <c r="AR19" s="187" t="s">
        <v>153</v>
      </c>
      <c r="AS19" s="188" t="s">
        <v>153</v>
      </c>
      <c r="AT19" s="189" t="s">
        <v>433</v>
      </c>
      <c r="AU19" s="190" t="s">
        <v>434</v>
      </c>
      <c r="AV19" s="191" t="s">
        <v>435</v>
      </c>
      <c r="AW19" s="192" t="s">
        <v>436</v>
      </c>
      <c r="AX19" s="193" t="s">
        <v>436</v>
      </c>
      <c r="AY19" s="194" t="s">
        <v>437</v>
      </c>
      <c r="AZ19" s="195" t="s">
        <v>215</v>
      </c>
      <c r="BA19" s="196" t="s">
        <v>153</v>
      </c>
      <c r="BB19" s="197" t="s">
        <v>153</v>
      </c>
      <c r="BC19" s="198" t="s">
        <v>153</v>
      </c>
      <c r="BD19" s="199" t="s">
        <v>216</v>
      </c>
      <c r="BE19" s="200" t="s">
        <v>217</v>
      </c>
      <c r="BF19" s="201" t="s">
        <v>438</v>
      </c>
      <c r="BG19" s="202" t="s">
        <v>153</v>
      </c>
      <c r="BH19" s="203" t="s">
        <v>153</v>
      </c>
      <c r="BI19" s="204" t="s">
        <v>427</v>
      </c>
      <c r="BJ19" s="205" t="s">
        <v>153</v>
      </c>
      <c r="BK19" s="206" t="s">
        <v>439</v>
      </c>
      <c r="BL19" s="207" t="s">
        <v>153</v>
      </c>
      <c r="BM19" s="208" t="s">
        <v>153</v>
      </c>
      <c r="BN19" s="209" t="s">
        <v>440</v>
      </c>
      <c r="BO19" s="210" t="s">
        <v>441</v>
      </c>
      <c r="BP19" s="211" t="s">
        <v>442</v>
      </c>
      <c r="BQ19" s="212">
        <v>39884</v>
      </c>
      <c r="BR19" s="213">
        <v>100</v>
      </c>
      <c r="BS19" s="214" t="s">
        <v>186</v>
      </c>
      <c r="BT19" s="215" t="s">
        <v>153</v>
      </c>
      <c r="BU19" s="216" t="s">
        <v>153</v>
      </c>
      <c r="BV19" s="217" t="s">
        <v>251</v>
      </c>
      <c r="BW19" s="218" t="s">
        <v>153</v>
      </c>
      <c r="BX19" s="219" t="s">
        <v>153</v>
      </c>
      <c r="BY19" s="220" t="s">
        <v>252</v>
      </c>
      <c r="BZ19" s="221" t="s">
        <v>153</v>
      </c>
      <c r="CA19" s="222" t="s">
        <v>190</v>
      </c>
      <c r="CB19" s="223">
        <v>42508</v>
      </c>
      <c r="CC19" s="224">
        <v>85000</v>
      </c>
      <c r="CD19" s="225" t="s">
        <v>186</v>
      </c>
      <c r="CE19" s="226">
        <v>85000</v>
      </c>
      <c r="CF19" s="227" t="s">
        <v>187</v>
      </c>
      <c r="CG19" s="228" t="s">
        <v>226</v>
      </c>
      <c r="CH19" s="229" t="s">
        <v>153</v>
      </c>
      <c r="CI19" s="230" t="s">
        <v>153</v>
      </c>
      <c r="CJ19" s="231" t="s">
        <v>225</v>
      </c>
      <c r="CK19" s="232">
        <v>42508</v>
      </c>
      <c r="CL19" s="233" t="s">
        <v>153</v>
      </c>
      <c r="CM19" s="234" t="s">
        <v>153</v>
      </c>
      <c r="CN19" s="235" t="s">
        <v>190</v>
      </c>
      <c r="CO19" s="236" t="s">
        <v>153</v>
      </c>
      <c r="CP19" s="237" t="s">
        <v>153</v>
      </c>
      <c r="CQ19" s="238" t="s">
        <v>153</v>
      </c>
      <c r="CR19" s="239" t="s">
        <v>153</v>
      </c>
      <c r="CS19" s="240" t="s">
        <v>153</v>
      </c>
      <c r="CT19" s="241" t="s">
        <v>153</v>
      </c>
      <c r="CU19" s="242" t="s">
        <v>153</v>
      </c>
      <c r="CV19" s="243" t="s">
        <v>153</v>
      </c>
      <c r="CW19" s="244" t="s">
        <v>153</v>
      </c>
      <c r="CX19" s="245" t="s">
        <v>153</v>
      </c>
      <c r="CY19" s="246" t="s">
        <v>153</v>
      </c>
      <c r="CZ19" s="247" t="s">
        <v>153</v>
      </c>
      <c r="DA19" s="248" t="s">
        <v>153</v>
      </c>
      <c r="DB19" s="249" t="s">
        <v>153</v>
      </c>
      <c r="DC19" s="250" t="s">
        <v>153</v>
      </c>
      <c r="DD19" s="251" t="s">
        <v>153</v>
      </c>
      <c r="DE19" s="252" t="s">
        <v>153</v>
      </c>
      <c r="DF19" s="253" t="s">
        <v>153</v>
      </c>
      <c r="DG19" s="254" t="s">
        <v>153</v>
      </c>
      <c r="DH19" s="255" t="s">
        <v>153</v>
      </c>
      <c r="DI19" s="256" t="s">
        <v>153</v>
      </c>
      <c r="DJ19" s="257" t="s">
        <v>153</v>
      </c>
      <c r="DK19" s="258" t="s">
        <v>153</v>
      </c>
      <c r="DL19" s="259" t="s">
        <v>153</v>
      </c>
      <c r="DM19" s="260" t="s">
        <v>153</v>
      </c>
      <c r="DN19" s="261" t="s">
        <v>153</v>
      </c>
      <c r="DO19" s="262" t="s">
        <v>153</v>
      </c>
      <c r="DP19" s="263" t="s">
        <v>153</v>
      </c>
      <c r="DQ19" s="264" t="s">
        <v>153</v>
      </c>
      <c r="DR19" s="265" t="s">
        <v>153</v>
      </c>
      <c r="DS19" s="266" t="s">
        <v>153</v>
      </c>
      <c r="DT19" s="267" t="s">
        <v>153</v>
      </c>
      <c r="DU19" s="268" t="s">
        <v>153</v>
      </c>
      <c r="DV19" s="269" t="s">
        <v>153</v>
      </c>
      <c r="DW19" s="270" t="s">
        <v>153</v>
      </c>
      <c r="DX19" s="271" t="s">
        <v>153</v>
      </c>
      <c r="DY19" s="272" t="s">
        <v>153</v>
      </c>
      <c r="DZ19" s="273" t="s">
        <v>191</v>
      </c>
      <c r="EA19" s="274">
        <v>44350</v>
      </c>
      <c r="EB19" s="275">
        <v>85000</v>
      </c>
      <c r="EC19" s="276">
        <v>42508</v>
      </c>
      <c r="ED19" s="277" t="s">
        <v>226</v>
      </c>
      <c r="EE19" s="279" t="str">
        <f>HYPERLINK("https://my.pitchbook.com?c=42081-76", "View company online")</f>
        <v>View company online</v>
      </c>
    </row>
    <row r="20" spans="1:135" x14ac:dyDescent="0.45">
      <c r="A20" s="10" t="s">
        <v>443</v>
      </c>
      <c r="B20" s="11" t="s">
        <v>444</v>
      </c>
      <c r="C20" s="12" t="s">
        <v>153</v>
      </c>
      <c r="D20" s="13" t="s">
        <v>153</v>
      </c>
      <c r="E20" s="14" t="s">
        <v>153</v>
      </c>
      <c r="F20" s="15" t="s">
        <v>153</v>
      </c>
      <c r="G20" s="16" t="s">
        <v>445</v>
      </c>
      <c r="H20" s="17" t="s">
        <v>446</v>
      </c>
      <c r="I20" s="18" t="s">
        <v>443</v>
      </c>
      <c r="J20" s="19" t="s">
        <v>447</v>
      </c>
      <c r="K20" s="20" t="s">
        <v>257</v>
      </c>
      <c r="L20" s="21" t="s">
        <v>258</v>
      </c>
      <c r="M20" s="22" t="s">
        <v>448</v>
      </c>
      <c r="N20" s="23" t="s">
        <v>449</v>
      </c>
      <c r="O20" s="24" t="s">
        <v>450</v>
      </c>
      <c r="P20" s="25" t="s">
        <v>451</v>
      </c>
      <c r="Q20" s="26" t="s">
        <v>289</v>
      </c>
      <c r="R20" s="27">
        <v>12.65</v>
      </c>
      <c r="S20" s="28" t="s">
        <v>290</v>
      </c>
      <c r="T20" s="29" t="s">
        <v>164</v>
      </c>
      <c r="U20" s="30" t="s">
        <v>452</v>
      </c>
      <c r="V20" s="31" t="s">
        <v>453</v>
      </c>
      <c r="W20" s="32">
        <v>8800</v>
      </c>
      <c r="X20" s="33" t="s">
        <v>454</v>
      </c>
      <c r="Y20" s="34" t="s">
        <v>153</v>
      </c>
      <c r="Z20" s="35" t="s">
        <v>153</v>
      </c>
      <c r="AA20" s="36">
        <v>1986</v>
      </c>
      <c r="AB20" s="37" t="s">
        <v>455</v>
      </c>
      <c r="AC20" s="38" t="s">
        <v>153</v>
      </c>
      <c r="AD20" s="39" t="s">
        <v>153</v>
      </c>
      <c r="AE20" s="40" t="s">
        <v>153</v>
      </c>
      <c r="AF20" s="41" t="s">
        <v>153</v>
      </c>
      <c r="AG20" s="42" t="s">
        <v>153</v>
      </c>
      <c r="AH20" s="43" t="s">
        <v>153</v>
      </c>
      <c r="AI20" s="44" t="s">
        <v>153</v>
      </c>
      <c r="AJ20" s="45" t="s">
        <v>153</v>
      </c>
      <c r="AK20" s="46" t="s">
        <v>153</v>
      </c>
      <c r="AL20" s="47" t="s">
        <v>153</v>
      </c>
      <c r="AM20" s="48" t="s">
        <v>153</v>
      </c>
      <c r="AN20" s="49" t="s">
        <v>456</v>
      </c>
      <c r="AO20" s="50" t="s">
        <v>457</v>
      </c>
      <c r="AP20" s="51" t="s">
        <v>458</v>
      </c>
      <c r="AQ20" s="52" t="s">
        <v>459</v>
      </c>
      <c r="AR20" s="53" t="s">
        <v>153</v>
      </c>
      <c r="AS20" s="54" t="s">
        <v>460</v>
      </c>
      <c r="AT20" s="55" t="s">
        <v>461</v>
      </c>
      <c r="AU20" s="56" t="s">
        <v>462</v>
      </c>
      <c r="AV20" s="57" t="s">
        <v>153</v>
      </c>
      <c r="AW20" s="58" t="s">
        <v>463</v>
      </c>
      <c r="AX20" s="59" t="s">
        <v>273</v>
      </c>
      <c r="AY20" s="60" t="s">
        <v>464</v>
      </c>
      <c r="AZ20" s="61" t="s">
        <v>215</v>
      </c>
      <c r="BA20" s="62" t="s">
        <v>460</v>
      </c>
      <c r="BB20" s="63" t="s">
        <v>465</v>
      </c>
      <c r="BC20" s="64" t="s">
        <v>153</v>
      </c>
      <c r="BD20" s="65" t="s">
        <v>216</v>
      </c>
      <c r="BE20" s="66" t="s">
        <v>217</v>
      </c>
      <c r="BF20" s="67" t="s">
        <v>466</v>
      </c>
      <c r="BG20" s="68" t="s">
        <v>153</v>
      </c>
      <c r="BH20" s="69" t="s">
        <v>153</v>
      </c>
      <c r="BI20" s="70" t="s">
        <v>455</v>
      </c>
      <c r="BJ20" s="71" t="s">
        <v>467</v>
      </c>
      <c r="BK20" s="72" t="s">
        <v>153</v>
      </c>
      <c r="BL20" s="73" t="s">
        <v>153</v>
      </c>
      <c r="BM20" s="74" t="s">
        <v>468</v>
      </c>
      <c r="BN20" s="75" t="s">
        <v>153</v>
      </c>
      <c r="BO20" s="76" t="s">
        <v>469</v>
      </c>
      <c r="BP20" s="77" t="s">
        <v>470</v>
      </c>
      <c r="BQ20" s="78">
        <v>31413</v>
      </c>
      <c r="BR20" s="79" t="s">
        <v>153</v>
      </c>
      <c r="BS20" s="80" t="s">
        <v>153</v>
      </c>
      <c r="BT20" s="81" t="s">
        <v>153</v>
      </c>
      <c r="BU20" s="82" t="s">
        <v>153</v>
      </c>
      <c r="BV20" s="83" t="s">
        <v>471</v>
      </c>
      <c r="BW20" s="84" t="s">
        <v>153</v>
      </c>
      <c r="BX20" s="85" t="s">
        <v>153</v>
      </c>
      <c r="BY20" s="86" t="s">
        <v>472</v>
      </c>
      <c r="BZ20" s="87" t="s">
        <v>153</v>
      </c>
      <c r="CA20" s="88" t="s">
        <v>190</v>
      </c>
      <c r="CB20" s="89">
        <v>43789</v>
      </c>
      <c r="CC20" s="90">
        <v>80269</v>
      </c>
      <c r="CD20" s="91" t="s">
        <v>186</v>
      </c>
      <c r="CE20" s="92">
        <v>80269</v>
      </c>
      <c r="CF20" s="93" t="s">
        <v>186</v>
      </c>
      <c r="CG20" s="94" t="s">
        <v>226</v>
      </c>
      <c r="CH20" s="95" t="s">
        <v>153</v>
      </c>
      <c r="CI20" s="96" t="s">
        <v>153</v>
      </c>
      <c r="CJ20" s="97" t="s">
        <v>225</v>
      </c>
      <c r="CK20" s="98">
        <v>43789</v>
      </c>
      <c r="CL20" s="99" t="s">
        <v>153</v>
      </c>
      <c r="CM20" s="100" t="s">
        <v>153</v>
      </c>
      <c r="CN20" s="101" t="s">
        <v>190</v>
      </c>
      <c r="CO20" s="102">
        <v>2</v>
      </c>
      <c r="CP20" s="103">
        <v>98</v>
      </c>
      <c r="CQ20" s="104">
        <v>0</v>
      </c>
      <c r="CR20" s="105">
        <v>0</v>
      </c>
      <c r="CS20" s="106" t="s">
        <v>153</v>
      </c>
      <c r="CT20" s="107" t="s">
        <v>153</v>
      </c>
      <c r="CU20" s="108" t="s">
        <v>153</v>
      </c>
      <c r="CV20" s="109" t="s">
        <v>153</v>
      </c>
      <c r="CW20" s="110" t="s">
        <v>153</v>
      </c>
      <c r="CX20" s="111" t="s">
        <v>153</v>
      </c>
      <c r="CY20" s="112" t="s">
        <v>153</v>
      </c>
      <c r="CZ20" s="113" t="s">
        <v>153</v>
      </c>
      <c r="DA20" s="114" t="s">
        <v>153</v>
      </c>
      <c r="DB20" s="115" t="s">
        <v>153</v>
      </c>
      <c r="DC20" s="116">
        <v>237.84</v>
      </c>
      <c r="DD20" s="117">
        <v>100</v>
      </c>
      <c r="DE20" s="118">
        <v>0</v>
      </c>
      <c r="DF20" s="119">
        <v>0</v>
      </c>
      <c r="DG20" s="120" t="s">
        <v>153</v>
      </c>
      <c r="DH20" s="121" t="s">
        <v>153</v>
      </c>
      <c r="DI20" s="122" t="s">
        <v>153</v>
      </c>
      <c r="DJ20" s="123" t="s">
        <v>153</v>
      </c>
      <c r="DK20" s="124" t="s">
        <v>153</v>
      </c>
      <c r="DL20" s="125" t="s">
        <v>153</v>
      </c>
      <c r="DM20" s="126" t="s">
        <v>153</v>
      </c>
      <c r="DN20" s="127" t="s">
        <v>153</v>
      </c>
      <c r="DO20" s="128" t="s">
        <v>153</v>
      </c>
      <c r="DP20" s="129" t="s">
        <v>153</v>
      </c>
      <c r="DQ20" s="130" t="s">
        <v>153</v>
      </c>
      <c r="DR20" s="131" t="s">
        <v>153</v>
      </c>
      <c r="DS20" s="132" t="s">
        <v>153</v>
      </c>
      <c r="DT20" s="133" t="s">
        <v>153</v>
      </c>
      <c r="DU20" s="134" t="s">
        <v>153</v>
      </c>
      <c r="DV20" s="135" t="s">
        <v>153</v>
      </c>
      <c r="DW20" s="136" t="s">
        <v>153</v>
      </c>
      <c r="DX20" s="137" t="s">
        <v>153</v>
      </c>
      <c r="DY20" s="138" t="s">
        <v>153</v>
      </c>
      <c r="DZ20" s="139" t="s">
        <v>191</v>
      </c>
      <c r="EA20" s="140">
        <v>44393</v>
      </c>
      <c r="EB20" s="141">
        <v>80269</v>
      </c>
      <c r="EC20" s="142">
        <v>43789</v>
      </c>
      <c r="ED20" s="143" t="s">
        <v>226</v>
      </c>
      <c r="EE20" s="278" t="str">
        <f>HYPERLINK("https://my.pitchbook.com?c=41333-95", "View company online")</f>
        <v>View company online</v>
      </c>
    </row>
    <row r="21" spans="1:135" x14ac:dyDescent="0.45">
      <c r="A21" s="144" t="s">
        <v>473</v>
      </c>
      <c r="B21" s="145" t="s">
        <v>474</v>
      </c>
      <c r="C21" s="146" t="s">
        <v>153</v>
      </c>
      <c r="D21" s="147" t="s">
        <v>153</v>
      </c>
      <c r="E21" s="148" t="s">
        <v>475</v>
      </c>
      <c r="F21" s="149" t="s">
        <v>153</v>
      </c>
      <c r="G21" s="150" t="s">
        <v>476</v>
      </c>
      <c r="H21" s="151" t="s">
        <v>153</v>
      </c>
      <c r="I21" s="152" t="s">
        <v>473</v>
      </c>
      <c r="J21" s="153" t="s">
        <v>477</v>
      </c>
      <c r="K21" s="154" t="s">
        <v>257</v>
      </c>
      <c r="L21" s="155" t="s">
        <v>478</v>
      </c>
      <c r="M21" s="156" t="s">
        <v>479</v>
      </c>
      <c r="N21" s="157" t="s">
        <v>480</v>
      </c>
      <c r="O21" s="158" t="s">
        <v>261</v>
      </c>
      <c r="P21" s="159" t="s">
        <v>481</v>
      </c>
      <c r="Q21" s="160" t="s">
        <v>204</v>
      </c>
      <c r="R21" s="161" t="s">
        <v>153</v>
      </c>
      <c r="S21" s="162" t="s">
        <v>290</v>
      </c>
      <c r="T21" s="163" t="s">
        <v>205</v>
      </c>
      <c r="U21" s="164" t="s">
        <v>482</v>
      </c>
      <c r="V21" s="165" t="s">
        <v>153</v>
      </c>
      <c r="W21" s="166">
        <v>18000</v>
      </c>
      <c r="X21" s="167" t="s">
        <v>483</v>
      </c>
      <c r="Y21" s="168" t="s">
        <v>153</v>
      </c>
      <c r="Z21" s="169" t="s">
        <v>153</v>
      </c>
      <c r="AA21" s="170">
        <v>1948</v>
      </c>
      <c r="AB21" s="171" t="s">
        <v>153</v>
      </c>
      <c r="AC21" s="172" t="s">
        <v>153</v>
      </c>
      <c r="AD21" s="173" t="s">
        <v>428</v>
      </c>
      <c r="AE21" s="174" t="s">
        <v>153</v>
      </c>
      <c r="AF21" s="175" t="s">
        <v>153</v>
      </c>
      <c r="AG21" s="176" t="s">
        <v>153</v>
      </c>
      <c r="AH21" s="177" t="s">
        <v>153</v>
      </c>
      <c r="AI21" s="178" t="s">
        <v>153</v>
      </c>
      <c r="AJ21" s="179" t="s">
        <v>153</v>
      </c>
      <c r="AK21" s="180" t="s">
        <v>153</v>
      </c>
      <c r="AL21" s="181" t="s">
        <v>153</v>
      </c>
      <c r="AM21" s="182" t="s">
        <v>153</v>
      </c>
      <c r="AN21" s="183" t="s">
        <v>484</v>
      </c>
      <c r="AO21" s="184" t="s">
        <v>153</v>
      </c>
      <c r="AP21" s="185" t="s">
        <v>153</v>
      </c>
      <c r="AQ21" s="186" t="s">
        <v>153</v>
      </c>
      <c r="AR21" s="187" t="s">
        <v>153</v>
      </c>
      <c r="AS21" s="188" t="s">
        <v>153</v>
      </c>
      <c r="AT21" s="189" t="s">
        <v>485</v>
      </c>
      <c r="AU21" s="190" t="s">
        <v>486</v>
      </c>
      <c r="AV21" s="191" t="s">
        <v>153</v>
      </c>
      <c r="AW21" s="192" t="s">
        <v>487</v>
      </c>
      <c r="AX21" s="193" t="s">
        <v>308</v>
      </c>
      <c r="AY21" s="194" t="s">
        <v>488</v>
      </c>
      <c r="AZ21" s="195" t="s">
        <v>215</v>
      </c>
      <c r="BA21" s="196" t="s">
        <v>153</v>
      </c>
      <c r="BB21" s="197" t="s">
        <v>153</v>
      </c>
      <c r="BC21" s="198" t="s">
        <v>153</v>
      </c>
      <c r="BD21" s="199" t="s">
        <v>216</v>
      </c>
      <c r="BE21" s="200" t="s">
        <v>217</v>
      </c>
      <c r="BF21" s="201" t="s">
        <v>489</v>
      </c>
      <c r="BG21" s="202" t="s">
        <v>153</v>
      </c>
      <c r="BH21" s="203" t="s">
        <v>153</v>
      </c>
      <c r="BI21" s="204" t="s">
        <v>490</v>
      </c>
      <c r="BJ21" s="205" t="s">
        <v>491</v>
      </c>
      <c r="BK21" s="206" t="s">
        <v>153</v>
      </c>
      <c r="BL21" s="207" t="s">
        <v>153</v>
      </c>
      <c r="BM21" s="208" t="s">
        <v>492</v>
      </c>
      <c r="BN21" s="209" t="s">
        <v>153</v>
      </c>
      <c r="BO21" s="210" t="s">
        <v>493</v>
      </c>
      <c r="BP21" s="211" t="s">
        <v>494</v>
      </c>
      <c r="BQ21" s="212" t="s">
        <v>153</v>
      </c>
      <c r="BR21" s="213" t="s">
        <v>153</v>
      </c>
      <c r="BS21" s="214" t="s">
        <v>153</v>
      </c>
      <c r="BT21" s="215" t="s">
        <v>153</v>
      </c>
      <c r="BU21" s="216" t="s">
        <v>153</v>
      </c>
      <c r="BV21" s="217" t="s">
        <v>393</v>
      </c>
      <c r="BW21" s="218" t="s">
        <v>153</v>
      </c>
      <c r="BX21" s="219" t="s">
        <v>153</v>
      </c>
      <c r="BY21" s="220" t="s">
        <v>225</v>
      </c>
      <c r="BZ21" s="221" t="s">
        <v>153</v>
      </c>
      <c r="CA21" s="222" t="s">
        <v>190</v>
      </c>
      <c r="CB21" s="223">
        <v>42080</v>
      </c>
      <c r="CC21" s="224">
        <v>74800</v>
      </c>
      <c r="CD21" s="225" t="s">
        <v>186</v>
      </c>
      <c r="CE21" s="226">
        <v>43900</v>
      </c>
      <c r="CF21" s="227" t="s">
        <v>186</v>
      </c>
      <c r="CG21" s="228" t="s">
        <v>226</v>
      </c>
      <c r="CH21" s="229" t="s">
        <v>153</v>
      </c>
      <c r="CI21" s="230" t="s">
        <v>153</v>
      </c>
      <c r="CJ21" s="231" t="s">
        <v>225</v>
      </c>
      <c r="CK21" s="232">
        <v>42080</v>
      </c>
      <c r="CL21" s="233">
        <v>40000</v>
      </c>
      <c r="CM21" s="234" t="s">
        <v>495</v>
      </c>
      <c r="CN21" s="235" t="s">
        <v>190</v>
      </c>
      <c r="CO21" s="236" t="s">
        <v>153</v>
      </c>
      <c r="CP21" s="237" t="s">
        <v>153</v>
      </c>
      <c r="CQ21" s="238" t="s">
        <v>153</v>
      </c>
      <c r="CR21" s="239" t="s">
        <v>153</v>
      </c>
      <c r="CS21" s="240" t="s">
        <v>153</v>
      </c>
      <c r="CT21" s="241" t="s">
        <v>153</v>
      </c>
      <c r="CU21" s="242" t="s">
        <v>153</v>
      </c>
      <c r="CV21" s="243" t="s">
        <v>153</v>
      </c>
      <c r="CW21" s="244" t="s">
        <v>153</v>
      </c>
      <c r="CX21" s="245" t="s">
        <v>153</v>
      </c>
      <c r="CY21" s="246" t="s">
        <v>153</v>
      </c>
      <c r="CZ21" s="247" t="s">
        <v>153</v>
      </c>
      <c r="DA21" s="248" t="s">
        <v>153</v>
      </c>
      <c r="DB21" s="249" t="s">
        <v>153</v>
      </c>
      <c r="DC21" s="250" t="s">
        <v>153</v>
      </c>
      <c r="DD21" s="251" t="s">
        <v>153</v>
      </c>
      <c r="DE21" s="252" t="s">
        <v>153</v>
      </c>
      <c r="DF21" s="253" t="s">
        <v>153</v>
      </c>
      <c r="DG21" s="254" t="s">
        <v>153</v>
      </c>
      <c r="DH21" s="255" t="s">
        <v>153</v>
      </c>
      <c r="DI21" s="256" t="s">
        <v>153</v>
      </c>
      <c r="DJ21" s="257" t="s">
        <v>153</v>
      </c>
      <c r="DK21" s="258" t="s">
        <v>153</v>
      </c>
      <c r="DL21" s="259" t="s">
        <v>153</v>
      </c>
      <c r="DM21" s="260" t="s">
        <v>153</v>
      </c>
      <c r="DN21" s="261" t="s">
        <v>153</v>
      </c>
      <c r="DO21" s="262" t="s">
        <v>153</v>
      </c>
      <c r="DP21" s="263" t="s">
        <v>153</v>
      </c>
      <c r="DQ21" s="264" t="s">
        <v>153</v>
      </c>
      <c r="DR21" s="265" t="s">
        <v>153</v>
      </c>
      <c r="DS21" s="266" t="s">
        <v>153</v>
      </c>
      <c r="DT21" s="267" t="s">
        <v>153</v>
      </c>
      <c r="DU21" s="268" t="s">
        <v>153</v>
      </c>
      <c r="DV21" s="269" t="s">
        <v>153</v>
      </c>
      <c r="DW21" s="270" t="s">
        <v>153</v>
      </c>
      <c r="DX21" s="271" t="s">
        <v>153</v>
      </c>
      <c r="DY21" s="272" t="s">
        <v>153</v>
      </c>
      <c r="DZ21" s="273" t="s">
        <v>191</v>
      </c>
      <c r="EA21" s="274">
        <v>44357</v>
      </c>
      <c r="EB21" s="275">
        <v>43900</v>
      </c>
      <c r="EC21" s="276">
        <v>42080</v>
      </c>
      <c r="ED21" s="277" t="s">
        <v>226</v>
      </c>
      <c r="EE21" s="279" t="str">
        <f>HYPERLINK("https://my.pitchbook.com?c=11918-53", "View company online")</f>
        <v>View company online</v>
      </c>
    </row>
    <row r="22" spans="1:135" x14ac:dyDescent="0.45">
      <c r="A22" s="10" t="s">
        <v>496</v>
      </c>
      <c r="B22" s="11" t="s">
        <v>497</v>
      </c>
      <c r="C22" s="12" t="s">
        <v>153</v>
      </c>
      <c r="D22" s="13" t="s">
        <v>153</v>
      </c>
      <c r="E22" s="14" t="s">
        <v>498</v>
      </c>
      <c r="F22" s="15" t="s">
        <v>499</v>
      </c>
      <c r="G22" s="16" t="s">
        <v>500</v>
      </c>
      <c r="H22" s="17" t="s">
        <v>501</v>
      </c>
      <c r="I22" s="18" t="s">
        <v>496</v>
      </c>
      <c r="J22" s="19" t="s">
        <v>502</v>
      </c>
      <c r="K22" s="20" t="s">
        <v>157</v>
      </c>
      <c r="L22" s="21" t="s">
        <v>421</v>
      </c>
      <c r="M22" s="22" t="s">
        <v>503</v>
      </c>
      <c r="N22" s="23" t="s">
        <v>504</v>
      </c>
      <c r="O22" s="24" t="s">
        <v>153</v>
      </c>
      <c r="P22" s="25" t="s">
        <v>505</v>
      </c>
      <c r="Q22" s="26" t="s">
        <v>204</v>
      </c>
      <c r="R22" s="27">
        <v>1000</v>
      </c>
      <c r="S22" s="28" t="s">
        <v>290</v>
      </c>
      <c r="T22" s="29" t="s">
        <v>205</v>
      </c>
      <c r="U22" s="30" t="s">
        <v>292</v>
      </c>
      <c r="V22" s="31" t="s">
        <v>506</v>
      </c>
      <c r="W22" s="32">
        <v>22000</v>
      </c>
      <c r="X22" s="33" t="s">
        <v>507</v>
      </c>
      <c r="Y22" s="34" t="s">
        <v>153</v>
      </c>
      <c r="Z22" s="35" t="s">
        <v>153</v>
      </c>
      <c r="AA22" s="36">
        <v>2013</v>
      </c>
      <c r="AB22" s="37" t="s">
        <v>153</v>
      </c>
      <c r="AC22" s="38" t="s">
        <v>153</v>
      </c>
      <c r="AD22" s="39" t="s">
        <v>508</v>
      </c>
      <c r="AE22" s="40" t="s">
        <v>153</v>
      </c>
      <c r="AF22" s="41" t="s">
        <v>153</v>
      </c>
      <c r="AG22" s="42" t="s">
        <v>153</v>
      </c>
      <c r="AH22" s="43" t="s">
        <v>153</v>
      </c>
      <c r="AI22" s="44" t="s">
        <v>153</v>
      </c>
      <c r="AJ22" s="45" t="s">
        <v>153</v>
      </c>
      <c r="AK22" s="46" t="s">
        <v>153</v>
      </c>
      <c r="AL22" s="47" t="s">
        <v>153</v>
      </c>
      <c r="AM22" s="48" t="s">
        <v>153</v>
      </c>
      <c r="AN22" s="49" t="s">
        <v>509</v>
      </c>
      <c r="AO22" s="50" t="s">
        <v>510</v>
      </c>
      <c r="AP22" s="51" t="s">
        <v>511</v>
      </c>
      <c r="AQ22" s="52" t="s">
        <v>512</v>
      </c>
      <c r="AR22" s="53" t="s">
        <v>153</v>
      </c>
      <c r="AS22" s="54" t="s">
        <v>153</v>
      </c>
      <c r="AT22" s="55" t="s">
        <v>433</v>
      </c>
      <c r="AU22" s="56" t="s">
        <v>513</v>
      </c>
      <c r="AV22" s="57" t="s">
        <v>514</v>
      </c>
      <c r="AW22" s="58" t="s">
        <v>436</v>
      </c>
      <c r="AX22" s="59" t="s">
        <v>436</v>
      </c>
      <c r="AY22" s="60" t="s">
        <v>515</v>
      </c>
      <c r="AZ22" s="61" t="s">
        <v>215</v>
      </c>
      <c r="BA22" s="62" t="s">
        <v>153</v>
      </c>
      <c r="BB22" s="63" t="s">
        <v>153</v>
      </c>
      <c r="BC22" s="64" t="s">
        <v>153</v>
      </c>
      <c r="BD22" s="65" t="s">
        <v>216</v>
      </c>
      <c r="BE22" s="66" t="s">
        <v>217</v>
      </c>
      <c r="BF22" s="67" t="s">
        <v>516</v>
      </c>
      <c r="BG22" s="68" t="s">
        <v>153</v>
      </c>
      <c r="BH22" s="69" t="s">
        <v>153</v>
      </c>
      <c r="BI22" s="70" t="s">
        <v>517</v>
      </c>
      <c r="BJ22" s="71" t="s">
        <v>518</v>
      </c>
      <c r="BK22" s="72" t="s">
        <v>519</v>
      </c>
      <c r="BL22" s="73" t="s">
        <v>153</v>
      </c>
      <c r="BM22" s="74" t="s">
        <v>520</v>
      </c>
      <c r="BN22" s="75" t="s">
        <v>521</v>
      </c>
      <c r="BO22" s="76" t="s">
        <v>522</v>
      </c>
      <c r="BP22" s="77" t="s">
        <v>523</v>
      </c>
      <c r="BQ22" s="78">
        <v>41456</v>
      </c>
      <c r="BR22" s="79" t="s">
        <v>153</v>
      </c>
      <c r="BS22" s="80" t="s">
        <v>153</v>
      </c>
      <c r="BT22" s="81" t="s">
        <v>153</v>
      </c>
      <c r="BU22" s="82" t="s">
        <v>153</v>
      </c>
      <c r="BV22" s="83" t="s">
        <v>251</v>
      </c>
      <c r="BW22" s="84" t="s">
        <v>524</v>
      </c>
      <c r="BX22" s="85" t="s">
        <v>153</v>
      </c>
      <c r="BY22" s="86" t="s">
        <v>252</v>
      </c>
      <c r="BZ22" s="87" t="s">
        <v>153</v>
      </c>
      <c r="CA22" s="88" t="s">
        <v>190</v>
      </c>
      <c r="CB22" s="89">
        <v>43544</v>
      </c>
      <c r="CC22" s="90">
        <v>71300</v>
      </c>
      <c r="CD22" s="91" t="s">
        <v>186</v>
      </c>
      <c r="CE22" s="92">
        <v>71300</v>
      </c>
      <c r="CF22" s="93" t="s">
        <v>187</v>
      </c>
      <c r="CG22" s="94" t="s">
        <v>226</v>
      </c>
      <c r="CH22" s="95" t="s">
        <v>153</v>
      </c>
      <c r="CI22" s="96" t="s">
        <v>153</v>
      </c>
      <c r="CJ22" s="97" t="s">
        <v>225</v>
      </c>
      <c r="CK22" s="98">
        <v>43544</v>
      </c>
      <c r="CL22" s="99" t="s">
        <v>153</v>
      </c>
      <c r="CM22" s="100" t="s">
        <v>153</v>
      </c>
      <c r="CN22" s="101" t="s">
        <v>190</v>
      </c>
      <c r="CO22" s="102" t="s">
        <v>153</v>
      </c>
      <c r="CP22" s="103" t="s">
        <v>153</v>
      </c>
      <c r="CQ22" s="104" t="s">
        <v>153</v>
      </c>
      <c r="CR22" s="105" t="s">
        <v>153</v>
      </c>
      <c r="CS22" s="106" t="s">
        <v>153</v>
      </c>
      <c r="CT22" s="107" t="s">
        <v>153</v>
      </c>
      <c r="CU22" s="108" t="s">
        <v>153</v>
      </c>
      <c r="CV22" s="109" t="s">
        <v>153</v>
      </c>
      <c r="CW22" s="110" t="s">
        <v>153</v>
      </c>
      <c r="CX22" s="111" t="s">
        <v>153</v>
      </c>
      <c r="CY22" s="112" t="s">
        <v>153</v>
      </c>
      <c r="CZ22" s="113" t="s">
        <v>153</v>
      </c>
      <c r="DA22" s="114" t="s">
        <v>153</v>
      </c>
      <c r="DB22" s="115" t="s">
        <v>153</v>
      </c>
      <c r="DC22" s="116" t="s">
        <v>153</v>
      </c>
      <c r="DD22" s="117" t="s">
        <v>153</v>
      </c>
      <c r="DE22" s="118" t="s">
        <v>153</v>
      </c>
      <c r="DF22" s="119" t="s">
        <v>153</v>
      </c>
      <c r="DG22" s="120" t="s">
        <v>153</v>
      </c>
      <c r="DH22" s="121" t="s">
        <v>153</v>
      </c>
      <c r="DI22" s="122" t="s">
        <v>153</v>
      </c>
      <c r="DJ22" s="123" t="s">
        <v>153</v>
      </c>
      <c r="DK22" s="124" t="s">
        <v>153</v>
      </c>
      <c r="DL22" s="125" t="s">
        <v>153</v>
      </c>
      <c r="DM22" s="126" t="s">
        <v>153</v>
      </c>
      <c r="DN22" s="127" t="s">
        <v>153</v>
      </c>
      <c r="DO22" s="128" t="s">
        <v>153</v>
      </c>
      <c r="DP22" s="129" t="s">
        <v>153</v>
      </c>
      <c r="DQ22" s="130" t="s">
        <v>153</v>
      </c>
      <c r="DR22" s="131" t="s">
        <v>153</v>
      </c>
      <c r="DS22" s="132" t="s">
        <v>153</v>
      </c>
      <c r="DT22" s="133" t="s">
        <v>153</v>
      </c>
      <c r="DU22" s="134" t="s">
        <v>153</v>
      </c>
      <c r="DV22" s="135" t="s">
        <v>153</v>
      </c>
      <c r="DW22" s="136" t="s">
        <v>153</v>
      </c>
      <c r="DX22" s="137" t="s">
        <v>153</v>
      </c>
      <c r="DY22" s="138" t="s">
        <v>153</v>
      </c>
      <c r="DZ22" s="139" t="s">
        <v>191</v>
      </c>
      <c r="EA22" s="140">
        <v>44329</v>
      </c>
      <c r="EB22" s="141">
        <v>71300</v>
      </c>
      <c r="EC22" s="142">
        <v>43544</v>
      </c>
      <c r="ED22" s="143" t="s">
        <v>226</v>
      </c>
      <c r="EE22" s="278" t="str">
        <f>HYPERLINK("https://my.pitchbook.com?c=57961-99", "View company online")</f>
        <v>View company online</v>
      </c>
    </row>
    <row r="23" spans="1:135" x14ac:dyDescent="0.45">
      <c r="A23" s="144" t="s">
        <v>525</v>
      </c>
      <c r="B23" s="145" t="s">
        <v>526</v>
      </c>
      <c r="C23" s="146" t="s">
        <v>153</v>
      </c>
      <c r="D23" s="147" t="s">
        <v>153</v>
      </c>
      <c r="E23" s="148" t="s">
        <v>153</v>
      </c>
      <c r="F23" s="149" t="s">
        <v>153</v>
      </c>
      <c r="G23" s="150" t="s">
        <v>527</v>
      </c>
      <c r="H23" s="151" t="s">
        <v>528</v>
      </c>
      <c r="I23" s="152" t="s">
        <v>525</v>
      </c>
      <c r="J23" s="153" t="s">
        <v>529</v>
      </c>
      <c r="K23" s="154" t="s">
        <v>257</v>
      </c>
      <c r="L23" s="155" t="s">
        <v>530</v>
      </c>
      <c r="M23" s="156" t="s">
        <v>531</v>
      </c>
      <c r="N23" s="157" t="s">
        <v>532</v>
      </c>
      <c r="O23" s="158" t="s">
        <v>153</v>
      </c>
      <c r="P23" s="159" t="s">
        <v>533</v>
      </c>
      <c r="Q23" s="160" t="s">
        <v>204</v>
      </c>
      <c r="R23" s="161" t="s">
        <v>153</v>
      </c>
      <c r="S23" s="162" t="s">
        <v>163</v>
      </c>
      <c r="T23" s="163" t="s">
        <v>164</v>
      </c>
      <c r="U23" s="164" t="s">
        <v>237</v>
      </c>
      <c r="V23" s="165" t="s">
        <v>534</v>
      </c>
      <c r="W23" s="166">
        <v>35000</v>
      </c>
      <c r="X23" s="167" t="s">
        <v>535</v>
      </c>
      <c r="Y23" s="168" t="s">
        <v>153</v>
      </c>
      <c r="Z23" s="169" t="s">
        <v>153</v>
      </c>
      <c r="AA23" s="170">
        <v>1852</v>
      </c>
      <c r="AB23" s="171" t="s">
        <v>536</v>
      </c>
      <c r="AC23" s="172" t="s">
        <v>428</v>
      </c>
      <c r="AD23" s="173" t="s">
        <v>537</v>
      </c>
      <c r="AE23" s="174" t="s">
        <v>153</v>
      </c>
      <c r="AF23" s="175" t="s">
        <v>153</v>
      </c>
      <c r="AG23" s="176" t="s">
        <v>153</v>
      </c>
      <c r="AH23" s="177" t="s">
        <v>153</v>
      </c>
      <c r="AI23" s="178" t="s">
        <v>153</v>
      </c>
      <c r="AJ23" s="179" t="s">
        <v>153</v>
      </c>
      <c r="AK23" s="180" t="s">
        <v>153</v>
      </c>
      <c r="AL23" s="181" t="s">
        <v>153</v>
      </c>
      <c r="AM23" s="182" t="s">
        <v>153</v>
      </c>
      <c r="AN23" s="183" t="s">
        <v>538</v>
      </c>
      <c r="AO23" s="184" t="s">
        <v>539</v>
      </c>
      <c r="AP23" s="185" t="s">
        <v>540</v>
      </c>
      <c r="AQ23" s="186" t="s">
        <v>541</v>
      </c>
      <c r="AR23" s="187" t="s">
        <v>542</v>
      </c>
      <c r="AS23" s="188" t="s">
        <v>543</v>
      </c>
      <c r="AT23" s="189" t="s">
        <v>544</v>
      </c>
      <c r="AU23" s="190" t="s">
        <v>545</v>
      </c>
      <c r="AV23" s="191" t="s">
        <v>153</v>
      </c>
      <c r="AW23" s="192" t="s">
        <v>546</v>
      </c>
      <c r="AX23" s="193" t="s">
        <v>213</v>
      </c>
      <c r="AY23" s="194" t="s">
        <v>547</v>
      </c>
      <c r="AZ23" s="195" t="s">
        <v>215</v>
      </c>
      <c r="BA23" s="196" t="s">
        <v>548</v>
      </c>
      <c r="BB23" s="197" t="s">
        <v>153</v>
      </c>
      <c r="BC23" s="198" t="s">
        <v>153</v>
      </c>
      <c r="BD23" s="199" t="s">
        <v>216</v>
      </c>
      <c r="BE23" s="200" t="s">
        <v>217</v>
      </c>
      <c r="BF23" s="201" t="s">
        <v>549</v>
      </c>
      <c r="BG23" s="202" t="s">
        <v>153</v>
      </c>
      <c r="BH23" s="203" t="s">
        <v>153</v>
      </c>
      <c r="BI23" s="204" t="s">
        <v>536</v>
      </c>
      <c r="BJ23" s="205" t="s">
        <v>153</v>
      </c>
      <c r="BK23" s="206" t="s">
        <v>550</v>
      </c>
      <c r="BL23" s="207" t="s">
        <v>153</v>
      </c>
      <c r="BM23" s="208" t="s">
        <v>153</v>
      </c>
      <c r="BN23" s="209" t="s">
        <v>551</v>
      </c>
      <c r="BO23" s="210" t="s">
        <v>552</v>
      </c>
      <c r="BP23" s="211" t="s">
        <v>553</v>
      </c>
      <c r="BQ23" s="212">
        <v>28503</v>
      </c>
      <c r="BR23" s="213" t="s">
        <v>153</v>
      </c>
      <c r="BS23" s="214" t="s">
        <v>153</v>
      </c>
      <c r="BT23" s="215" t="s">
        <v>153</v>
      </c>
      <c r="BU23" s="216" t="s">
        <v>153</v>
      </c>
      <c r="BV23" s="217" t="s">
        <v>251</v>
      </c>
      <c r="BW23" s="218" t="s">
        <v>153</v>
      </c>
      <c r="BX23" s="219" t="s">
        <v>153</v>
      </c>
      <c r="BY23" s="220" t="s">
        <v>252</v>
      </c>
      <c r="BZ23" s="221" t="s">
        <v>153</v>
      </c>
      <c r="CA23" s="222" t="s">
        <v>190</v>
      </c>
      <c r="CB23" s="223">
        <v>43432</v>
      </c>
      <c r="CC23" s="224">
        <v>69766</v>
      </c>
      <c r="CD23" s="225" t="s">
        <v>186</v>
      </c>
      <c r="CE23" s="226">
        <v>69766</v>
      </c>
      <c r="CF23" s="227" t="s">
        <v>187</v>
      </c>
      <c r="CG23" s="228" t="s">
        <v>226</v>
      </c>
      <c r="CH23" s="229" t="s">
        <v>153</v>
      </c>
      <c r="CI23" s="230" t="s">
        <v>153</v>
      </c>
      <c r="CJ23" s="231" t="s">
        <v>225</v>
      </c>
      <c r="CK23" s="232">
        <v>43432</v>
      </c>
      <c r="CL23" s="233" t="s">
        <v>153</v>
      </c>
      <c r="CM23" s="234" t="s">
        <v>153</v>
      </c>
      <c r="CN23" s="235" t="s">
        <v>190</v>
      </c>
      <c r="CO23" s="236">
        <v>0.41</v>
      </c>
      <c r="CP23" s="237">
        <v>92</v>
      </c>
      <c r="CQ23" s="238">
        <v>-0.01</v>
      </c>
      <c r="CR23" s="239">
        <v>-1.33</v>
      </c>
      <c r="CS23" s="240">
        <v>0.55000000000000004</v>
      </c>
      <c r="CT23" s="241">
        <v>93</v>
      </c>
      <c r="CU23" s="242">
        <v>-0.05</v>
      </c>
      <c r="CV23" s="243">
        <v>32</v>
      </c>
      <c r="CW23" s="244">
        <v>0.9</v>
      </c>
      <c r="CX23" s="245">
        <v>81</v>
      </c>
      <c r="CY23" s="246">
        <v>0.2</v>
      </c>
      <c r="CZ23" s="247">
        <v>92</v>
      </c>
      <c r="DA23" s="248">
        <v>-0.05</v>
      </c>
      <c r="DB23" s="249">
        <v>32</v>
      </c>
      <c r="DC23" s="250">
        <v>2621.68</v>
      </c>
      <c r="DD23" s="251">
        <v>100</v>
      </c>
      <c r="DE23" s="252">
        <v>13.33</v>
      </c>
      <c r="DF23" s="253">
        <v>0.51</v>
      </c>
      <c r="DG23" s="254">
        <v>2409.61</v>
      </c>
      <c r="DH23" s="255">
        <v>100</v>
      </c>
      <c r="DI23" s="256">
        <v>169.48</v>
      </c>
      <c r="DJ23" s="257">
        <v>99</v>
      </c>
      <c r="DK23" s="258">
        <v>3637.41</v>
      </c>
      <c r="DL23" s="259">
        <v>100</v>
      </c>
      <c r="DM23" s="260">
        <v>1181.81</v>
      </c>
      <c r="DN23" s="261">
        <v>100</v>
      </c>
      <c r="DO23" s="262">
        <v>169.48</v>
      </c>
      <c r="DP23" s="263">
        <v>99</v>
      </c>
      <c r="DQ23" s="264">
        <v>2148888</v>
      </c>
      <c r="DR23" s="265">
        <v>29677</v>
      </c>
      <c r="DS23" s="266">
        <v>1.4</v>
      </c>
      <c r="DT23" s="267">
        <v>18891</v>
      </c>
      <c r="DU23" s="268">
        <v>47</v>
      </c>
      <c r="DV23" s="269">
        <v>0.25</v>
      </c>
      <c r="DW23" s="270">
        <v>53214</v>
      </c>
      <c r="DX23" s="271">
        <v>16</v>
      </c>
      <c r="DY23" s="272">
        <v>0.03</v>
      </c>
      <c r="DZ23" s="273" t="s">
        <v>191</v>
      </c>
      <c r="EA23" s="274">
        <v>44374</v>
      </c>
      <c r="EB23" s="275">
        <v>69766</v>
      </c>
      <c r="EC23" s="276">
        <v>43432</v>
      </c>
      <c r="ED23" s="277" t="s">
        <v>226</v>
      </c>
      <c r="EE23" s="279" t="str">
        <f>HYPERLINK("https://my.pitchbook.com?c=11543-32", "View company online")</f>
        <v>View company online</v>
      </c>
    </row>
    <row r="24" spans="1:135" x14ac:dyDescent="0.45">
      <c r="A24" s="10" t="s">
        <v>554</v>
      </c>
      <c r="B24" s="11" t="s">
        <v>555</v>
      </c>
      <c r="C24" s="12" t="s">
        <v>153</v>
      </c>
      <c r="D24" s="13" t="s">
        <v>153</v>
      </c>
      <c r="E24" s="14" t="s">
        <v>153</v>
      </c>
      <c r="F24" s="15" t="s">
        <v>153</v>
      </c>
      <c r="G24" s="16" t="s">
        <v>556</v>
      </c>
      <c r="H24" s="17" t="s">
        <v>557</v>
      </c>
      <c r="I24" s="18" t="s">
        <v>554</v>
      </c>
      <c r="J24" s="19" t="s">
        <v>558</v>
      </c>
      <c r="K24" s="20" t="s">
        <v>559</v>
      </c>
      <c r="L24" s="21" t="s">
        <v>560</v>
      </c>
      <c r="M24" s="22" t="s">
        <v>561</v>
      </c>
      <c r="N24" s="23" t="s">
        <v>562</v>
      </c>
      <c r="O24" s="24" t="s">
        <v>261</v>
      </c>
      <c r="P24" s="25" t="s">
        <v>563</v>
      </c>
      <c r="Q24" s="26" t="s">
        <v>564</v>
      </c>
      <c r="R24" s="27" t="s">
        <v>153</v>
      </c>
      <c r="S24" s="28" t="s">
        <v>290</v>
      </c>
      <c r="T24" s="29" t="s">
        <v>291</v>
      </c>
      <c r="U24" s="30" t="s">
        <v>565</v>
      </c>
      <c r="V24" s="31" t="s">
        <v>566</v>
      </c>
      <c r="W24" s="32">
        <v>33000</v>
      </c>
      <c r="X24" s="33" t="s">
        <v>567</v>
      </c>
      <c r="Y24" s="34" t="s">
        <v>568</v>
      </c>
      <c r="Z24" s="35" t="s">
        <v>569</v>
      </c>
      <c r="AA24" s="36">
        <v>1976</v>
      </c>
      <c r="AB24" s="37" t="s">
        <v>153</v>
      </c>
      <c r="AC24" s="38" t="s">
        <v>570</v>
      </c>
      <c r="AD24" s="39" t="s">
        <v>537</v>
      </c>
      <c r="AE24" s="40">
        <v>33085.360000000001</v>
      </c>
      <c r="AF24" s="41">
        <v>7809.94</v>
      </c>
      <c r="AG24" s="42">
        <v>1590.59</v>
      </c>
      <c r="AH24" s="43">
        <v>102749.32</v>
      </c>
      <c r="AI24" s="44">
        <v>6325.32</v>
      </c>
      <c r="AJ24" s="45">
        <v>3027.27</v>
      </c>
      <c r="AK24" s="46">
        <v>95065.39</v>
      </c>
      <c r="AL24" s="47">
        <v>314.68</v>
      </c>
      <c r="AM24" s="48">
        <v>-4.08</v>
      </c>
      <c r="AN24" s="49" t="s">
        <v>376</v>
      </c>
      <c r="AO24" s="50" t="s">
        <v>571</v>
      </c>
      <c r="AP24" s="51" t="s">
        <v>572</v>
      </c>
      <c r="AQ24" s="52" t="s">
        <v>573</v>
      </c>
      <c r="AR24" s="53" t="s">
        <v>574</v>
      </c>
      <c r="AS24" s="54" t="s">
        <v>575</v>
      </c>
      <c r="AT24" s="55" t="s">
        <v>576</v>
      </c>
      <c r="AU24" s="56" t="s">
        <v>577</v>
      </c>
      <c r="AV24" s="57" t="s">
        <v>153</v>
      </c>
      <c r="AW24" s="58" t="s">
        <v>578</v>
      </c>
      <c r="AX24" s="59" t="s">
        <v>153</v>
      </c>
      <c r="AY24" s="60" t="s">
        <v>579</v>
      </c>
      <c r="AZ24" s="61" t="s">
        <v>580</v>
      </c>
      <c r="BA24" s="62" t="s">
        <v>575</v>
      </c>
      <c r="BB24" s="63" t="s">
        <v>581</v>
      </c>
      <c r="BC24" s="64" t="s">
        <v>582</v>
      </c>
      <c r="BD24" s="65" t="s">
        <v>248</v>
      </c>
      <c r="BE24" s="66" t="s">
        <v>248</v>
      </c>
      <c r="BF24" s="67" t="s">
        <v>583</v>
      </c>
      <c r="BG24" s="68" t="s">
        <v>153</v>
      </c>
      <c r="BH24" s="69" t="s">
        <v>153</v>
      </c>
      <c r="BI24" s="70" t="s">
        <v>584</v>
      </c>
      <c r="BJ24" s="71" t="s">
        <v>585</v>
      </c>
      <c r="BK24" s="72" t="s">
        <v>153</v>
      </c>
      <c r="BL24" s="73" t="s">
        <v>153</v>
      </c>
      <c r="BM24" s="74" t="s">
        <v>586</v>
      </c>
      <c r="BN24" s="75" t="s">
        <v>153</v>
      </c>
      <c r="BO24" s="76" t="s">
        <v>587</v>
      </c>
      <c r="BP24" s="77" t="s">
        <v>588</v>
      </c>
      <c r="BQ24" s="78">
        <v>27760</v>
      </c>
      <c r="BR24" s="79" t="s">
        <v>153</v>
      </c>
      <c r="BS24" s="80" t="s">
        <v>153</v>
      </c>
      <c r="BT24" s="81" t="s">
        <v>153</v>
      </c>
      <c r="BU24" s="82" t="s">
        <v>153</v>
      </c>
      <c r="BV24" s="83" t="s">
        <v>589</v>
      </c>
      <c r="BW24" s="84" t="s">
        <v>153</v>
      </c>
      <c r="BX24" s="85" t="s">
        <v>153</v>
      </c>
      <c r="BY24" s="86" t="s">
        <v>165</v>
      </c>
      <c r="BZ24" s="87" t="s">
        <v>153</v>
      </c>
      <c r="CA24" s="88" t="s">
        <v>190</v>
      </c>
      <c r="CB24" s="89">
        <v>43999</v>
      </c>
      <c r="CC24" s="90">
        <v>68933.67</v>
      </c>
      <c r="CD24" s="91" t="s">
        <v>186</v>
      </c>
      <c r="CE24" s="92">
        <v>98476.67</v>
      </c>
      <c r="CF24" s="93" t="s">
        <v>187</v>
      </c>
      <c r="CG24" s="94" t="s">
        <v>226</v>
      </c>
      <c r="CH24" s="95" t="s">
        <v>153</v>
      </c>
      <c r="CI24" s="96" t="s">
        <v>153</v>
      </c>
      <c r="CJ24" s="97" t="s">
        <v>225</v>
      </c>
      <c r="CK24" s="98">
        <v>43999</v>
      </c>
      <c r="CL24" s="99" t="s">
        <v>153</v>
      </c>
      <c r="CM24" s="100" t="s">
        <v>153</v>
      </c>
      <c r="CN24" s="101" t="s">
        <v>190</v>
      </c>
      <c r="CO24" s="102">
        <v>1.6</v>
      </c>
      <c r="CP24" s="103">
        <v>98</v>
      </c>
      <c r="CQ24" s="104">
        <v>-0.02</v>
      </c>
      <c r="CR24" s="105">
        <v>-1.48</v>
      </c>
      <c r="CS24" s="106">
        <v>3.2</v>
      </c>
      <c r="CT24" s="107">
        <v>99</v>
      </c>
      <c r="CU24" s="108">
        <v>0</v>
      </c>
      <c r="CV24" s="109">
        <v>41</v>
      </c>
      <c r="CW24" s="110">
        <v>6.79</v>
      </c>
      <c r="CX24" s="111">
        <v>97</v>
      </c>
      <c r="CY24" s="112">
        <v>-0.39</v>
      </c>
      <c r="CZ24" s="113">
        <v>3</v>
      </c>
      <c r="DA24" s="114">
        <v>0</v>
      </c>
      <c r="DB24" s="115">
        <v>41</v>
      </c>
      <c r="DC24" s="116">
        <v>337.23</v>
      </c>
      <c r="DD24" s="117">
        <v>100</v>
      </c>
      <c r="DE24" s="118">
        <v>0.92</v>
      </c>
      <c r="DF24" s="119">
        <v>0.27</v>
      </c>
      <c r="DG24" s="120">
        <v>192.48</v>
      </c>
      <c r="DH24" s="121">
        <v>100</v>
      </c>
      <c r="DI24" s="122">
        <v>481.98</v>
      </c>
      <c r="DJ24" s="123">
        <v>100</v>
      </c>
      <c r="DK24" s="124">
        <v>150.21</v>
      </c>
      <c r="DL24" s="125">
        <v>98</v>
      </c>
      <c r="DM24" s="126">
        <v>234.75</v>
      </c>
      <c r="DN24" s="127">
        <v>100</v>
      </c>
      <c r="DO24" s="128">
        <v>481.98</v>
      </c>
      <c r="DP24" s="129">
        <v>100</v>
      </c>
      <c r="DQ24" s="130">
        <v>87348</v>
      </c>
      <c r="DR24" s="131">
        <v>6330</v>
      </c>
      <c r="DS24" s="132">
        <v>7.81</v>
      </c>
      <c r="DT24" s="133">
        <v>3772</v>
      </c>
      <c r="DU24" s="134">
        <v>-41</v>
      </c>
      <c r="DV24" s="135">
        <v>-1.08</v>
      </c>
      <c r="DW24" s="136">
        <v>151321</v>
      </c>
      <c r="DX24" s="137">
        <v>78</v>
      </c>
      <c r="DY24" s="138">
        <v>0.05</v>
      </c>
      <c r="DZ24" s="139" t="s">
        <v>191</v>
      </c>
      <c r="EA24" s="140">
        <v>44389</v>
      </c>
      <c r="EB24" s="141">
        <v>98476.67</v>
      </c>
      <c r="EC24" s="142">
        <v>43999</v>
      </c>
      <c r="ED24" s="143" t="s">
        <v>226</v>
      </c>
      <c r="EE24" s="278" t="str">
        <f>HYPERLINK("https://my.pitchbook.com?c=153332-11", "View company online")</f>
        <v>View company online</v>
      </c>
    </row>
    <row r="25" spans="1:135" x14ac:dyDescent="0.45">
      <c r="A25" s="144" t="s">
        <v>590</v>
      </c>
      <c r="B25" s="145" t="s">
        <v>591</v>
      </c>
      <c r="C25" s="146" t="s">
        <v>153</v>
      </c>
      <c r="D25" s="147" t="s">
        <v>153</v>
      </c>
      <c r="E25" s="148" t="s">
        <v>592</v>
      </c>
      <c r="F25" s="149" t="s">
        <v>153</v>
      </c>
      <c r="G25" s="150" t="s">
        <v>153</v>
      </c>
      <c r="H25" s="151" t="s">
        <v>593</v>
      </c>
      <c r="I25" s="152" t="s">
        <v>590</v>
      </c>
      <c r="J25" s="153" t="s">
        <v>594</v>
      </c>
      <c r="K25" s="154" t="s">
        <v>257</v>
      </c>
      <c r="L25" s="155" t="s">
        <v>258</v>
      </c>
      <c r="M25" s="156" t="s">
        <v>259</v>
      </c>
      <c r="N25" s="157" t="s">
        <v>595</v>
      </c>
      <c r="O25" s="158" t="s">
        <v>596</v>
      </c>
      <c r="P25" s="159" t="s">
        <v>597</v>
      </c>
      <c r="Q25" s="160" t="s">
        <v>204</v>
      </c>
      <c r="R25" s="161" t="s">
        <v>153</v>
      </c>
      <c r="S25" s="162" t="s">
        <v>290</v>
      </c>
      <c r="T25" s="163" t="s">
        <v>205</v>
      </c>
      <c r="U25" s="164" t="s">
        <v>482</v>
      </c>
      <c r="V25" s="165" t="s">
        <v>153</v>
      </c>
      <c r="W25" s="166">
        <v>47426</v>
      </c>
      <c r="X25" s="167" t="s">
        <v>598</v>
      </c>
      <c r="Y25" s="168" t="s">
        <v>153</v>
      </c>
      <c r="Z25" s="169" t="s">
        <v>153</v>
      </c>
      <c r="AA25" s="170">
        <v>1860</v>
      </c>
      <c r="AB25" s="171" t="s">
        <v>265</v>
      </c>
      <c r="AC25" s="172" t="s">
        <v>153</v>
      </c>
      <c r="AD25" s="173" t="s">
        <v>153</v>
      </c>
      <c r="AE25" s="174" t="s">
        <v>153</v>
      </c>
      <c r="AF25" s="175" t="s">
        <v>153</v>
      </c>
      <c r="AG25" s="176" t="s">
        <v>153</v>
      </c>
      <c r="AH25" s="177" t="s">
        <v>153</v>
      </c>
      <c r="AI25" s="178" t="s">
        <v>153</v>
      </c>
      <c r="AJ25" s="179" t="s">
        <v>153</v>
      </c>
      <c r="AK25" s="180" t="s">
        <v>153</v>
      </c>
      <c r="AL25" s="181" t="s">
        <v>153</v>
      </c>
      <c r="AM25" s="182" t="s">
        <v>153</v>
      </c>
      <c r="AN25" s="183" t="s">
        <v>599</v>
      </c>
      <c r="AO25" s="184" t="s">
        <v>600</v>
      </c>
      <c r="AP25" s="185" t="s">
        <v>601</v>
      </c>
      <c r="AQ25" s="186" t="s">
        <v>602</v>
      </c>
      <c r="AR25" s="187" t="s">
        <v>153</v>
      </c>
      <c r="AS25" s="188" t="s">
        <v>153</v>
      </c>
      <c r="AT25" s="189" t="s">
        <v>603</v>
      </c>
      <c r="AU25" s="190" t="s">
        <v>604</v>
      </c>
      <c r="AV25" s="191" t="s">
        <v>153</v>
      </c>
      <c r="AW25" s="192" t="s">
        <v>605</v>
      </c>
      <c r="AX25" s="193" t="s">
        <v>273</v>
      </c>
      <c r="AY25" s="194" t="s">
        <v>606</v>
      </c>
      <c r="AZ25" s="195" t="s">
        <v>215</v>
      </c>
      <c r="BA25" s="196" t="s">
        <v>153</v>
      </c>
      <c r="BB25" s="197" t="s">
        <v>153</v>
      </c>
      <c r="BC25" s="198" t="s">
        <v>153</v>
      </c>
      <c r="BD25" s="199" t="s">
        <v>216</v>
      </c>
      <c r="BE25" s="200" t="s">
        <v>217</v>
      </c>
      <c r="BF25" s="201" t="s">
        <v>607</v>
      </c>
      <c r="BG25" s="202" t="s">
        <v>153</v>
      </c>
      <c r="BH25" s="203" t="s">
        <v>153</v>
      </c>
      <c r="BI25" s="204" t="s">
        <v>265</v>
      </c>
      <c r="BJ25" s="205" t="s">
        <v>608</v>
      </c>
      <c r="BK25" s="206" t="s">
        <v>153</v>
      </c>
      <c r="BL25" s="207" t="s">
        <v>153</v>
      </c>
      <c r="BM25" s="208" t="s">
        <v>609</v>
      </c>
      <c r="BN25" s="209" t="s">
        <v>153</v>
      </c>
      <c r="BO25" s="210" t="s">
        <v>610</v>
      </c>
      <c r="BP25" s="211" t="s">
        <v>611</v>
      </c>
      <c r="BQ25" s="212" t="s">
        <v>153</v>
      </c>
      <c r="BR25" s="213" t="s">
        <v>153</v>
      </c>
      <c r="BS25" s="214" t="s">
        <v>153</v>
      </c>
      <c r="BT25" s="215" t="s">
        <v>153</v>
      </c>
      <c r="BU25" s="216" t="s">
        <v>153</v>
      </c>
      <c r="BV25" s="217" t="s">
        <v>471</v>
      </c>
      <c r="BW25" s="218" t="s">
        <v>153</v>
      </c>
      <c r="BX25" s="219" t="s">
        <v>153</v>
      </c>
      <c r="BY25" s="220" t="s">
        <v>472</v>
      </c>
      <c r="BZ25" s="221" t="s">
        <v>153</v>
      </c>
      <c r="CA25" s="222" t="s">
        <v>190</v>
      </c>
      <c r="CB25" s="223">
        <v>39814</v>
      </c>
      <c r="CC25" s="224">
        <v>68000</v>
      </c>
      <c r="CD25" s="225" t="s">
        <v>186</v>
      </c>
      <c r="CE25" s="226">
        <v>45500</v>
      </c>
      <c r="CF25" s="227" t="s">
        <v>186</v>
      </c>
      <c r="CG25" s="228" t="s">
        <v>226</v>
      </c>
      <c r="CH25" s="229" t="s">
        <v>153</v>
      </c>
      <c r="CI25" s="230" t="s">
        <v>153</v>
      </c>
      <c r="CJ25" s="231" t="s">
        <v>225</v>
      </c>
      <c r="CK25" s="232">
        <v>39814</v>
      </c>
      <c r="CL25" s="233">
        <v>22500</v>
      </c>
      <c r="CM25" s="234" t="s">
        <v>612</v>
      </c>
      <c r="CN25" s="235" t="s">
        <v>190</v>
      </c>
      <c r="CO25" s="236" t="s">
        <v>153</v>
      </c>
      <c r="CP25" s="237" t="s">
        <v>153</v>
      </c>
      <c r="CQ25" s="238" t="s">
        <v>153</v>
      </c>
      <c r="CR25" s="239" t="s">
        <v>153</v>
      </c>
      <c r="CS25" s="240" t="s">
        <v>153</v>
      </c>
      <c r="CT25" s="241" t="s">
        <v>153</v>
      </c>
      <c r="CU25" s="242" t="s">
        <v>153</v>
      </c>
      <c r="CV25" s="243" t="s">
        <v>153</v>
      </c>
      <c r="CW25" s="244" t="s">
        <v>153</v>
      </c>
      <c r="CX25" s="245" t="s">
        <v>153</v>
      </c>
      <c r="CY25" s="246" t="s">
        <v>153</v>
      </c>
      <c r="CZ25" s="247" t="s">
        <v>153</v>
      </c>
      <c r="DA25" s="248" t="s">
        <v>153</v>
      </c>
      <c r="DB25" s="249" t="s">
        <v>153</v>
      </c>
      <c r="DC25" s="250" t="s">
        <v>153</v>
      </c>
      <c r="DD25" s="251" t="s">
        <v>153</v>
      </c>
      <c r="DE25" s="252" t="s">
        <v>153</v>
      </c>
      <c r="DF25" s="253" t="s">
        <v>153</v>
      </c>
      <c r="DG25" s="254" t="s">
        <v>153</v>
      </c>
      <c r="DH25" s="255" t="s">
        <v>153</v>
      </c>
      <c r="DI25" s="256" t="s">
        <v>153</v>
      </c>
      <c r="DJ25" s="257" t="s">
        <v>153</v>
      </c>
      <c r="DK25" s="258" t="s">
        <v>153</v>
      </c>
      <c r="DL25" s="259" t="s">
        <v>153</v>
      </c>
      <c r="DM25" s="260" t="s">
        <v>153</v>
      </c>
      <c r="DN25" s="261" t="s">
        <v>153</v>
      </c>
      <c r="DO25" s="262" t="s">
        <v>153</v>
      </c>
      <c r="DP25" s="263" t="s">
        <v>153</v>
      </c>
      <c r="DQ25" s="264" t="s">
        <v>153</v>
      </c>
      <c r="DR25" s="265" t="s">
        <v>153</v>
      </c>
      <c r="DS25" s="266" t="s">
        <v>153</v>
      </c>
      <c r="DT25" s="267" t="s">
        <v>153</v>
      </c>
      <c r="DU25" s="268" t="s">
        <v>153</v>
      </c>
      <c r="DV25" s="269" t="s">
        <v>153</v>
      </c>
      <c r="DW25" s="270" t="s">
        <v>153</v>
      </c>
      <c r="DX25" s="271" t="s">
        <v>153</v>
      </c>
      <c r="DY25" s="272" t="s">
        <v>153</v>
      </c>
      <c r="DZ25" s="273" t="s">
        <v>191</v>
      </c>
      <c r="EA25" s="274">
        <v>44349</v>
      </c>
      <c r="EB25" s="275">
        <v>45500</v>
      </c>
      <c r="EC25" s="276">
        <v>39814</v>
      </c>
      <c r="ED25" s="277" t="s">
        <v>226</v>
      </c>
      <c r="EE25" s="279" t="str">
        <f>HYPERLINK("https://my.pitchbook.com?c=10384-84", "View company online")</f>
        <v>View company online</v>
      </c>
    </row>
    <row r="26" spans="1:135" x14ac:dyDescent="0.45">
      <c r="A26" s="10" t="s">
        <v>613</v>
      </c>
      <c r="B26" s="11" t="s">
        <v>490</v>
      </c>
      <c r="C26" s="12" t="s">
        <v>153</v>
      </c>
      <c r="D26" s="13" t="s">
        <v>153</v>
      </c>
      <c r="E26" s="14" t="s">
        <v>614</v>
      </c>
      <c r="F26" s="15" t="s">
        <v>153</v>
      </c>
      <c r="G26" s="16" t="s">
        <v>615</v>
      </c>
      <c r="H26" s="17" t="s">
        <v>616</v>
      </c>
      <c r="I26" s="18" t="s">
        <v>613</v>
      </c>
      <c r="J26" s="19" t="s">
        <v>617</v>
      </c>
      <c r="K26" s="20" t="s">
        <v>257</v>
      </c>
      <c r="L26" s="21" t="s">
        <v>258</v>
      </c>
      <c r="M26" s="22" t="s">
        <v>259</v>
      </c>
      <c r="N26" s="23" t="s">
        <v>260</v>
      </c>
      <c r="O26" s="24" t="s">
        <v>596</v>
      </c>
      <c r="P26" s="25" t="s">
        <v>618</v>
      </c>
      <c r="Q26" s="26" t="s">
        <v>204</v>
      </c>
      <c r="R26" s="27" t="s">
        <v>153</v>
      </c>
      <c r="S26" s="28" t="s">
        <v>368</v>
      </c>
      <c r="T26" s="29" t="s">
        <v>205</v>
      </c>
      <c r="U26" s="30" t="s">
        <v>237</v>
      </c>
      <c r="V26" s="31" t="s">
        <v>619</v>
      </c>
      <c r="W26" s="32">
        <v>17400</v>
      </c>
      <c r="X26" s="33" t="s">
        <v>620</v>
      </c>
      <c r="Y26" s="34" t="s">
        <v>153</v>
      </c>
      <c r="Z26" s="35" t="s">
        <v>153</v>
      </c>
      <c r="AA26" s="36">
        <v>1983</v>
      </c>
      <c r="AB26" s="37" t="s">
        <v>621</v>
      </c>
      <c r="AC26" s="38" t="s">
        <v>570</v>
      </c>
      <c r="AD26" s="39" t="s">
        <v>622</v>
      </c>
      <c r="AE26" s="40" t="s">
        <v>153</v>
      </c>
      <c r="AF26" s="41" t="s">
        <v>153</v>
      </c>
      <c r="AG26" s="42" t="s">
        <v>153</v>
      </c>
      <c r="AH26" s="43" t="s">
        <v>153</v>
      </c>
      <c r="AI26" s="44" t="s">
        <v>153</v>
      </c>
      <c r="AJ26" s="45" t="s">
        <v>153</v>
      </c>
      <c r="AK26" s="46" t="s">
        <v>153</v>
      </c>
      <c r="AL26" s="47" t="s">
        <v>153</v>
      </c>
      <c r="AM26" s="48" t="s">
        <v>153</v>
      </c>
      <c r="AN26" s="49" t="s">
        <v>623</v>
      </c>
      <c r="AO26" s="50" t="s">
        <v>153</v>
      </c>
      <c r="AP26" s="51" t="s">
        <v>153</v>
      </c>
      <c r="AQ26" s="52" t="s">
        <v>153</v>
      </c>
      <c r="AR26" s="53" t="s">
        <v>153</v>
      </c>
      <c r="AS26" s="54" t="s">
        <v>153</v>
      </c>
      <c r="AT26" s="55" t="s">
        <v>624</v>
      </c>
      <c r="AU26" s="56" t="s">
        <v>625</v>
      </c>
      <c r="AV26" s="57" t="s">
        <v>626</v>
      </c>
      <c r="AW26" s="58" t="s">
        <v>627</v>
      </c>
      <c r="AX26" s="59" t="s">
        <v>153</v>
      </c>
      <c r="AY26" s="60" t="s">
        <v>628</v>
      </c>
      <c r="AZ26" s="61" t="s">
        <v>629</v>
      </c>
      <c r="BA26" s="62" t="s">
        <v>153</v>
      </c>
      <c r="BB26" s="63" t="s">
        <v>153</v>
      </c>
      <c r="BC26" s="64" t="s">
        <v>153</v>
      </c>
      <c r="BD26" s="65" t="s">
        <v>180</v>
      </c>
      <c r="BE26" s="66" t="s">
        <v>181</v>
      </c>
      <c r="BF26" s="67" t="s">
        <v>630</v>
      </c>
      <c r="BG26" s="68" t="s">
        <v>153</v>
      </c>
      <c r="BH26" s="69" t="s">
        <v>153</v>
      </c>
      <c r="BI26" s="70" t="s">
        <v>621</v>
      </c>
      <c r="BJ26" s="71" t="s">
        <v>631</v>
      </c>
      <c r="BK26" s="72" t="s">
        <v>265</v>
      </c>
      <c r="BL26" s="73" t="s">
        <v>153</v>
      </c>
      <c r="BM26" s="74" t="s">
        <v>632</v>
      </c>
      <c r="BN26" s="75" t="s">
        <v>633</v>
      </c>
      <c r="BO26" s="76" t="s">
        <v>634</v>
      </c>
      <c r="BP26" s="77" t="s">
        <v>635</v>
      </c>
      <c r="BQ26" s="78">
        <v>34017</v>
      </c>
      <c r="BR26" s="79" t="s">
        <v>153</v>
      </c>
      <c r="BS26" s="80" t="s">
        <v>153</v>
      </c>
      <c r="BT26" s="81" t="s">
        <v>153</v>
      </c>
      <c r="BU26" s="82" t="s">
        <v>153</v>
      </c>
      <c r="BV26" s="83" t="s">
        <v>251</v>
      </c>
      <c r="BW26" s="84" t="s">
        <v>153</v>
      </c>
      <c r="BX26" s="85" t="s">
        <v>153</v>
      </c>
      <c r="BY26" s="86" t="s">
        <v>252</v>
      </c>
      <c r="BZ26" s="87" t="s">
        <v>153</v>
      </c>
      <c r="CA26" s="88" t="s">
        <v>190</v>
      </c>
      <c r="CB26" s="89">
        <v>43959</v>
      </c>
      <c r="CC26" s="90">
        <v>63000</v>
      </c>
      <c r="CD26" s="91" t="s">
        <v>186</v>
      </c>
      <c r="CE26" s="92">
        <v>63000</v>
      </c>
      <c r="CF26" s="93" t="s">
        <v>187</v>
      </c>
      <c r="CG26" s="94" t="s">
        <v>226</v>
      </c>
      <c r="CH26" s="95" t="s">
        <v>153</v>
      </c>
      <c r="CI26" s="96" t="s">
        <v>153</v>
      </c>
      <c r="CJ26" s="97" t="s">
        <v>225</v>
      </c>
      <c r="CK26" s="98">
        <v>43959</v>
      </c>
      <c r="CL26" s="99" t="s">
        <v>153</v>
      </c>
      <c r="CM26" s="100" t="s">
        <v>153</v>
      </c>
      <c r="CN26" s="101" t="s">
        <v>190</v>
      </c>
      <c r="CO26" s="102" t="s">
        <v>153</v>
      </c>
      <c r="CP26" s="103" t="s">
        <v>153</v>
      </c>
      <c r="CQ26" s="104" t="s">
        <v>153</v>
      </c>
      <c r="CR26" s="105" t="s">
        <v>153</v>
      </c>
      <c r="CS26" s="106" t="s">
        <v>153</v>
      </c>
      <c r="CT26" s="107" t="s">
        <v>153</v>
      </c>
      <c r="CU26" s="108" t="s">
        <v>153</v>
      </c>
      <c r="CV26" s="109" t="s">
        <v>153</v>
      </c>
      <c r="CW26" s="110" t="s">
        <v>153</v>
      </c>
      <c r="CX26" s="111" t="s">
        <v>153</v>
      </c>
      <c r="CY26" s="112" t="s">
        <v>153</v>
      </c>
      <c r="CZ26" s="113" t="s">
        <v>153</v>
      </c>
      <c r="DA26" s="114" t="s">
        <v>153</v>
      </c>
      <c r="DB26" s="115" t="s">
        <v>153</v>
      </c>
      <c r="DC26" s="116" t="s">
        <v>153</v>
      </c>
      <c r="DD26" s="117" t="s">
        <v>153</v>
      </c>
      <c r="DE26" s="118" t="s">
        <v>153</v>
      </c>
      <c r="DF26" s="119" t="s">
        <v>153</v>
      </c>
      <c r="DG26" s="120" t="s">
        <v>153</v>
      </c>
      <c r="DH26" s="121" t="s">
        <v>153</v>
      </c>
      <c r="DI26" s="122" t="s">
        <v>153</v>
      </c>
      <c r="DJ26" s="123" t="s">
        <v>153</v>
      </c>
      <c r="DK26" s="124" t="s">
        <v>153</v>
      </c>
      <c r="DL26" s="125" t="s">
        <v>153</v>
      </c>
      <c r="DM26" s="126" t="s">
        <v>153</v>
      </c>
      <c r="DN26" s="127" t="s">
        <v>153</v>
      </c>
      <c r="DO26" s="128" t="s">
        <v>153</v>
      </c>
      <c r="DP26" s="129" t="s">
        <v>153</v>
      </c>
      <c r="DQ26" s="130" t="s">
        <v>153</v>
      </c>
      <c r="DR26" s="131" t="s">
        <v>153</v>
      </c>
      <c r="DS26" s="132" t="s">
        <v>153</v>
      </c>
      <c r="DT26" s="133" t="s">
        <v>153</v>
      </c>
      <c r="DU26" s="134" t="s">
        <v>153</v>
      </c>
      <c r="DV26" s="135" t="s">
        <v>153</v>
      </c>
      <c r="DW26" s="136" t="s">
        <v>153</v>
      </c>
      <c r="DX26" s="137" t="s">
        <v>153</v>
      </c>
      <c r="DY26" s="138" t="s">
        <v>153</v>
      </c>
      <c r="DZ26" s="139" t="s">
        <v>191</v>
      </c>
      <c r="EA26" s="140">
        <v>44389</v>
      </c>
      <c r="EB26" s="141">
        <v>63000</v>
      </c>
      <c r="EC26" s="142">
        <v>43959</v>
      </c>
      <c r="ED26" s="143" t="s">
        <v>226</v>
      </c>
      <c r="EE26" s="278" t="str">
        <f>HYPERLINK("https://my.pitchbook.com?c=41127-76", "View company online")</f>
        <v>View company online</v>
      </c>
    </row>
    <row r="27" spans="1:135" x14ac:dyDescent="0.45">
      <c r="A27" s="144" t="s">
        <v>636</v>
      </c>
      <c r="B27" s="145" t="s">
        <v>637</v>
      </c>
      <c r="C27" s="146" t="s">
        <v>153</v>
      </c>
      <c r="D27" s="147" t="s">
        <v>153</v>
      </c>
      <c r="E27" s="148" t="s">
        <v>153</v>
      </c>
      <c r="F27" s="149" t="s">
        <v>153</v>
      </c>
      <c r="G27" s="150" t="s">
        <v>638</v>
      </c>
      <c r="H27" s="151" t="s">
        <v>639</v>
      </c>
      <c r="I27" s="152" t="s">
        <v>636</v>
      </c>
      <c r="J27" s="153" t="s">
        <v>640</v>
      </c>
      <c r="K27" s="154" t="s">
        <v>559</v>
      </c>
      <c r="L27" s="155" t="s">
        <v>641</v>
      </c>
      <c r="M27" s="156" t="s">
        <v>642</v>
      </c>
      <c r="N27" s="157" t="s">
        <v>643</v>
      </c>
      <c r="O27" s="158" t="s">
        <v>644</v>
      </c>
      <c r="P27" s="159" t="s">
        <v>645</v>
      </c>
      <c r="Q27" s="160" t="s">
        <v>204</v>
      </c>
      <c r="R27" s="161">
        <v>700</v>
      </c>
      <c r="S27" s="162" t="s">
        <v>290</v>
      </c>
      <c r="T27" s="163" t="s">
        <v>205</v>
      </c>
      <c r="U27" s="164" t="s">
        <v>237</v>
      </c>
      <c r="V27" s="165" t="s">
        <v>646</v>
      </c>
      <c r="W27" s="166">
        <v>20000</v>
      </c>
      <c r="X27" s="167" t="s">
        <v>647</v>
      </c>
      <c r="Y27" s="168" t="s">
        <v>153</v>
      </c>
      <c r="Z27" s="169" t="s">
        <v>153</v>
      </c>
      <c r="AA27" s="170" t="s">
        <v>153</v>
      </c>
      <c r="AB27" s="171" t="s">
        <v>153</v>
      </c>
      <c r="AC27" s="172" t="s">
        <v>153</v>
      </c>
      <c r="AD27" s="173" t="s">
        <v>428</v>
      </c>
      <c r="AE27" s="174" t="s">
        <v>153</v>
      </c>
      <c r="AF27" s="175" t="s">
        <v>153</v>
      </c>
      <c r="AG27" s="176" t="s">
        <v>153</v>
      </c>
      <c r="AH27" s="177" t="s">
        <v>153</v>
      </c>
      <c r="AI27" s="178" t="s">
        <v>153</v>
      </c>
      <c r="AJ27" s="179" t="s">
        <v>153</v>
      </c>
      <c r="AK27" s="180" t="s">
        <v>153</v>
      </c>
      <c r="AL27" s="181" t="s">
        <v>153</v>
      </c>
      <c r="AM27" s="182" t="s">
        <v>153</v>
      </c>
      <c r="AN27" s="183" t="s">
        <v>648</v>
      </c>
      <c r="AO27" s="184" t="s">
        <v>153</v>
      </c>
      <c r="AP27" s="185" t="s">
        <v>153</v>
      </c>
      <c r="AQ27" s="186" t="s">
        <v>153</v>
      </c>
      <c r="AR27" s="187" t="s">
        <v>153</v>
      </c>
      <c r="AS27" s="188" t="s">
        <v>153</v>
      </c>
      <c r="AT27" s="189" t="s">
        <v>649</v>
      </c>
      <c r="AU27" s="190" t="s">
        <v>650</v>
      </c>
      <c r="AV27" s="191" t="s">
        <v>153</v>
      </c>
      <c r="AW27" s="192" t="s">
        <v>651</v>
      </c>
      <c r="AX27" s="193" t="s">
        <v>652</v>
      </c>
      <c r="AY27" s="194" t="s">
        <v>653</v>
      </c>
      <c r="AZ27" s="195" t="s">
        <v>215</v>
      </c>
      <c r="BA27" s="196" t="s">
        <v>153</v>
      </c>
      <c r="BB27" s="197" t="s">
        <v>153</v>
      </c>
      <c r="BC27" s="198" t="s">
        <v>153</v>
      </c>
      <c r="BD27" s="199" t="s">
        <v>216</v>
      </c>
      <c r="BE27" s="200" t="s">
        <v>217</v>
      </c>
      <c r="BF27" s="201" t="s">
        <v>654</v>
      </c>
      <c r="BG27" s="202" t="s">
        <v>153</v>
      </c>
      <c r="BH27" s="203" t="s">
        <v>153</v>
      </c>
      <c r="BI27" s="204" t="s">
        <v>655</v>
      </c>
      <c r="BJ27" s="205" t="s">
        <v>153</v>
      </c>
      <c r="BK27" s="206" t="s">
        <v>153</v>
      </c>
      <c r="BL27" s="207" t="s">
        <v>153</v>
      </c>
      <c r="BM27" s="208" t="s">
        <v>153</v>
      </c>
      <c r="BN27" s="209" t="s">
        <v>153</v>
      </c>
      <c r="BO27" s="210" t="s">
        <v>656</v>
      </c>
      <c r="BP27" s="211" t="s">
        <v>657</v>
      </c>
      <c r="BQ27" s="212">
        <v>36817</v>
      </c>
      <c r="BR27" s="213">
        <v>700</v>
      </c>
      <c r="BS27" s="214" t="s">
        <v>186</v>
      </c>
      <c r="BT27" s="215">
        <v>5100</v>
      </c>
      <c r="BU27" s="216" t="s">
        <v>187</v>
      </c>
      <c r="BV27" s="217" t="s">
        <v>251</v>
      </c>
      <c r="BW27" s="218" t="s">
        <v>153</v>
      </c>
      <c r="BX27" s="219" t="s">
        <v>153</v>
      </c>
      <c r="BY27" s="220" t="s">
        <v>252</v>
      </c>
      <c r="BZ27" s="221" t="s">
        <v>153</v>
      </c>
      <c r="CA27" s="222" t="s">
        <v>190</v>
      </c>
      <c r="CB27" s="223">
        <v>43258</v>
      </c>
      <c r="CC27" s="224">
        <v>63000</v>
      </c>
      <c r="CD27" s="225" t="s">
        <v>186</v>
      </c>
      <c r="CE27" s="226">
        <v>63000</v>
      </c>
      <c r="CF27" s="227" t="s">
        <v>187</v>
      </c>
      <c r="CG27" s="228" t="s">
        <v>226</v>
      </c>
      <c r="CH27" s="229" t="s">
        <v>153</v>
      </c>
      <c r="CI27" s="230" t="s">
        <v>153</v>
      </c>
      <c r="CJ27" s="231" t="s">
        <v>225</v>
      </c>
      <c r="CK27" s="232">
        <v>43258</v>
      </c>
      <c r="CL27" s="233" t="s">
        <v>153</v>
      </c>
      <c r="CM27" s="234" t="s">
        <v>153</v>
      </c>
      <c r="CN27" s="235" t="s">
        <v>190</v>
      </c>
      <c r="CO27" s="236" t="s">
        <v>153</v>
      </c>
      <c r="CP27" s="237" t="s">
        <v>153</v>
      </c>
      <c r="CQ27" s="238" t="s">
        <v>153</v>
      </c>
      <c r="CR27" s="239" t="s">
        <v>153</v>
      </c>
      <c r="CS27" s="240" t="s">
        <v>153</v>
      </c>
      <c r="CT27" s="241" t="s">
        <v>153</v>
      </c>
      <c r="CU27" s="242" t="s">
        <v>153</v>
      </c>
      <c r="CV27" s="243" t="s">
        <v>153</v>
      </c>
      <c r="CW27" s="244" t="s">
        <v>153</v>
      </c>
      <c r="CX27" s="245" t="s">
        <v>153</v>
      </c>
      <c r="CY27" s="246" t="s">
        <v>153</v>
      </c>
      <c r="CZ27" s="247" t="s">
        <v>153</v>
      </c>
      <c r="DA27" s="248" t="s">
        <v>153</v>
      </c>
      <c r="DB27" s="249" t="s">
        <v>153</v>
      </c>
      <c r="DC27" s="250" t="s">
        <v>153</v>
      </c>
      <c r="DD27" s="251" t="s">
        <v>153</v>
      </c>
      <c r="DE27" s="252" t="s">
        <v>153</v>
      </c>
      <c r="DF27" s="253" t="s">
        <v>153</v>
      </c>
      <c r="DG27" s="254" t="s">
        <v>153</v>
      </c>
      <c r="DH27" s="255" t="s">
        <v>153</v>
      </c>
      <c r="DI27" s="256" t="s">
        <v>153</v>
      </c>
      <c r="DJ27" s="257" t="s">
        <v>153</v>
      </c>
      <c r="DK27" s="258" t="s">
        <v>153</v>
      </c>
      <c r="DL27" s="259" t="s">
        <v>153</v>
      </c>
      <c r="DM27" s="260" t="s">
        <v>153</v>
      </c>
      <c r="DN27" s="261" t="s">
        <v>153</v>
      </c>
      <c r="DO27" s="262" t="s">
        <v>153</v>
      </c>
      <c r="DP27" s="263" t="s">
        <v>153</v>
      </c>
      <c r="DQ27" s="264" t="s">
        <v>153</v>
      </c>
      <c r="DR27" s="265" t="s">
        <v>153</v>
      </c>
      <c r="DS27" s="266" t="s">
        <v>153</v>
      </c>
      <c r="DT27" s="267" t="s">
        <v>153</v>
      </c>
      <c r="DU27" s="268" t="s">
        <v>153</v>
      </c>
      <c r="DV27" s="269" t="s">
        <v>153</v>
      </c>
      <c r="DW27" s="270" t="s">
        <v>153</v>
      </c>
      <c r="DX27" s="271" t="s">
        <v>153</v>
      </c>
      <c r="DY27" s="272" t="s">
        <v>153</v>
      </c>
      <c r="DZ27" s="273" t="s">
        <v>191</v>
      </c>
      <c r="EA27" s="274">
        <v>44358</v>
      </c>
      <c r="EB27" s="275">
        <v>63000</v>
      </c>
      <c r="EC27" s="276">
        <v>43258</v>
      </c>
      <c r="ED27" s="277" t="s">
        <v>226</v>
      </c>
      <c r="EE27" s="279" t="str">
        <f>HYPERLINK("https://my.pitchbook.com?c=10466-92", "View company online")</f>
        <v>View company online</v>
      </c>
    </row>
    <row r="28" spans="1:135" x14ac:dyDescent="0.45">
      <c r="A28" s="10" t="s">
        <v>658</v>
      </c>
      <c r="B28" s="11" t="s">
        <v>659</v>
      </c>
      <c r="C28" s="12" t="s">
        <v>153</v>
      </c>
      <c r="D28" s="13" t="s">
        <v>153</v>
      </c>
      <c r="E28" s="14" t="s">
        <v>153</v>
      </c>
      <c r="F28" s="15" t="s">
        <v>660</v>
      </c>
      <c r="G28" s="16" t="s">
        <v>661</v>
      </c>
      <c r="H28" s="17" t="s">
        <v>662</v>
      </c>
      <c r="I28" s="18" t="s">
        <v>658</v>
      </c>
      <c r="J28" s="19" t="s">
        <v>663</v>
      </c>
      <c r="K28" s="20" t="s">
        <v>157</v>
      </c>
      <c r="L28" s="21" t="s">
        <v>664</v>
      </c>
      <c r="M28" s="22" t="s">
        <v>665</v>
      </c>
      <c r="N28" s="23" t="s">
        <v>666</v>
      </c>
      <c r="O28" s="24" t="s">
        <v>261</v>
      </c>
      <c r="P28" s="25" t="s">
        <v>667</v>
      </c>
      <c r="Q28" s="26" t="s">
        <v>204</v>
      </c>
      <c r="R28" s="27" t="s">
        <v>153</v>
      </c>
      <c r="S28" s="28" t="s">
        <v>290</v>
      </c>
      <c r="T28" s="29" t="s">
        <v>164</v>
      </c>
      <c r="U28" s="30" t="s">
        <v>237</v>
      </c>
      <c r="V28" s="31" t="s">
        <v>668</v>
      </c>
      <c r="W28" s="32">
        <v>80000</v>
      </c>
      <c r="X28" s="33" t="s">
        <v>669</v>
      </c>
      <c r="Y28" s="34" t="s">
        <v>153</v>
      </c>
      <c r="Z28" s="35" t="s">
        <v>153</v>
      </c>
      <c r="AA28" s="36">
        <v>1961</v>
      </c>
      <c r="AB28" s="37" t="s">
        <v>670</v>
      </c>
      <c r="AC28" s="38" t="s">
        <v>570</v>
      </c>
      <c r="AD28" s="39" t="s">
        <v>671</v>
      </c>
      <c r="AE28" s="40" t="s">
        <v>153</v>
      </c>
      <c r="AF28" s="41" t="s">
        <v>153</v>
      </c>
      <c r="AG28" s="42" t="s">
        <v>153</v>
      </c>
      <c r="AH28" s="43" t="s">
        <v>153</v>
      </c>
      <c r="AI28" s="44" t="s">
        <v>153</v>
      </c>
      <c r="AJ28" s="45" t="s">
        <v>153</v>
      </c>
      <c r="AK28" s="46" t="s">
        <v>153</v>
      </c>
      <c r="AL28" s="47" t="s">
        <v>153</v>
      </c>
      <c r="AM28" s="48" t="s">
        <v>153</v>
      </c>
      <c r="AN28" s="49" t="s">
        <v>648</v>
      </c>
      <c r="AO28" s="50" t="s">
        <v>672</v>
      </c>
      <c r="AP28" s="51" t="s">
        <v>673</v>
      </c>
      <c r="AQ28" s="52" t="s">
        <v>674</v>
      </c>
      <c r="AR28" s="53" t="s">
        <v>675</v>
      </c>
      <c r="AS28" s="54" t="s">
        <v>676</v>
      </c>
      <c r="AT28" s="55" t="s">
        <v>677</v>
      </c>
      <c r="AU28" s="56" t="s">
        <v>678</v>
      </c>
      <c r="AV28" s="57" t="s">
        <v>153</v>
      </c>
      <c r="AW28" s="58" t="s">
        <v>679</v>
      </c>
      <c r="AX28" s="59" t="s">
        <v>153</v>
      </c>
      <c r="AY28" s="60" t="s">
        <v>680</v>
      </c>
      <c r="AZ28" s="61" t="s">
        <v>681</v>
      </c>
      <c r="BA28" s="62" t="s">
        <v>682</v>
      </c>
      <c r="BB28" s="63" t="s">
        <v>153</v>
      </c>
      <c r="BC28" s="64" t="s">
        <v>683</v>
      </c>
      <c r="BD28" s="65" t="s">
        <v>180</v>
      </c>
      <c r="BE28" s="66" t="s">
        <v>684</v>
      </c>
      <c r="BF28" s="67" t="s">
        <v>685</v>
      </c>
      <c r="BG28" s="68" t="s">
        <v>153</v>
      </c>
      <c r="BH28" s="69" t="s">
        <v>153</v>
      </c>
      <c r="BI28" s="70" t="s">
        <v>670</v>
      </c>
      <c r="BJ28" s="71" t="s">
        <v>686</v>
      </c>
      <c r="BK28" s="72" t="s">
        <v>153</v>
      </c>
      <c r="BL28" s="73" t="s">
        <v>153</v>
      </c>
      <c r="BM28" s="74" t="s">
        <v>153</v>
      </c>
      <c r="BN28" s="75" t="s">
        <v>153</v>
      </c>
      <c r="BO28" s="76" t="s">
        <v>687</v>
      </c>
      <c r="BP28" s="77" t="s">
        <v>688</v>
      </c>
      <c r="BQ28" s="78">
        <v>32897</v>
      </c>
      <c r="BR28" s="79" t="s">
        <v>153</v>
      </c>
      <c r="BS28" s="80" t="s">
        <v>153</v>
      </c>
      <c r="BT28" s="81" t="s">
        <v>153</v>
      </c>
      <c r="BU28" s="82" t="s">
        <v>153</v>
      </c>
      <c r="BV28" s="83" t="s">
        <v>251</v>
      </c>
      <c r="BW28" s="84" t="s">
        <v>153</v>
      </c>
      <c r="BX28" s="85" t="s">
        <v>153</v>
      </c>
      <c r="BY28" s="86" t="s">
        <v>252</v>
      </c>
      <c r="BZ28" s="87" t="s">
        <v>153</v>
      </c>
      <c r="CA28" s="88" t="s">
        <v>190</v>
      </c>
      <c r="CB28" s="89">
        <v>43374</v>
      </c>
      <c r="CC28" s="90">
        <v>62950.02</v>
      </c>
      <c r="CD28" s="91" t="s">
        <v>186</v>
      </c>
      <c r="CE28" s="92">
        <v>62950.02</v>
      </c>
      <c r="CF28" s="93" t="s">
        <v>187</v>
      </c>
      <c r="CG28" s="94" t="s">
        <v>226</v>
      </c>
      <c r="CH28" s="95" t="s">
        <v>153</v>
      </c>
      <c r="CI28" s="96" t="s">
        <v>153</v>
      </c>
      <c r="CJ28" s="97" t="s">
        <v>225</v>
      </c>
      <c r="CK28" s="98">
        <v>43374</v>
      </c>
      <c r="CL28" s="99" t="s">
        <v>153</v>
      </c>
      <c r="CM28" s="100" t="s">
        <v>153</v>
      </c>
      <c r="CN28" s="101" t="s">
        <v>190</v>
      </c>
      <c r="CO28" s="102">
        <v>2.88</v>
      </c>
      <c r="CP28" s="103">
        <v>99</v>
      </c>
      <c r="CQ28" s="104">
        <v>-0.01</v>
      </c>
      <c r="CR28" s="105">
        <v>-0.47</v>
      </c>
      <c r="CS28" s="106">
        <v>0.67</v>
      </c>
      <c r="CT28" s="107">
        <v>94</v>
      </c>
      <c r="CU28" s="108">
        <v>-7.0000000000000007E-2</v>
      </c>
      <c r="CV28" s="109">
        <v>27</v>
      </c>
      <c r="CW28" s="110">
        <v>1.04</v>
      </c>
      <c r="CX28" s="111">
        <v>82</v>
      </c>
      <c r="CY28" s="112">
        <v>0.3</v>
      </c>
      <c r="CZ28" s="113">
        <v>93</v>
      </c>
      <c r="DA28" s="114">
        <v>-7.0000000000000007E-2</v>
      </c>
      <c r="DB28" s="115">
        <v>27</v>
      </c>
      <c r="DC28" s="116">
        <v>835.7</v>
      </c>
      <c r="DD28" s="117">
        <v>100</v>
      </c>
      <c r="DE28" s="118">
        <v>0.38</v>
      </c>
      <c r="DF28" s="119">
        <v>0.05</v>
      </c>
      <c r="DG28" s="120">
        <v>185.57</v>
      </c>
      <c r="DH28" s="121">
        <v>100</v>
      </c>
      <c r="DI28" s="122">
        <v>159.38</v>
      </c>
      <c r="DJ28" s="123">
        <v>99</v>
      </c>
      <c r="DK28" s="124">
        <v>128.51</v>
      </c>
      <c r="DL28" s="125">
        <v>98</v>
      </c>
      <c r="DM28" s="126">
        <v>242.63</v>
      </c>
      <c r="DN28" s="127">
        <v>100</v>
      </c>
      <c r="DO28" s="128">
        <v>159.38</v>
      </c>
      <c r="DP28" s="129">
        <v>99</v>
      </c>
      <c r="DQ28" s="130">
        <v>76217</v>
      </c>
      <c r="DR28" s="131">
        <v>-47</v>
      </c>
      <c r="DS28" s="132">
        <v>-0.06</v>
      </c>
      <c r="DT28" s="133">
        <v>3880</v>
      </c>
      <c r="DU28" s="134">
        <v>5</v>
      </c>
      <c r="DV28" s="135">
        <v>0.13</v>
      </c>
      <c r="DW28" s="136">
        <v>50044</v>
      </c>
      <c r="DX28" s="137">
        <v>3</v>
      </c>
      <c r="DY28" s="138">
        <v>0.01</v>
      </c>
      <c r="DZ28" s="139" t="s">
        <v>191</v>
      </c>
      <c r="EA28" s="140">
        <v>44382</v>
      </c>
      <c r="EB28" s="141">
        <v>62950.02</v>
      </c>
      <c r="EC28" s="142">
        <v>43374</v>
      </c>
      <c r="ED28" s="143" t="s">
        <v>226</v>
      </c>
      <c r="EE28" s="278" t="str">
        <f>HYPERLINK("https://my.pitchbook.com?c=41360-68", "View company online")</f>
        <v>View company online</v>
      </c>
    </row>
    <row r="29" spans="1:135" x14ac:dyDescent="0.45">
      <c r="A29" s="144" t="s">
        <v>689</v>
      </c>
      <c r="B29" s="145" t="s">
        <v>690</v>
      </c>
      <c r="C29" s="146" t="s">
        <v>153</v>
      </c>
      <c r="D29" s="147" t="s">
        <v>153</v>
      </c>
      <c r="E29" s="148" t="s">
        <v>153</v>
      </c>
      <c r="F29" s="149" t="s">
        <v>153</v>
      </c>
      <c r="G29" s="150" t="s">
        <v>691</v>
      </c>
      <c r="H29" s="151" t="s">
        <v>153</v>
      </c>
      <c r="I29" s="152" t="s">
        <v>689</v>
      </c>
      <c r="J29" s="153" t="s">
        <v>692</v>
      </c>
      <c r="K29" s="154" t="s">
        <v>257</v>
      </c>
      <c r="L29" s="155" t="s">
        <v>258</v>
      </c>
      <c r="M29" s="156" t="s">
        <v>259</v>
      </c>
      <c r="N29" s="157" t="s">
        <v>260</v>
      </c>
      <c r="O29" s="158" t="s">
        <v>153</v>
      </c>
      <c r="P29" s="159" t="s">
        <v>693</v>
      </c>
      <c r="Q29" s="160" t="s">
        <v>564</v>
      </c>
      <c r="R29" s="161" t="s">
        <v>153</v>
      </c>
      <c r="S29" s="162" t="s">
        <v>290</v>
      </c>
      <c r="T29" s="163" t="s">
        <v>205</v>
      </c>
      <c r="U29" s="164" t="s">
        <v>369</v>
      </c>
      <c r="V29" s="165" t="s">
        <v>694</v>
      </c>
      <c r="W29" s="166">
        <v>75567</v>
      </c>
      <c r="X29" s="167" t="s">
        <v>695</v>
      </c>
      <c r="Y29" s="168" t="s">
        <v>153</v>
      </c>
      <c r="Z29" s="169" t="s">
        <v>153</v>
      </c>
      <c r="AA29" s="170">
        <v>1999</v>
      </c>
      <c r="AB29" s="171" t="s">
        <v>153</v>
      </c>
      <c r="AC29" s="172" t="s">
        <v>153</v>
      </c>
      <c r="AD29" s="173" t="s">
        <v>153</v>
      </c>
      <c r="AE29" s="174" t="s">
        <v>153</v>
      </c>
      <c r="AF29" s="175" t="s">
        <v>153</v>
      </c>
      <c r="AG29" s="176" t="s">
        <v>153</v>
      </c>
      <c r="AH29" s="177" t="s">
        <v>153</v>
      </c>
      <c r="AI29" s="178" t="s">
        <v>153</v>
      </c>
      <c r="AJ29" s="179" t="s">
        <v>153</v>
      </c>
      <c r="AK29" s="180" t="s">
        <v>153</v>
      </c>
      <c r="AL29" s="181" t="s">
        <v>153</v>
      </c>
      <c r="AM29" s="182" t="s">
        <v>153</v>
      </c>
      <c r="AN29" s="183" t="s">
        <v>696</v>
      </c>
      <c r="AO29" s="184" t="s">
        <v>153</v>
      </c>
      <c r="AP29" s="185" t="s">
        <v>153</v>
      </c>
      <c r="AQ29" s="186" t="s">
        <v>153</v>
      </c>
      <c r="AR29" s="187" t="s">
        <v>153</v>
      </c>
      <c r="AS29" s="188" t="s">
        <v>153</v>
      </c>
      <c r="AT29" s="189" t="s">
        <v>697</v>
      </c>
      <c r="AU29" s="190" t="s">
        <v>698</v>
      </c>
      <c r="AV29" s="191" t="s">
        <v>153</v>
      </c>
      <c r="AW29" s="192" t="s">
        <v>699</v>
      </c>
      <c r="AX29" s="193" t="s">
        <v>153</v>
      </c>
      <c r="AY29" s="194" t="s">
        <v>700</v>
      </c>
      <c r="AZ29" s="195" t="s">
        <v>701</v>
      </c>
      <c r="BA29" s="196" t="s">
        <v>702</v>
      </c>
      <c r="BB29" s="197" t="s">
        <v>153</v>
      </c>
      <c r="BC29" s="198" t="s">
        <v>153</v>
      </c>
      <c r="BD29" s="199" t="s">
        <v>180</v>
      </c>
      <c r="BE29" s="200" t="s">
        <v>181</v>
      </c>
      <c r="BF29" s="201" t="s">
        <v>703</v>
      </c>
      <c r="BG29" s="202" t="s">
        <v>153</v>
      </c>
      <c r="BH29" s="203" t="s">
        <v>153</v>
      </c>
      <c r="BI29" s="204" t="s">
        <v>704</v>
      </c>
      <c r="BJ29" s="205" t="s">
        <v>705</v>
      </c>
      <c r="BK29" s="206" t="s">
        <v>153</v>
      </c>
      <c r="BL29" s="207" t="s">
        <v>153</v>
      </c>
      <c r="BM29" s="208" t="s">
        <v>706</v>
      </c>
      <c r="BN29" s="209" t="s">
        <v>153</v>
      </c>
      <c r="BO29" s="210" t="s">
        <v>707</v>
      </c>
      <c r="BP29" s="211" t="s">
        <v>708</v>
      </c>
      <c r="BQ29" s="212">
        <v>37987</v>
      </c>
      <c r="BR29" s="213" t="s">
        <v>153</v>
      </c>
      <c r="BS29" s="214" t="s">
        <v>153</v>
      </c>
      <c r="BT29" s="215" t="s">
        <v>153</v>
      </c>
      <c r="BU29" s="216" t="s">
        <v>153</v>
      </c>
      <c r="BV29" s="217" t="s">
        <v>709</v>
      </c>
      <c r="BW29" s="218" t="s">
        <v>153</v>
      </c>
      <c r="BX29" s="219" t="s">
        <v>153</v>
      </c>
      <c r="BY29" s="220" t="s">
        <v>165</v>
      </c>
      <c r="BZ29" s="221" t="s">
        <v>153</v>
      </c>
      <c r="CA29" s="222" t="s">
        <v>190</v>
      </c>
      <c r="CB29" s="223">
        <v>38211</v>
      </c>
      <c r="CC29" s="224">
        <v>60430</v>
      </c>
      <c r="CD29" s="225" t="s">
        <v>186</v>
      </c>
      <c r="CE29" s="226">
        <v>60430</v>
      </c>
      <c r="CF29" s="227" t="s">
        <v>186</v>
      </c>
      <c r="CG29" s="228" t="s">
        <v>226</v>
      </c>
      <c r="CH29" s="229" t="s">
        <v>153</v>
      </c>
      <c r="CI29" s="230" t="s">
        <v>153</v>
      </c>
      <c r="CJ29" s="231" t="s">
        <v>225</v>
      </c>
      <c r="CK29" s="232">
        <v>38211</v>
      </c>
      <c r="CL29" s="233" t="s">
        <v>153</v>
      </c>
      <c r="CM29" s="234" t="s">
        <v>153</v>
      </c>
      <c r="CN29" s="235" t="s">
        <v>190</v>
      </c>
      <c r="CO29" s="236" t="s">
        <v>153</v>
      </c>
      <c r="CP29" s="237" t="s">
        <v>153</v>
      </c>
      <c r="CQ29" s="238" t="s">
        <v>153</v>
      </c>
      <c r="CR29" s="239" t="s">
        <v>153</v>
      </c>
      <c r="CS29" s="240" t="s">
        <v>153</v>
      </c>
      <c r="CT29" s="241" t="s">
        <v>153</v>
      </c>
      <c r="CU29" s="242" t="s">
        <v>153</v>
      </c>
      <c r="CV29" s="243" t="s">
        <v>153</v>
      </c>
      <c r="CW29" s="244" t="s">
        <v>153</v>
      </c>
      <c r="CX29" s="245" t="s">
        <v>153</v>
      </c>
      <c r="CY29" s="246" t="s">
        <v>153</v>
      </c>
      <c r="CZ29" s="247" t="s">
        <v>153</v>
      </c>
      <c r="DA29" s="248" t="s">
        <v>153</v>
      </c>
      <c r="DB29" s="249" t="s">
        <v>153</v>
      </c>
      <c r="DC29" s="250" t="s">
        <v>153</v>
      </c>
      <c r="DD29" s="251" t="s">
        <v>153</v>
      </c>
      <c r="DE29" s="252" t="s">
        <v>153</v>
      </c>
      <c r="DF29" s="253" t="s">
        <v>153</v>
      </c>
      <c r="DG29" s="254" t="s">
        <v>153</v>
      </c>
      <c r="DH29" s="255" t="s">
        <v>153</v>
      </c>
      <c r="DI29" s="256" t="s">
        <v>153</v>
      </c>
      <c r="DJ29" s="257" t="s">
        <v>153</v>
      </c>
      <c r="DK29" s="258" t="s">
        <v>153</v>
      </c>
      <c r="DL29" s="259" t="s">
        <v>153</v>
      </c>
      <c r="DM29" s="260" t="s">
        <v>153</v>
      </c>
      <c r="DN29" s="261" t="s">
        <v>153</v>
      </c>
      <c r="DO29" s="262" t="s">
        <v>153</v>
      </c>
      <c r="DP29" s="263" t="s">
        <v>153</v>
      </c>
      <c r="DQ29" s="264" t="s">
        <v>153</v>
      </c>
      <c r="DR29" s="265" t="s">
        <v>153</v>
      </c>
      <c r="DS29" s="266" t="s">
        <v>153</v>
      </c>
      <c r="DT29" s="267" t="s">
        <v>153</v>
      </c>
      <c r="DU29" s="268" t="s">
        <v>153</v>
      </c>
      <c r="DV29" s="269" t="s">
        <v>153</v>
      </c>
      <c r="DW29" s="270" t="s">
        <v>153</v>
      </c>
      <c r="DX29" s="271" t="s">
        <v>153</v>
      </c>
      <c r="DY29" s="272" t="s">
        <v>153</v>
      </c>
      <c r="DZ29" s="273" t="s">
        <v>191</v>
      </c>
      <c r="EA29" s="274">
        <v>44349</v>
      </c>
      <c r="EB29" s="275">
        <v>60430</v>
      </c>
      <c r="EC29" s="276">
        <v>38211</v>
      </c>
      <c r="ED29" s="277" t="s">
        <v>226</v>
      </c>
      <c r="EE29" s="279" t="str">
        <f>HYPERLINK("https://my.pitchbook.com?c=40675-24", "View company online")</f>
        <v>View company online</v>
      </c>
    </row>
    <row r="30" spans="1:135" x14ac:dyDescent="0.45">
      <c r="A30" s="10" t="s">
        <v>710</v>
      </c>
      <c r="B30" s="11" t="s">
        <v>711</v>
      </c>
      <c r="C30" s="12" t="s">
        <v>153</v>
      </c>
      <c r="D30" s="13" t="s">
        <v>153</v>
      </c>
      <c r="E30" s="14" t="s">
        <v>712</v>
      </c>
      <c r="F30" s="15" t="s">
        <v>153</v>
      </c>
      <c r="G30" s="16" t="s">
        <v>713</v>
      </c>
      <c r="H30" s="17" t="s">
        <v>153</v>
      </c>
      <c r="I30" s="18" t="s">
        <v>710</v>
      </c>
      <c r="J30" s="19" t="s">
        <v>714</v>
      </c>
      <c r="K30" s="20" t="s">
        <v>157</v>
      </c>
      <c r="L30" s="21" t="s">
        <v>421</v>
      </c>
      <c r="M30" s="22" t="s">
        <v>422</v>
      </c>
      <c r="N30" s="23" t="s">
        <v>715</v>
      </c>
      <c r="O30" s="24" t="s">
        <v>399</v>
      </c>
      <c r="P30" s="25" t="s">
        <v>716</v>
      </c>
      <c r="Q30" s="26" t="s">
        <v>204</v>
      </c>
      <c r="R30" s="27" t="s">
        <v>153</v>
      </c>
      <c r="S30" s="28" t="s">
        <v>163</v>
      </c>
      <c r="T30" s="29" t="s">
        <v>205</v>
      </c>
      <c r="U30" s="30" t="s">
        <v>292</v>
      </c>
      <c r="V30" s="31" t="s">
        <v>717</v>
      </c>
      <c r="W30" s="32">
        <v>15196</v>
      </c>
      <c r="X30" s="33" t="s">
        <v>718</v>
      </c>
      <c r="Y30" s="34" t="s">
        <v>153</v>
      </c>
      <c r="Z30" s="35" t="s">
        <v>153</v>
      </c>
      <c r="AA30" s="36">
        <v>1963</v>
      </c>
      <c r="AB30" s="37" t="s">
        <v>153</v>
      </c>
      <c r="AC30" s="38" t="s">
        <v>153</v>
      </c>
      <c r="AD30" s="39" t="s">
        <v>153</v>
      </c>
      <c r="AE30" s="40" t="s">
        <v>153</v>
      </c>
      <c r="AF30" s="41" t="s">
        <v>153</v>
      </c>
      <c r="AG30" s="42" t="s">
        <v>153</v>
      </c>
      <c r="AH30" s="43" t="s">
        <v>153</v>
      </c>
      <c r="AI30" s="44" t="s">
        <v>153</v>
      </c>
      <c r="AJ30" s="45" t="s">
        <v>153</v>
      </c>
      <c r="AK30" s="46" t="s">
        <v>153</v>
      </c>
      <c r="AL30" s="47" t="s">
        <v>153</v>
      </c>
      <c r="AM30" s="48" t="s">
        <v>153</v>
      </c>
      <c r="AN30" s="49" t="s">
        <v>266</v>
      </c>
      <c r="AO30" s="50" t="s">
        <v>719</v>
      </c>
      <c r="AP30" s="51" t="s">
        <v>720</v>
      </c>
      <c r="AQ30" s="52" t="s">
        <v>721</v>
      </c>
      <c r="AR30" s="53" t="s">
        <v>153</v>
      </c>
      <c r="AS30" s="54" t="s">
        <v>153</v>
      </c>
      <c r="AT30" s="55" t="s">
        <v>722</v>
      </c>
      <c r="AU30" s="56" t="s">
        <v>153</v>
      </c>
      <c r="AV30" s="57" t="s">
        <v>153</v>
      </c>
      <c r="AW30" s="58" t="s">
        <v>723</v>
      </c>
      <c r="AX30" s="59" t="s">
        <v>724</v>
      </c>
      <c r="AY30" s="60" t="s">
        <v>153</v>
      </c>
      <c r="AZ30" s="61" t="s">
        <v>215</v>
      </c>
      <c r="BA30" s="62" t="s">
        <v>153</v>
      </c>
      <c r="BB30" s="63" t="s">
        <v>153</v>
      </c>
      <c r="BC30" s="64" t="s">
        <v>153</v>
      </c>
      <c r="BD30" s="65" t="s">
        <v>216</v>
      </c>
      <c r="BE30" s="66" t="s">
        <v>217</v>
      </c>
      <c r="BF30" s="67" t="s">
        <v>725</v>
      </c>
      <c r="BG30" s="68" t="s">
        <v>153</v>
      </c>
      <c r="BH30" s="69" t="s">
        <v>153</v>
      </c>
      <c r="BI30" s="70" t="s">
        <v>519</v>
      </c>
      <c r="BJ30" s="71" t="s">
        <v>726</v>
      </c>
      <c r="BK30" s="72" t="s">
        <v>153</v>
      </c>
      <c r="BL30" s="73" t="s">
        <v>153</v>
      </c>
      <c r="BM30" s="74" t="s">
        <v>727</v>
      </c>
      <c r="BN30" s="75" t="s">
        <v>153</v>
      </c>
      <c r="BO30" s="76" t="s">
        <v>153</v>
      </c>
      <c r="BP30" s="77" t="s">
        <v>728</v>
      </c>
      <c r="BQ30" s="78">
        <v>25569</v>
      </c>
      <c r="BR30" s="79" t="s">
        <v>153</v>
      </c>
      <c r="BS30" s="80" t="s">
        <v>153</v>
      </c>
      <c r="BT30" s="81" t="s">
        <v>153</v>
      </c>
      <c r="BU30" s="82" t="s">
        <v>153</v>
      </c>
      <c r="BV30" s="83" t="s">
        <v>709</v>
      </c>
      <c r="BW30" s="84" t="s">
        <v>153</v>
      </c>
      <c r="BX30" s="85" t="s">
        <v>153</v>
      </c>
      <c r="BY30" s="86" t="s">
        <v>165</v>
      </c>
      <c r="BZ30" s="87" t="s">
        <v>153</v>
      </c>
      <c r="CA30" s="88" t="s">
        <v>190</v>
      </c>
      <c r="CB30" s="89">
        <v>37258</v>
      </c>
      <c r="CC30" s="90">
        <v>60000</v>
      </c>
      <c r="CD30" s="91" t="s">
        <v>186</v>
      </c>
      <c r="CE30" s="92">
        <v>60000</v>
      </c>
      <c r="CF30" s="93" t="s">
        <v>186</v>
      </c>
      <c r="CG30" s="94" t="s">
        <v>226</v>
      </c>
      <c r="CH30" s="95" t="s">
        <v>729</v>
      </c>
      <c r="CI30" s="96" t="s">
        <v>153</v>
      </c>
      <c r="CJ30" s="97" t="s">
        <v>225</v>
      </c>
      <c r="CK30" s="98">
        <v>37258</v>
      </c>
      <c r="CL30" s="99" t="s">
        <v>153</v>
      </c>
      <c r="CM30" s="100" t="s">
        <v>153</v>
      </c>
      <c r="CN30" s="101" t="s">
        <v>190</v>
      </c>
      <c r="CO30" s="102" t="s">
        <v>153</v>
      </c>
      <c r="CP30" s="103" t="s">
        <v>153</v>
      </c>
      <c r="CQ30" s="104" t="s">
        <v>153</v>
      </c>
      <c r="CR30" s="105" t="s">
        <v>153</v>
      </c>
      <c r="CS30" s="106" t="s">
        <v>153</v>
      </c>
      <c r="CT30" s="107" t="s">
        <v>153</v>
      </c>
      <c r="CU30" s="108" t="s">
        <v>153</v>
      </c>
      <c r="CV30" s="109" t="s">
        <v>153</v>
      </c>
      <c r="CW30" s="110" t="s">
        <v>153</v>
      </c>
      <c r="CX30" s="111" t="s">
        <v>153</v>
      </c>
      <c r="CY30" s="112" t="s">
        <v>153</v>
      </c>
      <c r="CZ30" s="113" t="s">
        <v>153</v>
      </c>
      <c r="DA30" s="114" t="s">
        <v>153</v>
      </c>
      <c r="DB30" s="115" t="s">
        <v>153</v>
      </c>
      <c r="DC30" s="116" t="s">
        <v>153</v>
      </c>
      <c r="DD30" s="117" t="s">
        <v>153</v>
      </c>
      <c r="DE30" s="118" t="s">
        <v>153</v>
      </c>
      <c r="DF30" s="119" t="s">
        <v>153</v>
      </c>
      <c r="DG30" s="120" t="s">
        <v>153</v>
      </c>
      <c r="DH30" s="121" t="s">
        <v>153</v>
      </c>
      <c r="DI30" s="122" t="s">
        <v>153</v>
      </c>
      <c r="DJ30" s="123" t="s">
        <v>153</v>
      </c>
      <c r="DK30" s="124" t="s">
        <v>153</v>
      </c>
      <c r="DL30" s="125" t="s">
        <v>153</v>
      </c>
      <c r="DM30" s="126" t="s">
        <v>153</v>
      </c>
      <c r="DN30" s="127" t="s">
        <v>153</v>
      </c>
      <c r="DO30" s="128" t="s">
        <v>153</v>
      </c>
      <c r="DP30" s="129" t="s">
        <v>153</v>
      </c>
      <c r="DQ30" s="130" t="s">
        <v>153</v>
      </c>
      <c r="DR30" s="131" t="s">
        <v>153</v>
      </c>
      <c r="DS30" s="132" t="s">
        <v>153</v>
      </c>
      <c r="DT30" s="133" t="s">
        <v>153</v>
      </c>
      <c r="DU30" s="134" t="s">
        <v>153</v>
      </c>
      <c r="DV30" s="135" t="s">
        <v>153</v>
      </c>
      <c r="DW30" s="136" t="s">
        <v>153</v>
      </c>
      <c r="DX30" s="137" t="s">
        <v>153</v>
      </c>
      <c r="DY30" s="138" t="s">
        <v>153</v>
      </c>
      <c r="DZ30" s="139" t="s">
        <v>191</v>
      </c>
      <c r="EA30" s="140">
        <v>44349</v>
      </c>
      <c r="EB30" s="141">
        <v>60000</v>
      </c>
      <c r="EC30" s="142">
        <v>37258</v>
      </c>
      <c r="ED30" s="143" t="s">
        <v>226</v>
      </c>
      <c r="EE30" s="278" t="str">
        <f>HYPERLINK("https://my.pitchbook.com?c=13195-09", "View company online")</f>
        <v>View company online</v>
      </c>
    </row>
    <row r="31" spans="1:135" x14ac:dyDescent="0.45">
      <c r="A31" s="144" t="s">
        <v>730</v>
      </c>
      <c r="B31" s="145" t="s">
        <v>731</v>
      </c>
      <c r="C31" s="146" t="s">
        <v>153</v>
      </c>
      <c r="D31" s="147" t="s">
        <v>153</v>
      </c>
      <c r="E31" s="148" t="s">
        <v>732</v>
      </c>
      <c r="F31" s="149" t="s">
        <v>153</v>
      </c>
      <c r="G31" s="150" t="s">
        <v>733</v>
      </c>
      <c r="H31" s="151" t="s">
        <v>153</v>
      </c>
      <c r="I31" s="152" t="s">
        <v>730</v>
      </c>
      <c r="J31" s="153" t="s">
        <v>734</v>
      </c>
      <c r="K31" s="154" t="s">
        <v>257</v>
      </c>
      <c r="L31" s="155" t="s">
        <v>258</v>
      </c>
      <c r="M31" s="156" t="s">
        <v>259</v>
      </c>
      <c r="N31" s="157" t="s">
        <v>735</v>
      </c>
      <c r="O31" s="158" t="s">
        <v>596</v>
      </c>
      <c r="P31" s="159" t="s">
        <v>736</v>
      </c>
      <c r="Q31" s="160" t="s">
        <v>204</v>
      </c>
      <c r="R31" s="161" t="s">
        <v>153</v>
      </c>
      <c r="S31" s="162" t="s">
        <v>163</v>
      </c>
      <c r="T31" s="163" t="s">
        <v>205</v>
      </c>
      <c r="U31" s="164" t="s">
        <v>237</v>
      </c>
      <c r="V31" s="165" t="s">
        <v>737</v>
      </c>
      <c r="W31" s="166">
        <v>43000</v>
      </c>
      <c r="X31" s="167" t="s">
        <v>738</v>
      </c>
      <c r="Y31" s="168" t="s">
        <v>153</v>
      </c>
      <c r="Z31" s="169" t="s">
        <v>153</v>
      </c>
      <c r="AA31" s="170">
        <v>1911</v>
      </c>
      <c r="AB31" s="171" t="s">
        <v>153</v>
      </c>
      <c r="AC31" s="172" t="s">
        <v>153</v>
      </c>
      <c r="AD31" s="173" t="s">
        <v>153</v>
      </c>
      <c r="AE31" s="174" t="s">
        <v>153</v>
      </c>
      <c r="AF31" s="175" t="s">
        <v>153</v>
      </c>
      <c r="AG31" s="176" t="s">
        <v>153</v>
      </c>
      <c r="AH31" s="177" t="s">
        <v>153</v>
      </c>
      <c r="AI31" s="178" t="s">
        <v>153</v>
      </c>
      <c r="AJ31" s="179" t="s">
        <v>153</v>
      </c>
      <c r="AK31" s="180" t="s">
        <v>153</v>
      </c>
      <c r="AL31" s="181" t="s">
        <v>153</v>
      </c>
      <c r="AM31" s="182" t="s">
        <v>153</v>
      </c>
      <c r="AN31" s="183" t="s">
        <v>739</v>
      </c>
      <c r="AO31" s="184" t="s">
        <v>153</v>
      </c>
      <c r="AP31" s="185" t="s">
        <v>153</v>
      </c>
      <c r="AQ31" s="186" t="s">
        <v>153</v>
      </c>
      <c r="AR31" s="187" t="s">
        <v>153</v>
      </c>
      <c r="AS31" s="188" t="s">
        <v>153</v>
      </c>
      <c r="AT31" s="189" t="s">
        <v>740</v>
      </c>
      <c r="AU31" s="190" t="s">
        <v>741</v>
      </c>
      <c r="AV31" s="191" t="s">
        <v>153</v>
      </c>
      <c r="AW31" s="192" t="s">
        <v>742</v>
      </c>
      <c r="AX31" s="193" t="s">
        <v>273</v>
      </c>
      <c r="AY31" s="194" t="s">
        <v>743</v>
      </c>
      <c r="AZ31" s="195" t="s">
        <v>215</v>
      </c>
      <c r="BA31" s="196" t="s">
        <v>153</v>
      </c>
      <c r="BB31" s="197" t="s">
        <v>153</v>
      </c>
      <c r="BC31" s="198" t="s">
        <v>153</v>
      </c>
      <c r="BD31" s="199" t="s">
        <v>216</v>
      </c>
      <c r="BE31" s="200" t="s">
        <v>217</v>
      </c>
      <c r="BF31" s="201" t="s">
        <v>744</v>
      </c>
      <c r="BG31" s="202" t="s">
        <v>637</v>
      </c>
      <c r="BH31" s="203">
        <v>1</v>
      </c>
      <c r="BI31" s="204" t="s">
        <v>265</v>
      </c>
      <c r="BJ31" s="205" t="s">
        <v>153</v>
      </c>
      <c r="BK31" s="206" t="s">
        <v>153</v>
      </c>
      <c r="BL31" s="207" t="s">
        <v>745</v>
      </c>
      <c r="BM31" s="208" t="s">
        <v>153</v>
      </c>
      <c r="BN31" s="209" t="s">
        <v>153</v>
      </c>
      <c r="BO31" s="210" t="s">
        <v>746</v>
      </c>
      <c r="BP31" s="211" t="s">
        <v>747</v>
      </c>
      <c r="BQ31" s="212">
        <v>36617</v>
      </c>
      <c r="BR31" s="213" t="s">
        <v>153</v>
      </c>
      <c r="BS31" s="214" t="s">
        <v>153</v>
      </c>
      <c r="BT31" s="215" t="s">
        <v>153</v>
      </c>
      <c r="BU31" s="216" t="s">
        <v>153</v>
      </c>
      <c r="BV31" s="217" t="s">
        <v>748</v>
      </c>
      <c r="BW31" s="218" t="s">
        <v>153</v>
      </c>
      <c r="BX31" s="219" t="s">
        <v>153</v>
      </c>
      <c r="BY31" s="220" t="s">
        <v>225</v>
      </c>
      <c r="BZ31" s="221" t="s">
        <v>153</v>
      </c>
      <c r="CA31" s="222" t="s">
        <v>190</v>
      </c>
      <c r="CB31" s="223">
        <v>37727</v>
      </c>
      <c r="CC31" s="224">
        <v>60000</v>
      </c>
      <c r="CD31" s="225" t="s">
        <v>187</v>
      </c>
      <c r="CE31" s="226">
        <v>60000</v>
      </c>
      <c r="CF31" s="227" t="s">
        <v>187</v>
      </c>
      <c r="CG31" s="228" t="s">
        <v>226</v>
      </c>
      <c r="CH31" s="229" t="s">
        <v>153</v>
      </c>
      <c r="CI31" s="230" t="s">
        <v>153</v>
      </c>
      <c r="CJ31" s="231" t="s">
        <v>225</v>
      </c>
      <c r="CK31" s="232">
        <v>37727</v>
      </c>
      <c r="CL31" s="233" t="s">
        <v>153</v>
      </c>
      <c r="CM31" s="234" t="s">
        <v>153</v>
      </c>
      <c r="CN31" s="235" t="s">
        <v>190</v>
      </c>
      <c r="CO31" s="236" t="s">
        <v>153</v>
      </c>
      <c r="CP31" s="237" t="s">
        <v>153</v>
      </c>
      <c r="CQ31" s="238" t="s">
        <v>153</v>
      </c>
      <c r="CR31" s="239" t="s">
        <v>153</v>
      </c>
      <c r="CS31" s="240" t="s">
        <v>153</v>
      </c>
      <c r="CT31" s="241" t="s">
        <v>153</v>
      </c>
      <c r="CU31" s="242" t="s">
        <v>153</v>
      </c>
      <c r="CV31" s="243" t="s">
        <v>153</v>
      </c>
      <c r="CW31" s="244" t="s">
        <v>153</v>
      </c>
      <c r="CX31" s="245" t="s">
        <v>153</v>
      </c>
      <c r="CY31" s="246" t="s">
        <v>153</v>
      </c>
      <c r="CZ31" s="247" t="s">
        <v>153</v>
      </c>
      <c r="DA31" s="248" t="s">
        <v>153</v>
      </c>
      <c r="DB31" s="249" t="s">
        <v>153</v>
      </c>
      <c r="DC31" s="250" t="s">
        <v>153</v>
      </c>
      <c r="DD31" s="251" t="s">
        <v>153</v>
      </c>
      <c r="DE31" s="252" t="s">
        <v>153</v>
      </c>
      <c r="DF31" s="253" t="s">
        <v>153</v>
      </c>
      <c r="DG31" s="254" t="s">
        <v>153</v>
      </c>
      <c r="DH31" s="255" t="s">
        <v>153</v>
      </c>
      <c r="DI31" s="256" t="s">
        <v>153</v>
      </c>
      <c r="DJ31" s="257" t="s">
        <v>153</v>
      </c>
      <c r="DK31" s="258" t="s">
        <v>153</v>
      </c>
      <c r="DL31" s="259" t="s">
        <v>153</v>
      </c>
      <c r="DM31" s="260" t="s">
        <v>153</v>
      </c>
      <c r="DN31" s="261" t="s">
        <v>153</v>
      </c>
      <c r="DO31" s="262" t="s">
        <v>153</v>
      </c>
      <c r="DP31" s="263" t="s">
        <v>153</v>
      </c>
      <c r="DQ31" s="264" t="s">
        <v>153</v>
      </c>
      <c r="DR31" s="265" t="s">
        <v>153</v>
      </c>
      <c r="DS31" s="266" t="s">
        <v>153</v>
      </c>
      <c r="DT31" s="267" t="s">
        <v>153</v>
      </c>
      <c r="DU31" s="268" t="s">
        <v>153</v>
      </c>
      <c r="DV31" s="269" t="s">
        <v>153</v>
      </c>
      <c r="DW31" s="270" t="s">
        <v>153</v>
      </c>
      <c r="DX31" s="271" t="s">
        <v>153</v>
      </c>
      <c r="DY31" s="272" t="s">
        <v>153</v>
      </c>
      <c r="DZ31" s="273" t="s">
        <v>191</v>
      </c>
      <c r="EA31" s="274">
        <v>44349</v>
      </c>
      <c r="EB31" s="275">
        <v>60000</v>
      </c>
      <c r="EC31" s="276">
        <v>37727</v>
      </c>
      <c r="ED31" s="277" t="s">
        <v>226</v>
      </c>
      <c r="EE31" s="279" t="str">
        <f>HYPERLINK("https://my.pitchbook.com?c=65650-33", "View company online")</f>
        <v>View company online</v>
      </c>
    </row>
    <row r="32" spans="1:135" x14ac:dyDescent="0.45">
      <c r="A32" s="10" t="s">
        <v>749</v>
      </c>
      <c r="B32" s="11" t="s">
        <v>750</v>
      </c>
      <c r="C32" s="12" t="s">
        <v>153</v>
      </c>
      <c r="D32" s="13" t="s">
        <v>153</v>
      </c>
      <c r="E32" s="14" t="s">
        <v>153</v>
      </c>
      <c r="F32" s="15" t="s">
        <v>153</v>
      </c>
      <c r="G32" s="16" t="s">
        <v>751</v>
      </c>
      <c r="H32" s="17" t="s">
        <v>752</v>
      </c>
      <c r="I32" s="18" t="s">
        <v>749</v>
      </c>
      <c r="J32" s="19" t="s">
        <v>753</v>
      </c>
      <c r="K32" s="20" t="s">
        <v>257</v>
      </c>
      <c r="L32" s="21" t="s">
        <v>258</v>
      </c>
      <c r="M32" s="22" t="s">
        <v>259</v>
      </c>
      <c r="N32" s="23" t="s">
        <v>754</v>
      </c>
      <c r="O32" s="24" t="s">
        <v>755</v>
      </c>
      <c r="P32" s="25" t="s">
        <v>756</v>
      </c>
      <c r="Q32" s="26" t="s">
        <v>289</v>
      </c>
      <c r="R32" s="27">
        <v>800</v>
      </c>
      <c r="S32" s="28" t="s">
        <v>290</v>
      </c>
      <c r="T32" s="29" t="s">
        <v>205</v>
      </c>
      <c r="U32" s="30" t="s">
        <v>482</v>
      </c>
      <c r="V32" s="31" t="s">
        <v>757</v>
      </c>
      <c r="W32" s="32">
        <v>23044</v>
      </c>
      <c r="X32" s="33" t="s">
        <v>758</v>
      </c>
      <c r="Y32" s="34" t="s">
        <v>153</v>
      </c>
      <c r="Z32" s="35" t="s">
        <v>153</v>
      </c>
      <c r="AA32" s="36">
        <v>1986</v>
      </c>
      <c r="AB32" s="37" t="s">
        <v>153</v>
      </c>
      <c r="AC32" s="38" t="s">
        <v>153</v>
      </c>
      <c r="AD32" s="39" t="s">
        <v>153</v>
      </c>
      <c r="AE32" s="40" t="s">
        <v>153</v>
      </c>
      <c r="AF32" s="41" t="s">
        <v>153</v>
      </c>
      <c r="AG32" s="42" t="s">
        <v>153</v>
      </c>
      <c r="AH32" s="43" t="s">
        <v>153</v>
      </c>
      <c r="AI32" s="44" t="s">
        <v>153</v>
      </c>
      <c r="AJ32" s="45" t="s">
        <v>153</v>
      </c>
      <c r="AK32" s="46" t="s">
        <v>153</v>
      </c>
      <c r="AL32" s="47" t="s">
        <v>153</v>
      </c>
      <c r="AM32" s="48" t="s">
        <v>153</v>
      </c>
      <c r="AN32" s="49" t="s">
        <v>538</v>
      </c>
      <c r="AO32" s="50" t="s">
        <v>153</v>
      </c>
      <c r="AP32" s="51" t="s">
        <v>153</v>
      </c>
      <c r="AQ32" s="52" t="s">
        <v>153</v>
      </c>
      <c r="AR32" s="53" t="s">
        <v>153</v>
      </c>
      <c r="AS32" s="54" t="s">
        <v>153</v>
      </c>
      <c r="AT32" s="55" t="s">
        <v>624</v>
      </c>
      <c r="AU32" s="56" t="s">
        <v>759</v>
      </c>
      <c r="AV32" s="57" t="s">
        <v>760</v>
      </c>
      <c r="AW32" s="58" t="s">
        <v>627</v>
      </c>
      <c r="AX32" s="59" t="s">
        <v>153</v>
      </c>
      <c r="AY32" s="60" t="s">
        <v>761</v>
      </c>
      <c r="AZ32" s="61" t="s">
        <v>629</v>
      </c>
      <c r="BA32" s="62" t="s">
        <v>153</v>
      </c>
      <c r="BB32" s="63" t="s">
        <v>153</v>
      </c>
      <c r="BC32" s="64" t="s">
        <v>153</v>
      </c>
      <c r="BD32" s="65" t="s">
        <v>180</v>
      </c>
      <c r="BE32" s="66" t="s">
        <v>181</v>
      </c>
      <c r="BF32" s="67" t="s">
        <v>762</v>
      </c>
      <c r="BG32" s="68" t="s">
        <v>153</v>
      </c>
      <c r="BH32" s="69" t="s">
        <v>153</v>
      </c>
      <c r="BI32" s="70" t="s">
        <v>763</v>
      </c>
      <c r="BJ32" s="71" t="s">
        <v>764</v>
      </c>
      <c r="BK32" s="72" t="s">
        <v>621</v>
      </c>
      <c r="BL32" s="73" t="s">
        <v>153</v>
      </c>
      <c r="BM32" s="74" t="s">
        <v>765</v>
      </c>
      <c r="BN32" s="75" t="s">
        <v>766</v>
      </c>
      <c r="BO32" s="76" t="s">
        <v>767</v>
      </c>
      <c r="BP32" s="77" t="s">
        <v>768</v>
      </c>
      <c r="BQ32" s="78" t="s">
        <v>153</v>
      </c>
      <c r="BR32" s="79" t="s">
        <v>153</v>
      </c>
      <c r="BS32" s="80" t="s">
        <v>153</v>
      </c>
      <c r="BT32" s="81" t="s">
        <v>153</v>
      </c>
      <c r="BU32" s="82" t="s">
        <v>153</v>
      </c>
      <c r="BV32" s="83" t="s">
        <v>471</v>
      </c>
      <c r="BW32" s="84" t="s">
        <v>153</v>
      </c>
      <c r="BX32" s="85" t="s">
        <v>153</v>
      </c>
      <c r="BY32" s="86" t="s">
        <v>472</v>
      </c>
      <c r="BZ32" s="87" t="s">
        <v>153</v>
      </c>
      <c r="CA32" s="88" t="s">
        <v>190</v>
      </c>
      <c r="CB32" s="89">
        <v>43473</v>
      </c>
      <c r="CC32" s="90">
        <v>58237.11</v>
      </c>
      <c r="CD32" s="91" t="s">
        <v>186</v>
      </c>
      <c r="CE32" s="92">
        <v>58237.11</v>
      </c>
      <c r="CF32" s="93" t="s">
        <v>186</v>
      </c>
      <c r="CG32" s="94" t="s">
        <v>226</v>
      </c>
      <c r="CH32" s="95" t="s">
        <v>153</v>
      </c>
      <c r="CI32" s="96" t="s">
        <v>153</v>
      </c>
      <c r="CJ32" s="97" t="s">
        <v>225</v>
      </c>
      <c r="CK32" s="98">
        <v>43473</v>
      </c>
      <c r="CL32" s="99" t="s">
        <v>153</v>
      </c>
      <c r="CM32" s="100" t="s">
        <v>153</v>
      </c>
      <c r="CN32" s="101" t="s">
        <v>190</v>
      </c>
      <c r="CO32" s="102" t="s">
        <v>153</v>
      </c>
      <c r="CP32" s="103" t="s">
        <v>153</v>
      </c>
      <c r="CQ32" s="104" t="s">
        <v>153</v>
      </c>
      <c r="CR32" s="105" t="s">
        <v>153</v>
      </c>
      <c r="CS32" s="106" t="s">
        <v>153</v>
      </c>
      <c r="CT32" s="107" t="s">
        <v>153</v>
      </c>
      <c r="CU32" s="108" t="s">
        <v>153</v>
      </c>
      <c r="CV32" s="109" t="s">
        <v>153</v>
      </c>
      <c r="CW32" s="110" t="s">
        <v>153</v>
      </c>
      <c r="CX32" s="111" t="s">
        <v>153</v>
      </c>
      <c r="CY32" s="112" t="s">
        <v>153</v>
      </c>
      <c r="CZ32" s="113" t="s">
        <v>153</v>
      </c>
      <c r="DA32" s="114" t="s">
        <v>153</v>
      </c>
      <c r="DB32" s="115" t="s">
        <v>153</v>
      </c>
      <c r="DC32" s="116" t="s">
        <v>153</v>
      </c>
      <c r="DD32" s="117" t="s">
        <v>153</v>
      </c>
      <c r="DE32" s="118" t="s">
        <v>153</v>
      </c>
      <c r="DF32" s="119" t="s">
        <v>153</v>
      </c>
      <c r="DG32" s="120" t="s">
        <v>153</v>
      </c>
      <c r="DH32" s="121" t="s">
        <v>153</v>
      </c>
      <c r="DI32" s="122" t="s">
        <v>153</v>
      </c>
      <c r="DJ32" s="123" t="s">
        <v>153</v>
      </c>
      <c r="DK32" s="124" t="s">
        <v>153</v>
      </c>
      <c r="DL32" s="125" t="s">
        <v>153</v>
      </c>
      <c r="DM32" s="126" t="s">
        <v>153</v>
      </c>
      <c r="DN32" s="127" t="s">
        <v>153</v>
      </c>
      <c r="DO32" s="128" t="s">
        <v>153</v>
      </c>
      <c r="DP32" s="129" t="s">
        <v>153</v>
      </c>
      <c r="DQ32" s="130" t="s">
        <v>153</v>
      </c>
      <c r="DR32" s="131" t="s">
        <v>153</v>
      </c>
      <c r="DS32" s="132" t="s">
        <v>153</v>
      </c>
      <c r="DT32" s="133" t="s">
        <v>153</v>
      </c>
      <c r="DU32" s="134" t="s">
        <v>153</v>
      </c>
      <c r="DV32" s="135" t="s">
        <v>153</v>
      </c>
      <c r="DW32" s="136" t="s">
        <v>153</v>
      </c>
      <c r="DX32" s="137" t="s">
        <v>153</v>
      </c>
      <c r="DY32" s="138" t="s">
        <v>153</v>
      </c>
      <c r="DZ32" s="139" t="s">
        <v>191</v>
      </c>
      <c r="EA32" s="140">
        <v>44382</v>
      </c>
      <c r="EB32" s="141">
        <v>58237.11</v>
      </c>
      <c r="EC32" s="142">
        <v>43473</v>
      </c>
      <c r="ED32" s="143" t="s">
        <v>226</v>
      </c>
      <c r="EE32" s="278" t="str">
        <f>HYPERLINK("https://my.pitchbook.com?c=13257-46", "View company online")</f>
        <v>View company online</v>
      </c>
    </row>
    <row r="33" spans="1:135" x14ac:dyDescent="0.45">
      <c r="A33" s="144" t="s">
        <v>769</v>
      </c>
      <c r="B33" s="145" t="s">
        <v>770</v>
      </c>
      <c r="C33" s="146" t="s">
        <v>153</v>
      </c>
      <c r="D33" s="147" t="s">
        <v>153</v>
      </c>
      <c r="E33" s="148" t="s">
        <v>771</v>
      </c>
      <c r="F33" s="149" t="s">
        <v>772</v>
      </c>
      <c r="G33" s="150" t="s">
        <v>773</v>
      </c>
      <c r="H33" s="151" t="s">
        <v>153</v>
      </c>
      <c r="I33" s="152" t="s">
        <v>769</v>
      </c>
      <c r="J33" s="153" t="s">
        <v>774</v>
      </c>
      <c r="K33" s="154" t="s">
        <v>232</v>
      </c>
      <c r="L33" s="155" t="s">
        <v>362</v>
      </c>
      <c r="M33" s="156" t="s">
        <v>363</v>
      </c>
      <c r="N33" s="157" t="s">
        <v>775</v>
      </c>
      <c r="O33" s="158" t="s">
        <v>153</v>
      </c>
      <c r="P33" s="159" t="s">
        <v>776</v>
      </c>
      <c r="Q33" s="160" t="s">
        <v>204</v>
      </c>
      <c r="R33" s="161" t="s">
        <v>153</v>
      </c>
      <c r="S33" s="162" t="s">
        <v>163</v>
      </c>
      <c r="T33" s="163" t="s">
        <v>205</v>
      </c>
      <c r="U33" s="164" t="s">
        <v>237</v>
      </c>
      <c r="V33" s="165" t="s">
        <v>777</v>
      </c>
      <c r="W33" s="166">
        <v>71196</v>
      </c>
      <c r="X33" s="167" t="s">
        <v>778</v>
      </c>
      <c r="Y33" s="168" t="s">
        <v>153</v>
      </c>
      <c r="Z33" s="169" t="s">
        <v>153</v>
      </c>
      <c r="AA33" s="170" t="s">
        <v>153</v>
      </c>
      <c r="AB33" s="171" t="s">
        <v>153</v>
      </c>
      <c r="AC33" s="172" t="s">
        <v>153</v>
      </c>
      <c r="AD33" s="173" t="s">
        <v>153</v>
      </c>
      <c r="AE33" s="174" t="s">
        <v>153</v>
      </c>
      <c r="AF33" s="175" t="s">
        <v>153</v>
      </c>
      <c r="AG33" s="176" t="s">
        <v>153</v>
      </c>
      <c r="AH33" s="177" t="s">
        <v>153</v>
      </c>
      <c r="AI33" s="178" t="s">
        <v>153</v>
      </c>
      <c r="AJ33" s="179" t="s">
        <v>153</v>
      </c>
      <c r="AK33" s="180" t="s">
        <v>153</v>
      </c>
      <c r="AL33" s="181" t="s">
        <v>153</v>
      </c>
      <c r="AM33" s="182" t="s">
        <v>153</v>
      </c>
      <c r="AN33" s="183" t="s">
        <v>779</v>
      </c>
      <c r="AO33" s="184" t="s">
        <v>153</v>
      </c>
      <c r="AP33" s="185" t="s">
        <v>153</v>
      </c>
      <c r="AQ33" s="186" t="s">
        <v>153</v>
      </c>
      <c r="AR33" s="187" t="s">
        <v>153</v>
      </c>
      <c r="AS33" s="188" t="s">
        <v>153</v>
      </c>
      <c r="AT33" s="189" t="s">
        <v>780</v>
      </c>
      <c r="AU33" s="190" t="s">
        <v>781</v>
      </c>
      <c r="AV33" s="191" t="s">
        <v>153</v>
      </c>
      <c r="AW33" s="192" t="s">
        <v>782</v>
      </c>
      <c r="AX33" s="193" t="s">
        <v>783</v>
      </c>
      <c r="AY33" s="194" t="s">
        <v>784</v>
      </c>
      <c r="AZ33" s="195" t="s">
        <v>215</v>
      </c>
      <c r="BA33" s="196" t="s">
        <v>153</v>
      </c>
      <c r="BB33" s="197" t="s">
        <v>153</v>
      </c>
      <c r="BC33" s="198" t="s">
        <v>153</v>
      </c>
      <c r="BD33" s="199" t="s">
        <v>216</v>
      </c>
      <c r="BE33" s="200" t="s">
        <v>217</v>
      </c>
      <c r="BF33" s="201" t="s">
        <v>785</v>
      </c>
      <c r="BG33" s="202" t="s">
        <v>153</v>
      </c>
      <c r="BH33" s="203" t="s">
        <v>153</v>
      </c>
      <c r="BI33" s="204" t="s">
        <v>786</v>
      </c>
      <c r="BJ33" s="205" t="s">
        <v>153</v>
      </c>
      <c r="BK33" s="206" t="s">
        <v>153</v>
      </c>
      <c r="BL33" s="207" t="s">
        <v>153</v>
      </c>
      <c r="BM33" s="208" t="s">
        <v>153</v>
      </c>
      <c r="BN33" s="209" t="s">
        <v>153</v>
      </c>
      <c r="BO33" s="210" t="s">
        <v>787</v>
      </c>
      <c r="BP33" s="211" t="s">
        <v>355</v>
      </c>
      <c r="BQ33" s="212">
        <v>26666</v>
      </c>
      <c r="BR33" s="213" t="s">
        <v>153</v>
      </c>
      <c r="BS33" s="214" t="s">
        <v>153</v>
      </c>
      <c r="BT33" s="215" t="s">
        <v>153</v>
      </c>
      <c r="BU33" s="216" t="s">
        <v>153</v>
      </c>
      <c r="BV33" s="217" t="s">
        <v>251</v>
      </c>
      <c r="BW33" s="218" t="s">
        <v>153</v>
      </c>
      <c r="BX33" s="219" t="s">
        <v>153</v>
      </c>
      <c r="BY33" s="220" t="s">
        <v>252</v>
      </c>
      <c r="BZ33" s="221" t="s">
        <v>153</v>
      </c>
      <c r="CA33" s="222" t="s">
        <v>190</v>
      </c>
      <c r="CB33" s="223">
        <v>38169</v>
      </c>
      <c r="CC33" s="224">
        <v>58000</v>
      </c>
      <c r="CD33" s="225" t="s">
        <v>187</v>
      </c>
      <c r="CE33" s="226">
        <v>58000</v>
      </c>
      <c r="CF33" s="227" t="s">
        <v>187</v>
      </c>
      <c r="CG33" s="228" t="s">
        <v>226</v>
      </c>
      <c r="CH33" s="229" t="s">
        <v>153</v>
      </c>
      <c r="CI33" s="230" t="s">
        <v>153</v>
      </c>
      <c r="CJ33" s="231" t="s">
        <v>225</v>
      </c>
      <c r="CK33" s="232">
        <v>38169</v>
      </c>
      <c r="CL33" s="233" t="s">
        <v>153</v>
      </c>
      <c r="CM33" s="234" t="s">
        <v>153</v>
      </c>
      <c r="CN33" s="235" t="s">
        <v>190</v>
      </c>
      <c r="CO33" s="236" t="s">
        <v>153</v>
      </c>
      <c r="CP33" s="237" t="s">
        <v>153</v>
      </c>
      <c r="CQ33" s="238" t="s">
        <v>153</v>
      </c>
      <c r="CR33" s="239" t="s">
        <v>153</v>
      </c>
      <c r="CS33" s="240" t="s">
        <v>153</v>
      </c>
      <c r="CT33" s="241" t="s">
        <v>153</v>
      </c>
      <c r="CU33" s="242" t="s">
        <v>153</v>
      </c>
      <c r="CV33" s="243" t="s">
        <v>153</v>
      </c>
      <c r="CW33" s="244" t="s">
        <v>153</v>
      </c>
      <c r="CX33" s="245" t="s">
        <v>153</v>
      </c>
      <c r="CY33" s="246" t="s">
        <v>153</v>
      </c>
      <c r="CZ33" s="247" t="s">
        <v>153</v>
      </c>
      <c r="DA33" s="248" t="s">
        <v>153</v>
      </c>
      <c r="DB33" s="249" t="s">
        <v>153</v>
      </c>
      <c r="DC33" s="250" t="s">
        <v>153</v>
      </c>
      <c r="DD33" s="251" t="s">
        <v>153</v>
      </c>
      <c r="DE33" s="252" t="s">
        <v>153</v>
      </c>
      <c r="DF33" s="253" t="s">
        <v>153</v>
      </c>
      <c r="DG33" s="254" t="s">
        <v>153</v>
      </c>
      <c r="DH33" s="255" t="s">
        <v>153</v>
      </c>
      <c r="DI33" s="256" t="s">
        <v>153</v>
      </c>
      <c r="DJ33" s="257" t="s">
        <v>153</v>
      </c>
      <c r="DK33" s="258" t="s">
        <v>153</v>
      </c>
      <c r="DL33" s="259" t="s">
        <v>153</v>
      </c>
      <c r="DM33" s="260" t="s">
        <v>153</v>
      </c>
      <c r="DN33" s="261" t="s">
        <v>153</v>
      </c>
      <c r="DO33" s="262" t="s">
        <v>153</v>
      </c>
      <c r="DP33" s="263" t="s">
        <v>153</v>
      </c>
      <c r="DQ33" s="264" t="s">
        <v>153</v>
      </c>
      <c r="DR33" s="265" t="s">
        <v>153</v>
      </c>
      <c r="DS33" s="266" t="s">
        <v>153</v>
      </c>
      <c r="DT33" s="267" t="s">
        <v>153</v>
      </c>
      <c r="DU33" s="268" t="s">
        <v>153</v>
      </c>
      <c r="DV33" s="269" t="s">
        <v>153</v>
      </c>
      <c r="DW33" s="270" t="s">
        <v>153</v>
      </c>
      <c r="DX33" s="271" t="s">
        <v>153</v>
      </c>
      <c r="DY33" s="272" t="s">
        <v>153</v>
      </c>
      <c r="DZ33" s="273" t="s">
        <v>191</v>
      </c>
      <c r="EA33" s="274">
        <v>44215</v>
      </c>
      <c r="EB33" s="275">
        <v>58000</v>
      </c>
      <c r="EC33" s="276">
        <v>38169</v>
      </c>
      <c r="ED33" s="277" t="s">
        <v>226</v>
      </c>
      <c r="EE33" s="279" t="str">
        <f>HYPERLINK("https://my.pitchbook.com?c=10266-13", "View company online")</f>
        <v>View company online</v>
      </c>
    </row>
    <row r="34" spans="1:135" x14ac:dyDescent="0.45">
      <c r="A34" s="10" t="s">
        <v>788</v>
      </c>
      <c r="B34" s="11" t="s">
        <v>789</v>
      </c>
      <c r="C34" s="12" t="s">
        <v>153</v>
      </c>
      <c r="D34" s="13" t="s">
        <v>153</v>
      </c>
      <c r="E34" s="14" t="s">
        <v>153</v>
      </c>
      <c r="F34" s="15" t="s">
        <v>153</v>
      </c>
      <c r="G34" s="16" t="s">
        <v>790</v>
      </c>
      <c r="H34" s="17" t="s">
        <v>153</v>
      </c>
      <c r="I34" s="18" t="s">
        <v>788</v>
      </c>
      <c r="J34" s="19" t="s">
        <v>791</v>
      </c>
      <c r="K34" s="20" t="s">
        <v>792</v>
      </c>
      <c r="L34" s="21" t="s">
        <v>793</v>
      </c>
      <c r="M34" s="22" t="s">
        <v>794</v>
      </c>
      <c r="N34" s="23" t="s">
        <v>795</v>
      </c>
      <c r="O34" s="24" t="s">
        <v>796</v>
      </c>
      <c r="P34" s="25" t="s">
        <v>797</v>
      </c>
      <c r="Q34" s="26" t="s">
        <v>204</v>
      </c>
      <c r="R34" s="27" t="s">
        <v>153</v>
      </c>
      <c r="S34" s="28" t="s">
        <v>163</v>
      </c>
      <c r="T34" s="29" t="s">
        <v>205</v>
      </c>
      <c r="U34" s="30" t="s">
        <v>206</v>
      </c>
      <c r="V34" s="31" t="s">
        <v>153</v>
      </c>
      <c r="W34" s="32" t="s">
        <v>153</v>
      </c>
      <c r="X34" s="33" t="s">
        <v>153</v>
      </c>
      <c r="Y34" s="34" t="s">
        <v>153</v>
      </c>
      <c r="Z34" s="35" t="s">
        <v>153</v>
      </c>
      <c r="AA34" s="36" t="s">
        <v>153</v>
      </c>
      <c r="AB34" s="37" t="s">
        <v>153</v>
      </c>
      <c r="AC34" s="38" t="s">
        <v>153</v>
      </c>
      <c r="AD34" s="39" t="s">
        <v>153</v>
      </c>
      <c r="AE34" s="40" t="s">
        <v>153</v>
      </c>
      <c r="AF34" s="41" t="s">
        <v>153</v>
      </c>
      <c r="AG34" s="42" t="s">
        <v>153</v>
      </c>
      <c r="AH34" s="43" t="s">
        <v>153</v>
      </c>
      <c r="AI34" s="44" t="s">
        <v>153</v>
      </c>
      <c r="AJ34" s="45" t="s">
        <v>153</v>
      </c>
      <c r="AK34" s="46" t="s">
        <v>153</v>
      </c>
      <c r="AL34" s="47" t="s">
        <v>153</v>
      </c>
      <c r="AM34" s="48" t="s">
        <v>153</v>
      </c>
      <c r="AN34" s="49" t="s">
        <v>798</v>
      </c>
      <c r="AO34" s="50" t="s">
        <v>799</v>
      </c>
      <c r="AP34" s="51" t="s">
        <v>800</v>
      </c>
      <c r="AQ34" s="52" t="s">
        <v>801</v>
      </c>
      <c r="AR34" s="53" t="s">
        <v>153</v>
      </c>
      <c r="AS34" s="54" t="s">
        <v>153</v>
      </c>
      <c r="AT34" s="55" t="s">
        <v>802</v>
      </c>
      <c r="AU34" s="56" t="s">
        <v>803</v>
      </c>
      <c r="AV34" s="57" t="s">
        <v>804</v>
      </c>
      <c r="AW34" s="58" t="s">
        <v>805</v>
      </c>
      <c r="AX34" s="59" t="s">
        <v>806</v>
      </c>
      <c r="AY34" s="60" t="s">
        <v>807</v>
      </c>
      <c r="AZ34" s="61" t="s">
        <v>808</v>
      </c>
      <c r="BA34" s="62" t="s">
        <v>153</v>
      </c>
      <c r="BB34" s="63" t="s">
        <v>153</v>
      </c>
      <c r="BC34" s="64" t="s">
        <v>153</v>
      </c>
      <c r="BD34" s="65" t="s">
        <v>180</v>
      </c>
      <c r="BE34" s="66" t="s">
        <v>809</v>
      </c>
      <c r="BF34" s="67" t="s">
        <v>810</v>
      </c>
      <c r="BG34" s="68" t="s">
        <v>153</v>
      </c>
      <c r="BH34" s="69" t="s">
        <v>153</v>
      </c>
      <c r="BI34" s="70" t="s">
        <v>811</v>
      </c>
      <c r="BJ34" s="71" t="s">
        <v>153</v>
      </c>
      <c r="BK34" s="72" t="s">
        <v>153</v>
      </c>
      <c r="BL34" s="73" t="s">
        <v>153</v>
      </c>
      <c r="BM34" s="74" t="s">
        <v>153</v>
      </c>
      <c r="BN34" s="75" t="s">
        <v>153</v>
      </c>
      <c r="BO34" s="76" t="s">
        <v>153</v>
      </c>
      <c r="BP34" s="77" t="s">
        <v>153</v>
      </c>
      <c r="BQ34" s="78">
        <v>40990</v>
      </c>
      <c r="BR34" s="79">
        <v>57894.79</v>
      </c>
      <c r="BS34" s="80" t="s">
        <v>186</v>
      </c>
      <c r="BT34" s="81">
        <v>57894.79</v>
      </c>
      <c r="BU34" s="82" t="s">
        <v>186</v>
      </c>
      <c r="BV34" s="83" t="s">
        <v>226</v>
      </c>
      <c r="BW34" s="84" t="s">
        <v>153</v>
      </c>
      <c r="BX34" s="85" t="s">
        <v>153</v>
      </c>
      <c r="BY34" s="86" t="s">
        <v>225</v>
      </c>
      <c r="BZ34" s="87" t="s">
        <v>153</v>
      </c>
      <c r="CA34" s="88" t="s">
        <v>190</v>
      </c>
      <c r="CB34" s="89">
        <v>40990</v>
      </c>
      <c r="CC34" s="90">
        <v>57894.79</v>
      </c>
      <c r="CD34" s="91" t="s">
        <v>186</v>
      </c>
      <c r="CE34" s="92">
        <v>57894.79</v>
      </c>
      <c r="CF34" s="93" t="s">
        <v>186</v>
      </c>
      <c r="CG34" s="94" t="s">
        <v>226</v>
      </c>
      <c r="CH34" s="95" t="s">
        <v>153</v>
      </c>
      <c r="CI34" s="96" t="s">
        <v>153</v>
      </c>
      <c r="CJ34" s="97" t="s">
        <v>225</v>
      </c>
      <c r="CK34" s="98">
        <v>40990</v>
      </c>
      <c r="CL34" s="99" t="s">
        <v>153</v>
      </c>
      <c r="CM34" s="100" t="s">
        <v>153</v>
      </c>
      <c r="CN34" s="101" t="s">
        <v>190</v>
      </c>
      <c r="CO34" s="102" t="s">
        <v>153</v>
      </c>
      <c r="CP34" s="103" t="s">
        <v>153</v>
      </c>
      <c r="CQ34" s="104" t="s">
        <v>153</v>
      </c>
      <c r="CR34" s="105" t="s">
        <v>153</v>
      </c>
      <c r="CS34" s="106" t="s">
        <v>153</v>
      </c>
      <c r="CT34" s="107" t="s">
        <v>153</v>
      </c>
      <c r="CU34" s="108" t="s">
        <v>153</v>
      </c>
      <c r="CV34" s="109" t="s">
        <v>153</v>
      </c>
      <c r="CW34" s="110" t="s">
        <v>153</v>
      </c>
      <c r="CX34" s="111" t="s">
        <v>153</v>
      </c>
      <c r="CY34" s="112" t="s">
        <v>153</v>
      </c>
      <c r="CZ34" s="113" t="s">
        <v>153</v>
      </c>
      <c r="DA34" s="114" t="s">
        <v>153</v>
      </c>
      <c r="DB34" s="115" t="s">
        <v>153</v>
      </c>
      <c r="DC34" s="116" t="s">
        <v>153</v>
      </c>
      <c r="DD34" s="117" t="s">
        <v>153</v>
      </c>
      <c r="DE34" s="118" t="s">
        <v>153</v>
      </c>
      <c r="DF34" s="119" t="s">
        <v>153</v>
      </c>
      <c r="DG34" s="120" t="s">
        <v>153</v>
      </c>
      <c r="DH34" s="121" t="s">
        <v>153</v>
      </c>
      <c r="DI34" s="122" t="s">
        <v>153</v>
      </c>
      <c r="DJ34" s="123" t="s">
        <v>153</v>
      </c>
      <c r="DK34" s="124" t="s">
        <v>153</v>
      </c>
      <c r="DL34" s="125" t="s">
        <v>153</v>
      </c>
      <c r="DM34" s="126" t="s">
        <v>153</v>
      </c>
      <c r="DN34" s="127" t="s">
        <v>153</v>
      </c>
      <c r="DO34" s="128" t="s">
        <v>153</v>
      </c>
      <c r="DP34" s="129" t="s">
        <v>153</v>
      </c>
      <c r="DQ34" s="130" t="s">
        <v>153</v>
      </c>
      <c r="DR34" s="131" t="s">
        <v>153</v>
      </c>
      <c r="DS34" s="132" t="s">
        <v>153</v>
      </c>
      <c r="DT34" s="133" t="s">
        <v>153</v>
      </c>
      <c r="DU34" s="134" t="s">
        <v>153</v>
      </c>
      <c r="DV34" s="135" t="s">
        <v>153</v>
      </c>
      <c r="DW34" s="136" t="s">
        <v>153</v>
      </c>
      <c r="DX34" s="137" t="s">
        <v>153</v>
      </c>
      <c r="DY34" s="138" t="s">
        <v>153</v>
      </c>
      <c r="DZ34" s="139" t="s">
        <v>191</v>
      </c>
      <c r="EA34" s="140">
        <v>44147</v>
      </c>
      <c r="EB34" s="141">
        <v>57894.79</v>
      </c>
      <c r="EC34" s="142">
        <v>40990</v>
      </c>
      <c r="ED34" s="143" t="s">
        <v>226</v>
      </c>
      <c r="EE34" s="278" t="str">
        <f>HYPERLINK("https://my.pitchbook.com?c=164333-17", "View company online")</f>
        <v>View company online</v>
      </c>
    </row>
    <row r="35" spans="1:135" x14ac:dyDescent="0.45">
      <c r="A35" s="144" t="s">
        <v>812</v>
      </c>
      <c r="B35" s="145" t="s">
        <v>813</v>
      </c>
      <c r="C35" s="146" t="s">
        <v>153</v>
      </c>
      <c r="D35" s="147" t="s">
        <v>153</v>
      </c>
      <c r="E35" s="148" t="s">
        <v>153</v>
      </c>
      <c r="F35" s="149" t="s">
        <v>153</v>
      </c>
      <c r="G35" s="150" t="s">
        <v>814</v>
      </c>
      <c r="H35" s="151" t="s">
        <v>815</v>
      </c>
      <c r="I35" s="152" t="s">
        <v>812</v>
      </c>
      <c r="J35" s="153" t="s">
        <v>816</v>
      </c>
      <c r="K35" s="154" t="s">
        <v>157</v>
      </c>
      <c r="L35" s="155" t="s">
        <v>817</v>
      </c>
      <c r="M35" s="156" t="s">
        <v>818</v>
      </c>
      <c r="N35" s="157" t="s">
        <v>819</v>
      </c>
      <c r="O35" s="158" t="s">
        <v>820</v>
      </c>
      <c r="P35" s="159" t="s">
        <v>821</v>
      </c>
      <c r="Q35" s="160" t="s">
        <v>564</v>
      </c>
      <c r="R35" s="161" t="s">
        <v>153</v>
      </c>
      <c r="S35" s="162" t="s">
        <v>163</v>
      </c>
      <c r="T35" s="163" t="s">
        <v>164</v>
      </c>
      <c r="U35" s="164" t="s">
        <v>369</v>
      </c>
      <c r="V35" s="165" t="s">
        <v>822</v>
      </c>
      <c r="W35" s="166">
        <v>1200</v>
      </c>
      <c r="X35" s="167" t="s">
        <v>823</v>
      </c>
      <c r="Y35" s="168" t="s">
        <v>153</v>
      </c>
      <c r="Z35" s="169" t="s">
        <v>153</v>
      </c>
      <c r="AA35" s="170">
        <v>1901</v>
      </c>
      <c r="AB35" s="171" t="s">
        <v>824</v>
      </c>
      <c r="AC35" s="172" t="s">
        <v>428</v>
      </c>
      <c r="AD35" s="173" t="s">
        <v>570</v>
      </c>
      <c r="AE35" s="174" t="s">
        <v>153</v>
      </c>
      <c r="AF35" s="175" t="s">
        <v>153</v>
      </c>
      <c r="AG35" s="176" t="s">
        <v>153</v>
      </c>
      <c r="AH35" s="177" t="s">
        <v>153</v>
      </c>
      <c r="AI35" s="178" t="s">
        <v>153</v>
      </c>
      <c r="AJ35" s="179" t="s">
        <v>153</v>
      </c>
      <c r="AK35" s="180" t="s">
        <v>153</v>
      </c>
      <c r="AL35" s="181" t="s">
        <v>153</v>
      </c>
      <c r="AM35" s="182" t="s">
        <v>153</v>
      </c>
      <c r="AN35" s="183" t="s">
        <v>825</v>
      </c>
      <c r="AO35" s="184" t="s">
        <v>153</v>
      </c>
      <c r="AP35" s="185" t="s">
        <v>153</v>
      </c>
      <c r="AQ35" s="186" t="s">
        <v>153</v>
      </c>
      <c r="AR35" s="187" t="s">
        <v>153</v>
      </c>
      <c r="AS35" s="188" t="s">
        <v>153</v>
      </c>
      <c r="AT35" s="189" t="s">
        <v>826</v>
      </c>
      <c r="AU35" s="190" t="s">
        <v>827</v>
      </c>
      <c r="AV35" s="191" t="s">
        <v>153</v>
      </c>
      <c r="AW35" s="192" t="s">
        <v>828</v>
      </c>
      <c r="AX35" s="193" t="s">
        <v>385</v>
      </c>
      <c r="AY35" s="194" t="s">
        <v>829</v>
      </c>
      <c r="AZ35" s="195" t="s">
        <v>215</v>
      </c>
      <c r="BA35" s="196" t="s">
        <v>830</v>
      </c>
      <c r="BB35" s="197" t="s">
        <v>831</v>
      </c>
      <c r="BC35" s="198" t="s">
        <v>153</v>
      </c>
      <c r="BD35" s="199" t="s">
        <v>216</v>
      </c>
      <c r="BE35" s="200" t="s">
        <v>217</v>
      </c>
      <c r="BF35" s="201" t="s">
        <v>832</v>
      </c>
      <c r="BG35" s="202" t="s">
        <v>153</v>
      </c>
      <c r="BH35" s="203" t="s">
        <v>153</v>
      </c>
      <c r="BI35" s="204" t="s">
        <v>824</v>
      </c>
      <c r="BJ35" s="205" t="s">
        <v>833</v>
      </c>
      <c r="BK35" s="206" t="s">
        <v>153</v>
      </c>
      <c r="BL35" s="207" t="s">
        <v>153</v>
      </c>
      <c r="BM35" s="208" t="s">
        <v>834</v>
      </c>
      <c r="BN35" s="209" t="s">
        <v>153</v>
      </c>
      <c r="BO35" s="210" t="s">
        <v>835</v>
      </c>
      <c r="BP35" s="211" t="s">
        <v>153</v>
      </c>
      <c r="BQ35" s="212">
        <v>26451</v>
      </c>
      <c r="BR35" s="213" t="s">
        <v>153</v>
      </c>
      <c r="BS35" s="214" t="s">
        <v>153</v>
      </c>
      <c r="BT35" s="215" t="s">
        <v>153</v>
      </c>
      <c r="BU35" s="216" t="s">
        <v>153</v>
      </c>
      <c r="BV35" s="217" t="s">
        <v>251</v>
      </c>
      <c r="BW35" s="218" t="s">
        <v>153</v>
      </c>
      <c r="BX35" s="219" t="s">
        <v>153</v>
      </c>
      <c r="BY35" s="220" t="s">
        <v>252</v>
      </c>
      <c r="BZ35" s="221" t="s">
        <v>153</v>
      </c>
      <c r="CA35" s="222" t="s">
        <v>190</v>
      </c>
      <c r="CB35" s="223">
        <v>38626</v>
      </c>
      <c r="CC35" s="224">
        <v>57000</v>
      </c>
      <c r="CD35" s="225" t="s">
        <v>186</v>
      </c>
      <c r="CE35" s="226">
        <v>57000</v>
      </c>
      <c r="CF35" s="227" t="s">
        <v>186</v>
      </c>
      <c r="CG35" s="228" t="s">
        <v>226</v>
      </c>
      <c r="CH35" s="229" t="s">
        <v>153</v>
      </c>
      <c r="CI35" s="230" t="s">
        <v>153</v>
      </c>
      <c r="CJ35" s="231" t="s">
        <v>225</v>
      </c>
      <c r="CK35" s="232">
        <v>38626</v>
      </c>
      <c r="CL35" s="233" t="s">
        <v>153</v>
      </c>
      <c r="CM35" s="234" t="s">
        <v>153</v>
      </c>
      <c r="CN35" s="235" t="s">
        <v>190</v>
      </c>
      <c r="CO35" s="236">
        <v>0.68</v>
      </c>
      <c r="CP35" s="237">
        <v>94</v>
      </c>
      <c r="CQ35" s="238">
        <v>0</v>
      </c>
      <c r="CR35" s="239">
        <v>0</v>
      </c>
      <c r="CS35" s="240" t="s">
        <v>153</v>
      </c>
      <c r="CT35" s="241" t="s">
        <v>153</v>
      </c>
      <c r="CU35" s="242" t="s">
        <v>153</v>
      </c>
      <c r="CV35" s="243" t="s">
        <v>153</v>
      </c>
      <c r="CW35" s="244" t="s">
        <v>153</v>
      </c>
      <c r="CX35" s="245" t="s">
        <v>153</v>
      </c>
      <c r="CY35" s="246" t="s">
        <v>153</v>
      </c>
      <c r="CZ35" s="247" t="s">
        <v>153</v>
      </c>
      <c r="DA35" s="248" t="s">
        <v>153</v>
      </c>
      <c r="DB35" s="249" t="s">
        <v>153</v>
      </c>
      <c r="DC35" s="250">
        <v>32.43</v>
      </c>
      <c r="DD35" s="251">
        <v>97</v>
      </c>
      <c r="DE35" s="252">
        <v>0</v>
      </c>
      <c r="DF35" s="253">
        <v>0</v>
      </c>
      <c r="DG35" s="254" t="s">
        <v>153</v>
      </c>
      <c r="DH35" s="255" t="s">
        <v>153</v>
      </c>
      <c r="DI35" s="256" t="s">
        <v>153</v>
      </c>
      <c r="DJ35" s="257" t="s">
        <v>153</v>
      </c>
      <c r="DK35" s="258" t="s">
        <v>153</v>
      </c>
      <c r="DL35" s="259" t="s">
        <v>153</v>
      </c>
      <c r="DM35" s="260" t="s">
        <v>153</v>
      </c>
      <c r="DN35" s="261" t="s">
        <v>153</v>
      </c>
      <c r="DO35" s="262" t="s">
        <v>153</v>
      </c>
      <c r="DP35" s="263" t="s">
        <v>153</v>
      </c>
      <c r="DQ35" s="264" t="s">
        <v>153</v>
      </c>
      <c r="DR35" s="265" t="s">
        <v>153</v>
      </c>
      <c r="DS35" s="266" t="s">
        <v>153</v>
      </c>
      <c r="DT35" s="267" t="s">
        <v>153</v>
      </c>
      <c r="DU35" s="268" t="s">
        <v>153</v>
      </c>
      <c r="DV35" s="269" t="s">
        <v>153</v>
      </c>
      <c r="DW35" s="270" t="s">
        <v>153</v>
      </c>
      <c r="DX35" s="271" t="s">
        <v>153</v>
      </c>
      <c r="DY35" s="272" t="s">
        <v>153</v>
      </c>
      <c r="DZ35" s="273" t="s">
        <v>191</v>
      </c>
      <c r="EA35" s="274">
        <v>44367</v>
      </c>
      <c r="EB35" s="275">
        <v>57000</v>
      </c>
      <c r="EC35" s="276">
        <v>38626</v>
      </c>
      <c r="ED35" s="277" t="s">
        <v>226</v>
      </c>
      <c r="EE35" s="279" t="str">
        <f>HYPERLINK("https://my.pitchbook.com?c=13342-51", "View company online")</f>
        <v>View company online</v>
      </c>
    </row>
    <row r="36" spans="1:135" x14ac:dyDescent="0.45">
      <c r="A36" s="10" t="s">
        <v>836</v>
      </c>
      <c r="B36" s="11" t="s">
        <v>837</v>
      </c>
      <c r="C36" s="12" t="s">
        <v>153</v>
      </c>
      <c r="D36" s="13" t="s">
        <v>153</v>
      </c>
      <c r="E36" s="14" t="s">
        <v>838</v>
      </c>
      <c r="F36" s="15" t="s">
        <v>153</v>
      </c>
      <c r="G36" s="16" t="s">
        <v>839</v>
      </c>
      <c r="H36" s="17" t="s">
        <v>153</v>
      </c>
      <c r="I36" s="18" t="s">
        <v>836</v>
      </c>
      <c r="J36" s="19" t="s">
        <v>840</v>
      </c>
      <c r="K36" s="20" t="s">
        <v>792</v>
      </c>
      <c r="L36" s="21" t="s">
        <v>841</v>
      </c>
      <c r="M36" s="22" t="s">
        <v>842</v>
      </c>
      <c r="N36" s="23" t="s">
        <v>843</v>
      </c>
      <c r="O36" s="24" t="s">
        <v>796</v>
      </c>
      <c r="P36" s="25" t="s">
        <v>844</v>
      </c>
      <c r="Q36" s="26" t="s">
        <v>204</v>
      </c>
      <c r="R36" s="27" t="s">
        <v>153</v>
      </c>
      <c r="S36" s="28" t="s">
        <v>290</v>
      </c>
      <c r="T36" s="29" t="s">
        <v>205</v>
      </c>
      <c r="U36" s="30" t="s">
        <v>237</v>
      </c>
      <c r="V36" s="31" t="s">
        <v>845</v>
      </c>
      <c r="W36" s="32">
        <v>60000</v>
      </c>
      <c r="X36" s="33" t="s">
        <v>846</v>
      </c>
      <c r="Y36" s="34" t="s">
        <v>153</v>
      </c>
      <c r="Z36" s="35" t="s">
        <v>153</v>
      </c>
      <c r="AA36" s="36">
        <v>2003</v>
      </c>
      <c r="AB36" s="37" t="s">
        <v>153</v>
      </c>
      <c r="AC36" s="38" t="s">
        <v>153</v>
      </c>
      <c r="AD36" s="39" t="s">
        <v>153</v>
      </c>
      <c r="AE36" s="40" t="s">
        <v>153</v>
      </c>
      <c r="AF36" s="41" t="s">
        <v>153</v>
      </c>
      <c r="AG36" s="42" t="s">
        <v>153</v>
      </c>
      <c r="AH36" s="43" t="s">
        <v>153</v>
      </c>
      <c r="AI36" s="44" t="s">
        <v>153</v>
      </c>
      <c r="AJ36" s="45" t="s">
        <v>153</v>
      </c>
      <c r="AK36" s="46" t="s">
        <v>153</v>
      </c>
      <c r="AL36" s="47" t="s">
        <v>153</v>
      </c>
      <c r="AM36" s="48" t="s">
        <v>153</v>
      </c>
      <c r="AN36" s="49" t="s">
        <v>330</v>
      </c>
      <c r="AO36" s="50" t="s">
        <v>153</v>
      </c>
      <c r="AP36" s="51" t="s">
        <v>153</v>
      </c>
      <c r="AQ36" s="52" t="s">
        <v>153</v>
      </c>
      <c r="AR36" s="53" t="s">
        <v>153</v>
      </c>
      <c r="AS36" s="54" t="s">
        <v>153</v>
      </c>
      <c r="AT36" s="55" t="s">
        <v>802</v>
      </c>
      <c r="AU36" s="56" t="s">
        <v>847</v>
      </c>
      <c r="AV36" s="57" t="s">
        <v>848</v>
      </c>
      <c r="AW36" s="58" t="s">
        <v>805</v>
      </c>
      <c r="AX36" s="59" t="s">
        <v>153</v>
      </c>
      <c r="AY36" s="60" t="s">
        <v>849</v>
      </c>
      <c r="AZ36" s="61" t="s">
        <v>808</v>
      </c>
      <c r="BA36" s="62" t="s">
        <v>153</v>
      </c>
      <c r="BB36" s="63" t="s">
        <v>153</v>
      </c>
      <c r="BC36" s="64" t="s">
        <v>153</v>
      </c>
      <c r="BD36" s="65" t="s">
        <v>180</v>
      </c>
      <c r="BE36" s="66" t="s">
        <v>809</v>
      </c>
      <c r="BF36" s="67" t="s">
        <v>850</v>
      </c>
      <c r="BG36" s="68" t="s">
        <v>851</v>
      </c>
      <c r="BH36" s="69">
        <v>1</v>
      </c>
      <c r="BI36" s="70" t="s">
        <v>852</v>
      </c>
      <c r="BJ36" s="71" t="s">
        <v>853</v>
      </c>
      <c r="BK36" s="72" t="s">
        <v>153</v>
      </c>
      <c r="BL36" s="73" t="s">
        <v>854</v>
      </c>
      <c r="BM36" s="74" t="s">
        <v>855</v>
      </c>
      <c r="BN36" s="75" t="s">
        <v>153</v>
      </c>
      <c r="BO36" s="76" t="s">
        <v>856</v>
      </c>
      <c r="BP36" s="77" t="s">
        <v>857</v>
      </c>
      <c r="BQ36" s="78">
        <v>37865</v>
      </c>
      <c r="BR36" s="79" t="s">
        <v>153</v>
      </c>
      <c r="BS36" s="80" t="s">
        <v>153</v>
      </c>
      <c r="BT36" s="81" t="s">
        <v>153</v>
      </c>
      <c r="BU36" s="82" t="s">
        <v>153</v>
      </c>
      <c r="BV36" s="83" t="s">
        <v>224</v>
      </c>
      <c r="BW36" s="84" t="s">
        <v>153</v>
      </c>
      <c r="BX36" s="85" t="s">
        <v>153</v>
      </c>
      <c r="BY36" s="86" t="s">
        <v>321</v>
      </c>
      <c r="BZ36" s="87" t="s">
        <v>153</v>
      </c>
      <c r="CA36" s="88" t="s">
        <v>190</v>
      </c>
      <c r="CB36" s="89">
        <v>41354</v>
      </c>
      <c r="CC36" s="90">
        <v>56000</v>
      </c>
      <c r="CD36" s="91" t="s">
        <v>186</v>
      </c>
      <c r="CE36" s="92">
        <v>56000</v>
      </c>
      <c r="CF36" s="93" t="s">
        <v>186</v>
      </c>
      <c r="CG36" s="94" t="s">
        <v>226</v>
      </c>
      <c r="CH36" s="95" t="s">
        <v>153</v>
      </c>
      <c r="CI36" s="96" t="s">
        <v>153</v>
      </c>
      <c r="CJ36" s="97" t="s">
        <v>225</v>
      </c>
      <c r="CK36" s="98">
        <v>41354</v>
      </c>
      <c r="CL36" s="99" t="s">
        <v>153</v>
      </c>
      <c r="CM36" s="100" t="s">
        <v>153</v>
      </c>
      <c r="CN36" s="101" t="s">
        <v>190</v>
      </c>
      <c r="CO36" s="102" t="s">
        <v>153</v>
      </c>
      <c r="CP36" s="103" t="s">
        <v>153</v>
      </c>
      <c r="CQ36" s="104" t="s">
        <v>153</v>
      </c>
      <c r="CR36" s="105" t="s">
        <v>153</v>
      </c>
      <c r="CS36" s="106" t="s">
        <v>153</v>
      </c>
      <c r="CT36" s="107" t="s">
        <v>153</v>
      </c>
      <c r="CU36" s="108" t="s">
        <v>153</v>
      </c>
      <c r="CV36" s="109" t="s">
        <v>153</v>
      </c>
      <c r="CW36" s="110" t="s">
        <v>153</v>
      </c>
      <c r="CX36" s="111" t="s">
        <v>153</v>
      </c>
      <c r="CY36" s="112" t="s">
        <v>153</v>
      </c>
      <c r="CZ36" s="113" t="s">
        <v>153</v>
      </c>
      <c r="DA36" s="114" t="s">
        <v>153</v>
      </c>
      <c r="DB36" s="115" t="s">
        <v>153</v>
      </c>
      <c r="DC36" s="116" t="s">
        <v>153</v>
      </c>
      <c r="DD36" s="117" t="s">
        <v>153</v>
      </c>
      <c r="DE36" s="118" t="s">
        <v>153</v>
      </c>
      <c r="DF36" s="119" t="s">
        <v>153</v>
      </c>
      <c r="DG36" s="120" t="s">
        <v>153</v>
      </c>
      <c r="DH36" s="121" t="s">
        <v>153</v>
      </c>
      <c r="DI36" s="122" t="s">
        <v>153</v>
      </c>
      <c r="DJ36" s="123" t="s">
        <v>153</v>
      </c>
      <c r="DK36" s="124" t="s">
        <v>153</v>
      </c>
      <c r="DL36" s="125" t="s">
        <v>153</v>
      </c>
      <c r="DM36" s="126" t="s">
        <v>153</v>
      </c>
      <c r="DN36" s="127" t="s">
        <v>153</v>
      </c>
      <c r="DO36" s="128" t="s">
        <v>153</v>
      </c>
      <c r="DP36" s="129" t="s">
        <v>153</v>
      </c>
      <c r="DQ36" s="130" t="s">
        <v>153</v>
      </c>
      <c r="DR36" s="131" t="s">
        <v>153</v>
      </c>
      <c r="DS36" s="132" t="s">
        <v>153</v>
      </c>
      <c r="DT36" s="133" t="s">
        <v>153</v>
      </c>
      <c r="DU36" s="134" t="s">
        <v>153</v>
      </c>
      <c r="DV36" s="135" t="s">
        <v>153</v>
      </c>
      <c r="DW36" s="136" t="s">
        <v>153</v>
      </c>
      <c r="DX36" s="137" t="s">
        <v>153</v>
      </c>
      <c r="DY36" s="138" t="s">
        <v>153</v>
      </c>
      <c r="DZ36" s="139" t="s">
        <v>191</v>
      </c>
      <c r="EA36" s="140">
        <v>44147</v>
      </c>
      <c r="EB36" s="141">
        <v>56000</v>
      </c>
      <c r="EC36" s="142">
        <v>41354</v>
      </c>
      <c r="ED36" s="143" t="s">
        <v>226</v>
      </c>
      <c r="EE36" s="278" t="str">
        <f>HYPERLINK("https://my.pitchbook.com?c=64973-80", "View company online")</f>
        <v>View company online</v>
      </c>
    </row>
    <row r="37" spans="1:135" x14ac:dyDescent="0.45">
      <c r="A37" s="144" t="s">
        <v>858</v>
      </c>
      <c r="B37" s="145" t="s">
        <v>859</v>
      </c>
      <c r="C37" s="146" t="s">
        <v>153</v>
      </c>
      <c r="D37" s="147" t="s">
        <v>153</v>
      </c>
      <c r="E37" s="148" t="s">
        <v>860</v>
      </c>
      <c r="F37" s="149" t="s">
        <v>153</v>
      </c>
      <c r="G37" s="150" t="s">
        <v>861</v>
      </c>
      <c r="H37" s="151" t="s">
        <v>153</v>
      </c>
      <c r="I37" s="152" t="s">
        <v>858</v>
      </c>
      <c r="J37" s="153" t="s">
        <v>862</v>
      </c>
      <c r="K37" s="154" t="s">
        <v>157</v>
      </c>
      <c r="L37" s="155" t="s">
        <v>817</v>
      </c>
      <c r="M37" s="156" t="s">
        <v>863</v>
      </c>
      <c r="N37" s="157" t="s">
        <v>864</v>
      </c>
      <c r="O37" s="158" t="s">
        <v>261</v>
      </c>
      <c r="P37" s="159" t="s">
        <v>865</v>
      </c>
      <c r="Q37" s="160" t="s">
        <v>204</v>
      </c>
      <c r="R37" s="161" t="s">
        <v>153</v>
      </c>
      <c r="S37" s="162" t="s">
        <v>290</v>
      </c>
      <c r="T37" s="163" t="s">
        <v>205</v>
      </c>
      <c r="U37" s="164" t="s">
        <v>237</v>
      </c>
      <c r="V37" s="165" t="s">
        <v>866</v>
      </c>
      <c r="W37" s="166">
        <v>22000</v>
      </c>
      <c r="X37" s="167" t="s">
        <v>867</v>
      </c>
      <c r="Y37" s="168" t="s">
        <v>153</v>
      </c>
      <c r="Z37" s="169" t="s">
        <v>153</v>
      </c>
      <c r="AA37" s="170">
        <v>1903</v>
      </c>
      <c r="AB37" s="171" t="s">
        <v>153</v>
      </c>
      <c r="AC37" s="172" t="s">
        <v>153</v>
      </c>
      <c r="AD37" s="173" t="s">
        <v>153</v>
      </c>
      <c r="AE37" s="174" t="s">
        <v>153</v>
      </c>
      <c r="AF37" s="175" t="s">
        <v>153</v>
      </c>
      <c r="AG37" s="176" t="s">
        <v>153</v>
      </c>
      <c r="AH37" s="177" t="s">
        <v>153</v>
      </c>
      <c r="AI37" s="178" t="s">
        <v>153</v>
      </c>
      <c r="AJ37" s="179" t="s">
        <v>153</v>
      </c>
      <c r="AK37" s="180" t="s">
        <v>153</v>
      </c>
      <c r="AL37" s="181" t="s">
        <v>153</v>
      </c>
      <c r="AM37" s="182" t="s">
        <v>153</v>
      </c>
      <c r="AN37" s="183" t="s">
        <v>868</v>
      </c>
      <c r="AO37" s="184" t="s">
        <v>153</v>
      </c>
      <c r="AP37" s="185" t="s">
        <v>153</v>
      </c>
      <c r="AQ37" s="186" t="s">
        <v>153</v>
      </c>
      <c r="AR37" s="187" t="s">
        <v>153</v>
      </c>
      <c r="AS37" s="188" t="s">
        <v>153</v>
      </c>
      <c r="AT37" s="189" t="s">
        <v>869</v>
      </c>
      <c r="AU37" s="190" t="s">
        <v>870</v>
      </c>
      <c r="AV37" s="191" t="s">
        <v>153</v>
      </c>
      <c r="AW37" s="192" t="s">
        <v>871</v>
      </c>
      <c r="AX37" s="193" t="s">
        <v>783</v>
      </c>
      <c r="AY37" s="194" t="s">
        <v>872</v>
      </c>
      <c r="AZ37" s="195" t="s">
        <v>215</v>
      </c>
      <c r="BA37" s="196" t="s">
        <v>153</v>
      </c>
      <c r="BB37" s="197" t="s">
        <v>153</v>
      </c>
      <c r="BC37" s="198" t="s">
        <v>153</v>
      </c>
      <c r="BD37" s="199" t="s">
        <v>216</v>
      </c>
      <c r="BE37" s="200" t="s">
        <v>217</v>
      </c>
      <c r="BF37" s="201" t="s">
        <v>873</v>
      </c>
      <c r="BG37" s="202" t="s">
        <v>153</v>
      </c>
      <c r="BH37" s="203" t="s">
        <v>153</v>
      </c>
      <c r="BI37" s="204" t="s">
        <v>874</v>
      </c>
      <c r="BJ37" s="205" t="s">
        <v>153</v>
      </c>
      <c r="BK37" s="206" t="s">
        <v>153</v>
      </c>
      <c r="BL37" s="207" t="s">
        <v>153</v>
      </c>
      <c r="BM37" s="208" t="s">
        <v>153</v>
      </c>
      <c r="BN37" s="209" t="s">
        <v>153</v>
      </c>
      <c r="BO37" s="210" t="s">
        <v>875</v>
      </c>
      <c r="BP37" s="211" t="s">
        <v>876</v>
      </c>
      <c r="BQ37" s="212">
        <v>41169</v>
      </c>
      <c r="BR37" s="213" t="s">
        <v>153</v>
      </c>
      <c r="BS37" s="214" t="s">
        <v>153</v>
      </c>
      <c r="BT37" s="215" t="s">
        <v>153</v>
      </c>
      <c r="BU37" s="216" t="s">
        <v>153</v>
      </c>
      <c r="BV37" s="217" t="s">
        <v>251</v>
      </c>
      <c r="BW37" s="218" t="s">
        <v>524</v>
      </c>
      <c r="BX37" s="219" t="s">
        <v>153</v>
      </c>
      <c r="BY37" s="220" t="s">
        <v>252</v>
      </c>
      <c r="BZ37" s="221" t="s">
        <v>153</v>
      </c>
      <c r="CA37" s="222" t="s">
        <v>190</v>
      </c>
      <c r="CB37" s="223">
        <v>42187</v>
      </c>
      <c r="CC37" s="224">
        <v>55000</v>
      </c>
      <c r="CD37" s="225" t="s">
        <v>186</v>
      </c>
      <c r="CE37" s="226">
        <v>55000</v>
      </c>
      <c r="CF37" s="227" t="s">
        <v>186</v>
      </c>
      <c r="CG37" s="228" t="s">
        <v>226</v>
      </c>
      <c r="CH37" s="229" t="s">
        <v>153</v>
      </c>
      <c r="CI37" s="230" t="s">
        <v>153</v>
      </c>
      <c r="CJ37" s="231" t="s">
        <v>225</v>
      </c>
      <c r="CK37" s="232">
        <v>42187</v>
      </c>
      <c r="CL37" s="233" t="s">
        <v>153</v>
      </c>
      <c r="CM37" s="234" t="s">
        <v>153</v>
      </c>
      <c r="CN37" s="235" t="s">
        <v>190</v>
      </c>
      <c r="CO37" s="236" t="s">
        <v>153</v>
      </c>
      <c r="CP37" s="237" t="s">
        <v>153</v>
      </c>
      <c r="CQ37" s="238" t="s">
        <v>153</v>
      </c>
      <c r="CR37" s="239" t="s">
        <v>153</v>
      </c>
      <c r="CS37" s="240" t="s">
        <v>153</v>
      </c>
      <c r="CT37" s="241" t="s">
        <v>153</v>
      </c>
      <c r="CU37" s="242" t="s">
        <v>153</v>
      </c>
      <c r="CV37" s="243" t="s">
        <v>153</v>
      </c>
      <c r="CW37" s="244" t="s">
        <v>153</v>
      </c>
      <c r="CX37" s="245" t="s">
        <v>153</v>
      </c>
      <c r="CY37" s="246" t="s">
        <v>153</v>
      </c>
      <c r="CZ37" s="247" t="s">
        <v>153</v>
      </c>
      <c r="DA37" s="248" t="s">
        <v>153</v>
      </c>
      <c r="DB37" s="249" t="s">
        <v>153</v>
      </c>
      <c r="DC37" s="250" t="s">
        <v>153</v>
      </c>
      <c r="DD37" s="251" t="s">
        <v>153</v>
      </c>
      <c r="DE37" s="252" t="s">
        <v>153</v>
      </c>
      <c r="DF37" s="253" t="s">
        <v>153</v>
      </c>
      <c r="DG37" s="254" t="s">
        <v>153</v>
      </c>
      <c r="DH37" s="255" t="s">
        <v>153</v>
      </c>
      <c r="DI37" s="256" t="s">
        <v>153</v>
      </c>
      <c r="DJ37" s="257" t="s">
        <v>153</v>
      </c>
      <c r="DK37" s="258" t="s">
        <v>153</v>
      </c>
      <c r="DL37" s="259" t="s">
        <v>153</v>
      </c>
      <c r="DM37" s="260" t="s">
        <v>153</v>
      </c>
      <c r="DN37" s="261" t="s">
        <v>153</v>
      </c>
      <c r="DO37" s="262" t="s">
        <v>153</v>
      </c>
      <c r="DP37" s="263" t="s">
        <v>153</v>
      </c>
      <c r="DQ37" s="264" t="s">
        <v>153</v>
      </c>
      <c r="DR37" s="265" t="s">
        <v>153</v>
      </c>
      <c r="DS37" s="266" t="s">
        <v>153</v>
      </c>
      <c r="DT37" s="267" t="s">
        <v>153</v>
      </c>
      <c r="DU37" s="268" t="s">
        <v>153</v>
      </c>
      <c r="DV37" s="269" t="s">
        <v>153</v>
      </c>
      <c r="DW37" s="270" t="s">
        <v>153</v>
      </c>
      <c r="DX37" s="271" t="s">
        <v>153</v>
      </c>
      <c r="DY37" s="272" t="s">
        <v>153</v>
      </c>
      <c r="DZ37" s="273" t="s">
        <v>191</v>
      </c>
      <c r="EA37" s="274">
        <v>44384</v>
      </c>
      <c r="EB37" s="275">
        <v>55000</v>
      </c>
      <c r="EC37" s="276">
        <v>42187</v>
      </c>
      <c r="ED37" s="277" t="s">
        <v>226</v>
      </c>
      <c r="EE37" s="279" t="str">
        <f>HYPERLINK("https://my.pitchbook.com?c=55786-51", "View company online")</f>
        <v>View company online</v>
      </c>
    </row>
    <row r="38" spans="1:135" x14ac:dyDescent="0.45">
      <c r="A38" s="10" t="s">
        <v>877</v>
      </c>
      <c r="B38" s="11" t="s">
        <v>878</v>
      </c>
      <c r="C38" s="12" t="s">
        <v>153</v>
      </c>
      <c r="D38" s="13" t="s">
        <v>153</v>
      </c>
      <c r="E38" s="14" t="s">
        <v>153</v>
      </c>
      <c r="F38" s="15" t="s">
        <v>879</v>
      </c>
      <c r="G38" s="16" t="s">
        <v>880</v>
      </c>
      <c r="H38" s="17" t="s">
        <v>153</v>
      </c>
      <c r="I38" s="18" t="s">
        <v>877</v>
      </c>
      <c r="J38" s="19" t="s">
        <v>881</v>
      </c>
      <c r="K38" s="20" t="s">
        <v>882</v>
      </c>
      <c r="L38" s="21" t="s">
        <v>883</v>
      </c>
      <c r="M38" s="22" t="s">
        <v>884</v>
      </c>
      <c r="N38" s="23" t="s">
        <v>885</v>
      </c>
      <c r="O38" s="24" t="s">
        <v>365</v>
      </c>
      <c r="P38" s="25" t="s">
        <v>886</v>
      </c>
      <c r="Q38" s="26" t="s">
        <v>204</v>
      </c>
      <c r="R38" s="27" t="s">
        <v>153</v>
      </c>
      <c r="S38" s="28" t="s">
        <v>163</v>
      </c>
      <c r="T38" s="29" t="s">
        <v>205</v>
      </c>
      <c r="U38" s="30" t="s">
        <v>887</v>
      </c>
      <c r="V38" s="31" t="s">
        <v>888</v>
      </c>
      <c r="W38" s="32">
        <v>360</v>
      </c>
      <c r="X38" s="33" t="s">
        <v>889</v>
      </c>
      <c r="Y38" s="34" t="s">
        <v>153</v>
      </c>
      <c r="Z38" s="35" t="s">
        <v>153</v>
      </c>
      <c r="AA38" s="36">
        <v>1974</v>
      </c>
      <c r="AB38" s="37" t="s">
        <v>153</v>
      </c>
      <c r="AC38" s="38" t="s">
        <v>153</v>
      </c>
      <c r="AD38" s="39" t="s">
        <v>153</v>
      </c>
      <c r="AE38" s="40" t="s">
        <v>153</v>
      </c>
      <c r="AF38" s="41" t="s">
        <v>153</v>
      </c>
      <c r="AG38" s="42" t="s">
        <v>153</v>
      </c>
      <c r="AH38" s="43" t="s">
        <v>153</v>
      </c>
      <c r="AI38" s="44" t="s">
        <v>153</v>
      </c>
      <c r="AJ38" s="45" t="s">
        <v>153</v>
      </c>
      <c r="AK38" s="46" t="s">
        <v>153</v>
      </c>
      <c r="AL38" s="47" t="s">
        <v>153</v>
      </c>
      <c r="AM38" s="48" t="s">
        <v>153</v>
      </c>
      <c r="AN38" s="49" t="s">
        <v>153</v>
      </c>
      <c r="AO38" s="50" t="s">
        <v>890</v>
      </c>
      <c r="AP38" s="51" t="s">
        <v>891</v>
      </c>
      <c r="AQ38" s="52" t="s">
        <v>892</v>
      </c>
      <c r="AR38" s="53" t="s">
        <v>893</v>
      </c>
      <c r="AS38" s="54" t="s">
        <v>153</v>
      </c>
      <c r="AT38" s="55" t="s">
        <v>894</v>
      </c>
      <c r="AU38" s="56" t="s">
        <v>895</v>
      </c>
      <c r="AV38" s="57" t="s">
        <v>153</v>
      </c>
      <c r="AW38" s="58" t="s">
        <v>896</v>
      </c>
      <c r="AX38" s="59" t="s">
        <v>153</v>
      </c>
      <c r="AY38" s="60" t="s">
        <v>897</v>
      </c>
      <c r="AZ38" s="61" t="s">
        <v>898</v>
      </c>
      <c r="BA38" s="62" t="s">
        <v>153</v>
      </c>
      <c r="BB38" s="63" t="s">
        <v>153</v>
      </c>
      <c r="BC38" s="64" t="s">
        <v>153</v>
      </c>
      <c r="BD38" s="65" t="s">
        <v>180</v>
      </c>
      <c r="BE38" s="66" t="s">
        <v>684</v>
      </c>
      <c r="BF38" s="67" t="s">
        <v>899</v>
      </c>
      <c r="BG38" s="68" t="s">
        <v>900</v>
      </c>
      <c r="BH38" s="69">
        <v>1</v>
      </c>
      <c r="BI38" s="70" t="s">
        <v>901</v>
      </c>
      <c r="BJ38" s="71" t="s">
        <v>902</v>
      </c>
      <c r="BK38" s="72" t="s">
        <v>153</v>
      </c>
      <c r="BL38" s="73" t="s">
        <v>903</v>
      </c>
      <c r="BM38" s="74" t="s">
        <v>904</v>
      </c>
      <c r="BN38" s="75" t="s">
        <v>153</v>
      </c>
      <c r="BO38" s="76" t="s">
        <v>153</v>
      </c>
      <c r="BP38" s="77" t="s">
        <v>153</v>
      </c>
      <c r="BQ38" s="78">
        <v>37257</v>
      </c>
      <c r="BR38" s="79" t="s">
        <v>153</v>
      </c>
      <c r="BS38" s="80" t="s">
        <v>153</v>
      </c>
      <c r="BT38" s="81" t="s">
        <v>153</v>
      </c>
      <c r="BU38" s="82" t="s">
        <v>153</v>
      </c>
      <c r="BV38" s="83" t="s">
        <v>905</v>
      </c>
      <c r="BW38" s="84" t="s">
        <v>153</v>
      </c>
      <c r="BX38" s="85" t="s">
        <v>153</v>
      </c>
      <c r="BY38" s="86" t="s">
        <v>472</v>
      </c>
      <c r="BZ38" s="87" t="s">
        <v>153</v>
      </c>
      <c r="CA38" s="88" t="s">
        <v>190</v>
      </c>
      <c r="CB38" s="89">
        <v>41788</v>
      </c>
      <c r="CC38" s="90">
        <v>54969.24</v>
      </c>
      <c r="CD38" s="91" t="s">
        <v>186</v>
      </c>
      <c r="CE38" s="92" t="s">
        <v>153</v>
      </c>
      <c r="CF38" s="93" t="s">
        <v>153</v>
      </c>
      <c r="CG38" s="94" t="s">
        <v>906</v>
      </c>
      <c r="CH38" s="95" t="s">
        <v>153</v>
      </c>
      <c r="CI38" s="96" t="s">
        <v>153</v>
      </c>
      <c r="CJ38" s="97" t="s">
        <v>225</v>
      </c>
      <c r="CK38" s="98">
        <v>41788</v>
      </c>
      <c r="CL38" s="99" t="s">
        <v>153</v>
      </c>
      <c r="CM38" s="100" t="s">
        <v>153</v>
      </c>
      <c r="CN38" s="101" t="s">
        <v>190</v>
      </c>
      <c r="CO38" s="102" t="s">
        <v>153</v>
      </c>
      <c r="CP38" s="103" t="s">
        <v>153</v>
      </c>
      <c r="CQ38" s="104" t="s">
        <v>153</v>
      </c>
      <c r="CR38" s="105" t="s">
        <v>153</v>
      </c>
      <c r="CS38" s="106" t="s">
        <v>153</v>
      </c>
      <c r="CT38" s="107" t="s">
        <v>153</v>
      </c>
      <c r="CU38" s="108" t="s">
        <v>153</v>
      </c>
      <c r="CV38" s="109" t="s">
        <v>153</v>
      </c>
      <c r="CW38" s="110" t="s">
        <v>153</v>
      </c>
      <c r="CX38" s="111" t="s">
        <v>153</v>
      </c>
      <c r="CY38" s="112" t="s">
        <v>153</v>
      </c>
      <c r="CZ38" s="113" t="s">
        <v>153</v>
      </c>
      <c r="DA38" s="114" t="s">
        <v>153</v>
      </c>
      <c r="DB38" s="115" t="s">
        <v>153</v>
      </c>
      <c r="DC38" s="116" t="s">
        <v>153</v>
      </c>
      <c r="DD38" s="117" t="s">
        <v>153</v>
      </c>
      <c r="DE38" s="118" t="s">
        <v>153</v>
      </c>
      <c r="DF38" s="119" t="s">
        <v>153</v>
      </c>
      <c r="DG38" s="120" t="s">
        <v>153</v>
      </c>
      <c r="DH38" s="121" t="s">
        <v>153</v>
      </c>
      <c r="DI38" s="122" t="s">
        <v>153</v>
      </c>
      <c r="DJ38" s="123" t="s">
        <v>153</v>
      </c>
      <c r="DK38" s="124" t="s">
        <v>153</v>
      </c>
      <c r="DL38" s="125" t="s">
        <v>153</v>
      </c>
      <c r="DM38" s="126" t="s">
        <v>153</v>
      </c>
      <c r="DN38" s="127" t="s">
        <v>153</v>
      </c>
      <c r="DO38" s="128" t="s">
        <v>153</v>
      </c>
      <c r="DP38" s="129" t="s">
        <v>153</v>
      </c>
      <c r="DQ38" s="130" t="s">
        <v>153</v>
      </c>
      <c r="DR38" s="131" t="s">
        <v>153</v>
      </c>
      <c r="DS38" s="132" t="s">
        <v>153</v>
      </c>
      <c r="DT38" s="133" t="s">
        <v>153</v>
      </c>
      <c r="DU38" s="134" t="s">
        <v>153</v>
      </c>
      <c r="DV38" s="135" t="s">
        <v>153</v>
      </c>
      <c r="DW38" s="136" t="s">
        <v>153</v>
      </c>
      <c r="DX38" s="137" t="s">
        <v>153</v>
      </c>
      <c r="DY38" s="138" t="s">
        <v>153</v>
      </c>
      <c r="DZ38" s="139" t="s">
        <v>191</v>
      </c>
      <c r="EA38" s="140">
        <v>44147</v>
      </c>
      <c r="EB38" s="141" t="s">
        <v>153</v>
      </c>
      <c r="EC38" s="142" t="s">
        <v>153</v>
      </c>
      <c r="ED38" s="143" t="s">
        <v>153</v>
      </c>
      <c r="EE38" s="278" t="str">
        <f>HYPERLINK("https://my.pitchbook.com?c=57110-77", "View company online")</f>
        <v>View company online</v>
      </c>
    </row>
    <row r="39" spans="1:135" x14ac:dyDescent="0.45">
      <c r="A39" s="144" t="s">
        <v>907</v>
      </c>
      <c r="B39" s="145" t="s">
        <v>908</v>
      </c>
      <c r="C39" s="146" t="s">
        <v>153</v>
      </c>
      <c r="D39" s="147" t="s">
        <v>153</v>
      </c>
      <c r="E39" s="148" t="s">
        <v>153</v>
      </c>
      <c r="F39" s="149" t="s">
        <v>909</v>
      </c>
      <c r="G39" s="150" t="s">
        <v>910</v>
      </c>
      <c r="H39" s="151" t="s">
        <v>911</v>
      </c>
      <c r="I39" s="152" t="s">
        <v>907</v>
      </c>
      <c r="J39" s="153" t="s">
        <v>912</v>
      </c>
      <c r="K39" s="154" t="s">
        <v>792</v>
      </c>
      <c r="L39" s="155" t="s">
        <v>841</v>
      </c>
      <c r="M39" s="156" t="s">
        <v>913</v>
      </c>
      <c r="N39" s="157" t="s">
        <v>914</v>
      </c>
      <c r="O39" s="158" t="s">
        <v>796</v>
      </c>
      <c r="P39" s="159" t="s">
        <v>915</v>
      </c>
      <c r="Q39" s="160" t="s">
        <v>204</v>
      </c>
      <c r="R39" s="161">
        <v>400.56</v>
      </c>
      <c r="S39" s="162" t="s">
        <v>163</v>
      </c>
      <c r="T39" s="163" t="s">
        <v>205</v>
      </c>
      <c r="U39" s="164" t="s">
        <v>237</v>
      </c>
      <c r="V39" s="165" t="s">
        <v>916</v>
      </c>
      <c r="W39" s="166">
        <v>5200</v>
      </c>
      <c r="X39" s="167" t="s">
        <v>917</v>
      </c>
      <c r="Y39" s="168" t="s">
        <v>153</v>
      </c>
      <c r="Z39" s="169" t="s">
        <v>153</v>
      </c>
      <c r="AA39" s="170" t="s">
        <v>153</v>
      </c>
      <c r="AB39" s="171" t="s">
        <v>153</v>
      </c>
      <c r="AC39" s="172" t="s">
        <v>153</v>
      </c>
      <c r="AD39" s="173" t="s">
        <v>153</v>
      </c>
      <c r="AE39" s="174" t="s">
        <v>153</v>
      </c>
      <c r="AF39" s="175" t="s">
        <v>153</v>
      </c>
      <c r="AG39" s="176" t="s">
        <v>153</v>
      </c>
      <c r="AH39" s="177" t="s">
        <v>153</v>
      </c>
      <c r="AI39" s="178" t="s">
        <v>153</v>
      </c>
      <c r="AJ39" s="179" t="s">
        <v>153</v>
      </c>
      <c r="AK39" s="180" t="s">
        <v>153</v>
      </c>
      <c r="AL39" s="181" t="s">
        <v>153</v>
      </c>
      <c r="AM39" s="182" t="s">
        <v>153</v>
      </c>
      <c r="AN39" s="183" t="s">
        <v>918</v>
      </c>
      <c r="AO39" s="184" t="s">
        <v>153</v>
      </c>
      <c r="AP39" s="185" t="s">
        <v>153</v>
      </c>
      <c r="AQ39" s="186" t="s">
        <v>153</v>
      </c>
      <c r="AR39" s="187" t="s">
        <v>153</v>
      </c>
      <c r="AS39" s="188" t="s">
        <v>153</v>
      </c>
      <c r="AT39" s="189" t="s">
        <v>919</v>
      </c>
      <c r="AU39" s="190" t="s">
        <v>920</v>
      </c>
      <c r="AV39" s="191" t="s">
        <v>921</v>
      </c>
      <c r="AW39" s="192" t="s">
        <v>922</v>
      </c>
      <c r="AX39" s="193" t="s">
        <v>177</v>
      </c>
      <c r="AY39" s="194" t="s">
        <v>923</v>
      </c>
      <c r="AZ39" s="195" t="s">
        <v>179</v>
      </c>
      <c r="BA39" s="196" t="s">
        <v>153</v>
      </c>
      <c r="BB39" s="197" t="s">
        <v>153</v>
      </c>
      <c r="BC39" s="198" t="s">
        <v>153</v>
      </c>
      <c r="BD39" s="199" t="s">
        <v>180</v>
      </c>
      <c r="BE39" s="200" t="s">
        <v>181</v>
      </c>
      <c r="BF39" s="201" t="s">
        <v>924</v>
      </c>
      <c r="BG39" s="202" t="s">
        <v>153</v>
      </c>
      <c r="BH39" s="203" t="s">
        <v>153</v>
      </c>
      <c r="BI39" s="204" t="s">
        <v>925</v>
      </c>
      <c r="BJ39" s="205" t="s">
        <v>926</v>
      </c>
      <c r="BK39" s="206" t="s">
        <v>153</v>
      </c>
      <c r="BL39" s="207" t="s">
        <v>153</v>
      </c>
      <c r="BM39" s="208" t="s">
        <v>927</v>
      </c>
      <c r="BN39" s="209" t="s">
        <v>153</v>
      </c>
      <c r="BO39" s="210" t="s">
        <v>928</v>
      </c>
      <c r="BP39" s="211" t="s">
        <v>929</v>
      </c>
      <c r="BQ39" s="212">
        <v>32325</v>
      </c>
      <c r="BR39" s="213" t="s">
        <v>153</v>
      </c>
      <c r="BS39" s="214" t="s">
        <v>153</v>
      </c>
      <c r="BT39" s="215" t="s">
        <v>153</v>
      </c>
      <c r="BU39" s="216" t="s">
        <v>153</v>
      </c>
      <c r="BV39" s="217" t="s">
        <v>251</v>
      </c>
      <c r="BW39" s="218" t="s">
        <v>153</v>
      </c>
      <c r="BX39" s="219" t="s">
        <v>153</v>
      </c>
      <c r="BY39" s="220" t="s">
        <v>252</v>
      </c>
      <c r="BZ39" s="221" t="s">
        <v>153</v>
      </c>
      <c r="CA39" s="222" t="s">
        <v>190</v>
      </c>
      <c r="CB39" s="223">
        <v>42415</v>
      </c>
      <c r="CC39" s="224">
        <v>54034</v>
      </c>
      <c r="CD39" s="225" t="s">
        <v>186</v>
      </c>
      <c r="CE39" s="226">
        <v>54034</v>
      </c>
      <c r="CF39" s="227" t="s">
        <v>186</v>
      </c>
      <c r="CG39" s="228" t="s">
        <v>226</v>
      </c>
      <c r="CH39" s="229" t="s">
        <v>930</v>
      </c>
      <c r="CI39" s="230" t="s">
        <v>153</v>
      </c>
      <c r="CJ39" s="231" t="s">
        <v>225</v>
      </c>
      <c r="CK39" s="232">
        <v>42415</v>
      </c>
      <c r="CL39" s="233" t="s">
        <v>153</v>
      </c>
      <c r="CM39" s="234" t="s">
        <v>931</v>
      </c>
      <c r="CN39" s="235" t="s">
        <v>190</v>
      </c>
      <c r="CO39" s="236" t="s">
        <v>153</v>
      </c>
      <c r="CP39" s="237" t="s">
        <v>153</v>
      </c>
      <c r="CQ39" s="238" t="s">
        <v>153</v>
      </c>
      <c r="CR39" s="239" t="s">
        <v>153</v>
      </c>
      <c r="CS39" s="240" t="s">
        <v>153</v>
      </c>
      <c r="CT39" s="241" t="s">
        <v>153</v>
      </c>
      <c r="CU39" s="242" t="s">
        <v>153</v>
      </c>
      <c r="CV39" s="243" t="s">
        <v>153</v>
      </c>
      <c r="CW39" s="244" t="s">
        <v>153</v>
      </c>
      <c r="CX39" s="245" t="s">
        <v>153</v>
      </c>
      <c r="CY39" s="246" t="s">
        <v>153</v>
      </c>
      <c r="CZ39" s="247" t="s">
        <v>153</v>
      </c>
      <c r="DA39" s="248" t="s">
        <v>153</v>
      </c>
      <c r="DB39" s="249" t="s">
        <v>153</v>
      </c>
      <c r="DC39" s="250" t="s">
        <v>153</v>
      </c>
      <c r="DD39" s="251" t="s">
        <v>153</v>
      </c>
      <c r="DE39" s="252" t="s">
        <v>153</v>
      </c>
      <c r="DF39" s="253" t="s">
        <v>153</v>
      </c>
      <c r="DG39" s="254" t="s">
        <v>153</v>
      </c>
      <c r="DH39" s="255" t="s">
        <v>153</v>
      </c>
      <c r="DI39" s="256" t="s">
        <v>153</v>
      </c>
      <c r="DJ39" s="257" t="s">
        <v>153</v>
      </c>
      <c r="DK39" s="258" t="s">
        <v>153</v>
      </c>
      <c r="DL39" s="259" t="s">
        <v>153</v>
      </c>
      <c r="DM39" s="260" t="s">
        <v>153</v>
      </c>
      <c r="DN39" s="261" t="s">
        <v>153</v>
      </c>
      <c r="DO39" s="262" t="s">
        <v>153</v>
      </c>
      <c r="DP39" s="263" t="s">
        <v>153</v>
      </c>
      <c r="DQ39" s="264" t="s">
        <v>153</v>
      </c>
      <c r="DR39" s="265" t="s">
        <v>153</v>
      </c>
      <c r="DS39" s="266" t="s">
        <v>153</v>
      </c>
      <c r="DT39" s="267" t="s">
        <v>153</v>
      </c>
      <c r="DU39" s="268" t="s">
        <v>153</v>
      </c>
      <c r="DV39" s="269" t="s">
        <v>153</v>
      </c>
      <c r="DW39" s="270" t="s">
        <v>153</v>
      </c>
      <c r="DX39" s="271" t="s">
        <v>153</v>
      </c>
      <c r="DY39" s="272" t="s">
        <v>153</v>
      </c>
      <c r="DZ39" s="273" t="s">
        <v>191</v>
      </c>
      <c r="EA39" s="274">
        <v>44376</v>
      </c>
      <c r="EB39" s="275">
        <v>54034</v>
      </c>
      <c r="EC39" s="276">
        <v>42415</v>
      </c>
      <c r="ED39" s="277" t="s">
        <v>226</v>
      </c>
      <c r="EE39" s="279" t="str">
        <f>HYPERLINK("https://my.pitchbook.com?c=11792-44", "View company online")</f>
        <v>View company online</v>
      </c>
    </row>
    <row r="40" spans="1:135" x14ac:dyDescent="0.45">
      <c r="A40" s="10" t="s">
        <v>932</v>
      </c>
      <c r="B40" s="11" t="s">
        <v>933</v>
      </c>
      <c r="C40" s="12" t="s">
        <v>153</v>
      </c>
      <c r="D40" s="13" t="s">
        <v>153</v>
      </c>
      <c r="E40" s="14" t="s">
        <v>153</v>
      </c>
      <c r="F40" s="15" t="s">
        <v>934</v>
      </c>
      <c r="G40" s="16" t="s">
        <v>935</v>
      </c>
      <c r="H40" s="17" t="s">
        <v>153</v>
      </c>
      <c r="I40" s="18" t="s">
        <v>932</v>
      </c>
      <c r="J40" s="19" t="s">
        <v>936</v>
      </c>
      <c r="K40" s="20" t="s">
        <v>157</v>
      </c>
      <c r="L40" s="21" t="s">
        <v>937</v>
      </c>
      <c r="M40" s="22" t="s">
        <v>938</v>
      </c>
      <c r="N40" s="23" t="s">
        <v>939</v>
      </c>
      <c r="O40" s="24" t="s">
        <v>399</v>
      </c>
      <c r="P40" s="25" t="s">
        <v>940</v>
      </c>
      <c r="Q40" s="26" t="s">
        <v>289</v>
      </c>
      <c r="R40" s="27" t="s">
        <v>153</v>
      </c>
      <c r="S40" s="28" t="s">
        <v>368</v>
      </c>
      <c r="T40" s="29" t="s">
        <v>205</v>
      </c>
      <c r="U40" s="30" t="s">
        <v>941</v>
      </c>
      <c r="V40" s="31" t="s">
        <v>942</v>
      </c>
      <c r="W40" s="32">
        <v>99000</v>
      </c>
      <c r="X40" s="33" t="s">
        <v>943</v>
      </c>
      <c r="Y40" s="34" t="s">
        <v>153</v>
      </c>
      <c r="Z40" s="35" t="s">
        <v>153</v>
      </c>
      <c r="AA40" s="36">
        <v>1918</v>
      </c>
      <c r="AB40" s="37" t="s">
        <v>153</v>
      </c>
      <c r="AC40" s="38" t="s">
        <v>153</v>
      </c>
      <c r="AD40" s="39" t="s">
        <v>153</v>
      </c>
      <c r="AE40" s="40" t="s">
        <v>153</v>
      </c>
      <c r="AF40" s="41" t="s">
        <v>153</v>
      </c>
      <c r="AG40" s="42" t="s">
        <v>153</v>
      </c>
      <c r="AH40" s="43" t="s">
        <v>153</v>
      </c>
      <c r="AI40" s="44" t="s">
        <v>153</v>
      </c>
      <c r="AJ40" s="45" t="s">
        <v>153</v>
      </c>
      <c r="AK40" s="46" t="s">
        <v>153</v>
      </c>
      <c r="AL40" s="47" t="s">
        <v>153</v>
      </c>
      <c r="AM40" s="48" t="s">
        <v>153</v>
      </c>
      <c r="AN40" s="49" t="s">
        <v>266</v>
      </c>
      <c r="AO40" s="50" t="s">
        <v>944</v>
      </c>
      <c r="AP40" s="51" t="s">
        <v>945</v>
      </c>
      <c r="AQ40" s="52" t="s">
        <v>269</v>
      </c>
      <c r="AR40" s="53" t="s">
        <v>153</v>
      </c>
      <c r="AS40" s="54" t="s">
        <v>153</v>
      </c>
      <c r="AT40" s="55" t="s">
        <v>946</v>
      </c>
      <c r="AU40" s="56" t="s">
        <v>947</v>
      </c>
      <c r="AV40" s="57" t="s">
        <v>153</v>
      </c>
      <c r="AW40" s="58" t="s">
        <v>948</v>
      </c>
      <c r="AX40" s="59" t="s">
        <v>213</v>
      </c>
      <c r="AY40" s="60" t="s">
        <v>949</v>
      </c>
      <c r="AZ40" s="61" t="s">
        <v>215</v>
      </c>
      <c r="BA40" s="62" t="s">
        <v>153</v>
      </c>
      <c r="BB40" s="63" t="s">
        <v>153</v>
      </c>
      <c r="BC40" s="64" t="s">
        <v>153</v>
      </c>
      <c r="BD40" s="65" t="s">
        <v>216</v>
      </c>
      <c r="BE40" s="66" t="s">
        <v>217</v>
      </c>
      <c r="BF40" s="67" t="s">
        <v>950</v>
      </c>
      <c r="BG40" s="68" t="s">
        <v>153</v>
      </c>
      <c r="BH40" s="69" t="s">
        <v>153</v>
      </c>
      <c r="BI40" s="70" t="s">
        <v>219</v>
      </c>
      <c r="BJ40" s="71" t="s">
        <v>951</v>
      </c>
      <c r="BK40" s="72" t="s">
        <v>153</v>
      </c>
      <c r="BL40" s="73" t="s">
        <v>153</v>
      </c>
      <c r="BM40" s="74" t="s">
        <v>952</v>
      </c>
      <c r="BN40" s="75" t="s">
        <v>153</v>
      </c>
      <c r="BO40" s="76" t="s">
        <v>953</v>
      </c>
      <c r="BP40" s="77" t="s">
        <v>153</v>
      </c>
      <c r="BQ40" s="78" t="s">
        <v>153</v>
      </c>
      <c r="BR40" s="79" t="s">
        <v>153</v>
      </c>
      <c r="BS40" s="80" t="s">
        <v>153</v>
      </c>
      <c r="BT40" s="81" t="s">
        <v>153</v>
      </c>
      <c r="BU40" s="82" t="s">
        <v>153</v>
      </c>
      <c r="BV40" s="83" t="s">
        <v>471</v>
      </c>
      <c r="BW40" s="84" t="s">
        <v>153</v>
      </c>
      <c r="BX40" s="85" t="s">
        <v>153</v>
      </c>
      <c r="BY40" s="86" t="s">
        <v>472</v>
      </c>
      <c r="BZ40" s="87" t="s">
        <v>153</v>
      </c>
      <c r="CA40" s="88" t="s">
        <v>190</v>
      </c>
      <c r="CB40" s="89">
        <v>36578</v>
      </c>
      <c r="CC40" s="90">
        <v>52900</v>
      </c>
      <c r="CD40" s="91" t="s">
        <v>186</v>
      </c>
      <c r="CE40" s="92">
        <v>52900</v>
      </c>
      <c r="CF40" s="93" t="s">
        <v>186</v>
      </c>
      <c r="CG40" s="94" t="s">
        <v>226</v>
      </c>
      <c r="CH40" s="95" t="s">
        <v>153</v>
      </c>
      <c r="CI40" s="96" t="s">
        <v>153</v>
      </c>
      <c r="CJ40" s="97" t="s">
        <v>225</v>
      </c>
      <c r="CK40" s="98">
        <v>36578</v>
      </c>
      <c r="CL40" s="99" t="s">
        <v>153</v>
      </c>
      <c r="CM40" s="100" t="s">
        <v>153</v>
      </c>
      <c r="CN40" s="101" t="s">
        <v>190</v>
      </c>
      <c r="CO40" s="102" t="s">
        <v>153</v>
      </c>
      <c r="CP40" s="103" t="s">
        <v>153</v>
      </c>
      <c r="CQ40" s="104" t="s">
        <v>153</v>
      </c>
      <c r="CR40" s="105" t="s">
        <v>153</v>
      </c>
      <c r="CS40" s="106" t="s">
        <v>153</v>
      </c>
      <c r="CT40" s="107" t="s">
        <v>153</v>
      </c>
      <c r="CU40" s="108" t="s">
        <v>153</v>
      </c>
      <c r="CV40" s="109" t="s">
        <v>153</v>
      </c>
      <c r="CW40" s="110" t="s">
        <v>153</v>
      </c>
      <c r="CX40" s="111" t="s">
        <v>153</v>
      </c>
      <c r="CY40" s="112" t="s">
        <v>153</v>
      </c>
      <c r="CZ40" s="113" t="s">
        <v>153</v>
      </c>
      <c r="DA40" s="114" t="s">
        <v>153</v>
      </c>
      <c r="DB40" s="115" t="s">
        <v>153</v>
      </c>
      <c r="DC40" s="116" t="s">
        <v>153</v>
      </c>
      <c r="DD40" s="117" t="s">
        <v>153</v>
      </c>
      <c r="DE40" s="118" t="s">
        <v>153</v>
      </c>
      <c r="DF40" s="119" t="s">
        <v>153</v>
      </c>
      <c r="DG40" s="120" t="s">
        <v>153</v>
      </c>
      <c r="DH40" s="121" t="s">
        <v>153</v>
      </c>
      <c r="DI40" s="122" t="s">
        <v>153</v>
      </c>
      <c r="DJ40" s="123" t="s">
        <v>153</v>
      </c>
      <c r="DK40" s="124" t="s">
        <v>153</v>
      </c>
      <c r="DL40" s="125" t="s">
        <v>153</v>
      </c>
      <c r="DM40" s="126" t="s">
        <v>153</v>
      </c>
      <c r="DN40" s="127" t="s">
        <v>153</v>
      </c>
      <c r="DO40" s="128" t="s">
        <v>153</v>
      </c>
      <c r="DP40" s="129" t="s">
        <v>153</v>
      </c>
      <c r="DQ40" s="130" t="s">
        <v>153</v>
      </c>
      <c r="DR40" s="131" t="s">
        <v>153</v>
      </c>
      <c r="DS40" s="132" t="s">
        <v>153</v>
      </c>
      <c r="DT40" s="133" t="s">
        <v>153</v>
      </c>
      <c r="DU40" s="134" t="s">
        <v>153</v>
      </c>
      <c r="DV40" s="135" t="s">
        <v>153</v>
      </c>
      <c r="DW40" s="136" t="s">
        <v>153</v>
      </c>
      <c r="DX40" s="137" t="s">
        <v>153</v>
      </c>
      <c r="DY40" s="138" t="s">
        <v>153</v>
      </c>
      <c r="DZ40" s="139" t="s">
        <v>191</v>
      </c>
      <c r="EA40" s="140">
        <v>44348</v>
      </c>
      <c r="EB40" s="141">
        <v>52900</v>
      </c>
      <c r="EC40" s="142">
        <v>36578</v>
      </c>
      <c r="ED40" s="143" t="s">
        <v>226</v>
      </c>
      <c r="EE40" s="278" t="str">
        <f>HYPERLINK("https://my.pitchbook.com?c=10140-85", "View company online")</f>
        <v>View company online</v>
      </c>
    </row>
    <row r="41" spans="1:135" x14ac:dyDescent="0.45">
      <c r="A41" s="144" t="s">
        <v>954</v>
      </c>
      <c r="B41" s="145" t="s">
        <v>955</v>
      </c>
      <c r="C41" s="146" t="s">
        <v>153</v>
      </c>
      <c r="D41" s="147" t="s">
        <v>153</v>
      </c>
      <c r="E41" s="148" t="s">
        <v>153</v>
      </c>
      <c r="F41" s="149" t="s">
        <v>956</v>
      </c>
      <c r="G41" s="150" t="s">
        <v>957</v>
      </c>
      <c r="H41" s="151" t="s">
        <v>958</v>
      </c>
      <c r="I41" s="152" t="s">
        <v>954</v>
      </c>
      <c r="J41" s="153" t="s">
        <v>959</v>
      </c>
      <c r="K41" s="154" t="s">
        <v>257</v>
      </c>
      <c r="L41" s="155" t="s">
        <v>530</v>
      </c>
      <c r="M41" s="156" t="s">
        <v>960</v>
      </c>
      <c r="N41" s="157" t="s">
        <v>961</v>
      </c>
      <c r="O41" s="158" t="s">
        <v>153</v>
      </c>
      <c r="P41" s="159" t="s">
        <v>962</v>
      </c>
      <c r="Q41" s="160" t="s">
        <v>204</v>
      </c>
      <c r="R41" s="161" t="s">
        <v>153</v>
      </c>
      <c r="S41" s="162" t="s">
        <v>290</v>
      </c>
      <c r="T41" s="163" t="s">
        <v>164</v>
      </c>
      <c r="U41" s="164" t="s">
        <v>237</v>
      </c>
      <c r="V41" s="165" t="s">
        <v>963</v>
      </c>
      <c r="W41" s="166">
        <v>26600</v>
      </c>
      <c r="X41" s="167" t="s">
        <v>964</v>
      </c>
      <c r="Y41" s="168" t="s">
        <v>153</v>
      </c>
      <c r="Z41" s="169" t="s">
        <v>153</v>
      </c>
      <c r="AA41" s="170">
        <v>1986</v>
      </c>
      <c r="AB41" s="171" t="s">
        <v>965</v>
      </c>
      <c r="AC41" s="172" t="s">
        <v>428</v>
      </c>
      <c r="AD41" s="173" t="s">
        <v>428</v>
      </c>
      <c r="AE41" s="174" t="s">
        <v>153</v>
      </c>
      <c r="AF41" s="175" t="s">
        <v>153</v>
      </c>
      <c r="AG41" s="176" t="s">
        <v>153</v>
      </c>
      <c r="AH41" s="177" t="s">
        <v>153</v>
      </c>
      <c r="AI41" s="178" t="s">
        <v>153</v>
      </c>
      <c r="AJ41" s="179" t="s">
        <v>153</v>
      </c>
      <c r="AK41" s="180" t="s">
        <v>153</v>
      </c>
      <c r="AL41" s="181" t="s">
        <v>153</v>
      </c>
      <c r="AM41" s="182" t="s">
        <v>153</v>
      </c>
      <c r="AN41" s="183" t="s">
        <v>538</v>
      </c>
      <c r="AO41" s="184" t="s">
        <v>966</v>
      </c>
      <c r="AP41" s="185" t="s">
        <v>967</v>
      </c>
      <c r="AQ41" s="186" t="s">
        <v>968</v>
      </c>
      <c r="AR41" s="187" t="s">
        <v>969</v>
      </c>
      <c r="AS41" s="188" t="s">
        <v>970</v>
      </c>
      <c r="AT41" s="189" t="s">
        <v>649</v>
      </c>
      <c r="AU41" s="190" t="s">
        <v>971</v>
      </c>
      <c r="AV41" s="191" t="s">
        <v>153</v>
      </c>
      <c r="AW41" s="192" t="s">
        <v>651</v>
      </c>
      <c r="AX41" s="193" t="s">
        <v>652</v>
      </c>
      <c r="AY41" s="194" t="s">
        <v>972</v>
      </c>
      <c r="AZ41" s="195" t="s">
        <v>215</v>
      </c>
      <c r="BA41" s="196" t="s">
        <v>970</v>
      </c>
      <c r="BB41" s="197" t="s">
        <v>153</v>
      </c>
      <c r="BC41" s="198" t="s">
        <v>153</v>
      </c>
      <c r="BD41" s="199" t="s">
        <v>216</v>
      </c>
      <c r="BE41" s="200" t="s">
        <v>217</v>
      </c>
      <c r="BF41" s="201" t="s">
        <v>973</v>
      </c>
      <c r="BG41" s="202" t="s">
        <v>153</v>
      </c>
      <c r="BH41" s="203" t="s">
        <v>153</v>
      </c>
      <c r="BI41" s="204" t="s">
        <v>965</v>
      </c>
      <c r="BJ41" s="205" t="s">
        <v>153</v>
      </c>
      <c r="BK41" s="206" t="s">
        <v>974</v>
      </c>
      <c r="BL41" s="207" t="s">
        <v>153</v>
      </c>
      <c r="BM41" s="208" t="s">
        <v>153</v>
      </c>
      <c r="BN41" s="209" t="s">
        <v>975</v>
      </c>
      <c r="BO41" s="210" t="s">
        <v>976</v>
      </c>
      <c r="BP41" s="211" t="s">
        <v>977</v>
      </c>
      <c r="BQ41" s="212">
        <v>33764</v>
      </c>
      <c r="BR41" s="213" t="s">
        <v>153</v>
      </c>
      <c r="BS41" s="214" t="s">
        <v>153</v>
      </c>
      <c r="BT41" s="215" t="s">
        <v>153</v>
      </c>
      <c r="BU41" s="216" t="s">
        <v>153</v>
      </c>
      <c r="BV41" s="217" t="s">
        <v>251</v>
      </c>
      <c r="BW41" s="218" t="s">
        <v>153</v>
      </c>
      <c r="BX41" s="219" t="s">
        <v>153</v>
      </c>
      <c r="BY41" s="220" t="s">
        <v>252</v>
      </c>
      <c r="BZ41" s="221" t="s">
        <v>153</v>
      </c>
      <c r="CA41" s="222" t="s">
        <v>190</v>
      </c>
      <c r="CB41" s="223">
        <v>43454</v>
      </c>
      <c r="CC41" s="224">
        <v>52800</v>
      </c>
      <c r="CD41" s="225" t="s">
        <v>186</v>
      </c>
      <c r="CE41" s="226">
        <v>52800</v>
      </c>
      <c r="CF41" s="227" t="s">
        <v>187</v>
      </c>
      <c r="CG41" s="228" t="s">
        <v>226</v>
      </c>
      <c r="CH41" s="229" t="s">
        <v>153</v>
      </c>
      <c r="CI41" s="230" t="s">
        <v>153</v>
      </c>
      <c r="CJ41" s="231" t="s">
        <v>225</v>
      </c>
      <c r="CK41" s="232">
        <v>43454</v>
      </c>
      <c r="CL41" s="233" t="s">
        <v>153</v>
      </c>
      <c r="CM41" s="234" t="s">
        <v>153</v>
      </c>
      <c r="CN41" s="235" t="s">
        <v>190</v>
      </c>
      <c r="CO41" s="236">
        <v>0.28999999999999998</v>
      </c>
      <c r="CP41" s="237">
        <v>91</v>
      </c>
      <c r="CQ41" s="238">
        <v>-0.02</v>
      </c>
      <c r="CR41" s="239">
        <v>-7.68</v>
      </c>
      <c r="CS41" s="240">
        <v>0.17</v>
      </c>
      <c r="CT41" s="241">
        <v>90</v>
      </c>
      <c r="CU41" s="242">
        <v>-0.11</v>
      </c>
      <c r="CV41" s="243">
        <v>17</v>
      </c>
      <c r="CW41" s="244">
        <v>0.62</v>
      </c>
      <c r="CX41" s="245">
        <v>80</v>
      </c>
      <c r="CY41" s="246">
        <v>-0.28000000000000003</v>
      </c>
      <c r="CZ41" s="247">
        <v>3</v>
      </c>
      <c r="DA41" s="248">
        <v>-0.11</v>
      </c>
      <c r="DB41" s="249">
        <v>17</v>
      </c>
      <c r="DC41" s="250">
        <v>2288.85</v>
      </c>
      <c r="DD41" s="251">
        <v>100</v>
      </c>
      <c r="DE41" s="252">
        <v>13.15</v>
      </c>
      <c r="DF41" s="253">
        <v>0.57999999999999996</v>
      </c>
      <c r="DG41" s="254">
        <v>1354.42</v>
      </c>
      <c r="DH41" s="255">
        <v>100</v>
      </c>
      <c r="DI41" s="256">
        <v>69.680000000000007</v>
      </c>
      <c r="DJ41" s="257">
        <v>97</v>
      </c>
      <c r="DK41" s="258">
        <v>2323.84</v>
      </c>
      <c r="DL41" s="259">
        <v>100</v>
      </c>
      <c r="DM41" s="260">
        <v>385</v>
      </c>
      <c r="DN41" s="261">
        <v>100</v>
      </c>
      <c r="DO41" s="262">
        <v>69.680000000000007</v>
      </c>
      <c r="DP41" s="263">
        <v>97</v>
      </c>
      <c r="DQ41" s="264">
        <v>1374863</v>
      </c>
      <c r="DR41" s="265">
        <v>11646</v>
      </c>
      <c r="DS41" s="266">
        <v>0.85</v>
      </c>
      <c r="DT41" s="267">
        <v>6196</v>
      </c>
      <c r="DU41" s="268">
        <v>-49</v>
      </c>
      <c r="DV41" s="269">
        <v>-0.78</v>
      </c>
      <c r="DW41" s="270">
        <v>21881</v>
      </c>
      <c r="DX41" s="271">
        <v>-3</v>
      </c>
      <c r="DY41" s="272">
        <v>-0.01</v>
      </c>
      <c r="DZ41" s="273" t="s">
        <v>191</v>
      </c>
      <c r="EA41" s="274">
        <v>44348</v>
      </c>
      <c r="EB41" s="275">
        <v>52800</v>
      </c>
      <c r="EC41" s="276">
        <v>43454</v>
      </c>
      <c r="ED41" s="277" t="s">
        <v>226</v>
      </c>
      <c r="EE41" s="279" t="str">
        <f>HYPERLINK("https://my.pitchbook.com?c=13383-64", "View company online")</f>
        <v>View company online</v>
      </c>
    </row>
    <row r="42" spans="1:135" x14ac:dyDescent="0.45">
      <c r="A42" s="10" t="s">
        <v>978</v>
      </c>
      <c r="B42" s="11" t="s">
        <v>979</v>
      </c>
      <c r="C42" s="12" t="s">
        <v>153</v>
      </c>
      <c r="D42" s="13" t="s">
        <v>153</v>
      </c>
      <c r="E42" s="14" t="s">
        <v>980</v>
      </c>
      <c r="F42" s="15" t="s">
        <v>153</v>
      </c>
      <c r="G42" s="16" t="s">
        <v>981</v>
      </c>
      <c r="H42" s="17" t="s">
        <v>982</v>
      </c>
      <c r="I42" s="18" t="s">
        <v>978</v>
      </c>
      <c r="J42" s="19" t="s">
        <v>983</v>
      </c>
      <c r="K42" s="20" t="s">
        <v>198</v>
      </c>
      <c r="L42" s="21" t="s">
        <v>984</v>
      </c>
      <c r="M42" s="22" t="s">
        <v>985</v>
      </c>
      <c r="N42" s="23" t="s">
        <v>986</v>
      </c>
      <c r="O42" s="24" t="s">
        <v>987</v>
      </c>
      <c r="P42" s="25" t="s">
        <v>988</v>
      </c>
      <c r="Q42" s="26" t="s">
        <v>289</v>
      </c>
      <c r="R42" s="27">
        <v>2895</v>
      </c>
      <c r="S42" s="28" t="s">
        <v>368</v>
      </c>
      <c r="T42" s="29" t="s">
        <v>291</v>
      </c>
      <c r="U42" s="30" t="s">
        <v>482</v>
      </c>
      <c r="V42" s="31" t="s">
        <v>989</v>
      </c>
      <c r="W42" s="32">
        <v>4226</v>
      </c>
      <c r="X42" s="33" t="s">
        <v>990</v>
      </c>
      <c r="Y42" s="34" t="s">
        <v>372</v>
      </c>
      <c r="Z42" s="35" t="s">
        <v>991</v>
      </c>
      <c r="AA42" s="36">
        <v>2009</v>
      </c>
      <c r="AB42" s="37" t="s">
        <v>153</v>
      </c>
      <c r="AC42" s="38" t="s">
        <v>153</v>
      </c>
      <c r="AD42" s="39" t="s">
        <v>153</v>
      </c>
      <c r="AE42" s="40">
        <v>1905.95</v>
      </c>
      <c r="AF42" s="41">
        <v>1422.35</v>
      </c>
      <c r="AG42" s="42">
        <v>-8.8000000000000007</v>
      </c>
      <c r="AH42" s="43">
        <v>44951.59</v>
      </c>
      <c r="AI42" s="44">
        <v>-10.84</v>
      </c>
      <c r="AJ42" s="45">
        <v>-19.32</v>
      </c>
      <c r="AK42" s="46">
        <v>48980.98</v>
      </c>
      <c r="AL42" s="47">
        <v>-1904.14</v>
      </c>
      <c r="AM42" s="48">
        <v>57.15</v>
      </c>
      <c r="AN42" s="49" t="s">
        <v>376</v>
      </c>
      <c r="AO42" s="50" t="s">
        <v>992</v>
      </c>
      <c r="AP42" s="51" t="s">
        <v>993</v>
      </c>
      <c r="AQ42" s="52" t="s">
        <v>994</v>
      </c>
      <c r="AR42" s="53" t="s">
        <v>995</v>
      </c>
      <c r="AS42" s="54" t="s">
        <v>996</v>
      </c>
      <c r="AT42" s="55" t="s">
        <v>997</v>
      </c>
      <c r="AU42" s="56" t="s">
        <v>998</v>
      </c>
      <c r="AV42" s="57" t="s">
        <v>153</v>
      </c>
      <c r="AW42" s="58" t="s">
        <v>999</v>
      </c>
      <c r="AX42" s="59" t="s">
        <v>308</v>
      </c>
      <c r="AY42" s="60" t="s">
        <v>1000</v>
      </c>
      <c r="AZ42" s="61" t="s">
        <v>215</v>
      </c>
      <c r="BA42" s="62" t="s">
        <v>996</v>
      </c>
      <c r="BB42" s="63" t="s">
        <v>153</v>
      </c>
      <c r="BC42" s="64" t="s">
        <v>1001</v>
      </c>
      <c r="BD42" s="65" t="s">
        <v>216</v>
      </c>
      <c r="BE42" s="66" t="s">
        <v>217</v>
      </c>
      <c r="BF42" s="67" t="s">
        <v>1002</v>
      </c>
      <c r="BG42" s="68" t="s">
        <v>153</v>
      </c>
      <c r="BH42" s="69" t="s">
        <v>153</v>
      </c>
      <c r="BI42" s="70" t="s">
        <v>153</v>
      </c>
      <c r="BJ42" s="71" t="s">
        <v>1003</v>
      </c>
      <c r="BK42" s="72" t="s">
        <v>153</v>
      </c>
      <c r="BL42" s="73" t="s">
        <v>153</v>
      </c>
      <c r="BM42" s="74" t="s">
        <v>1004</v>
      </c>
      <c r="BN42" s="75" t="s">
        <v>153</v>
      </c>
      <c r="BO42" s="76" t="s">
        <v>1005</v>
      </c>
      <c r="BP42" s="77" t="s">
        <v>1006</v>
      </c>
      <c r="BQ42" s="78">
        <v>40046</v>
      </c>
      <c r="BR42" s="79">
        <v>0.53</v>
      </c>
      <c r="BS42" s="80" t="s">
        <v>186</v>
      </c>
      <c r="BT42" s="81">
        <v>2.23</v>
      </c>
      <c r="BU42" s="82" t="s">
        <v>186</v>
      </c>
      <c r="BV42" s="83" t="s">
        <v>1007</v>
      </c>
      <c r="BW42" s="84" t="s">
        <v>1008</v>
      </c>
      <c r="BX42" s="85" t="s">
        <v>153</v>
      </c>
      <c r="BY42" s="86" t="s">
        <v>472</v>
      </c>
      <c r="BZ42" s="87" t="s">
        <v>153</v>
      </c>
      <c r="CA42" s="88" t="s">
        <v>190</v>
      </c>
      <c r="CB42" s="89">
        <v>44239</v>
      </c>
      <c r="CC42" s="90">
        <v>51000</v>
      </c>
      <c r="CD42" s="91" t="s">
        <v>186</v>
      </c>
      <c r="CE42" s="92">
        <v>51000</v>
      </c>
      <c r="CF42" s="93" t="s">
        <v>187</v>
      </c>
      <c r="CG42" s="94" t="s">
        <v>226</v>
      </c>
      <c r="CH42" s="95" t="s">
        <v>153</v>
      </c>
      <c r="CI42" s="96" t="s">
        <v>153</v>
      </c>
      <c r="CJ42" s="97" t="s">
        <v>225</v>
      </c>
      <c r="CK42" s="98">
        <v>44239</v>
      </c>
      <c r="CL42" s="99" t="s">
        <v>153</v>
      </c>
      <c r="CM42" s="100" t="s">
        <v>153</v>
      </c>
      <c r="CN42" s="101" t="s">
        <v>394</v>
      </c>
      <c r="CO42" s="102">
        <v>1.03</v>
      </c>
      <c r="CP42" s="103">
        <v>96</v>
      </c>
      <c r="CQ42" s="104">
        <v>0.01</v>
      </c>
      <c r="CR42" s="105">
        <v>0.78</v>
      </c>
      <c r="CS42" s="106">
        <v>-0.28000000000000003</v>
      </c>
      <c r="CT42" s="107">
        <v>6</v>
      </c>
      <c r="CU42" s="108">
        <v>-0.13</v>
      </c>
      <c r="CV42" s="109">
        <v>13</v>
      </c>
      <c r="CW42" s="110">
        <v>-0.66</v>
      </c>
      <c r="CX42" s="111">
        <v>18</v>
      </c>
      <c r="CY42" s="112">
        <v>0.1</v>
      </c>
      <c r="CZ42" s="113">
        <v>90</v>
      </c>
      <c r="DA42" s="114">
        <v>-0.13</v>
      </c>
      <c r="DB42" s="115">
        <v>13</v>
      </c>
      <c r="DC42" s="116">
        <v>83551.05</v>
      </c>
      <c r="DD42" s="117">
        <v>100</v>
      </c>
      <c r="DE42" s="118">
        <v>117.18</v>
      </c>
      <c r="DF42" s="119">
        <v>0.14000000000000001</v>
      </c>
      <c r="DG42" s="120">
        <v>131245.78</v>
      </c>
      <c r="DH42" s="121">
        <v>100</v>
      </c>
      <c r="DI42" s="122">
        <v>7188.96</v>
      </c>
      <c r="DJ42" s="123">
        <v>100</v>
      </c>
      <c r="DK42" s="124">
        <v>125914.82</v>
      </c>
      <c r="DL42" s="125">
        <v>100</v>
      </c>
      <c r="DM42" s="126">
        <v>136576.75</v>
      </c>
      <c r="DN42" s="127">
        <v>100</v>
      </c>
      <c r="DO42" s="128">
        <v>7188.96</v>
      </c>
      <c r="DP42" s="129">
        <v>100</v>
      </c>
      <c r="DQ42" s="130">
        <v>74907192</v>
      </c>
      <c r="DR42" s="131">
        <v>-878914</v>
      </c>
      <c r="DS42" s="132">
        <v>-1.1599999999999999</v>
      </c>
      <c r="DT42" s="133">
        <v>2184056</v>
      </c>
      <c r="DU42" s="134">
        <v>3048</v>
      </c>
      <c r="DV42" s="135">
        <v>0.14000000000000001</v>
      </c>
      <c r="DW42" s="136">
        <v>2257234</v>
      </c>
      <c r="DX42" s="137">
        <v>352</v>
      </c>
      <c r="DY42" s="138">
        <v>0.02</v>
      </c>
      <c r="DZ42" s="139" t="s">
        <v>191</v>
      </c>
      <c r="EA42" s="140">
        <v>44401</v>
      </c>
      <c r="EB42" s="141">
        <v>51000</v>
      </c>
      <c r="EC42" s="142">
        <v>44239</v>
      </c>
      <c r="ED42" s="143" t="s">
        <v>226</v>
      </c>
      <c r="EE42" s="278" t="str">
        <f>HYPERLINK("https://my.pitchbook.com?c=52950-43", "View company online")</f>
        <v>View company online</v>
      </c>
    </row>
    <row r="43" spans="1:135" x14ac:dyDescent="0.45">
      <c r="A43" s="144" t="s">
        <v>1009</v>
      </c>
      <c r="B43" s="145" t="s">
        <v>1010</v>
      </c>
      <c r="C43" s="146" t="s">
        <v>153</v>
      </c>
      <c r="D43" s="147" t="s">
        <v>153</v>
      </c>
      <c r="E43" s="148" t="s">
        <v>1011</v>
      </c>
      <c r="F43" s="149" t="s">
        <v>1012</v>
      </c>
      <c r="G43" s="150" t="s">
        <v>1013</v>
      </c>
      <c r="H43" s="151" t="s">
        <v>1014</v>
      </c>
      <c r="I43" s="152" t="s">
        <v>1009</v>
      </c>
      <c r="J43" s="153" t="s">
        <v>1015</v>
      </c>
      <c r="K43" s="154" t="s">
        <v>232</v>
      </c>
      <c r="L43" s="155" t="s">
        <v>1016</v>
      </c>
      <c r="M43" s="156" t="s">
        <v>1017</v>
      </c>
      <c r="N43" s="157" t="s">
        <v>1018</v>
      </c>
      <c r="O43" s="158" t="s">
        <v>153</v>
      </c>
      <c r="P43" s="159" t="s">
        <v>1019</v>
      </c>
      <c r="Q43" s="160" t="s">
        <v>204</v>
      </c>
      <c r="R43" s="161">
        <v>21540</v>
      </c>
      <c r="S43" s="162" t="s">
        <v>163</v>
      </c>
      <c r="T43" s="163" t="s">
        <v>164</v>
      </c>
      <c r="U43" s="164" t="s">
        <v>237</v>
      </c>
      <c r="V43" s="165" t="s">
        <v>1020</v>
      </c>
      <c r="W43" s="166">
        <v>64200</v>
      </c>
      <c r="X43" s="167" t="s">
        <v>1021</v>
      </c>
      <c r="Y43" s="168" t="s">
        <v>153</v>
      </c>
      <c r="Z43" s="169" t="s">
        <v>153</v>
      </c>
      <c r="AA43" s="170">
        <v>1971</v>
      </c>
      <c r="AB43" s="171" t="s">
        <v>1022</v>
      </c>
      <c r="AC43" s="172" t="s">
        <v>153</v>
      </c>
      <c r="AD43" s="173" t="s">
        <v>153</v>
      </c>
      <c r="AE43" s="174" t="s">
        <v>153</v>
      </c>
      <c r="AF43" s="175" t="s">
        <v>153</v>
      </c>
      <c r="AG43" s="176" t="s">
        <v>153</v>
      </c>
      <c r="AH43" s="177" t="s">
        <v>153</v>
      </c>
      <c r="AI43" s="178" t="s">
        <v>153</v>
      </c>
      <c r="AJ43" s="179" t="s">
        <v>153</v>
      </c>
      <c r="AK43" s="180" t="s">
        <v>153</v>
      </c>
      <c r="AL43" s="181" t="s">
        <v>153</v>
      </c>
      <c r="AM43" s="182" t="s">
        <v>153</v>
      </c>
      <c r="AN43" s="183" t="s">
        <v>1023</v>
      </c>
      <c r="AO43" s="184" t="s">
        <v>1024</v>
      </c>
      <c r="AP43" s="185" t="s">
        <v>1025</v>
      </c>
      <c r="AQ43" s="186" t="s">
        <v>1026</v>
      </c>
      <c r="AR43" s="187" t="s">
        <v>1027</v>
      </c>
      <c r="AS43" s="188" t="s">
        <v>1028</v>
      </c>
      <c r="AT43" s="189" t="s">
        <v>433</v>
      </c>
      <c r="AU43" s="190" t="s">
        <v>1029</v>
      </c>
      <c r="AV43" s="191" t="s">
        <v>153</v>
      </c>
      <c r="AW43" s="192" t="s">
        <v>436</v>
      </c>
      <c r="AX43" s="193" t="s">
        <v>436</v>
      </c>
      <c r="AY43" s="194" t="s">
        <v>515</v>
      </c>
      <c r="AZ43" s="195" t="s">
        <v>215</v>
      </c>
      <c r="BA43" s="196" t="s">
        <v>1030</v>
      </c>
      <c r="BB43" s="197" t="s">
        <v>1031</v>
      </c>
      <c r="BC43" s="198" t="s">
        <v>153</v>
      </c>
      <c r="BD43" s="199" t="s">
        <v>216</v>
      </c>
      <c r="BE43" s="200" t="s">
        <v>217</v>
      </c>
      <c r="BF43" s="201" t="s">
        <v>1032</v>
      </c>
      <c r="BG43" s="202" t="s">
        <v>153</v>
      </c>
      <c r="BH43" s="203" t="s">
        <v>153</v>
      </c>
      <c r="BI43" s="204" t="s">
        <v>1022</v>
      </c>
      <c r="BJ43" s="205" t="s">
        <v>1033</v>
      </c>
      <c r="BK43" s="206" t="s">
        <v>153</v>
      </c>
      <c r="BL43" s="207" t="s">
        <v>153</v>
      </c>
      <c r="BM43" s="208" t="s">
        <v>1034</v>
      </c>
      <c r="BN43" s="209" t="s">
        <v>153</v>
      </c>
      <c r="BO43" s="210" t="s">
        <v>1035</v>
      </c>
      <c r="BP43" s="211" t="s">
        <v>153</v>
      </c>
      <c r="BQ43" s="212">
        <v>34905</v>
      </c>
      <c r="BR43" s="213">
        <v>240</v>
      </c>
      <c r="BS43" s="214" t="s">
        <v>186</v>
      </c>
      <c r="BT43" s="215" t="s">
        <v>153</v>
      </c>
      <c r="BU43" s="216" t="s">
        <v>153</v>
      </c>
      <c r="BV43" s="217" t="s">
        <v>251</v>
      </c>
      <c r="BW43" s="218" t="s">
        <v>153</v>
      </c>
      <c r="BX43" s="219" t="s">
        <v>153</v>
      </c>
      <c r="BY43" s="220" t="s">
        <v>252</v>
      </c>
      <c r="BZ43" s="221" t="s">
        <v>153</v>
      </c>
      <c r="CA43" s="222" t="s">
        <v>190</v>
      </c>
      <c r="CB43" s="223">
        <v>39814</v>
      </c>
      <c r="CC43" s="224">
        <v>50000</v>
      </c>
      <c r="CD43" s="225" t="s">
        <v>186</v>
      </c>
      <c r="CE43" s="226">
        <v>50000</v>
      </c>
      <c r="CF43" s="227" t="s">
        <v>186</v>
      </c>
      <c r="CG43" s="228" t="s">
        <v>226</v>
      </c>
      <c r="CH43" s="229" t="s">
        <v>153</v>
      </c>
      <c r="CI43" s="230" t="s">
        <v>153</v>
      </c>
      <c r="CJ43" s="231" t="s">
        <v>225</v>
      </c>
      <c r="CK43" s="232">
        <v>39814</v>
      </c>
      <c r="CL43" s="233" t="s">
        <v>153</v>
      </c>
      <c r="CM43" s="234" t="s">
        <v>153</v>
      </c>
      <c r="CN43" s="235" t="s">
        <v>190</v>
      </c>
      <c r="CO43" s="236">
        <v>0.3</v>
      </c>
      <c r="CP43" s="237">
        <v>91</v>
      </c>
      <c r="CQ43" s="238">
        <v>-0.08</v>
      </c>
      <c r="CR43" s="239">
        <v>-22.2</v>
      </c>
      <c r="CS43" s="240">
        <v>0.3</v>
      </c>
      <c r="CT43" s="241">
        <v>91</v>
      </c>
      <c r="CU43" s="242" t="s">
        <v>153</v>
      </c>
      <c r="CV43" s="243" t="s">
        <v>153</v>
      </c>
      <c r="CW43" s="244">
        <v>-0.33</v>
      </c>
      <c r="CX43" s="245">
        <v>20</v>
      </c>
      <c r="CY43" s="246">
        <v>0.93</v>
      </c>
      <c r="CZ43" s="247">
        <v>97</v>
      </c>
      <c r="DA43" s="248" t="s">
        <v>153</v>
      </c>
      <c r="DB43" s="249" t="s">
        <v>153</v>
      </c>
      <c r="DC43" s="250">
        <v>164.1</v>
      </c>
      <c r="DD43" s="251">
        <v>100</v>
      </c>
      <c r="DE43" s="252">
        <v>0.16</v>
      </c>
      <c r="DF43" s="253">
        <v>0.1</v>
      </c>
      <c r="DG43" s="254">
        <v>164.1</v>
      </c>
      <c r="DH43" s="255">
        <v>100</v>
      </c>
      <c r="DI43" s="256" t="s">
        <v>153</v>
      </c>
      <c r="DJ43" s="257" t="s">
        <v>153</v>
      </c>
      <c r="DK43" s="258">
        <v>89.95</v>
      </c>
      <c r="DL43" s="259">
        <v>97</v>
      </c>
      <c r="DM43" s="260">
        <v>238.25</v>
      </c>
      <c r="DN43" s="261">
        <v>100</v>
      </c>
      <c r="DO43" s="262" t="s">
        <v>153</v>
      </c>
      <c r="DP43" s="263" t="s">
        <v>153</v>
      </c>
      <c r="DQ43" s="264">
        <v>53447</v>
      </c>
      <c r="DR43" s="265">
        <v>-384</v>
      </c>
      <c r="DS43" s="266">
        <v>-0.71</v>
      </c>
      <c r="DT43" s="267">
        <v>3809</v>
      </c>
      <c r="DU43" s="268">
        <v>5</v>
      </c>
      <c r="DV43" s="269">
        <v>0.13</v>
      </c>
      <c r="DW43" s="270" t="s">
        <v>153</v>
      </c>
      <c r="DX43" s="271" t="s">
        <v>153</v>
      </c>
      <c r="DY43" s="272" t="s">
        <v>153</v>
      </c>
      <c r="DZ43" s="273" t="s">
        <v>191</v>
      </c>
      <c r="EA43" s="274">
        <v>44390</v>
      </c>
      <c r="EB43" s="275">
        <v>50000</v>
      </c>
      <c r="EC43" s="276">
        <v>39814</v>
      </c>
      <c r="ED43" s="277" t="s">
        <v>226</v>
      </c>
      <c r="EE43" s="279" t="str">
        <f>HYPERLINK("https://my.pitchbook.com?c=10037-35", "View company online")</f>
        <v>View company online</v>
      </c>
    </row>
    <row r="44" spans="1:135" x14ac:dyDescent="0.45">
      <c r="A44" s="10" t="s">
        <v>1036</v>
      </c>
      <c r="B44" s="11" t="s">
        <v>1037</v>
      </c>
      <c r="C44" s="12" t="s">
        <v>153</v>
      </c>
      <c r="D44" s="13" t="s">
        <v>153</v>
      </c>
      <c r="E44" s="14" t="s">
        <v>1038</v>
      </c>
      <c r="F44" s="15" t="s">
        <v>153</v>
      </c>
      <c r="G44" s="16" t="s">
        <v>1039</v>
      </c>
      <c r="H44" s="17" t="s">
        <v>1040</v>
      </c>
      <c r="I44" s="18" t="s">
        <v>1036</v>
      </c>
      <c r="J44" s="19" t="s">
        <v>1041</v>
      </c>
      <c r="K44" s="20" t="s">
        <v>257</v>
      </c>
      <c r="L44" s="21" t="s">
        <v>478</v>
      </c>
      <c r="M44" s="22" t="s">
        <v>479</v>
      </c>
      <c r="N44" s="23" t="s">
        <v>1042</v>
      </c>
      <c r="O44" s="24" t="s">
        <v>261</v>
      </c>
      <c r="P44" s="25" t="s">
        <v>1043</v>
      </c>
      <c r="Q44" s="26" t="s">
        <v>204</v>
      </c>
      <c r="R44" s="27" t="s">
        <v>153</v>
      </c>
      <c r="S44" s="28" t="s">
        <v>290</v>
      </c>
      <c r="T44" s="29" t="s">
        <v>205</v>
      </c>
      <c r="U44" s="30" t="s">
        <v>237</v>
      </c>
      <c r="V44" s="31" t="s">
        <v>1044</v>
      </c>
      <c r="W44" s="32">
        <v>39500</v>
      </c>
      <c r="X44" s="33" t="s">
        <v>1045</v>
      </c>
      <c r="Y44" s="34" t="s">
        <v>153</v>
      </c>
      <c r="Z44" s="35" t="s">
        <v>153</v>
      </c>
      <c r="AA44" s="36">
        <v>2007</v>
      </c>
      <c r="AB44" s="37" t="s">
        <v>153</v>
      </c>
      <c r="AC44" s="38" t="s">
        <v>153</v>
      </c>
      <c r="AD44" s="39" t="s">
        <v>153</v>
      </c>
      <c r="AE44" s="40" t="s">
        <v>153</v>
      </c>
      <c r="AF44" s="41" t="s">
        <v>153</v>
      </c>
      <c r="AG44" s="42" t="s">
        <v>153</v>
      </c>
      <c r="AH44" s="43" t="s">
        <v>153</v>
      </c>
      <c r="AI44" s="44" t="s">
        <v>153</v>
      </c>
      <c r="AJ44" s="45" t="s">
        <v>153</v>
      </c>
      <c r="AK44" s="46" t="s">
        <v>153</v>
      </c>
      <c r="AL44" s="47" t="s">
        <v>153</v>
      </c>
      <c r="AM44" s="48" t="s">
        <v>153</v>
      </c>
      <c r="AN44" s="49" t="s">
        <v>1046</v>
      </c>
      <c r="AO44" s="50" t="s">
        <v>153</v>
      </c>
      <c r="AP44" s="51" t="s">
        <v>153</v>
      </c>
      <c r="AQ44" s="52" t="s">
        <v>153</v>
      </c>
      <c r="AR44" s="53" t="s">
        <v>153</v>
      </c>
      <c r="AS44" s="54" t="s">
        <v>153</v>
      </c>
      <c r="AT44" s="55" t="s">
        <v>624</v>
      </c>
      <c r="AU44" s="56" t="s">
        <v>1047</v>
      </c>
      <c r="AV44" s="57" t="s">
        <v>153</v>
      </c>
      <c r="AW44" s="58" t="s">
        <v>627</v>
      </c>
      <c r="AX44" s="59" t="s">
        <v>153</v>
      </c>
      <c r="AY44" s="60" t="s">
        <v>761</v>
      </c>
      <c r="AZ44" s="61" t="s">
        <v>629</v>
      </c>
      <c r="BA44" s="62" t="s">
        <v>153</v>
      </c>
      <c r="BB44" s="63" t="s">
        <v>153</v>
      </c>
      <c r="BC44" s="64" t="s">
        <v>153</v>
      </c>
      <c r="BD44" s="65" t="s">
        <v>180</v>
      </c>
      <c r="BE44" s="66" t="s">
        <v>181</v>
      </c>
      <c r="BF44" s="67" t="s">
        <v>1048</v>
      </c>
      <c r="BG44" s="68" t="s">
        <v>153</v>
      </c>
      <c r="BH44" s="69" t="s">
        <v>153</v>
      </c>
      <c r="BI44" s="70" t="s">
        <v>1049</v>
      </c>
      <c r="BJ44" s="71" t="s">
        <v>1050</v>
      </c>
      <c r="BK44" s="72" t="s">
        <v>153</v>
      </c>
      <c r="BL44" s="73" t="s">
        <v>153</v>
      </c>
      <c r="BM44" s="74" t="s">
        <v>153</v>
      </c>
      <c r="BN44" s="75" t="s">
        <v>153</v>
      </c>
      <c r="BO44" s="76" t="s">
        <v>1051</v>
      </c>
      <c r="BP44" s="77" t="s">
        <v>1052</v>
      </c>
      <c r="BQ44" s="78">
        <v>39247</v>
      </c>
      <c r="BR44" s="79" t="s">
        <v>153</v>
      </c>
      <c r="BS44" s="80" t="s">
        <v>153</v>
      </c>
      <c r="BT44" s="81" t="s">
        <v>153</v>
      </c>
      <c r="BU44" s="82" t="s">
        <v>153</v>
      </c>
      <c r="BV44" s="83" t="s">
        <v>251</v>
      </c>
      <c r="BW44" s="84" t="s">
        <v>524</v>
      </c>
      <c r="BX44" s="85" t="s">
        <v>153</v>
      </c>
      <c r="BY44" s="86" t="s">
        <v>252</v>
      </c>
      <c r="BZ44" s="87" t="s">
        <v>153</v>
      </c>
      <c r="CA44" s="88" t="s">
        <v>190</v>
      </c>
      <c r="CB44" s="89">
        <v>42030</v>
      </c>
      <c r="CC44" s="90">
        <v>50000</v>
      </c>
      <c r="CD44" s="91" t="s">
        <v>186</v>
      </c>
      <c r="CE44" s="92">
        <v>50000</v>
      </c>
      <c r="CF44" s="93" t="s">
        <v>186</v>
      </c>
      <c r="CG44" s="94" t="s">
        <v>226</v>
      </c>
      <c r="CH44" s="95" t="s">
        <v>153</v>
      </c>
      <c r="CI44" s="96" t="s">
        <v>153</v>
      </c>
      <c r="CJ44" s="97" t="s">
        <v>225</v>
      </c>
      <c r="CK44" s="98">
        <v>42030</v>
      </c>
      <c r="CL44" s="99" t="s">
        <v>153</v>
      </c>
      <c r="CM44" s="100" t="s">
        <v>153</v>
      </c>
      <c r="CN44" s="101" t="s">
        <v>190</v>
      </c>
      <c r="CO44" s="102" t="s">
        <v>153</v>
      </c>
      <c r="CP44" s="103" t="s">
        <v>153</v>
      </c>
      <c r="CQ44" s="104" t="s">
        <v>153</v>
      </c>
      <c r="CR44" s="105" t="s">
        <v>153</v>
      </c>
      <c r="CS44" s="106" t="s">
        <v>153</v>
      </c>
      <c r="CT44" s="107" t="s">
        <v>153</v>
      </c>
      <c r="CU44" s="108" t="s">
        <v>153</v>
      </c>
      <c r="CV44" s="109" t="s">
        <v>153</v>
      </c>
      <c r="CW44" s="110" t="s">
        <v>153</v>
      </c>
      <c r="CX44" s="111" t="s">
        <v>153</v>
      </c>
      <c r="CY44" s="112" t="s">
        <v>153</v>
      </c>
      <c r="CZ44" s="113" t="s">
        <v>153</v>
      </c>
      <c r="DA44" s="114" t="s">
        <v>153</v>
      </c>
      <c r="DB44" s="115" t="s">
        <v>153</v>
      </c>
      <c r="DC44" s="116" t="s">
        <v>153</v>
      </c>
      <c r="DD44" s="117" t="s">
        <v>153</v>
      </c>
      <c r="DE44" s="118" t="s">
        <v>153</v>
      </c>
      <c r="DF44" s="119" t="s">
        <v>153</v>
      </c>
      <c r="DG44" s="120" t="s">
        <v>153</v>
      </c>
      <c r="DH44" s="121" t="s">
        <v>153</v>
      </c>
      <c r="DI44" s="122" t="s">
        <v>153</v>
      </c>
      <c r="DJ44" s="123" t="s">
        <v>153</v>
      </c>
      <c r="DK44" s="124" t="s">
        <v>153</v>
      </c>
      <c r="DL44" s="125" t="s">
        <v>153</v>
      </c>
      <c r="DM44" s="126" t="s">
        <v>153</v>
      </c>
      <c r="DN44" s="127" t="s">
        <v>153</v>
      </c>
      <c r="DO44" s="128" t="s">
        <v>153</v>
      </c>
      <c r="DP44" s="129" t="s">
        <v>153</v>
      </c>
      <c r="DQ44" s="130" t="s">
        <v>153</v>
      </c>
      <c r="DR44" s="131" t="s">
        <v>153</v>
      </c>
      <c r="DS44" s="132" t="s">
        <v>153</v>
      </c>
      <c r="DT44" s="133" t="s">
        <v>153</v>
      </c>
      <c r="DU44" s="134" t="s">
        <v>153</v>
      </c>
      <c r="DV44" s="135" t="s">
        <v>153</v>
      </c>
      <c r="DW44" s="136" t="s">
        <v>153</v>
      </c>
      <c r="DX44" s="137" t="s">
        <v>153</v>
      </c>
      <c r="DY44" s="138" t="s">
        <v>153</v>
      </c>
      <c r="DZ44" s="139" t="s">
        <v>191</v>
      </c>
      <c r="EA44" s="140">
        <v>44351</v>
      </c>
      <c r="EB44" s="141">
        <v>50000</v>
      </c>
      <c r="EC44" s="142">
        <v>42030</v>
      </c>
      <c r="ED44" s="143" t="s">
        <v>226</v>
      </c>
      <c r="EE44" s="278" t="str">
        <f>HYPERLINK("https://my.pitchbook.com?c=41630-95", "View company online")</f>
        <v>View company online</v>
      </c>
    </row>
    <row r="45" spans="1:135" x14ac:dyDescent="0.45">
      <c r="A45" s="144" t="s">
        <v>1053</v>
      </c>
      <c r="B45" s="145" t="s">
        <v>1054</v>
      </c>
      <c r="C45" s="146" t="s">
        <v>153</v>
      </c>
      <c r="D45" s="147" t="s">
        <v>153</v>
      </c>
      <c r="E45" s="148" t="s">
        <v>1055</v>
      </c>
      <c r="F45" s="149" t="s">
        <v>153</v>
      </c>
      <c r="G45" s="150" t="s">
        <v>1056</v>
      </c>
      <c r="H45" s="151" t="s">
        <v>1057</v>
      </c>
      <c r="I45" s="152" t="s">
        <v>1053</v>
      </c>
      <c r="J45" s="153" t="s">
        <v>1058</v>
      </c>
      <c r="K45" s="154" t="s">
        <v>232</v>
      </c>
      <c r="L45" s="155" t="s">
        <v>362</v>
      </c>
      <c r="M45" s="156" t="s">
        <v>1059</v>
      </c>
      <c r="N45" s="157" t="s">
        <v>1060</v>
      </c>
      <c r="O45" s="158" t="s">
        <v>1061</v>
      </c>
      <c r="P45" s="159" t="s">
        <v>1062</v>
      </c>
      <c r="Q45" s="160" t="s">
        <v>564</v>
      </c>
      <c r="R45" s="161">
        <v>505.79</v>
      </c>
      <c r="S45" s="162" t="s">
        <v>290</v>
      </c>
      <c r="T45" s="163" t="s">
        <v>164</v>
      </c>
      <c r="U45" s="164" t="s">
        <v>1063</v>
      </c>
      <c r="V45" s="165" t="s">
        <v>1064</v>
      </c>
      <c r="W45" s="166">
        <v>5000</v>
      </c>
      <c r="X45" s="167" t="s">
        <v>1065</v>
      </c>
      <c r="Y45" s="168" t="s">
        <v>153</v>
      </c>
      <c r="Z45" s="169" t="s">
        <v>153</v>
      </c>
      <c r="AA45" s="170">
        <v>1971</v>
      </c>
      <c r="AB45" s="171" t="s">
        <v>1066</v>
      </c>
      <c r="AC45" s="172" t="s">
        <v>570</v>
      </c>
      <c r="AD45" s="173" t="s">
        <v>1067</v>
      </c>
      <c r="AE45" s="174" t="s">
        <v>153</v>
      </c>
      <c r="AF45" s="175" t="s">
        <v>153</v>
      </c>
      <c r="AG45" s="176" t="s">
        <v>153</v>
      </c>
      <c r="AH45" s="177" t="s">
        <v>153</v>
      </c>
      <c r="AI45" s="178" t="s">
        <v>153</v>
      </c>
      <c r="AJ45" s="179" t="s">
        <v>153</v>
      </c>
      <c r="AK45" s="180" t="s">
        <v>153</v>
      </c>
      <c r="AL45" s="181" t="s">
        <v>153</v>
      </c>
      <c r="AM45" s="182" t="s">
        <v>153</v>
      </c>
      <c r="AN45" s="183" t="s">
        <v>509</v>
      </c>
      <c r="AO45" s="184" t="s">
        <v>1068</v>
      </c>
      <c r="AP45" s="185" t="s">
        <v>1069</v>
      </c>
      <c r="AQ45" s="186" t="s">
        <v>512</v>
      </c>
      <c r="AR45" s="187" t="s">
        <v>1070</v>
      </c>
      <c r="AS45" s="188" t="s">
        <v>153</v>
      </c>
      <c r="AT45" s="189" t="s">
        <v>1071</v>
      </c>
      <c r="AU45" s="190" t="s">
        <v>1072</v>
      </c>
      <c r="AV45" s="191" t="s">
        <v>1073</v>
      </c>
      <c r="AW45" s="192" t="s">
        <v>1074</v>
      </c>
      <c r="AX45" s="193" t="s">
        <v>177</v>
      </c>
      <c r="AY45" s="194" t="s">
        <v>1075</v>
      </c>
      <c r="AZ45" s="195" t="s">
        <v>179</v>
      </c>
      <c r="BA45" s="196" t="s">
        <v>153</v>
      </c>
      <c r="BB45" s="197" t="s">
        <v>153</v>
      </c>
      <c r="BC45" s="198" t="s">
        <v>153</v>
      </c>
      <c r="BD45" s="199" t="s">
        <v>180</v>
      </c>
      <c r="BE45" s="200" t="s">
        <v>181</v>
      </c>
      <c r="BF45" s="201" t="s">
        <v>1076</v>
      </c>
      <c r="BG45" s="202" t="s">
        <v>153</v>
      </c>
      <c r="BH45" s="203" t="s">
        <v>153</v>
      </c>
      <c r="BI45" s="204" t="s">
        <v>1066</v>
      </c>
      <c r="BJ45" s="205" t="s">
        <v>1077</v>
      </c>
      <c r="BK45" s="206" t="s">
        <v>153</v>
      </c>
      <c r="BL45" s="207" t="s">
        <v>153</v>
      </c>
      <c r="BM45" s="208" t="s">
        <v>1078</v>
      </c>
      <c r="BN45" s="209" t="s">
        <v>153</v>
      </c>
      <c r="BO45" s="210" t="s">
        <v>1079</v>
      </c>
      <c r="BP45" s="211" t="s">
        <v>1080</v>
      </c>
      <c r="BQ45" s="212" t="s">
        <v>153</v>
      </c>
      <c r="BR45" s="213" t="s">
        <v>153</v>
      </c>
      <c r="BS45" s="214" t="s">
        <v>153</v>
      </c>
      <c r="BT45" s="215" t="s">
        <v>153</v>
      </c>
      <c r="BU45" s="216" t="s">
        <v>153</v>
      </c>
      <c r="BV45" s="217" t="s">
        <v>709</v>
      </c>
      <c r="BW45" s="218" t="s">
        <v>153</v>
      </c>
      <c r="BX45" s="219" t="s">
        <v>153</v>
      </c>
      <c r="BY45" s="220" t="s">
        <v>165</v>
      </c>
      <c r="BZ45" s="221" t="s">
        <v>153</v>
      </c>
      <c r="CA45" s="222" t="s">
        <v>190</v>
      </c>
      <c r="CB45" s="223">
        <v>43677</v>
      </c>
      <c r="CC45" s="224">
        <v>48245</v>
      </c>
      <c r="CD45" s="225" t="s">
        <v>186</v>
      </c>
      <c r="CE45" s="226">
        <v>48245</v>
      </c>
      <c r="CF45" s="227" t="s">
        <v>186</v>
      </c>
      <c r="CG45" s="228" t="s">
        <v>226</v>
      </c>
      <c r="CH45" s="229" t="s">
        <v>153</v>
      </c>
      <c r="CI45" s="230" t="s">
        <v>153</v>
      </c>
      <c r="CJ45" s="231" t="s">
        <v>225</v>
      </c>
      <c r="CK45" s="232">
        <v>43677</v>
      </c>
      <c r="CL45" s="233" t="s">
        <v>153</v>
      </c>
      <c r="CM45" s="234" t="s">
        <v>1081</v>
      </c>
      <c r="CN45" s="235" t="s">
        <v>190</v>
      </c>
      <c r="CO45" s="236" t="s">
        <v>153</v>
      </c>
      <c r="CP45" s="237" t="s">
        <v>153</v>
      </c>
      <c r="CQ45" s="238" t="s">
        <v>153</v>
      </c>
      <c r="CR45" s="239" t="s">
        <v>153</v>
      </c>
      <c r="CS45" s="240" t="s">
        <v>153</v>
      </c>
      <c r="CT45" s="241" t="s">
        <v>153</v>
      </c>
      <c r="CU45" s="242" t="s">
        <v>153</v>
      </c>
      <c r="CV45" s="243" t="s">
        <v>153</v>
      </c>
      <c r="CW45" s="244" t="s">
        <v>153</v>
      </c>
      <c r="CX45" s="245" t="s">
        <v>153</v>
      </c>
      <c r="CY45" s="246" t="s">
        <v>153</v>
      </c>
      <c r="CZ45" s="247" t="s">
        <v>153</v>
      </c>
      <c r="DA45" s="248" t="s">
        <v>153</v>
      </c>
      <c r="DB45" s="249" t="s">
        <v>153</v>
      </c>
      <c r="DC45" s="250" t="s">
        <v>153</v>
      </c>
      <c r="DD45" s="251" t="s">
        <v>153</v>
      </c>
      <c r="DE45" s="252" t="s">
        <v>153</v>
      </c>
      <c r="DF45" s="253" t="s">
        <v>153</v>
      </c>
      <c r="DG45" s="254" t="s">
        <v>153</v>
      </c>
      <c r="DH45" s="255" t="s">
        <v>153</v>
      </c>
      <c r="DI45" s="256" t="s">
        <v>153</v>
      </c>
      <c r="DJ45" s="257" t="s">
        <v>153</v>
      </c>
      <c r="DK45" s="258" t="s">
        <v>153</v>
      </c>
      <c r="DL45" s="259" t="s">
        <v>153</v>
      </c>
      <c r="DM45" s="260" t="s">
        <v>153</v>
      </c>
      <c r="DN45" s="261" t="s">
        <v>153</v>
      </c>
      <c r="DO45" s="262" t="s">
        <v>153</v>
      </c>
      <c r="DP45" s="263" t="s">
        <v>153</v>
      </c>
      <c r="DQ45" s="264" t="s">
        <v>153</v>
      </c>
      <c r="DR45" s="265" t="s">
        <v>153</v>
      </c>
      <c r="DS45" s="266" t="s">
        <v>153</v>
      </c>
      <c r="DT45" s="267" t="s">
        <v>153</v>
      </c>
      <c r="DU45" s="268" t="s">
        <v>153</v>
      </c>
      <c r="DV45" s="269" t="s">
        <v>153</v>
      </c>
      <c r="DW45" s="270" t="s">
        <v>153</v>
      </c>
      <c r="DX45" s="271" t="s">
        <v>153</v>
      </c>
      <c r="DY45" s="272" t="s">
        <v>153</v>
      </c>
      <c r="DZ45" s="273" t="s">
        <v>191</v>
      </c>
      <c r="EA45" s="274">
        <v>44402</v>
      </c>
      <c r="EB45" s="275">
        <v>48245</v>
      </c>
      <c r="EC45" s="276">
        <v>43677</v>
      </c>
      <c r="ED45" s="277" t="s">
        <v>226</v>
      </c>
      <c r="EE45" s="279" t="str">
        <f>HYPERLINK("https://my.pitchbook.com?c=24761-35", "View company online")</f>
        <v>View company online</v>
      </c>
    </row>
    <row r="46" spans="1:135" x14ac:dyDescent="0.45">
      <c r="A46" s="10" t="s">
        <v>1082</v>
      </c>
      <c r="B46" s="11" t="s">
        <v>1083</v>
      </c>
      <c r="C46" s="12" t="s">
        <v>153</v>
      </c>
      <c r="D46" s="13" t="s">
        <v>153</v>
      </c>
      <c r="E46" s="14" t="s">
        <v>1084</v>
      </c>
      <c r="F46" s="15" t="s">
        <v>153</v>
      </c>
      <c r="G46" s="16" t="s">
        <v>1085</v>
      </c>
      <c r="H46" s="17" t="s">
        <v>153</v>
      </c>
      <c r="I46" s="18" t="s">
        <v>1082</v>
      </c>
      <c r="J46" s="19" t="s">
        <v>1086</v>
      </c>
      <c r="K46" s="20" t="s">
        <v>792</v>
      </c>
      <c r="L46" s="21" t="s">
        <v>841</v>
      </c>
      <c r="M46" s="22" t="s">
        <v>842</v>
      </c>
      <c r="N46" s="23" t="s">
        <v>1087</v>
      </c>
      <c r="O46" s="24" t="s">
        <v>1088</v>
      </c>
      <c r="P46" s="25" t="s">
        <v>1089</v>
      </c>
      <c r="Q46" s="26" t="s">
        <v>204</v>
      </c>
      <c r="R46" s="27" t="s">
        <v>153</v>
      </c>
      <c r="S46" s="28" t="s">
        <v>163</v>
      </c>
      <c r="T46" s="29" t="s">
        <v>205</v>
      </c>
      <c r="U46" s="30" t="s">
        <v>237</v>
      </c>
      <c r="V46" s="31" t="s">
        <v>1090</v>
      </c>
      <c r="W46" s="32">
        <v>43450</v>
      </c>
      <c r="X46" s="33" t="s">
        <v>1091</v>
      </c>
      <c r="Y46" s="34" t="s">
        <v>153</v>
      </c>
      <c r="Z46" s="35" t="s">
        <v>153</v>
      </c>
      <c r="AA46" s="36">
        <v>1889</v>
      </c>
      <c r="AB46" s="37" t="s">
        <v>153</v>
      </c>
      <c r="AC46" s="38" t="s">
        <v>153</v>
      </c>
      <c r="AD46" s="39" t="s">
        <v>153</v>
      </c>
      <c r="AE46" s="40" t="s">
        <v>153</v>
      </c>
      <c r="AF46" s="41" t="s">
        <v>153</v>
      </c>
      <c r="AG46" s="42" t="s">
        <v>153</v>
      </c>
      <c r="AH46" s="43" t="s">
        <v>153</v>
      </c>
      <c r="AI46" s="44" t="s">
        <v>153</v>
      </c>
      <c r="AJ46" s="45" t="s">
        <v>153</v>
      </c>
      <c r="AK46" s="46" t="s">
        <v>153</v>
      </c>
      <c r="AL46" s="47" t="s">
        <v>153</v>
      </c>
      <c r="AM46" s="48" t="s">
        <v>153</v>
      </c>
      <c r="AN46" s="49" t="s">
        <v>153</v>
      </c>
      <c r="AO46" s="50" t="s">
        <v>153</v>
      </c>
      <c r="AP46" s="51" t="s">
        <v>153</v>
      </c>
      <c r="AQ46" s="52" t="s">
        <v>153</v>
      </c>
      <c r="AR46" s="53" t="s">
        <v>153</v>
      </c>
      <c r="AS46" s="54" t="s">
        <v>153</v>
      </c>
      <c r="AT46" s="55" t="s">
        <v>780</v>
      </c>
      <c r="AU46" s="56" t="s">
        <v>1092</v>
      </c>
      <c r="AV46" s="57" t="s">
        <v>153</v>
      </c>
      <c r="AW46" s="58" t="s">
        <v>782</v>
      </c>
      <c r="AX46" s="59" t="s">
        <v>783</v>
      </c>
      <c r="AY46" s="60" t="s">
        <v>1093</v>
      </c>
      <c r="AZ46" s="61" t="s">
        <v>215</v>
      </c>
      <c r="BA46" s="62" t="s">
        <v>153</v>
      </c>
      <c r="BB46" s="63" t="s">
        <v>153</v>
      </c>
      <c r="BC46" s="64" t="s">
        <v>153</v>
      </c>
      <c r="BD46" s="65" t="s">
        <v>216</v>
      </c>
      <c r="BE46" s="66" t="s">
        <v>217</v>
      </c>
      <c r="BF46" s="67" t="s">
        <v>1094</v>
      </c>
      <c r="BG46" s="68" t="s">
        <v>153</v>
      </c>
      <c r="BH46" s="69" t="s">
        <v>153</v>
      </c>
      <c r="BI46" s="70" t="s">
        <v>1095</v>
      </c>
      <c r="BJ46" s="71" t="s">
        <v>153</v>
      </c>
      <c r="BK46" s="72" t="s">
        <v>153</v>
      </c>
      <c r="BL46" s="73" t="s">
        <v>153</v>
      </c>
      <c r="BM46" s="74" t="s">
        <v>153</v>
      </c>
      <c r="BN46" s="75" t="s">
        <v>153</v>
      </c>
      <c r="BO46" s="76" t="s">
        <v>153</v>
      </c>
      <c r="BP46" s="77" t="s">
        <v>1096</v>
      </c>
      <c r="BQ46" s="78">
        <v>34949</v>
      </c>
      <c r="BR46" s="79" t="s">
        <v>153</v>
      </c>
      <c r="BS46" s="80" t="s">
        <v>153</v>
      </c>
      <c r="BT46" s="81" t="s">
        <v>153</v>
      </c>
      <c r="BU46" s="82" t="s">
        <v>153</v>
      </c>
      <c r="BV46" s="83" t="s">
        <v>251</v>
      </c>
      <c r="BW46" s="84" t="s">
        <v>153</v>
      </c>
      <c r="BX46" s="85" t="s">
        <v>153</v>
      </c>
      <c r="BY46" s="86" t="s">
        <v>252</v>
      </c>
      <c r="BZ46" s="87" t="s">
        <v>153</v>
      </c>
      <c r="CA46" s="88" t="s">
        <v>190</v>
      </c>
      <c r="CB46" s="89">
        <v>36130</v>
      </c>
      <c r="CC46" s="90">
        <v>48200</v>
      </c>
      <c r="CD46" s="91" t="s">
        <v>186</v>
      </c>
      <c r="CE46" s="92">
        <v>48200</v>
      </c>
      <c r="CF46" s="93" t="s">
        <v>186</v>
      </c>
      <c r="CG46" s="94" t="s">
        <v>226</v>
      </c>
      <c r="CH46" s="95" t="s">
        <v>153</v>
      </c>
      <c r="CI46" s="96" t="s">
        <v>153</v>
      </c>
      <c r="CJ46" s="97" t="s">
        <v>225</v>
      </c>
      <c r="CK46" s="98">
        <v>36130</v>
      </c>
      <c r="CL46" s="99" t="s">
        <v>153</v>
      </c>
      <c r="CM46" s="100" t="s">
        <v>153</v>
      </c>
      <c r="CN46" s="101" t="s">
        <v>190</v>
      </c>
      <c r="CO46" s="102" t="s">
        <v>153</v>
      </c>
      <c r="CP46" s="103" t="s">
        <v>153</v>
      </c>
      <c r="CQ46" s="104" t="s">
        <v>153</v>
      </c>
      <c r="CR46" s="105" t="s">
        <v>153</v>
      </c>
      <c r="CS46" s="106" t="s">
        <v>153</v>
      </c>
      <c r="CT46" s="107" t="s">
        <v>153</v>
      </c>
      <c r="CU46" s="108" t="s">
        <v>153</v>
      </c>
      <c r="CV46" s="109" t="s">
        <v>153</v>
      </c>
      <c r="CW46" s="110" t="s">
        <v>153</v>
      </c>
      <c r="CX46" s="111" t="s">
        <v>153</v>
      </c>
      <c r="CY46" s="112" t="s">
        <v>153</v>
      </c>
      <c r="CZ46" s="113" t="s">
        <v>153</v>
      </c>
      <c r="DA46" s="114" t="s">
        <v>153</v>
      </c>
      <c r="DB46" s="115" t="s">
        <v>153</v>
      </c>
      <c r="DC46" s="116" t="s">
        <v>153</v>
      </c>
      <c r="DD46" s="117" t="s">
        <v>153</v>
      </c>
      <c r="DE46" s="118" t="s">
        <v>153</v>
      </c>
      <c r="DF46" s="119" t="s">
        <v>153</v>
      </c>
      <c r="DG46" s="120" t="s">
        <v>153</v>
      </c>
      <c r="DH46" s="121" t="s">
        <v>153</v>
      </c>
      <c r="DI46" s="122" t="s">
        <v>153</v>
      </c>
      <c r="DJ46" s="123" t="s">
        <v>153</v>
      </c>
      <c r="DK46" s="124" t="s">
        <v>153</v>
      </c>
      <c r="DL46" s="125" t="s">
        <v>153</v>
      </c>
      <c r="DM46" s="126" t="s">
        <v>153</v>
      </c>
      <c r="DN46" s="127" t="s">
        <v>153</v>
      </c>
      <c r="DO46" s="128" t="s">
        <v>153</v>
      </c>
      <c r="DP46" s="129" t="s">
        <v>153</v>
      </c>
      <c r="DQ46" s="130" t="s">
        <v>153</v>
      </c>
      <c r="DR46" s="131" t="s">
        <v>153</v>
      </c>
      <c r="DS46" s="132" t="s">
        <v>153</v>
      </c>
      <c r="DT46" s="133" t="s">
        <v>153</v>
      </c>
      <c r="DU46" s="134" t="s">
        <v>153</v>
      </c>
      <c r="DV46" s="135" t="s">
        <v>153</v>
      </c>
      <c r="DW46" s="136" t="s">
        <v>153</v>
      </c>
      <c r="DX46" s="137" t="s">
        <v>153</v>
      </c>
      <c r="DY46" s="138" t="s">
        <v>153</v>
      </c>
      <c r="DZ46" s="139" t="s">
        <v>191</v>
      </c>
      <c r="EA46" s="140">
        <v>44348</v>
      </c>
      <c r="EB46" s="141">
        <v>48200</v>
      </c>
      <c r="EC46" s="142">
        <v>36130</v>
      </c>
      <c r="ED46" s="143" t="s">
        <v>226</v>
      </c>
      <c r="EE46" s="278" t="str">
        <f>HYPERLINK("https://my.pitchbook.com?c=149969-71", "View company online")</f>
        <v>View company online</v>
      </c>
    </row>
    <row r="47" spans="1:135" x14ac:dyDescent="0.45">
      <c r="A47" s="144" t="s">
        <v>1097</v>
      </c>
      <c r="B47" s="145" t="s">
        <v>1098</v>
      </c>
      <c r="C47" s="146" t="s">
        <v>153</v>
      </c>
      <c r="D47" s="147" t="s">
        <v>153</v>
      </c>
      <c r="E47" s="148" t="s">
        <v>1099</v>
      </c>
      <c r="F47" s="149" t="s">
        <v>153</v>
      </c>
      <c r="G47" s="150" t="s">
        <v>1100</v>
      </c>
      <c r="H47" s="151" t="s">
        <v>153</v>
      </c>
      <c r="I47" s="152" t="s">
        <v>1097</v>
      </c>
      <c r="J47" s="153" t="s">
        <v>1101</v>
      </c>
      <c r="K47" s="154" t="s">
        <v>232</v>
      </c>
      <c r="L47" s="155" t="s">
        <v>362</v>
      </c>
      <c r="M47" s="156" t="s">
        <v>362</v>
      </c>
      <c r="N47" s="157" t="s">
        <v>1102</v>
      </c>
      <c r="O47" s="158" t="s">
        <v>153</v>
      </c>
      <c r="P47" s="159" t="s">
        <v>1103</v>
      </c>
      <c r="Q47" s="160" t="s">
        <v>204</v>
      </c>
      <c r="R47" s="161" t="s">
        <v>153</v>
      </c>
      <c r="S47" s="162" t="s">
        <v>163</v>
      </c>
      <c r="T47" s="163" t="s">
        <v>205</v>
      </c>
      <c r="U47" s="164" t="s">
        <v>237</v>
      </c>
      <c r="V47" s="165" t="s">
        <v>1104</v>
      </c>
      <c r="W47" s="166">
        <v>47500</v>
      </c>
      <c r="X47" s="167" t="s">
        <v>1105</v>
      </c>
      <c r="Y47" s="168" t="s">
        <v>153</v>
      </c>
      <c r="Z47" s="169" t="s">
        <v>153</v>
      </c>
      <c r="AA47" s="170" t="s">
        <v>153</v>
      </c>
      <c r="AB47" s="171" t="s">
        <v>1022</v>
      </c>
      <c r="AC47" s="172" t="s">
        <v>153</v>
      </c>
      <c r="AD47" s="173" t="s">
        <v>153</v>
      </c>
      <c r="AE47" s="174" t="s">
        <v>153</v>
      </c>
      <c r="AF47" s="175" t="s">
        <v>153</v>
      </c>
      <c r="AG47" s="176" t="s">
        <v>153</v>
      </c>
      <c r="AH47" s="177" t="s">
        <v>153</v>
      </c>
      <c r="AI47" s="178" t="s">
        <v>153</v>
      </c>
      <c r="AJ47" s="179" t="s">
        <v>153</v>
      </c>
      <c r="AK47" s="180" t="s">
        <v>153</v>
      </c>
      <c r="AL47" s="181" t="s">
        <v>153</v>
      </c>
      <c r="AM47" s="182" t="s">
        <v>153</v>
      </c>
      <c r="AN47" s="183" t="s">
        <v>798</v>
      </c>
      <c r="AO47" s="184" t="s">
        <v>153</v>
      </c>
      <c r="AP47" s="185" t="s">
        <v>153</v>
      </c>
      <c r="AQ47" s="186" t="s">
        <v>153</v>
      </c>
      <c r="AR47" s="187" t="s">
        <v>153</v>
      </c>
      <c r="AS47" s="188" t="s">
        <v>153</v>
      </c>
      <c r="AT47" s="189" t="s">
        <v>826</v>
      </c>
      <c r="AU47" s="190" t="s">
        <v>1106</v>
      </c>
      <c r="AV47" s="191" t="s">
        <v>1107</v>
      </c>
      <c r="AW47" s="192" t="s">
        <v>828</v>
      </c>
      <c r="AX47" s="193" t="s">
        <v>385</v>
      </c>
      <c r="AY47" s="194" t="s">
        <v>1108</v>
      </c>
      <c r="AZ47" s="195" t="s">
        <v>215</v>
      </c>
      <c r="BA47" s="196" t="s">
        <v>153</v>
      </c>
      <c r="BB47" s="197" t="s">
        <v>153</v>
      </c>
      <c r="BC47" s="198" t="s">
        <v>153</v>
      </c>
      <c r="BD47" s="199" t="s">
        <v>216</v>
      </c>
      <c r="BE47" s="200" t="s">
        <v>217</v>
      </c>
      <c r="BF47" s="201" t="s">
        <v>1109</v>
      </c>
      <c r="BG47" s="202" t="s">
        <v>153</v>
      </c>
      <c r="BH47" s="203" t="s">
        <v>153</v>
      </c>
      <c r="BI47" s="204" t="s">
        <v>1022</v>
      </c>
      <c r="BJ47" s="205" t="s">
        <v>153</v>
      </c>
      <c r="BK47" s="206" t="s">
        <v>153</v>
      </c>
      <c r="BL47" s="207" t="s">
        <v>153</v>
      </c>
      <c r="BM47" s="208" t="s">
        <v>153</v>
      </c>
      <c r="BN47" s="209" t="s">
        <v>153</v>
      </c>
      <c r="BO47" s="210" t="s">
        <v>1110</v>
      </c>
      <c r="BP47" s="211" t="s">
        <v>1111</v>
      </c>
      <c r="BQ47" s="212">
        <v>36951</v>
      </c>
      <c r="BR47" s="213" t="s">
        <v>153</v>
      </c>
      <c r="BS47" s="214" t="s">
        <v>153</v>
      </c>
      <c r="BT47" s="215" t="s">
        <v>153</v>
      </c>
      <c r="BU47" s="216" t="s">
        <v>153</v>
      </c>
      <c r="BV47" s="217" t="s">
        <v>251</v>
      </c>
      <c r="BW47" s="218" t="s">
        <v>153</v>
      </c>
      <c r="BX47" s="219" t="s">
        <v>153</v>
      </c>
      <c r="BY47" s="220" t="s">
        <v>252</v>
      </c>
      <c r="BZ47" s="221" t="s">
        <v>153</v>
      </c>
      <c r="CA47" s="222" t="s">
        <v>190</v>
      </c>
      <c r="CB47" s="223">
        <v>38078</v>
      </c>
      <c r="CC47" s="224">
        <v>48100</v>
      </c>
      <c r="CD47" s="225" t="s">
        <v>153</v>
      </c>
      <c r="CE47" s="226">
        <v>48100</v>
      </c>
      <c r="CF47" s="227" t="s">
        <v>153</v>
      </c>
      <c r="CG47" s="228" t="s">
        <v>226</v>
      </c>
      <c r="CH47" s="229" t="s">
        <v>153</v>
      </c>
      <c r="CI47" s="230" t="s">
        <v>153</v>
      </c>
      <c r="CJ47" s="231" t="s">
        <v>225</v>
      </c>
      <c r="CK47" s="232">
        <v>38078</v>
      </c>
      <c r="CL47" s="233" t="s">
        <v>153</v>
      </c>
      <c r="CM47" s="234" t="s">
        <v>153</v>
      </c>
      <c r="CN47" s="235" t="s">
        <v>190</v>
      </c>
      <c r="CO47" s="236" t="s">
        <v>153</v>
      </c>
      <c r="CP47" s="237" t="s">
        <v>153</v>
      </c>
      <c r="CQ47" s="238" t="s">
        <v>153</v>
      </c>
      <c r="CR47" s="239" t="s">
        <v>153</v>
      </c>
      <c r="CS47" s="240" t="s">
        <v>153</v>
      </c>
      <c r="CT47" s="241" t="s">
        <v>153</v>
      </c>
      <c r="CU47" s="242" t="s">
        <v>153</v>
      </c>
      <c r="CV47" s="243" t="s">
        <v>153</v>
      </c>
      <c r="CW47" s="244" t="s">
        <v>153</v>
      </c>
      <c r="CX47" s="245" t="s">
        <v>153</v>
      </c>
      <c r="CY47" s="246" t="s">
        <v>153</v>
      </c>
      <c r="CZ47" s="247" t="s">
        <v>153</v>
      </c>
      <c r="DA47" s="248" t="s">
        <v>153</v>
      </c>
      <c r="DB47" s="249" t="s">
        <v>153</v>
      </c>
      <c r="DC47" s="250" t="s">
        <v>153</v>
      </c>
      <c r="DD47" s="251" t="s">
        <v>153</v>
      </c>
      <c r="DE47" s="252" t="s">
        <v>153</v>
      </c>
      <c r="DF47" s="253" t="s">
        <v>153</v>
      </c>
      <c r="DG47" s="254" t="s">
        <v>153</v>
      </c>
      <c r="DH47" s="255" t="s">
        <v>153</v>
      </c>
      <c r="DI47" s="256" t="s">
        <v>153</v>
      </c>
      <c r="DJ47" s="257" t="s">
        <v>153</v>
      </c>
      <c r="DK47" s="258" t="s">
        <v>153</v>
      </c>
      <c r="DL47" s="259" t="s">
        <v>153</v>
      </c>
      <c r="DM47" s="260" t="s">
        <v>153</v>
      </c>
      <c r="DN47" s="261" t="s">
        <v>153</v>
      </c>
      <c r="DO47" s="262" t="s">
        <v>153</v>
      </c>
      <c r="DP47" s="263" t="s">
        <v>153</v>
      </c>
      <c r="DQ47" s="264" t="s">
        <v>153</v>
      </c>
      <c r="DR47" s="265" t="s">
        <v>153</v>
      </c>
      <c r="DS47" s="266" t="s">
        <v>153</v>
      </c>
      <c r="DT47" s="267" t="s">
        <v>153</v>
      </c>
      <c r="DU47" s="268" t="s">
        <v>153</v>
      </c>
      <c r="DV47" s="269" t="s">
        <v>153</v>
      </c>
      <c r="DW47" s="270" t="s">
        <v>153</v>
      </c>
      <c r="DX47" s="271" t="s">
        <v>153</v>
      </c>
      <c r="DY47" s="272" t="s">
        <v>153</v>
      </c>
      <c r="DZ47" s="273" t="s">
        <v>191</v>
      </c>
      <c r="EA47" s="274">
        <v>44147</v>
      </c>
      <c r="EB47" s="275">
        <v>48100</v>
      </c>
      <c r="EC47" s="276">
        <v>38078</v>
      </c>
      <c r="ED47" s="277" t="s">
        <v>226</v>
      </c>
      <c r="EE47" s="279" t="str">
        <f>HYPERLINK("https://my.pitchbook.com?c=89512-75", "View company online")</f>
        <v>View company online</v>
      </c>
    </row>
    <row r="48" spans="1:135" x14ac:dyDescent="0.45">
      <c r="A48" s="10" t="s">
        <v>1112</v>
      </c>
      <c r="B48" s="11" t="s">
        <v>1113</v>
      </c>
      <c r="C48" s="12" t="s">
        <v>153</v>
      </c>
      <c r="D48" s="13" t="s">
        <v>153</v>
      </c>
      <c r="E48" s="14" t="s">
        <v>153</v>
      </c>
      <c r="F48" s="15" t="s">
        <v>1114</v>
      </c>
      <c r="G48" s="16" t="s">
        <v>1115</v>
      </c>
      <c r="H48" s="17" t="s">
        <v>153</v>
      </c>
      <c r="I48" s="18" t="s">
        <v>1112</v>
      </c>
      <c r="J48" s="19" t="s">
        <v>1116</v>
      </c>
      <c r="K48" s="20" t="s">
        <v>792</v>
      </c>
      <c r="L48" s="21" t="s">
        <v>793</v>
      </c>
      <c r="M48" s="22" t="s">
        <v>1117</v>
      </c>
      <c r="N48" s="23" t="s">
        <v>1118</v>
      </c>
      <c r="O48" s="24" t="s">
        <v>1119</v>
      </c>
      <c r="P48" s="25" t="s">
        <v>1120</v>
      </c>
      <c r="Q48" s="26" t="s">
        <v>204</v>
      </c>
      <c r="R48" s="27" t="s">
        <v>153</v>
      </c>
      <c r="S48" s="28" t="s">
        <v>290</v>
      </c>
      <c r="T48" s="29" t="s">
        <v>205</v>
      </c>
      <c r="U48" s="30" t="s">
        <v>237</v>
      </c>
      <c r="V48" s="31" t="s">
        <v>153</v>
      </c>
      <c r="W48" s="32">
        <v>11075</v>
      </c>
      <c r="X48" s="33" t="s">
        <v>1121</v>
      </c>
      <c r="Y48" s="34" t="s">
        <v>153</v>
      </c>
      <c r="Z48" s="35" t="s">
        <v>153</v>
      </c>
      <c r="AA48" s="36">
        <v>1992</v>
      </c>
      <c r="AB48" s="37" t="s">
        <v>1122</v>
      </c>
      <c r="AC48" s="38" t="s">
        <v>153</v>
      </c>
      <c r="AD48" s="39" t="s">
        <v>153</v>
      </c>
      <c r="AE48" s="40" t="s">
        <v>153</v>
      </c>
      <c r="AF48" s="41" t="s">
        <v>153</v>
      </c>
      <c r="AG48" s="42" t="s">
        <v>153</v>
      </c>
      <c r="AH48" s="43" t="s">
        <v>153</v>
      </c>
      <c r="AI48" s="44" t="s">
        <v>153</v>
      </c>
      <c r="AJ48" s="45" t="s">
        <v>153</v>
      </c>
      <c r="AK48" s="46" t="s">
        <v>153</v>
      </c>
      <c r="AL48" s="47" t="s">
        <v>153</v>
      </c>
      <c r="AM48" s="48" t="s">
        <v>153</v>
      </c>
      <c r="AN48" s="49" t="s">
        <v>1123</v>
      </c>
      <c r="AO48" s="50" t="s">
        <v>153</v>
      </c>
      <c r="AP48" s="51" t="s">
        <v>153</v>
      </c>
      <c r="AQ48" s="52" t="s">
        <v>153</v>
      </c>
      <c r="AR48" s="53" t="s">
        <v>153</v>
      </c>
      <c r="AS48" s="54" t="s">
        <v>153</v>
      </c>
      <c r="AT48" s="55" t="s">
        <v>1124</v>
      </c>
      <c r="AU48" s="56" t="s">
        <v>1125</v>
      </c>
      <c r="AV48" s="57" t="s">
        <v>1126</v>
      </c>
      <c r="AW48" s="58" t="s">
        <v>1127</v>
      </c>
      <c r="AX48" s="59" t="s">
        <v>1128</v>
      </c>
      <c r="AY48" s="60" t="s">
        <v>1129</v>
      </c>
      <c r="AZ48" s="61" t="s">
        <v>215</v>
      </c>
      <c r="BA48" s="62" t="s">
        <v>153</v>
      </c>
      <c r="BB48" s="63" t="s">
        <v>153</v>
      </c>
      <c r="BC48" s="64" t="s">
        <v>153</v>
      </c>
      <c r="BD48" s="65" t="s">
        <v>216</v>
      </c>
      <c r="BE48" s="66" t="s">
        <v>217</v>
      </c>
      <c r="BF48" s="67" t="s">
        <v>1130</v>
      </c>
      <c r="BG48" s="68" t="s">
        <v>153</v>
      </c>
      <c r="BH48" s="69" t="s">
        <v>153</v>
      </c>
      <c r="BI48" s="70" t="s">
        <v>1122</v>
      </c>
      <c r="BJ48" s="71" t="s">
        <v>153</v>
      </c>
      <c r="BK48" s="72" t="s">
        <v>153</v>
      </c>
      <c r="BL48" s="73" t="s">
        <v>153</v>
      </c>
      <c r="BM48" s="74" t="s">
        <v>153</v>
      </c>
      <c r="BN48" s="75" t="s">
        <v>153</v>
      </c>
      <c r="BO48" s="76" t="s">
        <v>1131</v>
      </c>
      <c r="BP48" s="77" t="s">
        <v>1132</v>
      </c>
      <c r="BQ48" s="78">
        <v>41969</v>
      </c>
      <c r="BR48" s="79">
        <v>47900</v>
      </c>
      <c r="BS48" s="80" t="s">
        <v>186</v>
      </c>
      <c r="BT48" s="81">
        <v>55057.47</v>
      </c>
      <c r="BU48" s="82" t="s">
        <v>186</v>
      </c>
      <c r="BV48" s="83" t="s">
        <v>226</v>
      </c>
      <c r="BW48" s="84" t="s">
        <v>153</v>
      </c>
      <c r="BX48" s="85" t="s">
        <v>153</v>
      </c>
      <c r="BY48" s="86" t="s">
        <v>225</v>
      </c>
      <c r="BZ48" s="87" t="s">
        <v>153</v>
      </c>
      <c r="CA48" s="88" t="s">
        <v>190</v>
      </c>
      <c r="CB48" s="89">
        <v>41969</v>
      </c>
      <c r="CC48" s="90">
        <v>47900</v>
      </c>
      <c r="CD48" s="91" t="s">
        <v>186</v>
      </c>
      <c r="CE48" s="92">
        <v>55057.47</v>
      </c>
      <c r="CF48" s="93" t="s">
        <v>186</v>
      </c>
      <c r="CG48" s="94" t="s">
        <v>226</v>
      </c>
      <c r="CH48" s="95" t="s">
        <v>153</v>
      </c>
      <c r="CI48" s="96" t="s">
        <v>153</v>
      </c>
      <c r="CJ48" s="97" t="s">
        <v>225</v>
      </c>
      <c r="CK48" s="98">
        <v>41969</v>
      </c>
      <c r="CL48" s="99" t="s">
        <v>153</v>
      </c>
      <c r="CM48" s="100" t="s">
        <v>153</v>
      </c>
      <c r="CN48" s="101" t="s">
        <v>190</v>
      </c>
      <c r="CO48" s="102" t="s">
        <v>153</v>
      </c>
      <c r="CP48" s="103" t="s">
        <v>153</v>
      </c>
      <c r="CQ48" s="104" t="s">
        <v>153</v>
      </c>
      <c r="CR48" s="105" t="s">
        <v>153</v>
      </c>
      <c r="CS48" s="106" t="s">
        <v>153</v>
      </c>
      <c r="CT48" s="107" t="s">
        <v>153</v>
      </c>
      <c r="CU48" s="108" t="s">
        <v>153</v>
      </c>
      <c r="CV48" s="109" t="s">
        <v>153</v>
      </c>
      <c r="CW48" s="110" t="s">
        <v>153</v>
      </c>
      <c r="CX48" s="111" t="s">
        <v>153</v>
      </c>
      <c r="CY48" s="112" t="s">
        <v>153</v>
      </c>
      <c r="CZ48" s="113" t="s">
        <v>153</v>
      </c>
      <c r="DA48" s="114" t="s">
        <v>153</v>
      </c>
      <c r="DB48" s="115" t="s">
        <v>153</v>
      </c>
      <c r="DC48" s="116" t="s">
        <v>153</v>
      </c>
      <c r="DD48" s="117" t="s">
        <v>153</v>
      </c>
      <c r="DE48" s="118" t="s">
        <v>153</v>
      </c>
      <c r="DF48" s="119" t="s">
        <v>153</v>
      </c>
      <c r="DG48" s="120" t="s">
        <v>153</v>
      </c>
      <c r="DH48" s="121" t="s">
        <v>153</v>
      </c>
      <c r="DI48" s="122" t="s">
        <v>153</v>
      </c>
      <c r="DJ48" s="123" t="s">
        <v>153</v>
      </c>
      <c r="DK48" s="124" t="s">
        <v>153</v>
      </c>
      <c r="DL48" s="125" t="s">
        <v>153</v>
      </c>
      <c r="DM48" s="126" t="s">
        <v>153</v>
      </c>
      <c r="DN48" s="127" t="s">
        <v>153</v>
      </c>
      <c r="DO48" s="128" t="s">
        <v>153</v>
      </c>
      <c r="DP48" s="129" t="s">
        <v>153</v>
      </c>
      <c r="DQ48" s="130" t="s">
        <v>153</v>
      </c>
      <c r="DR48" s="131" t="s">
        <v>153</v>
      </c>
      <c r="DS48" s="132" t="s">
        <v>153</v>
      </c>
      <c r="DT48" s="133" t="s">
        <v>153</v>
      </c>
      <c r="DU48" s="134" t="s">
        <v>153</v>
      </c>
      <c r="DV48" s="135" t="s">
        <v>153</v>
      </c>
      <c r="DW48" s="136" t="s">
        <v>153</v>
      </c>
      <c r="DX48" s="137" t="s">
        <v>153</v>
      </c>
      <c r="DY48" s="138" t="s">
        <v>153</v>
      </c>
      <c r="DZ48" s="139" t="s">
        <v>191</v>
      </c>
      <c r="EA48" s="140">
        <v>44348</v>
      </c>
      <c r="EB48" s="141">
        <v>55057.47</v>
      </c>
      <c r="EC48" s="142">
        <v>41969</v>
      </c>
      <c r="ED48" s="143" t="s">
        <v>226</v>
      </c>
      <c r="EE48" s="278" t="str">
        <f>HYPERLINK("https://my.pitchbook.com?c=41194-72", "View company online")</f>
        <v>View company online</v>
      </c>
    </row>
    <row r="49" spans="1:135" x14ac:dyDescent="0.45">
      <c r="A49" s="144" t="s">
        <v>1133</v>
      </c>
      <c r="B49" s="145" t="s">
        <v>1134</v>
      </c>
      <c r="C49" s="146" t="s">
        <v>153</v>
      </c>
      <c r="D49" s="147" t="s">
        <v>153</v>
      </c>
      <c r="E49" s="148" t="s">
        <v>153</v>
      </c>
      <c r="F49" s="149" t="s">
        <v>153</v>
      </c>
      <c r="G49" s="150" t="s">
        <v>1135</v>
      </c>
      <c r="H49" s="151" t="s">
        <v>1136</v>
      </c>
      <c r="I49" s="152" t="s">
        <v>1133</v>
      </c>
      <c r="J49" s="153" t="s">
        <v>1137</v>
      </c>
      <c r="K49" s="154" t="s">
        <v>257</v>
      </c>
      <c r="L49" s="155" t="s">
        <v>258</v>
      </c>
      <c r="M49" s="156" t="s">
        <v>448</v>
      </c>
      <c r="N49" s="157" t="s">
        <v>1138</v>
      </c>
      <c r="O49" s="158" t="s">
        <v>1139</v>
      </c>
      <c r="P49" s="159" t="s">
        <v>1140</v>
      </c>
      <c r="Q49" s="160" t="s">
        <v>289</v>
      </c>
      <c r="R49" s="161">
        <v>45.2</v>
      </c>
      <c r="S49" s="162" t="s">
        <v>163</v>
      </c>
      <c r="T49" s="163" t="s">
        <v>164</v>
      </c>
      <c r="U49" s="164" t="s">
        <v>941</v>
      </c>
      <c r="V49" s="165" t="s">
        <v>1141</v>
      </c>
      <c r="W49" s="166">
        <v>15000</v>
      </c>
      <c r="X49" s="167" t="s">
        <v>1142</v>
      </c>
      <c r="Y49" s="168" t="s">
        <v>153</v>
      </c>
      <c r="Z49" s="169" t="s">
        <v>153</v>
      </c>
      <c r="AA49" s="170">
        <v>1976</v>
      </c>
      <c r="AB49" s="171" t="s">
        <v>1143</v>
      </c>
      <c r="AC49" s="172" t="s">
        <v>153</v>
      </c>
      <c r="AD49" s="173" t="s">
        <v>622</v>
      </c>
      <c r="AE49" s="174" t="s">
        <v>153</v>
      </c>
      <c r="AF49" s="175" t="s">
        <v>153</v>
      </c>
      <c r="AG49" s="176" t="s">
        <v>153</v>
      </c>
      <c r="AH49" s="177" t="s">
        <v>153</v>
      </c>
      <c r="AI49" s="178" t="s">
        <v>153</v>
      </c>
      <c r="AJ49" s="179" t="s">
        <v>153</v>
      </c>
      <c r="AK49" s="180" t="s">
        <v>153</v>
      </c>
      <c r="AL49" s="181" t="s">
        <v>153</v>
      </c>
      <c r="AM49" s="182" t="s">
        <v>153</v>
      </c>
      <c r="AN49" s="183" t="s">
        <v>1144</v>
      </c>
      <c r="AO49" s="184" t="s">
        <v>1145</v>
      </c>
      <c r="AP49" s="185" t="s">
        <v>1146</v>
      </c>
      <c r="AQ49" s="186" t="s">
        <v>512</v>
      </c>
      <c r="AR49" s="187" t="s">
        <v>1147</v>
      </c>
      <c r="AS49" s="188" t="s">
        <v>1148</v>
      </c>
      <c r="AT49" s="189" t="s">
        <v>1149</v>
      </c>
      <c r="AU49" s="190" t="s">
        <v>1150</v>
      </c>
      <c r="AV49" s="191" t="s">
        <v>153</v>
      </c>
      <c r="AW49" s="192" t="s">
        <v>1151</v>
      </c>
      <c r="AX49" s="193" t="s">
        <v>308</v>
      </c>
      <c r="AY49" s="194" t="s">
        <v>1152</v>
      </c>
      <c r="AZ49" s="195" t="s">
        <v>215</v>
      </c>
      <c r="BA49" s="196" t="s">
        <v>1148</v>
      </c>
      <c r="BB49" s="197" t="s">
        <v>1153</v>
      </c>
      <c r="BC49" s="198" t="s">
        <v>153</v>
      </c>
      <c r="BD49" s="199" t="s">
        <v>216</v>
      </c>
      <c r="BE49" s="200" t="s">
        <v>217</v>
      </c>
      <c r="BF49" s="201" t="s">
        <v>1154</v>
      </c>
      <c r="BG49" s="202" t="s">
        <v>153</v>
      </c>
      <c r="BH49" s="203" t="s">
        <v>153</v>
      </c>
      <c r="BI49" s="204" t="s">
        <v>1143</v>
      </c>
      <c r="BJ49" s="205" t="s">
        <v>1155</v>
      </c>
      <c r="BK49" s="206" t="s">
        <v>153</v>
      </c>
      <c r="BL49" s="207" t="s">
        <v>153</v>
      </c>
      <c r="BM49" s="208" t="s">
        <v>1156</v>
      </c>
      <c r="BN49" s="209" t="s">
        <v>153</v>
      </c>
      <c r="BO49" s="210" t="s">
        <v>1157</v>
      </c>
      <c r="BP49" s="211" t="s">
        <v>1158</v>
      </c>
      <c r="BQ49" s="212">
        <v>27760</v>
      </c>
      <c r="BR49" s="213">
        <v>0.2</v>
      </c>
      <c r="BS49" s="214" t="s">
        <v>186</v>
      </c>
      <c r="BT49" s="215" t="s">
        <v>153</v>
      </c>
      <c r="BU49" s="216" t="s">
        <v>153</v>
      </c>
      <c r="BV49" s="217" t="s">
        <v>471</v>
      </c>
      <c r="BW49" s="218" t="s">
        <v>153</v>
      </c>
      <c r="BX49" s="219" t="s">
        <v>153</v>
      </c>
      <c r="BY49" s="220" t="s">
        <v>472</v>
      </c>
      <c r="BZ49" s="221" t="s">
        <v>153</v>
      </c>
      <c r="CA49" s="222" t="s">
        <v>190</v>
      </c>
      <c r="CB49" s="223">
        <v>39884</v>
      </c>
      <c r="CC49" s="224">
        <v>46800</v>
      </c>
      <c r="CD49" s="225" t="s">
        <v>186</v>
      </c>
      <c r="CE49" s="226">
        <v>106363.64</v>
      </c>
      <c r="CF49" s="227" t="s">
        <v>187</v>
      </c>
      <c r="CG49" s="228" t="s">
        <v>906</v>
      </c>
      <c r="CH49" s="229" t="s">
        <v>153</v>
      </c>
      <c r="CI49" s="230" t="s">
        <v>153</v>
      </c>
      <c r="CJ49" s="231" t="s">
        <v>225</v>
      </c>
      <c r="CK49" s="232">
        <v>39884</v>
      </c>
      <c r="CL49" s="233" t="s">
        <v>153</v>
      </c>
      <c r="CM49" s="234" t="s">
        <v>153</v>
      </c>
      <c r="CN49" s="235" t="s">
        <v>190</v>
      </c>
      <c r="CO49" s="236" t="s">
        <v>153</v>
      </c>
      <c r="CP49" s="237" t="s">
        <v>153</v>
      </c>
      <c r="CQ49" s="238" t="s">
        <v>153</v>
      </c>
      <c r="CR49" s="239" t="s">
        <v>153</v>
      </c>
      <c r="CS49" s="240" t="s">
        <v>153</v>
      </c>
      <c r="CT49" s="241" t="s">
        <v>153</v>
      </c>
      <c r="CU49" s="242" t="s">
        <v>153</v>
      </c>
      <c r="CV49" s="243" t="s">
        <v>153</v>
      </c>
      <c r="CW49" s="244" t="s">
        <v>153</v>
      </c>
      <c r="CX49" s="245" t="s">
        <v>153</v>
      </c>
      <c r="CY49" s="246" t="s">
        <v>153</v>
      </c>
      <c r="CZ49" s="247" t="s">
        <v>153</v>
      </c>
      <c r="DA49" s="248" t="s">
        <v>153</v>
      </c>
      <c r="DB49" s="249" t="s">
        <v>153</v>
      </c>
      <c r="DC49" s="250" t="s">
        <v>153</v>
      </c>
      <c r="DD49" s="251" t="s">
        <v>153</v>
      </c>
      <c r="DE49" s="252" t="s">
        <v>153</v>
      </c>
      <c r="DF49" s="253" t="s">
        <v>153</v>
      </c>
      <c r="DG49" s="254" t="s">
        <v>153</v>
      </c>
      <c r="DH49" s="255" t="s">
        <v>153</v>
      </c>
      <c r="DI49" s="256" t="s">
        <v>153</v>
      </c>
      <c r="DJ49" s="257" t="s">
        <v>153</v>
      </c>
      <c r="DK49" s="258" t="s">
        <v>153</v>
      </c>
      <c r="DL49" s="259" t="s">
        <v>153</v>
      </c>
      <c r="DM49" s="260" t="s">
        <v>153</v>
      </c>
      <c r="DN49" s="261" t="s">
        <v>153</v>
      </c>
      <c r="DO49" s="262" t="s">
        <v>153</v>
      </c>
      <c r="DP49" s="263" t="s">
        <v>153</v>
      </c>
      <c r="DQ49" s="264" t="s">
        <v>153</v>
      </c>
      <c r="DR49" s="265" t="s">
        <v>153</v>
      </c>
      <c r="DS49" s="266" t="s">
        <v>153</v>
      </c>
      <c r="DT49" s="267" t="s">
        <v>153</v>
      </c>
      <c r="DU49" s="268" t="s">
        <v>153</v>
      </c>
      <c r="DV49" s="269" t="s">
        <v>153</v>
      </c>
      <c r="DW49" s="270" t="s">
        <v>153</v>
      </c>
      <c r="DX49" s="271" t="s">
        <v>153</v>
      </c>
      <c r="DY49" s="272" t="s">
        <v>153</v>
      </c>
      <c r="DZ49" s="273" t="s">
        <v>191</v>
      </c>
      <c r="EA49" s="274">
        <v>44391</v>
      </c>
      <c r="EB49" s="275">
        <v>106363.64</v>
      </c>
      <c r="EC49" s="276">
        <v>39884</v>
      </c>
      <c r="ED49" s="277" t="s">
        <v>906</v>
      </c>
      <c r="EE49" s="279" t="str">
        <f>HYPERLINK("https://my.pitchbook.com?c=11197-36", "View company online")</f>
        <v>View company online</v>
      </c>
    </row>
    <row r="50" spans="1:135" x14ac:dyDescent="0.45">
      <c r="A50" s="10" t="s">
        <v>1159</v>
      </c>
      <c r="B50" s="11" t="s">
        <v>1160</v>
      </c>
      <c r="C50" s="12" t="s">
        <v>153</v>
      </c>
      <c r="D50" s="13" t="s">
        <v>153</v>
      </c>
      <c r="E50" s="14" t="s">
        <v>1161</v>
      </c>
      <c r="F50" s="15" t="s">
        <v>153</v>
      </c>
      <c r="G50" s="16" t="s">
        <v>1162</v>
      </c>
      <c r="H50" s="17" t="s">
        <v>1163</v>
      </c>
      <c r="I50" s="18" t="s">
        <v>1159</v>
      </c>
      <c r="J50" s="19" t="s">
        <v>1164</v>
      </c>
      <c r="K50" s="20" t="s">
        <v>198</v>
      </c>
      <c r="L50" s="21" t="s">
        <v>984</v>
      </c>
      <c r="M50" s="22" t="s">
        <v>1165</v>
      </c>
      <c r="N50" s="23" t="s">
        <v>1166</v>
      </c>
      <c r="O50" s="24" t="s">
        <v>1167</v>
      </c>
      <c r="P50" s="25" t="s">
        <v>1168</v>
      </c>
      <c r="Q50" s="26" t="s">
        <v>564</v>
      </c>
      <c r="R50" s="27">
        <v>12993.29</v>
      </c>
      <c r="S50" s="28" t="s">
        <v>290</v>
      </c>
      <c r="T50" s="29" t="s">
        <v>205</v>
      </c>
      <c r="U50" s="30" t="s">
        <v>1169</v>
      </c>
      <c r="V50" s="31" t="s">
        <v>1170</v>
      </c>
      <c r="W50" s="32">
        <v>10000</v>
      </c>
      <c r="X50" s="33" t="s">
        <v>1171</v>
      </c>
      <c r="Y50" s="34" t="s">
        <v>153</v>
      </c>
      <c r="Z50" s="35" t="s">
        <v>153</v>
      </c>
      <c r="AA50" s="36">
        <v>1971</v>
      </c>
      <c r="AB50" s="37" t="s">
        <v>1172</v>
      </c>
      <c r="AC50" s="38" t="s">
        <v>153</v>
      </c>
      <c r="AD50" s="39" t="s">
        <v>428</v>
      </c>
      <c r="AE50" s="40" t="s">
        <v>153</v>
      </c>
      <c r="AF50" s="41" t="s">
        <v>153</v>
      </c>
      <c r="AG50" s="42" t="s">
        <v>153</v>
      </c>
      <c r="AH50" s="43" t="s">
        <v>153</v>
      </c>
      <c r="AI50" s="44" t="s">
        <v>153</v>
      </c>
      <c r="AJ50" s="45" t="s">
        <v>153</v>
      </c>
      <c r="AK50" s="46" t="s">
        <v>153</v>
      </c>
      <c r="AL50" s="47" t="s">
        <v>153</v>
      </c>
      <c r="AM50" s="48" t="s">
        <v>153</v>
      </c>
      <c r="AN50" s="49" t="s">
        <v>509</v>
      </c>
      <c r="AO50" s="50" t="s">
        <v>1173</v>
      </c>
      <c r="AP50" s="51" t="s">
        <v>1174</v>
      </c>
      <c r="AQ50" s="52" t="s">
        <v>1175</v>
      </c>
      <c r="AR50" s="53" t="s">
        <v>1176</v>
      </c>
      <c r="AS50" s="54" t="s">
        <v>1177</v>
      </c>
      <c r="AT50" s="55" t="s">
        <v>404</v>
      </c>
      <c r="AU50" s="56" t="s">
        <v>1178</v>
      </c>
      <c r="AV50" s="57" t="s">
        <v>1179</v>
      </c>
      <c r="AW50" s="58" t="s">
        <v>407</v>
      </c>
      <c r="AX50" s="59" t="s">
        <v>408</v>
      </c>
      <c r="AY50" s="60" t="s">
        <v>1180</v>
      </c>
      <c r="AZ50" s="61" t="s">
        <v>215</v>
      </c>
      <c r="BA50" s="62" t="s">
        <v>1177</v>
      </c>
      <c r="BB50" s="63" t="s">
        <v>153</v>
      </c>
      <c r="BC50" s="64" t="s">
        <v>153</v>
      </c>
      <c r="BD50" s="65" t="s">
        <v>216</v>
      </c>
      <c r="BE50" s="66" t="s">
        <v>217</v>
      </c>
      <c r="BF50" s="67" t="s">
        <v>1181</v>
      </c>
      <c r="BG50" s="68" t="s">
        <v>153</v>
      </c>
      <c r="BH50" s="69" t="s">
        <v>153</v>
      </c>
      <c r="BI50" s="70" t="s">
        <v>1172</v>
      </c>
      <c r="BJ50" s="71" t="s">
        <v>1182</v>
      </c>
      <c r="BK50" s="72" t="s">
        <v>153</v>
      </c>
      <c r="BL50" s="73" t="s">
        <v>153</v>
      </c>
      <c r="BM50" s="74" t="s">
        <v>1183</v>
      </c>
      <c r="BN50" s="75" t="s">
        <v>153</v>
      </c>
      <c r="BO50" s="76" t="s">
        <v>1184</v>
      </c>
      <c r="BP50" s="77" t="s">
        <v>1185</v>
      </c>
      <c r="BQ50" s="78">
        <v>29221</v>
      </c>
      <c r="BR50" s="79" t="s">
        <v>153</v>
      </c>
      <c r="BS50" s="80" t="s">
        <v>153</v>
      </c>
      <c r="BT50" s="81" t="s">
        <v>153</v>
      </c>
      <c r="BU50" s="82" t="s">
        <v>153</v>
      </c>
      <c r="BV50" s="83" t="s">
        <v>226</v>
      </c>
      <c r="BW50" s="84" t="s">
        <v>153</v>
      </c>
      <c r="BX50" s="85" t="s">
        <v>153</v>
      </c>
      <c r="BY50" s="86" t="s">
        <v>225</v>
      </c>
      <c r="BZ50" s="87" t="s">
        <v>153</v>
      </c>
      <c r="CA50" s="88" t="s">
        <v>190</v>
      </c>
      <c r="CB50" s="89">
        <v>43675</v>
      </c>
      <c r="CC50" s="90">
        <v>46475</v>
      </c>
      <c r="CD50" s="91" t="s">
        <v>186</v>
      </c>
      <c r="CE50" s="92">
        <v>46475</v>
      </c>
      <c r="CF50" s="93" t="s">
        <v>187</v>
      </c>
      <c r="CG50" s="94" t="s">
        <v>226</v>
      </c>
      <c r="CH50" s="95" t="s">
        <v>153</v>
      </c>
      <c r="CI50" s="96" t="s">
        <v>153</v>
      </c>
      <c r="CJ50" s="97" t="s">
        <v>225</v>
      </c>
      <c r="CK50" s="98">
        <v>43675</v>
      </c>
      <c r="CL50" s="99" t="s">
        <v>153</v>
      </c>
      <c r="CM50" s="100" t="s">
        <v>1186</v>
      </c>
      <c r="CN50" s="101" t="s">
        <v>190</v>
      </c>
      <c r="CO50" s="102" t="s">
        <v>153</v>
      </c>
      <c r="CP50" s="103" t="s">
        <v>153</v>
      </c>
      <c r="CQ50" s="104" t="s">
        <v>153</v>
      </c>
      <c r="CR50" s="105" t="s">
        <v>153</v>
      </c>
      <c r="CS50" s="106" t="s">
        <v>153</v>
      </c>
      <c r="CT50" s="107" t="s">
        <v>153</v>
      </c>
      <c r="CU50" s="108" t="s">
        <v>153</v>
      </c>
      <c r="CV50" s="109" t="s">
        <v>153</v>
      </c>
      <c r="CW50" s="110" t="s">
        <v>153</v>
      </c>
      <c r="CX50" s="111" t="s">
        <v>153</v>
      </c>
      <c r="CY50" s="112" t="s">
        <v>153</v>
      </c>
      <c r="CZ50" s="113" t="s">
        <v>153</v>
      </c>
      <c r="DA50" s="114" t="s">
        <v>153</v>
      </c>
      <c r="DB50" s="115" t="s">
        <v>153</v>
      </c>
      <c r="DC50" s="116" t="s">
        <v>153</v>
      </c>
      <c r="DD50" s="117" t="s">
        <v>153</v>
      </c>
      <c r="DE50" s="118" t="s">
        <v>153</v>
      </c>
      <c r="DF50" s="119" t="s">
        <v>153</v>
      </c>
      <c r="DG50" s="120" t="s">
        <v>153</v>
      </c>
      <c r="DH50" s="121" t="s">
        <v>153</v>
      </c>
      <c r="DI50" s="122" t="s">
        <v>153</v>
      </c>
      <c r="DJ50" s="123" t="s">
        <v>153</v>
      </c>
      <c r="DK50" s="124" t="s">
        <v>153</v>
      </c>
      <c r="DL50" s="125" t="s">
        <v>153</v>
      </c>
      <c r="DM50" s="126" t="s">
        <v>153</v>
      </c>
      <c r="DN50" s="127" t="s">
        <v>153</v>
      </c>
      <c r="DO50" s="128" t="s">
        <v>153</v>
      </c>
      <c r="DP50" s="129" t="s">
        <v>153</v>
      </c>
      <c r="DQ50" s="130" t="s">
        <v>153</v>
      </c>
      <c r="DR50" s="131" t="s">
        <v>153</v>
      </c>
      <c r="DS50" s="132" t="s">
        <v>153</v>
      </c>
      <c r="DT50" s="133" t="s">
        <v>153</v>
      </c>
      <c r="DU50" s="134" t="s">
        <v>153</v>
      </c>
      <c r="DV50" s="135" t="s">
        <v>153</v>
      </c>
      <c r="DW50" s="136" t="s">
        <v>153</v>
      </c>
      <c r="DX50" s="137" t="s">
        <v>153</v>
      </c>
      <c r="DY50" s="138" t="s">
        <v>153</v>
      </c>
      <c r="DZ50" s="139" t="s">
        <v>191</v>
      </c>
      <c r="EA50" s="140">
        <v>44368</v>
      </c>
      <c r="EB50" s="141">
        <v>46475</v>
      </c>
      <c r="EC50" s="142">
        <v>43675</v>
      </c>
      <c r="ED50" s="143" t="s">
        <v>226</v>
      </c>
      <c r="EE50" s="278" t="str">
        <f>HYPERLINK("https://my.pitchbook.com?c=10352-98", "View company online")</f>
        <v>View company online</v>
      </c>
    </row>
    <row r="51" spans="1:135" x14ac:dyDescent="0.45">
      <c r="A51" s="144" t="s">
        <v>1187</v>
      </c>
      <c r="B51" s="145" t="s">
        <v>1188</v>
      </c>
      <c r="C51" s="146" t="s">
        <v>153</v>
      </c>
      <c r="D51" s="147" t="s">
        <v>153</v>
      </c>
      <c r="E51" s="148" t="s">
        <v>1189</v>
      </c>
      <c r="F51" s="149" t="s">
        <v>153</v>
      </c>
      <c r="G51" s="150" t="s">
        <v>1190</v>
      </c>
      <c r="H51" s="151" t="s">
        <v>153</v>
      </c>
      <c r="I51" s="152" t="s">
        <v>1187</v>
      </c>
      <c r="J51" s="153" t="s">
        <v>1191</v>
      </c>
      <c r="K51" s="154" t="s">
        <v>257</v>
      </c>
      <c r="L51" s="155" t="s">
        <v>258</v>
      </c>
      <c r="M51" s="156" t="s">
        <v>259</v>
      </c>
      <c r="N51" s="157" t="s">
        <v>260</v>
      </c>
      <c r="O51" s="158" t="s">
        <v>153</v>
      </c>
      <c r="P51" s="159" t="s">
        <v>1192</v>
      </c>
      <c r="Q51" s="160" t="s">
        <v>204</v>
      </c>
      <c r="R51" s="161" t="s">
        <v>153</v>
      </c>
      <c r="S51" s="162" t="s">
        <v>290</v>
      </c>
      <c r="T51" s="163" t="s">
        <v>205</v>
      </c>
      <c r="U51" s="164" t="s">
        <v>237</v>
      </c>
      <c r="V51" s="165" t="s">
        <v>1193</v>
      </c>
      <c r="W51" s="166">
        <v>100000</v>
      </c>
      <c r="X51" s="167" t="s">
        <v>1194</v>
      </c>
      <c r="Y51" s="168" t="s">
        <v>153</v>
      </c>
      <c r="Z51" s="169" t="s">
        <v>153</v>
      </c>
      <c r="AA51" s="170">
        <v>1971</v>
      </c>
      <c r="AB51" s="171" t="s">
        <v>153</v>
      </c>
      <c r="AC51" s="172" t="s">
        <v>153</v>
      </c>
      <c r="AD51" s="173" t="s">
        <v>153</v>
      </c>
      <c r="AE51" s="174" t="s">
        <v>153</v>
      </c>
      <c r="AF51" s="175" t="s">
        <v>153</v>
      </c>
      <c r="AG51" s="176" t="s">
        <v>153</v>
      </c>
      <c r="AH51" s="177" t="s">
        <v>153</v>
      </c>
      <c r="AI51" s="178" t="s">
        <v>153</v>
      </c>
      <c r="AJ51" s="179" t="s">
        <v>153</v>
      </c>
      <c r="AK51" s="180" t="s">
        <v>153</v>
      </c>
      <c r="AL51" s="181" t="s">
        <v>153</v>
      </c>
      <c r="AM51" s="182" t="s">
        <v>153</v>
      </c>
      <c r="AN51" s="183" t="s">
        <v>1195</v>
      </c>
      <c r="AO51" s="184" t="s">
        <v>153</v>
      </c>
      <c r="AP51" s="185" t="s">
        <v>153</v>
      </c>
      <c r="AQ51" s="186" t="s">
        <v>153</v>
      </c>
      <c r="AR51" s="187" t="s">
        <v>153</v>
      </c>
      <c r="AS51" s="188" t="s">
        <v>153</v>
      </c>
      <c r="AT51" s="189" t="s">
        <v>1196</v>
      </c>
      <c r="AU51" s="190" t="s">
        <v>1197</v>
      </c>
      <c r="AV51" s="191" t="s">
        <v>153</v>
      </c>
      <c r="AW51" s="192" t="s">
        <v>1198</v>
      </c>
      <c r="AX51" s="193" t="s">
        <v>273</v>
      </c>
      <c r="AY51" s="194" t="s">
        <v>1199</v>
      </c>
      <c r="AZ51" s="195" t="s">
        <v>215</v>
      </c>
      <c r="BA51" s="196" t="s">
        <v>153</v>
      </c>
      <c r="BB51" s="197" t="s">
        <v>153</v>
      </c>
      <c r="BC51" s="198" t="s">
        <v>153</v>
      </c>
      <c r="BD51" s="199" t="s">
        <v>216</v>
      </c>
      <c r="BE51" s="200" t="s">
        <v>217</v>
      </c>
      <c r="BF51" s="201" t="s">
        <v>1200</v>
      </c>
      <c r="BG51" s="202" t="s">
        <v>153</v>
      </c>
      <c r="BH51" s="203" t="s">
        <v>153</v>
      </c>
      <c r="BI51" s="204" t="s">
        <v>1201</v>
      </c>
      <c r="BJ51" s="205" t="s">
        <v>1010</v>
      </c>
      <c r="BK51" s="206" t="s">
        <v>153</v>
      </c>
      <c r="BL51" s="207" t="s">
        <v>153</v>
      </c>
      <c r="BM51" s="208" t="s">
        <v>1202</v>
      </c>
      <c r="BN51" s="209" t="s">
        <v>153</v>
      </c>
      <c r="BO51" s="210" t="s">
        <v>1203</v>
      </c>
      <c r="BP51" s="211" t="s">
        <v>1204</v>
      </c>
      <c r="BQ51" s="212">
        <v>25934</v>
      </c>
      <c r="BR51" s="213" t="s">
        <v>153</v>
      </c>
      <c r="BS51" s="214" t="s">
        <v>153</v>
      </c>
      <c r="BT51" s="215" t="s">
        <v>153</v>
      </c>
      <c r="BU51" s="216" t="s">
        <v>153</v>
      </c>
      <c r="BV51" s="217" t="s">
        <v>589</v>
      </c>
      <c r="BW51" s="218" t="s">
        <v>153</v>
      </c>
      <c r="BX51" s="219" t="s">
        <v>153</v>
      </c>
      <c r="BY51" s="220" t="s">
        <v>225</v>
      </c>
      <c r="BZ51" s="221" t="s">
        <v>153</v>
      </c>
      <c r="CA51" s="222" t="s">
        <v>190</v>
      </c>
      <c r="CB51" s="223">
        <v>40120</v>
      </c>
      <c r="CC51" s="224">
        <v>45700</v>
      </c>
      <c r="CD51" s="225" t="s">
        <v>186</v>
      </c>
      <c r="CE51" s="226">
        <v>45700</v>
      </c>
      <c r="CF51" s="227" t="s">
        <v>187</v>
      </c>
      <c r="CG51" s="228" t="s">
        <v>226</v>
      </c>
      <c r="CH51" s="229" t="s">
        <v>153</v>
      </c>
      <c r="CI51" s="230" t="s">
        <v>153</v>
      </c>
      <c r="CJ51" s="231" t="s">
        <v>225</v>
      </c>
      <c r="CK51" s="232">
        <v>40120</v>
      </c>
      <c r="CL51" s="233" t="s">
        <v>153</v>
      </c>
      <c r="CM51" s="234" t="s">
        <v>153</v>
      </c>
      <c r="CN51" s="235" t="s">
        <v>190</v>
      </c>
      <c r="CO51" s="236" t="s">
        <v>153</v>
      </c>
      <c r="CP51" s="237" t="s">
        <v>153</v>
      </c>
      <c r="CQ51" s="238" t="s">
        <v>153</v>
      </c>
      <c r="CR51" s="239" t="s">
        <v>153</v>
      </c>
      <c r="CS51" s="240" t="s">
        <v>153</v>
      </c>
      <c r="CT51" s="241" t="s">
        <v>153</v>
      </c>
      <c r="CU51" s="242" t="s">
        <v>153</v>
      </c>
      <c r="CV51" s="243" t="s">
        <v>153</v>
      </c>
      <c r="CW51" s="244" t="s">
        <v>153</v>
      </c>
      <c r="CX51" s="245" t="s">
        <v>153</v>
      </c>
      <c r="CY51" s="246" t="s">
        <v>153</v>
      </c>
      <c r="CZ51" s="247" t="s">
        <v>153</v>
      </c>
      <c r="DA51" s="248" t="s">
        <v>153</v>
      </c>
      <c r="DB51" s="249" t="s">
        <v>153</v>
      </c>
      <c r="DC51" s="250" t="s">
        <v>153</v>
      </c>
      <c r="DD51" s="251" t="s">
        <v>153</v>
      </c>
      <c r="DE51" s="252" t="s">
        <v>153</v>
      </c>
      <c r="DF51" s="253" t="s">
        <v>153</v>
      </c>
      <c r="DG51" s="254" t="s">
        <v>153</v>
      </c>
      <c r="DH51" s="255" t="s">
        <v>153</v>
      </c>
      <c r="DI51" s="256" t="s">
        <v>153</v>
      </c>
      <c r="DJ51" s="257" t="s">
        <v>153</v>
      </c>
      <c r="DK51" s="258" t="s">
        <v>153</v>
      </c>
      <c r="DL51" s="259" t="s">
        <v>153</v>
      </c>
      <c r="DM51" s="260" t="s">
        <v>153</v>
      </c>
      <c r="DN51" s="261" t="s">
        <v>153</v>
      </c>
      <c r="DO51" s="262" t="s">
        <v>153</v>
      </c>
      <c r="DP51" s="263" t="s">
        <v>153</v>
      </c>
      <c r="DQ51" s="264" t="s">
        <v>153</v>
      </c>
      <c r="DR51" s="265" t="s">
        <v>153</v>
      </c>
      <c r="DS51" s="266" t="s">
        <v>153</v>
      </c>
      <c r="DT51" s="267" t="s">
        <v>153</v>
      </c>
      <c r="DU51" s="268" t="s">
        <v>153</v>
      </c>
      <c r="DV51" s="269" t="s">
        <v>153</v>
      </c>
      <c r="DW51" s="270" t="s">
        <v>153</v>
      </c>
      <c r="DX51" s="271" t="s">
        <v>153</v>
      </c>
      <c r="DY51" s="272" t="s">
        <v>153</v>
      </c>
      <c r="DZ51" s="273" t="s">
        <v>191</v>
      </c>
      <c r="EA51" s="274">
        <v>44348</v>
      </c>
      <c r="EB51" s="275">
        <v>45700</v>
      </c>
      <c r="EC51" s="276">
        <v>40120</v>
      </c>
      <c r="ED51" s="277" t="s">
        <v>226</v>
      </c>
      <c r="EE51" s="279" t="str">
        <f>HYPERLINK("https://my.pitchbook.com?c=121267-72", "View company online")</f>
        <v>View company online</v>
      </c>
    </row>
    <row r="52" spans="1:135" x14ac:dyDescent="0.45">
      <c r="A52" s="10" t="s">
        <v>1205</v>
      </c>
      <c r="B52" s="11" t="s">
        <v>1206</v>
      </c>
      <c r="C52" s="12" t="s">
        <v>153</v>
      </c>
      <c r="D52" s="13" t="s">
        <v>153</v>
      </c>
      <c r="E52" s="14" t="s">
        <v>1207</v>
      </c>
      <c r="F52" s="15" t="s">
        <v>153</v>
      </c>
      <c r="G52" s="16" t="s">
        <v>1208</v>
      </c>
      <c r="H52" s="17" t="s">
        <v>1209</v>
      </c>
      <c r="I52" s="18" t="s">
        <v>1205</v>
      </c>
      <c r="J52" s="19" t="s">
        <v>1210</v>
      </c>
      <c r="K52" s="20" t="s">
        <v>792</v>
      </c>
      <c r="L52" s="21" t="s">
        <v>793</v>
      </c>
      <c r="M52" s="22" t="s">
        <v>1211</v>
      </c>
      <c r="N52" s="23" t="s">
        <v>1212</v>
      </c>
      <c r="O52" s="24" t="s">
        <v>796</v>
      </c>
      <c r="P52" s="25" t="s">
        <v>1213</v>
      </c>
      <c r="Q52" s="26" t="s">
        <v>204</v>
      </c>
      <c r="R52" s="27" t="s">
        <v>153</v>
      </c>
      <c r="S52" s="28" t="s">
        <v>163</v>
      </c>
      <c r="T52" s="29" t="s">
        <v>164</v>
      </c>
      <c r="U52" s="30" t="s">
        <v>237</v>
      </c>
      <c r="V52" s="31" t="s">
        <v>1214</v>
      </c>
      <c r="W52" s="32">
        <v>19011</v>
      </c>
      <c r="X52" s="33" t="s">
        <v>1215</v>
      </c>
      <c r="Y52" s="34" t="s">
        <v>153</v>
      </c>
      <c r="Z52" s="35" t="s">
        <v>153</v>
      </c>
      <c r="AA52" s="36">
        <v>1902</v>
      </c>
      <c r="AB52" s="37" t="s">
        <v>1216</v>
      </c>
      <c r="AC52" s="38" t="s">
        <v>153</v>
      </c>
      <c r="AD52" s="39" t="s">
        <v>153</v>
      </c>
      <c r="AE52" s="40" t="s">
        <v>153</v>
      </c>
      <c r="AF52" s="41" t="s">
        <v>153</v>
      </c>
      <c r="AG52" s="42" t="s">
        <v>153</v>
      </c>
      <c r="AH52" s="43" t="s">
        <v>153</v>
      </c>
      <c r="AI52" s="44" t="s">
        <v>153</v>
      </c>
      <c r="AJ52" s="45" t="s">
        <v>153</v>
      </c>
      <c r="AK52" s="46" t="s">
        <v>153</v>
      </c>
      <c r="AL52" s="47" t="s">
        <v>153</v>
      </c>
      <c r="AM52" s="48" t="s">
        <v>153</v>
      </c>
      <c r="AN52" s="49" t="s">
        <v>1217</v>
      </c>
      <c r="AO52" s="50" t="s">
        <v>153</v>
      </c>
      <c r="AP52" s="51" t="s">
        <v>153</v>
      </c>
      <c r="AQ52" s="52" t="s">
        <v>153</v>
      </c>
      <c r="AR52" s="53" t="s">
        <v>153</v>
      </c>
      <c r="AS52" s="54" t="s">
        <v>153</v>
      </c>
      <c r="AT52" s="55" t="s">
        <v>1218</v>
      </c>
      <c r="AU52" s="56" t="s">
        <v>1219</v>
      </c>
      <c r="AV52" s="57" t="s">
        <v>153</v>
      </c>
      <c r="AW52" s="58" t="s">
        <v>1220</v>
      </c>
      <c r="AX52" s="59" t="s">
        <v>436</v>
      </c>
      <c r="AY52" s="60" t="s">
        <v>1221</v>
      </c>
      <c r="AZ52" s="61" t="s">
        <v>215</v>
      </c>
      <c r="BA52" s="62" t="s">
        <v>1222</v>
      </c>
      <c r="BB52" s="63" t="s">
        <v>153</v>
      </c>
      <c r="BC52" s="64" t="s">
        <v>153</v>
      </c>
      <c r="BD52" s="65" t="s">
        <v>216</v>
      </c>
      <c r="BE52" s="66" t="s">
        <v>217</v>
      </c>
      <c r="BF52" s="67" t="s">
        <v>1223</v>
      </c>
      <c r="BG52" s="68" t="s">
        <v>153</v>
      </c>
      <c r="BH52" s="69" t="s">
        <v>153</v>
      </c>
      <c r="BI52" s="70" t="s">
        <v>1216</v>
      </c>
      <c r="BJ52" s="71" t="s">
        <v>153</v>
      </c>
      <c r="BK52" s="72" t="s">
        <v>153</v>
      </c>
      <c r="BL52" s="73" t="s">
        <v>153</v>
      </c>
      <c r="BM52" s="74" t="s">
        <v>153</v>
      </c>
      <c r="BN52" s="75" t="s">
        <v>153</v>
      </c>
      <c r="BO52" s="76" t="s">
        <v>1224</v>
      </c>
      <c r="BP52" s="77" t="s">
        <v>153</v>
      </c>
      <c r="BQ52" s="78">
        <v>26451</v>
      </c>
      <c r="BR52" s="79" t="s">
        <v>153</v>
      </c>
      <c r="BS52" s="80" t="s">
        <v>153</v>
      </c>
      <c r="BT52" s="81" t="s">
        <v>153</v>
      </c>
      <c r="BU52" s="82" t="s">
        <v>153</v>
      </c>
      <c r="BV52" s="83" t="s">
        <v>251</v>
      </c>
      <c r="BW52" s="84" t="s">
        <v>153</v>
      </c>
      <c r="BX52" s="85" t="s">
        <v>153</v>
      </c>
      <c r="BY52" s="86" t="s">
        <v>252</v>
      </c>
      <c r="BZ52" s="87" t="s">
        <v>153</v>
      </c>
      <c r="CA52" s="88" t="s">
        <v>190</v>
      </c>
      <c r="CB52" s="89">
        <v>36892</v>
      </c>
      <c r="CC52" s="90">
        <v>45000</v>
      </c>
      <c r="CD52" s="91" t="s">
        <v>186</v>
      </c>
      <c r="CE52" s="92">
        <v>39300</v>
      </c>
      <c r="CF52" s="93" t="s">
        <v>186</v>
      </c>
      <c r="CG52" s="94" t="s">
        <v>226</v>
      </c>
      <c r="CH52" s="95" t="s">
        <v>153</v>
      </c>
      <c r="CI52" s="96" t="s">
        <v>153</v>
      </c>
      <c r="CJ52" s="97" t="s">
        <v>225</v>
      </c>
      <c r="CK52" s="98">
        <v>36892</v>
      </c>
      <c r="CL52" s="99">
        <v>6700</v>
      </c>
      <c r="CM52" s="100" t="s">
        <v>153</v>
      </c>
      <c r="CN52" s="101" t="s">
        <v>190</v>
      </c>
      <c r="CO52" s="102">
        <v>4.84</v>
      </c>
      <c r="CP52" s="103">
        <v>100</v>
      </c>
      <c r="CQ52" s="104">
        <v>-0.01</v>
      </c>
      <c r="CR52" s="105">
        <v>-0.13</v>
      </c>
      <c r="CS52" s="106">
        <v>13.29</v>
      </c>
      <c r="CT52" s="107">
        <v>100</v>
      </c>
      <c r="CU52" s="108">
        <v>-0.22</v>
      </c>
      <c r="CV52" s="109">
        <v>4</v>
      </c>
      <c r="CW52" s="110">
        <v>26.37</v>
      </c>
      <c r="CX52" s="111">
        <v>100</v>
      </c>
      <c r="CY52" s="112">
        <v>0.21</v>
      </c>
      <c r="CZ52" s="113">
        <v>92</v>
      </c>
      <c r="DA52" s="114">
        <v>-0.22</v>
      </c>
      <c r="DB52" s="115">
        <v>4</v>
      </c>
      <c r="DC52" s="116">
        <v>32.58</v>
      </c>
      <c r="DD52" s="117">
        <v>98</v>
      </c>
      <c r="DE52" s="118">
        <v>0.16</v>
      </c>
      <c r="DF52" s="119">
        <v>0.49</v>
      </c>
      <c r="DG52" s="120">
        <v>85.44</v>
      </c>
      <c r="DH52" s="121">
        <v>99</v>
      </c>
      <c r="DI52" s="122">
        <v>0.7</v>
      </c>
      <c r="DJ52" s="123">
        <v>44</v>
      </c>
      <c r="DK52" s="124">
        <v>60.01</v>
      </c>
      <c r="DL52" s="125">
        <v>96</v>
      </c>
      <c r="DM52" s="126">
        <v>110.88</v>
      </c>
      <c r="DN52" s="127">
        <v>99</v>
      </c>
      <c r="DO52" s="128">
        <v>0.7</v>
      </c>
      <c r="DP52" s="129">
        <v>44</v>
      </c>
      <c r="DQ52" s="130">
        <v>34272</v>
      </c>
      <c r="DR52" s="131">
        <v>4823</v>
      </c>
      <c r="DS52" s="132">
        <v>16.38</v>
      </c>
      <c r="DT52" s="133">
        <v>1771</v>
      </c>
      <c r="DU52" s="134">
        <v>8</v>
      </c>
      <c r="DV52" s="135">
        <v>0.45</v>
      </c>
      <c r="DW52" s="136">
        <v>221</v>
      </c>
      <c r="DX52" s="137">
        <v>0</v>
      </c>
      <c r="DY52" s="138">
        <v>0</v>
      </c>
      <c r="DZ52" s="139" t="s">
        <v>191</v>
      </c>
      <c r="EA52" s="140">
        <v>44389</v>
      </c>
      <c r="EB52" s="141">
        <v>39300</v>
      </c>
      <c r="EC52" s="142">
        <v>36892</v>
      </c>
      <c r="ED52" s="143" t="s">
        <v>226</v>
      </c>
      <c r="EE52" s="278" t="str">
        <f>HYPERLINK("https://my.pitchbook.com?c=42819-67", "View company online")</f>
        <v>View company online</v>
      </c>
    </row>
    <row r="53" spans="1:135" x14ac:dyDescent="0.45">
      <c r="A53" s="144" t="s">
        <v>1225</v>
      </c>
      <c r="B53" s="145" t="s">
        <v>1226</v>
      </c>
      <c r="C53" s="146" t="s">
        <v>153</v>
      </c>
      <c r="D53" s="147" t="s">
        <v>153</v>
      </c>
      <c r="E53" s="148" t="s">
        <v>153</v>
      </c>
      <c r="F53" s="149" t="s">
        <v>1227</v>
      </c>
      <c r="G53" s="150" t="s">
        <v>1228</v>
      </c>
      <c r="H53" s="151" t="s">
        <v>1229</v>
      </c>
      <c r="I53" s="152" t="s">
        <v>1225</v>
      </c>
      <c r="J53" s="153" t="s">
        <v>1230</v>
      </c>
      <c r="K53" s="154" t="s">
        <v>882</v>
      </c>
      <c r="L53" s="155" t="s">
        <v>1231</v>
      </c>
      <c r="M53" s="156" t="s">
        <v>1232</v>
      </c>
      <c r="N53" s="157" t="s">
        <v>1233</v>
      </c>
      <c r="O53" s="158" t="s">
        <v>1234</v>
      </c>
      <c r="P53" s="159" t="s">
        <v>1235</v>
      </c>
      <c r="Q53" s="160" t="s">
        <v>204</v>
      </c>
      <c r="R53" s="161" t="s">
        <v>153</v>
      </c>
      <c r="S53" s="162" t="s">
        <v>290</v>
      </c>
      <c r="T53" s="163" t="s">
        <v>164</v>
      </c>
      <c r="U53" s="164" t="s">
        <v>237</v>
      </c>
      <c r="V53" s="165" t="s">
        <v>1236</v>
      </c>
      <c r="W53" s="166">
        <v>35081</v>
      </c>
      <c r="X53" s="167" t="s">
        <v>1237</v>
      </c>
      <c r="Y53" s="168" t="s">
        <v>153</v>
      </c>
      <c r="Z53" s="169" t="s">
        <v>153</v>
      </c>
      <c r="AA53" s="170" t="s">
        <v>153</v>
      </c>
      <c r="AB53" s="171" t="s">
        <v>1238</v>
      </c>
      <c r="AC53" s="172" t="s">
        <v>153</v>
      </c>
      <c r="AD53" s="173" t="s">
        <v>153</v>
      </c>
      <c r="AE53" s="174">
        <v>20853</v>
      </c>
      <c r="AF53" s="175">
        <v>8877</v>
      </c>
      <c r="AG53" s="176">
        <v>5222</v>
      </c>
      <c r="AH53" s="177" t="s">
        <v>153</v>
      </c>
      <c r="AI53" s="178">
        <v>10380</v>
      </c>
      <c r="AJ53" s="179">
        <v>7900</v>
      </c>
      <c r="AK53" s="180" t="s">
        <v>153</v>
      </c>
      <c r="AL53" s="181">
        <v>22008</v>
      </c>
      <c r="AM53" s="182">
        <v>-10</v>
      </c>
      <c r="AN53" s="183" t="s">
        <v>376</v>
      </c>
      <c r="AO53" s="184" t="s">
        <v>1239</v>
      </c>
      <c r="AP53" s="185" t="s">
        <v>1240</v>
      </c>
      <c r="AQ53" s="186" t="s">
        <v>1241</v>
      </c>
      <c r="AR53" s="187" t="s">
        <v>1242</v>
      </c>
      <c r="AS53" s="188" t="s">
        <v>1243</v>
      </c>
      <c r="AT53" s="189" t="s">
        <v>1244</v>
      </c>
      <c r="AU53" s="190" t="s">
        <v>1245</v>
      </c>
      <c r="AV53" s="191" t="s">
        <v>153</v>
      </c>
      <c r="AW53" s="192" t="s">
        <v>1246</v>
      </c>
      <c r="AX53" s="193" t="s">
        <v>1128</v>
      </c>
      <c r="AY53" s="194" t="s">
        <v>1247</v>
      </c>
      <c r="AZ53" s="195" t="s">
        <v>215</v>
      </c>
      <c r="BA53" s="196" t="s">
        <v>1243</v>
      </c>
      <c r="BB53" s="197" t="s">
        <v>1248</v>
      </c>
      <c r="BC53" s="198" t="s">
        <v>153</v>
      </c>
      <c r="BD53" s="199" t="s">
        <v>216</v>
      </c>
      <c r="BE53" s="200" t="s">
        <v>217</v>
      </c>
      <c r="BF53" s="201" t="s">
        <v>1249</v>
      </c>
      <c r="BG53" s="202" t="s">
        <v>153</v>
      </c>
      <c r="BH53" s="203" t="s">
        <v>153</v>
      </c>
      <c r="BI53" s="204" t="s">
        <v>1238</v>
      </c>
      <c r="BJ53" s="205" t="s">
        <v>153</v>
      </c>
      <c r="BK53" s="206" t="s">
        <v>153</v>
      </c>
      <c r="BL53" s="207" t="s">
        <v>153</v>
      </c>
      <c r="BM53" s="208" t="s">
        <v>153</v>
      </c>
      <c r="BN53" s="209" t="s">
        <v>153</v>
      </c>
      <c r="BO53" s="210" t="s">
        <v>153</v>
      </c>
      <c r="BP53" s="211" t="s">
        <v>1250</v>
      </c>
      <c r="BQ53" s="212">
        <v>29222</v>
      </c>
      <c r="BR53" s="213" t="s">
        <v>153</v>
      </c>
      <c r="BS53" s="214" t="s">
        <v>153</v>
      </c>
      <c r="BT53" s="215" t="s">
        <v>153</v>
      </c>
      <c r="BU53" s="216" t="s">
        <v>153</v>
      </c>
      <c r="BV53" s="217" t="s">
        <v>251</v>
      </c>
      <c r="BW53" s="218" t="s">
        <v>153</v>
      </c>
      <c r="BX53" s="219" t="s">
        <v>153</v>
      </c>
      <c r="BY53" s="220" t="s">
        <v>252</v>
      </c>
      <c r="BZ53" s="221" t="s">
        <v>153</v>
      </c>
      <c r="CA53" s="222" t="s">
        <v>190</v>
      </c>
      <c r="CB53" s="223">
        <v>40221</v>
      </c>
      <c r="CC53" s="224">
        <v>44000</v>
      </c>
      <c r="CD53" s="225" t="s">
        <v>186</v>
      </c>
      <c r="CE53" s="226">
        <v>43927.65</v>
      </c>
      <c r="CF53" s="227" t="s">
        <v>187</v>
      </c>
      <c r="CG53" s="228" t="s">
        <v>226</v>
      </c>
      <c r="CH53" s="229" t="s">
        <v>153</v>
      </c>
      <c r="CI53" s="230" t="s">
        <v>153</v>
      </c>
      <c r="CJ53" s="231" t="s">
        <v>225</v>
      </c>
      <c r="CK53" s="232">
        <v>40221</v>
      </c>
      <c r="CL53" s="233">
        <v>10000</v>
      </c>
      <c r="CM53" s="234" t="s">
        <v>153</v>
      </c>
      <c r="CN53" s="235" t="s">
        <v>190</v>
      </c>
      <c r="CO53" s="236">
        <v>0.01</v>
      </c>
      <c r="CP53" s="237">
        <v>87</v>
      </c>
      <c r="CQ53" s="238">
        <v>0</v>
      </c>
      <c r="CR53" s="239">
        <v>0</v>
      </c>
      <c r="CS53" s="240">
        <v>-0.83</v>
      </c>
      <c r="CT53" s="241">
        <v>4</v>
      </c>
      <c r="CU53" s="242">
        <v>-0.04</v>
      </c>
      <c r="CV53" s="243">
        <v>34</v>
      </c>
      <c r="CW53" s="244">
        <v>-0.83</v>
      </c>
      <c r="CX53" s="245">
        <v>17</v>
      </c>
      <c r="CY53" s="246" t="s">
        <v>153</v>
      </c>
      <c r="CZ53" s="247" t="s">
        <v>153</v>
      </c>
      <c r="DA53" s="248">
        <v>-0.04</v>
      </c>
      <c r="DB53" s="249">
        <v>34</v>
      </c>
      <c r="DC53" s="250">
        <v>71.069999999999993</v>
      </c>
      <c r="DD53" s="251">
        <v>99</v>
      </c>
      <c r="DE53" s="252">
        <v>0.28999999999999998</v>
      </c>
      <c r="DF53" s="253">
        <v>0.41</v>
      </c>
      <c r="DG53" s="254">
        <v>73.98</v>
      </c>
      <c r="DH53" s="255">
        <v>99</v>
      </c>
      <c r="DI53" s="256">
        <v>136.29</v>
      </c>
      <c r="DJ53" s="257">
        <v>98</v>
      </c>
      <c r="DK53" s="258">
        <v>73.98</v>
      </c>
      <c r="DL53" s="259">
        <v>96</v>
      </c>
      <c r="DM53" s="260" t="s">
        <v>153</v>
      </c>
      <c r="DN53" s="261" t="s">
        <v>153</v>
      </c>
      <c r="DO53" s="262">
        <v>136.29</v>
      </c>
      <c r="DP53" s="263">
        <v>98</v>
      </c>
      <c r="DQ53" s="264">
        <v>44144</v>
      </c>
      <c r="DR53" s="265">
        <v>-1008</v>
      </c>
      <c r="DS53" s="266">
        <v>-2.23</v>
      </c>
      <c r="DT53" s="267" t="s">
        <v>153</v>
      </c>
      <c r="DU53" s="268" t="s">
        <v>153</v>
      </c>
      <c r="DV53" s="269" t="s">
        <v>153</v>
      </c>
      <c r="DW53" s="270">
        <v>42792</v>
      </c>
      <c r="DX53" s="271">
        <v>19</v>
      </c>
      <c r="DY53" s="272">
        <v>0.04</v>
      </c>
      <c r="DZ53" s="273" t="s">
        <v>191</v>
      </c>
      <c r="EA53" s="274">
        <v>44396</v>
      </c>
      <c r="EB53" s="275">
        <v>43927.65</v>
      </c>
      <c r="EC53" s="276">
        <v>40221</v>
      </c>
      <c r="ED53" s="277" t="s">
        <v>226</v>
      </c>
      <c r="EE53" s="279" t="str">
        <f>HYPERLINK("https://my.pitchbook.com?c=41098-96", "View company online")</f>
        <v>View company online</v>
      </c>
    </row>
    <row r="54" spans="1:135" x14ac:dyDescent="0.45">
      <c r="A54" s="10" t="s">
        <v>1251</v>
      </c>
      <c r="B54" s="11" t="s">
        <v>1252</v>
      </c>
      <c r="C54" s="12" t="s">
        <v>153</v>
      </c>
      <c r="D54" s="13" t="s">
        <v>153</v>
      </c>
      <c r="E54" s="14" t="s">
        <v>1253</v>
      </c>
      <c r="F54" s="15" t="s">
        <v>153</v>
      </c>
      <c r="G54" s="16" t="s">
        <v>1254</v>
      </c>
      <c r="H54" s="17" t="s">
        <v>1255</v>
      </c>
      <c r="I54" s="18" t="s">
        <v>1251</v>
      </c>
      <c r="J54" s="19" t="s">
        <v>1256</v>
      </c>
      <c r="K54" s="20" t="s">
        <v>882</v>
      </c>
      <c r="L54" s="21" t="s">
        <v>1257</v>
      </c>
      <c r="M54" s="22" t="s">
        <v>1258</v>
      </c>
      <c r="N54" s="23" t="s">
        <v>1259</v>
      </c>
      <c r="O54" s="24" t="s">
        <v>1234</v>
      </c>
      <c r="P54" s="25" t="s">
        <v>1260</v>
      </c>
      <c r="Q54" s="26" t="s">
        <v>564</v>
      </c>
      <c r="R54" s="27">
        <v>716.91</v>
      </c>
      <c r="S54" s="28" t="s">
        <v>290</v>
      </c>
      <c r="T54" s="29" t="s">
        <v>291</v>
      </c>
      <c r="U54" s="30" t="s">
        <v>369</v>
      </c>
      <c r="V54" s="31" t="s">
        <v>1261</v>
      </c>
      <c r="W54" s="32">
        <v>16000</v>
      </c>
      <c r="X54" s="33" t="s">
        <v>1262</v>
      </c>
      <c r="Y54" s="34" t="s">
        <v>372</v>
      </c>
      <c r="Z54" s="35" t="s">
        <v>1263</v>
      </c>
      <c r="AA54" s="36">
        <v>1959</v>
      </c>
      <c r="AB54" s="37" t="s">
        <v>153</v>
      </c>
      <c r="AC54" s="38" t="s">
        <v>428</v>
      </c>
      <c r="AD54" s="39" t="s">
        <v>1264</v>
      </c>
      <c r="AE54" s="40">
        <v>4481.7</v>
      </c>
      <c r="AF54" s="41">
        <v>2854.8</v>
      </c>
      <c r="AG54" s="42">
        <v>622.29999999999995</v>
      </c>
      <c r="AH54" s="43">
        <v>49941.51</v>
      </c>
      <c r="AI54" s="44">
        <v>1542.3</v>
      </c>
      <c r="AJ54" s="45">
        <v>943.3</v>
      </c>
      <c r="AK54" s="46">
        <v>46015.8</v>
      </c>
      <c r="AL54" s="47">
        <v>5103.8999999999996</v>
      </c>
      <c r="AM54" s="48">
        <v>3.26</v>
      </c>
      <c r="AN54" s="49" t="s">
        <v>299</v>
      </c>
      <c r="AO54" s="50" t="s">
        <v>1265</v>
      </c>
      <c r="AP54" s="51" t="s">
        <v>1266</v>
      </c>
      <c r="AQ54" s="52" t="s">
        <v>1267</v>
      </c>
      <c r="AR54" s="53" t="s">
        <v>1268</v>
      </c>
      <c r="AS54" s="54" t="s">
        <v>153</v>
      </c>
      <c r="AT54" s="55" t="s">
        <v>1071</v>
      </c>
      <c r="AU54" s="56" t="s">
        <v>1269</v>
      </c>
      <c r="AV54" s="57" t="s">
        <v>1270</v>
      </c>
      <c r="AW54" s="58" t="s">
        <v>1074</v>
      </c>
      <c r="AX54" s="59" t="s">
        <v>177</v>
      </c>
      <c r="AY54" s="60" t="s">
        <v>1271</v>
      </c>
      <c r="AZ54" s="61" t="s">
        <v>179</v>
      </c>
      <c r="BA54" s="62" t="s">
        <v>153</v>
      </c>
      <c r="BB54" s="63" t="s">
        <v>153</v>
      </c>
      <c r="BC54" s="64" t="s">
        <v>153</v>
      </c>
      <c r="BD54" s="65" t="s">
        <v>180</v>
      </c>
      <c r="BE54" s="66" t="s">
        <v>181</v>
      </c>
      <c r="BF54" s="67" t="s">
        <v>1272</v>
      </c>
      <c r="BG54" s="68" t="s">
        <v>153</v>
      </c>
      <c r="BH54" s="69" t="s">
        <v>153</v>
      </c>
      <c r="BI54" s="70" t="s">
        <v>153</v>
      </c>
      <c r="BJ54" s="71" t="s">
        <v>1273</v>
      </c>
      <c r="BK54" s="72" t="s">
        <v>1274</v>
      </c>
      <c r="BL54" s="73" t="s">
        <v>153</v>
      </c>
      <c r="BM54" s="74" t="s">
        <v>1275</v>
      </c>
      <c r="BN54" s="75" t="s">
        <v>1276</v>
      </c>
      <c r="BO54" s="76" t="s">
        <v>153</v>
      </c>
      <c r="BP54" s="77" t="s">
        <v>1277</v>
      </c>
      <c r="BQ54" s="78" t="s">
        <v>153</v>
      </c>
      <c r="BR54" s="79" t="s">
        <v>153</v>
      </c>
      <c r="BS54" s="80" t="s">
        <v>153</v>
      </c>
      <c r="BT54" s="81" t="s">
        <v>153</v>
      </c>
      <c r="BU54" s="82" t="s">
        <v>153</v>
      </c>
      <c r="BV54" s="83" t="s">
        <v>709</v>
      </c>
      <c r="BW54" s="84" t="s">
        <v>153</v>
      </c>
      <c r="BX54" s="85" t="s">
        <v>153</v>
      </c>
      <c r="BY54" s="86" t="s">
        <v>165</v>
      </c>
      <c r="BZ54" s="87" t="s">
        <v>153</v>
      </c>
      <c r="CA54" s="88" t="s">
        <v>190</v>
      </c>
      <c r="CB54" s="89">
        <v>44165</v>
      </c>
      <c r="CC54" s="90">
        <v>44000</v>
      </c>
      <c r="CD54" s="91" t="s">
        <v>186</v>
      </c>
      <c r="CE54" s="92">
        <v>57859.77</v>
      </c>
      <c r="CF54" s="93" t="s">
        <v>187</v>
      </c>
      <c r="CG54" s="94" t="s">
        <v>226</v>
      </c>
      <c r="CH54" s="95" t="s">
        <v>153</v>
      </c>
      <c r="CI54" s="96" t="s">
        <v>153</v>
      </c>
      <c r="CJ54" s="97" t="s">
        <v>225</v>
      </c>
      <c r="CK54" s="98">
        <v>44165</v>
      </c>
      <c r="CL54" s="99">
        <v>4800</v>
      </c>
      <c r="CM54" s="100" t="s">
        <v>153</v>
      </c>
      <c r="CN54" s="101" t="s">
        <v>1278</v>
      </c>
      <c r="CO54" s="102">
        <v>0.08</v>
      </c>
      <c r="CP54" s="103">
        <v>88</v>
      </c>
      <c r="CQ54" s="104">
        <v>-0.03</v>
      </c>
      <c r="CR54" s="105">
        <v>-26.26</v>
      </c>
      <c r="CS54" s="106">
        <v>0.16</v>
      </c>
      <c r="CT54" s="107">
        <v>90</v>
      </c>
      <c r="CU54" s="108">
        <v>0.08</v>
      </c>
      <c r="CV54" s="109">
        <v>84</v>
      </c>
      <c r="CW54" s="110">
        <v>0.93</v>
      </c>
      <c r="CX54" s="111">
        <v>81</v>
      </c>
      <c r="CY54" s="112">
        <v>-0.61</v>
      </c>
      <c r="CZ54" s="113">
        <v>2</v>
      </c>
      <c r="DA54" s="114">
        <v>0.08</v>
      </c>
      <c r="DB54" s="115">
        <v>84</v>
      </c>
      <c r="DC54" s="116">
        <v>93.26</v>
      </c>
      <c r="DD54" s="117">
        <v>99</v>
      </c>
      <c r="DE54" s="118">
        <v>0.16</v>
      </c>
      <c r="DF54" s="119">
        <v>0.17</v>
      </c>
      <c r="DG54" s="120">
        <v>172.41</v>
      </c>
      <c r="DH54" s="121">
        <v>100</v>
      </c>
      <c r="DI54" s="122">
        <v>107.24</v>
      </c>
      <c r="DJ54" s="123">
        <v>98</v>
      </c>
      <c r="DK54" s="124">
        <v>273</v>
      </c>
      <c r="DL54" s="125">
        <v>99</v>
      </c>
      <c r="DM54" s="126">
        <v>71.81</v>
      </c>
      <c r="DN54" s="127">
        <v>99</v>
      </c>
      <c r="DO54" s="128">
        <v>107.24</v>
      </c>
      <c r="DP54" s="129">
        <v>98</v>
      </c>
      <c r="DQ54" s="130">
        <v>161232</v>
      </c>
      <c r="DR54" s="131">
        <v>2410</v>
      </c>
      <c r="DS54" s="132">
        <v>1.52</v>
      </c>
      <c r="DT54" s="133">
        <v>1153</v>
      </c>
      <c r="DU54" s="134">
        <v>-10</v>
      </c>
      <c r="DV54" s="135">
        <v>-0.86</v>
      </c>
      <c r="DW54" s="136">
        <v>33659</v>
      </c>
      <c r="DX54" s="137">
        <v>41</v>
      </c>
      <c r="DY54" s="138">
        <v>0.12</v>
      </c>
      <c r="DZ54" s="139" t="s">
        <v>191</v>
      </c>
      <c r="EA54" s="140">
        <v>44402</v>
      </c>
      <c r="EB54" s="141">
        <v>57859.77</v>
      </c>
      <c r="EC54" s="142">
        <v>44165</v>
      </c>
      <c r="ED54" s="143" t="s">
        <v>226</v>
      </c>
      <c r="EE54" s="278" t="str">
        <f>HYPERLINK("https://my.pitchbook.com?c=40779-19", "View company online")</f>
        <v>View company online</v>
      </c>
    </row>
    <row r="55" spans="1:135" x14ac:dyDescent="0.45">
      <c r="A55" s="144" t="s">
        <v>1279</v>
      </c>
      <c r="B55" s="145" t="s">
        <v>1280</v>
      </c>
      <c r="C55" s="146" t="s">
        <v>153</v>
      </c>
      <c r="D55" s="147" t="s">
        <v>153</v>
      </c>
      <c r="E55" s="148" t="s">
        <v>153</v>
      </c>
      <c r="F55" s="149" t="s">
        <v>153</v>
      </c>
      <c r="G55" s="150" t="s">
        <v>1281</v>
      </c>
      <c r="H55" s="151" t="s">
        <v>153</v>
      </c>
      <c r="I55" s="152" t="s">
        <v>1279</v>
      </c>
      <c r="J55" s="153" t="s">
        <v>1282</v>
      </c>
      <c r="K55" s="154" t="s">
        <v>198</v>
      </c>
      <c r="L55" s="155" t="s">
        <v>199</v>
      </c>
      <c r="M55" s="156" t="s">
        <v>344</v>
      </c>
      <c r="N55" s="157" t="s">
        <v>1283</v>
      </c>
      <c r="O55" s="158" t="s">
        <v>399</v>
      </c>
      <c r="P55" s="159" t="s">
        <v>1284</v>
      </c>
      <c r="Q55" s="160" t="s">
        <v>204</v>
      </c>
      <c r="R55" s="161" t="s">
        <v>153</v>
      </c>
      <c r="S55" s="162" t="s">
        <v>163</v>
      </c>
      <c r="T55" s="163" t="s">
        <v>205</v>
      </c>
      <c r="U55" s="164" t="s">
        <v>237</v>
      </c>
      <c r="V55" s="165" t="s">
        <v>153</v>
      </c>
      <c r="W55" s="166" t="s">
        <v>153</v>
      </c>
      <c r="X55" s="167" t="s">
        <v>153</v>
      </c>
      <c r="Y55" s="168" t="s">
        <v>153</v>
      </c>
      <c r="Z55" s="169" t="s">
        <v>153</v>
      </c>
      <c r="AA55" s="170">
        <v>1983</v>
      </c>
      <c r="AB55" s="171" t="s">
        <v>153</v>
      </c>
      <c r="AC55" s="172" t="s">
        <v>428</v>
      </c>
      <c r="AD55" s="173" t="s">
        <v>428</v>
      </c>
      <c r="AE55" s="174" t="s">
        <v>153</v>
      </c>
      <c r="AF55" s="175" t="s">
        <v>153</v>
      </c>
      <c r="AG55" s="176" t="s">
        <v>153</v>
      </c>
      <c r="AH55" s="177" t="s">
        <v>153</v>
      </c>
      <c r="AI55" s="178" t="s">
        <v>153</v>
      </c>
      <c r="AJ55" s="179" t="s">
        <v>153</v>
      </c>
      <c r="AK55" s="180" t="s">
        <v>153</v>
      </c>
      <c r="AL55" s="181" t="s">
        <v>153</v>
      </c>
      <c r="AM55" s="182" t="s">
        <v>153</v>
      </c>
      <c r="AN55" s="183" t="s">
        <v>153</v>
      </c>
      <c r="AO55" s="184" t="s">
        <v>1285</v>
      </c>
      <c r="AP55" s="185" t="s">
        <v>1286</v>
      </c>
      <c r="AQ55" s="186" t="s">
        <v>171</v>
      </c>
      <c r="AR55" s="187" t="s">
        <v>153</v>
      </c>
      <c r="AS55" s="188" t="s">
        <v>153</v>
      </c>
      <c r="AT55" s="189" t="s">
        <v>1287</v>
      </c>
      <c r="AU55" s="190" t="s">
        <v>1288</v>
      </c>
      <c r="AV55" s="191" t="s">
        <v>1289</v>
      </c>
      <c r="AW55" s="192" t="s">
        <v>1290</v>
      </c>
      <c r="AX55" s="193" t="s">
        <v>1291</v>
      </c>
      <c r="AY55" s="194" t="s">
        <v>1292</v>
      </c>
      <c r="AZ55" s="195" t="s">
        <v>215</v>
      </c>
      <c r="BA55" s="196" t="s">
        <v>153</v>
      </c>
      <c r="BB55" s="197" t="s">
        <v>153</v>
      </c>
      <c r="BC55" s="198" t="s">
        <v>153</v>
      </c>
      <c r="BD55" s="199" t="s">
        <v>216</v>
      </c>
      <c r="BE55" s="200" t="s">
        <v>217</v>
      </c>
      <c r="BF55" s="201" t="s">
        <v>1293</v>
      </c>
      <c r="BG55" s="202" t="s">
        <v>153</v>
      </c>
      <c r="BH55" s="203" t="s">
        <v>153</v>
      </c>
      <c r="BI55" s="204" t="s">
        <v>1294</v>
      </c>
      <c r="BJ55" s="205" t="s">
        <v>153</v>
      </c>
      <c r="BK55" s="206" t="s">
        <v>153</v>
      </c>
      <c r="BL55" s="207" t="s">
        <v>153</v>
      </c>
      <c r="BM55" s="208" t="s">
        <v>153</v>
      </c>
      <c r="BN55" s="209" t="s">
        <v>153</v>
      </c>
      <c r="BO55" s="210" t="s">
        <v>153</v>
      </c>
      <c r="BP55" s="211" t="s">
        <v>153</v>
      </c>
      <c r="BQ55" s="212">
        <v>36291</v>
      </c>
      <c r="BR55" s="213" t="s">
        <v>153</v>
      </c>
      <c r="BS55" s="214" t="s">
        <v>153</v>
      </c>
      <c r="BT55" s="215" t="s">
        <v>153</v>
      </c>
      <c r="BU55" s="216" t="s">
        <v>153</v>
      </c>
      <c r="BV55" s="217" t="s">
        <v>251</v>
      </c>
      <c r="BW55" s="218" t="s">
        <v>153</v>
      </c>
      <c r="BX55" s="219" t="s">
        <v>153</v>
      </c>
      <c r="BY55" s="220" t="s">
        <v>252</v>
      </c>
      <c r="BZ55" s="221" t="s">
        <v>153</v>
      </c>
      <c r="CA55" s="222" t="s">
        <v>190</v>
      </c>
      <c r="CB55" s="223">
        <v>36710</v>
      </c>
      <c r="CC55" s="224">
        <v>44000</v>
      </c>
      <c r="CD55" s="225" t="s">
        <v>186</v>
      </c>
      <c r="CE55" s="226">
        <v>44000</v>
      </c>
      <c r="CF55" s="227" t="s">
        <v>186</v>
      </c>
      <c r="CG55" s="228" t="s">
        <v>226</v>
      </c>
      <c r="CH55" s="229" t="s">
        <v>153</v>
      </c>
      <c r="CI55" s="230" t="s">
        <v>153</v>
      </c>
      <c r="CJ55" s="231" t="s">
        <v>225</v>
      </c>
      <c r="CK55" s="232">
        <v>36710</v>
      </c>
      <c r="CL55" s="233" t="s">
        <v>153</v>
      </c>
      <c r="CM55" s="234" t="s">
        <v>153</v>
      </c>
      <c r="CN55" s="235" t="s">
        <v>190</v>
      </c>
      <c r="CO55" s="236" t="s">
        <v>153</v>
      </c>
      <c r="CP55" s="237" t="s">
        <v>153</v>
      </c>
      <c r="CQ55" s="238" t="s">
        <v>153</v>
      </c>
      <c r="CR55" s="239" t="s">
        <v>153</v>
      </c>
      <c r="CS55" s="240" t="s">
        <v>153</v>
      </c>
      <c r="CT55" s="241" t="s">
        <v>153</v>
      </c>
      <c r="CU55" s="242" t="s">
        <v>153</v>
      </c>
      <c r="CV55" s="243" t="s">
        <v>153</v>
      </c>
      <c r="CW55" s="244" t="s">
        <v>153</v>
      </c>
      <c r="CX55" s="245" t="s">
        <v>153</v>
      </c>
      <c r="CY55" s="246" t="s">
        <v>153</v>
      </c>
      <c r="CZ55" s="247" t="s">
        <v>153</v>
      </c>
      <c r="DA55" s="248" t="s">
        <v>153</v>
      </c>
      <c r="DB55" s="249" t="s">
        <v>153</v>
      </c>
      <c r="DC55" s="250" t="s">
        <v>153</v>
      </c>
      <c r="DD55" s="251" t="s">
        <v>153</v>
      </c>
      <c r="DE55" s="252" t="s">
        <v>153</v>
      </c>
      <c r="DF55" s="253" t="s">
        <v>153</v>
      </c>
      <c r="DG55" s="254" t="s">
        <v>153</v>
      </c>
      <c r="DH55" s="255" t="s">
        <v>153</v>
      </c>
      <c r="DI55" s="256" t="s">
        <v>153</v>
      </c>
      <c r="DJ55" s="257" t="s">
        <v>153</v>
      </c>
      <c r="DK55" s="258" t="s">
        <v>153</v>
      </c>
      <c r="DL55" s="259" t="s">
        <v>153</v>
      </c>
      <c r="DM55" s="260" t="s">
        <v>153</v>
      </c>
      <c r="DN55" s="261" t="s">
        <v>153</v>
      </c>
      <c r="DO55" s="262" t="s">
        <v>153</v>
      </c>
      <c r="DP55" s="263" t="s">
        <v>153</v>
      </c>
      <c r="DQ55" s="264" t="s">
        <v>153</v>
      </c>
      <c r="DR55" s="265" t="s">
        <v>153</v>
      </c>
      <c r="DS55" s="266" t="s">
        <v>153</v>
      </c>
      <c r="DT55" s="267" t="s">
        <v>153</v>
      </c>
      <c r="DU55" s="268" t="s">
        <v>153</v>
      </c>
      <c r="DV55" s="269" t="s">
        <v>153</v>
      </c>
      <c r="DW55" s="270" t="s">
        <v>153</v>
      </c>
      <c r="DX55" s="271" t="s">
        <v>153</v>
      </c>
      <c r="DY55" s="272" t="s">
        <v>153</v>
      </c>
      <c r="DZ55" s="273" t="s">
        <v>191</v>
      </c>
      <c r="EA55" s="274">
        <v>43755</v>
      </c>
      <c r="EB55" s="275">
        <v>44000</v>
      </c>
      <c r="EC55" s="276">
        <v>36710</v>
      </c>
      <c r="ED55" s="277" t="s">
        <v>226</v>
      </c>
      <c r="EE55" s="279" t="str">
        <f>HYPERLINK("https://my.pitchbook.com?c=161782-93", "View company online")</f>
        <v>View company online</v>
      </c>
    </row>
    <row r="56" spans="1:135" x14ac:dyDescent="0.45">
      <c r="A56" s="10" t="s">
        <v>1295</v>
      </c>
      <c r="B56" s="11" t="s">
        <v>1296</v>
      </c>
      <c r="C56" s="12" t="s">
        <v>153</v>
      </c>
      <c r="D56" s="13" t="s">
        <v>153</v>
      </c>
      <c r="E56" s="14" t="s">
        <v>153</v>
      </c>
      <c r="F56" s="15" t="s">
        <v>153</v>
      </c>
      <c r="G56" s="16" t="s">
        <v>1297</v>
      </c>
      <c r="H56" s="17" t="s">
        <v>1298</v>
      </c>
      <c r="I56" s="18" t="s">
        <v>1295</v>
      </c>
      <c r="J56" s="19" t="s">
        <v>1299</v>
      </c>
      <c r="K56" s="20" t="s">
        <v>792</v>
      </c>
      <c r="L56" s="21" t="s">
        <v>841</v>
      </c>
      <c r="M56" s="22" t="s">
        <v>913</v>
      </c>
      <c r="N56" s="23" t="s">
        <v>1300</v>
      </c>
      <c r="O56" s="24" t="s">
        <v>796</v>
      </c>
      <c r="P56" s="25" t="s">
        <v>1301</v>
      </c>
      <c r="Q56" s="26" t="s">
        <v>204</v>
      </c>
      <c r="R56" s="27" t="s">
        <v>153</v>
      </c>
      <c r="S56" s="28" t="s">
        <v>163</v>
      </c>
      <c r="T56" s="29" t="s">
        <v>205</v>
      </c>
      <c r="U56" s="30" t="s">
        <v>237</v>
      </c>
      <c r="V56" s="31" t="s">
        <v>1302</v>
      </c>
      <c r="W56" s="32">
        <v>26000</v>
      </c>
      <c r="X56" s="33" t="s">
        <v>1303</v>
      </c>
      <c r="Y56" s="34" t="s">
        <v>153</v>
      </c>
      <c r="Z56" s="35" t="s">
        <v>153</v>
      </c>
      <c r="AA56" s="36">
        <v>1907</v>
      </c>
      <c r="AB56" s="37" t="s">
        <v>153</v>
      </c>
      <c r="AC56" s="38" t="s">
        <v>153</v>
      </c>
      <c r="AD56" s="39" t="s">
        <v>428</v>
      </c>
      <c r="AE56" s="40" t="s">
        <v>153</v>
      </c>
      <c r="AF56" s="41" t="s">
        <v>153</v>
      </c>
      <c r="AG56" s="42" t="s">
        <v>153</v>
      </c>
      <c r="AH56" s="43" t="s">
        <v>153</v>
      </c>
      <c r="AI56" s="44" t="s">
        <v>153</v>
      </c>
      <c r="AJ56" s="45" t="s">
        <v>153</v>
      </c>
      <c r="AK56" s="46" t="s">
        <v>153</v>
      </c>
      <c r="AL56" s="47" t="s">
        <v>153</v>
      </c>
      <c r="AM56" s="48" t="s">
        <v>153</v>
      </c>
      <c r="AN56" s="49" t="s">
        <v>153</v>
      </c>
      <c r="AO56" s="50" t="s">
        <v>153</v>
      </c>
      <c r="AP56" s="51" t="s">
        <v>153</v>
      </c>
      <c r="AQ56" s="52" t="s">
        <v>153</v>
      </c>
      <c r="AR56" s="53" t="s">
        <v>153</v>
      </c>
      <c r="AS56" s="54" t="s">
        <v>153</v>
      </c>
      <c r="AT56" s="55" t="s">
        <v>1304</v>
      </c>
      <c r="AU56" s="56" t="s">
        <v>1305</v>
      </c>
      <c r="AV56" s="57" t="s">
        <v>153</v>
      </c>
      <c r="AW56" s="58" t="s">
        <v>1306</v>
      </c>
      <c r="AX56" s="59" t="s">
        <v>213</v>
      </c>
      <c r="AY56" s="60" t="s">
        <v>1307</v>
      </c>
      <c r="AZ56" s="61" t="s">
        <v>215</v>
      </c>
      <c r="BA56" s="62" t="s">
        <v>153</v>
      </c>
      <c r="BB56" s="63" t="s">
        <v>153</v>
      </c>
      <c r="BC56" s="64" t="s">
        <v>153</v>
      </c>
      <c r="BD56" s="65" t="s">
        <v>216</v>
      </c>
      <c r="BE56" s="66" t="s">
        <v>217</v>
      </c>
      <c r="BF56" s="67" t="s">
        <v>1308</v>
      </c>
      <c r="BG56" s="68" t="s">
        <v>153</v>
      </c>
      <c r="BH56" s="69" t="s">
        <v>153</v>
      </c>
      <c r="BI56" s="70" t="s">
        <v>1309</v>
      </c>
      <c r="BJ56" s="71" t="s">
        <v>153</v>
      </c>
      <c r="BK56" s="72" t="s">
        <v>153</v>
      </c>
      <c r="BL56" s="73" t="s">
        <v>153</v>
      </c>
      <c r="BM56" s="74" t="s">
        <v>153</v>
      </c>
      <c r="BN56" s="75" t="s">
        <v>153</v>
      </c>
      <c r="BO56" s="76" t="s">
        <v>1310</v>
      </c>
      <c r="BP56" s="77" t="s">
        <v>1311</v>
      </c>
      <c r="BQ56" s="78">
        <v>33756</v>
      </c>
      <c r="BR56" s="79" t="s">
        <v>153</v>
      </c>
      <c r="BS56" s="80" t="s">
        <v>153</v>
      </c>
      <c r="BT56" s="81" t="s">
        <v>153</v>
      </c>
      <c r="BU56" s="82" t="s">
        <v>153</v>
      </c>
      <c r="BV56" s="83" t="s">
        <v>251</v>
      </c>
      <c r="BW56" s="84" t="s">
        <v>153</v>
      </c>
      <c r="BX56" s="85" t="s">
        <v>153</v>
      </c>
      <c r="BY56" s="86" t="s">
        <v>252</v>
      </c>
      <c r="BZ56" s="87" t="s">
        <v>153</v>
      </c>
      <c r="CA56" s="88" t="s">
        <v>190</v>
      </c>
      <c r="CB56" s="89">
        <v>43404</v>
      </c>
      <c r="CC56" s="90">
        <v>43288</v>
      </c>
      <c r="CD56" s="91" t="s">
        <v>186</v>
      </c>
      <c r="CE56" s="92">
        <v>43288</v>
      </c>
      <c r="CF56" s="93" t="s">
        <v>187</v>
      </c>
      <c r="CG56" s="94" t="s">
        <v>226</v>
      </c>
      <c r="CH56" s="95" t="s">
        <v>153</v>
      </c>
      <c r="CI56" s="96" t="s">
        <v>153</v>
      </c>
      <c r="CJ56" s="97" t="s">
        <v>225</v>
      </c>
      <c r="CK56" s="98">
        <v>43404</v>
      </c>
      <c r="CL56" s="99" t="s">
        <v>153</v>
      </c>
      <c r="CM56" s="100" t="s">
        <v>153</v>
      </c>
      <c r="CN56" s="101" t="s">
        <v>190</v>
      </c>
      <c r="CO56" s="102" t="s">
        <v>153</v>
      </c>
      <c r="CP56" s="103" t="s">
        <v>153</v>
      </c>
      <c r="CQ56" s="104" t="s">
        <v>153</v>
      </c>
      <c r="CR56" s="105" t="s">
        <v>153</v>
      </c>
      <c r="CS56" s="106" t="s">
        <v>153</v>
      </c>
      <c r="CT56" s="107" t="s">
        <v>153</v>
      </c>
      <c r="CU56" s="108" t="s">
        <v>153</v>
      </c>
      <c r="CV56" s="109" t="s">
        <v>153</v>
      </c>
      <c r="CW56" s="110" t="s">
        <v>153</v>
      </c>
      <c r="CX56" s="111" t="s">
        <v>153</v>
      </c>
      <c r="CY56" s="112" t="s">
        <v>153</v>
      </c>
      <c r="CZ56" s="113" t="s">
        <v>153</v>
      </c>
      <c r="DA56" s="114" t="s">
        <v>153</v>
      </c>
      <c r="DB56" s="115" t="s">
        <v>153</v>
      </c>
      <c r="DC56" s="116" t="s">
        <v>153</v>
      </c>
      <c r="DD56" s="117" t="s">
        <v>153</v>
      </c>
      <c r="DE56" s="118" t="s">
        <v>153</v>
      </c>
      <c r="DF56" s="119" t="s">
        <v>153</v>
      </c>
      <c r="DG56" s="120" t="s">
        <v>153</v>
      </c>
      <c r="DH56" s="121" t="s">
        <v>153</v>
      </c>
      <c r="DI56" s="122" t="s">
        <v>153</v>
      </c>
      <c r="DJ56" s="123" t="s">
        <v>153</v>
      </c>
      <c r="DK56" s="124" t="s">
        <v>153</v>
      </c>
      <c r="DL56" s="125" t="s">
        <v>153</v>
      </c>
      <c r="DM56" s="126" t="s">
        <v>153</v>
      </c>
      <c r="DN56" s="127" t="s">
        <v>153</v>
      </c>
      <c r="DO56" s="128" t="s">
        <v>153</v>
      </c>
      <c r="DP56" s="129" t="s">
        <v>153</v>
      </c>
      <c r="DQ56" s="130" t="s">
        <v>153</v>
      </c>
      <c r="DR56" s="131" t="s">
        <v>153</v>
      </c>
      <c r="DS56" s="132" t="s">
        <v>153</v>
      </c>
      <c r="DT56" s="133" t="s">
        <v>153</v>
      </c>
      <c r="DU56" s="134" t="s">
        <v>153</v>
      </c>
      <c r="DV56" s="135" t="s">
        <v>153</v>
      </c>
      <c r="DW56" s="136" t="s">
        <v>153</v>
      </c>
      <c r="DX56" s="137" t="s">
        <v>153</v>
      </c>
      <c r="DY56" s="138" t="s">
        <v>153</v>
      </c>
      <c r="DZ56" s="139" t="s">
        <v>191</v>
      </c>
      <c r="EA56" s="140">
        <v>44325</v>
      </c>
      <c r="EB56" s="141">
        <v>43288</v>
      </c>
      <c r="EC56" s="142">
        <v>43404</v>
      </c>
      <c r="ED56" s="143" t="s">
        <v>226</v>
      </c>
      <c r="EE56" s="278" t="str">
        <f>HYPERLINK("https://my.pitchbook.com?c=25269-94", "View company online")</f>
        <v>View company online</v>
      </c>
    </row>
    <row r="57" spans="1:135" x14ac:dyDescent="0.45">
      <c r="A57" s="144" t="s">
        <v>1312</v>
      </c>
      <c r="B57" s="145" t="s">
        <v>1313</v>
      </c>
      <c r="C57" s="146" t="s">
        <v>153</v>
      </c>
      <c r="D57" s="147" t="s">
        <v>153</v>
      </c>
      <c r="E57" s="148" t="s">
        <v>1314</v>
      </c>
      <c r="F57" s="149" t="s">
        <v>1315</v>
      </c>
      <c r="G57" s="150" t="s">
        <v>1316</v>
      </c>
      <c r="H57" s="151" t="s">
        <v>1317</v>
      </c>
      <c r="I57" s="152" t="s">
        <v>1312</v>
      </c>
      <c r="J57" s="153" t="s">
        <v>1318</v>
      </c>
      <c r="K57" s="154" t="s">
        <v>157</v>
      </c>
      <c r="L57" s="155" t="s">
        <v>421</v>
      </c>
      <c r="M57" s="156" t="s">
        <v>503</v>
      </c>
      <c r="N57" s="157" t="s">
        <v>504</v>
      </c>
      <c r="O57" s="158" t="s">
        <v>399</v>
      </c>
      <c r="P57" s="159" t="s">
        <v>1319</v>
      </c>
      <c r="Q57" s="160" t="s">
        <v>204</v>
      </c>
      <c r="R57" s="161" t="s">
        <v>153</v>
      </c>
      <c r="S57" s="162" t="s">
        <v>290</v>
      </c>
      <c r="T57" s="163" t="s">
        <v>164</v>
      </c>
      <c r="U57" s="164" t="s">
        <v>369</v>
      </c>
      <c r="V57" s="165" t="s">
        <v>1320</v>
      </c>
      <c r="W57" s="166">
        <v>25000</v>
      </c>
      <c r="X57" s="167" t="s">
        <v>1321</v>
      </c>
      <c r="Y57" s="168" t="s">
        <v>153</v>
      </c>
      <c r="Z57" s="169" t="s">
        <v>153</v>
      </c>
      <c r="AA57" s="170">
        <v>1990</v>
      </c>
      <c r="AB57" s="171" t="s">
        <v>402</v>
      </c>
      <c r="AC57" s="172" t="s">
        <v>1264</v>
      </c>
      <c r="AD57" s="173" t="s">
        <v>1322</v>
      </c>
      <c r="AE57" s="174" t="s">
        <v>153</v>
      </c>
      <c r="AF57" s="175" t="s">
        <v>153</v>
      </c>
      <c r="AG57" s="176" t="s">
        <v>153</v>
      </c>
      <c r="AH57" s="177" t="s">
        <v>153</v>
      </c>
      <c r="AI57" s="178" t="s">
        <v>153</v>
      </c>
      <c r="AJ57" s="179" t="s">
        <v>153</v>
      </c>
      <c r="AK57" s="180" t="s">
        <v>153</v>
      </c>
      <c r="AL57" s="181" t="s">
        <v>153</v>
      </c>
      <c r="AM57" s="182" t="s">
        <v>153</v>
      </c>
      <c r="AN57" s="183" t="s">
        <v>1323</v>
      </c>
      <c r="AO57" s="184" t="s">
        <v>1324</v>
      </c>
      <c r="AP57" s="185" t="s">
        <v>1325</v>
      </c>
      <c r="AQ57" s="186" t="s">
        <v>512</v>
      </c>
      <c r="AR57" s="187" t="s">
        <v>1326</v>
      </c>
      <c r="AS57" s="188" t="s">
        <v>1327</v>
      </c>
      <c r="AT57" s="189" t="s">
        <v>433</v>
      </c>
      <c r="AU57" s="190" t="s">
        <v>1328</v>
      </c>
      <c r="AV57" s="191" t="s">
        <v>153</v>
      </c>
      <c r="AW57" s="192" t="s">
        <v>436</v>
      </c>
      <c r="AX57" s="193" t="s">
        <v>436</v>
      </c>
      <c r="AY57" s="194" t="s">
        <v>1329</v>
      </c>
      <c r="AZ57" s="195" t="s">
        <v>215</v>
      </c>
      <c r="BA57" s="196" t="s">
        <v>1327</v>
      </c>
      <c r="BB57" s="197" t="s">
        <v>153</v>
      </c>
      <c r="BC57" s="198" t="s">
        <v>153</v>
      </c>
      <c r="BD57" s="199" t="s">
        <v>216</v>
      </c>
      <c r="BE57" s="200" t="s">
        <v>217</v>
      </c>
      <c r="BF57" s="201" t="s">
        <v>1330</v>
      </c>
      <c r="BG57" s="202" t="s">
        <v>402</v>
      </c>
      <c r="BH57" s="203">
        <v>1</v>
      </c>
      <c r="BI57" s="204" t="s">
        <v>153</v>
      </c>
      <c r="BJ57" s="205" t="s">
        <v>1331</v>
      </c>
      <c r="BK57" s="206" t="s">
        <v>1332</v>
      </c>
      <c r="BL57" s="207" t="s">
        <v>1333</v>
      </c>
      <c r="BM57" s="208" t="s">
        <v>1334</v>
      </c>
      <c r="BN57" s="209" t="s">
        <v>1335</v>
      </c>
      <c r="BO57" s="210" t="s">
        <v>1336</v>
      </c>
      <c r="BP57" s="211" t="s">
        <v>1337</v>
      </c>
      <c r="BQ57" s="212">
        <v>33682</v>
      </c>
      <c r="BR57" s="213" t="s">
        <v>153</v>
      </c>
      <c r="BS57" s="214" t="s">
        <v>153</v>
      </c>
      <c r="BT57" s="215" t="s">
        <v>153</v>
      </c>
      <c r="BU57" s="216" t="s">
        <v>153</v>
      </c>
      <c r="BV57" s="217" t="s">
        <v>251</v>
      </c>
      <c r="BW57" s="218" t="s">
        <v>153</v>
      </c>
      <c r="BX57" s="219" t="s">
        <v>153</v>
      </c>
      <c r="BY57" s="220" t="s">
        <v>252</v>
      </c>
      <c r="BZ57" s="221" t="s">
        <v>153</v>
      </c>
      <c r="CA57" s="222" t="s">
        <v>190</v>
      </c>
      <c r="CB57" s="223">
        <v>44333</v>
      </c>
      <c r="CC57" s="224">
        <v>43000</v>
      </c>
      <c r="CD57" s="225" t="s">
        <v>186</v>
      </c>
      <c r="CE57" s="226">
        <v>43000</v>
      </c>
      <c r="CF57" s="227" t="s">
        <v>186</v>
      </c>
      <c r="CG57" s="228" t="s">
        <v>226</v>
      </c>
      <c r="CH57" s="229" t="s">
        <v>153</v>
      </c>
      <c r="CI57" s="230" t="s">
        <v>153</v>
      </c>
      <c r="CJ57" s="231" t="s">
        <v>225</v>
      </c>
      <c r="CK57" s="232">
        <v>44333</v>
      </c>
      <c r="CL57" s="233" t="s">
        <v>153</v>
      </c>
      <c r="CM57" s="234" t="s">
        <v>1338</v>
      </c>
      <c r="CN57" s="235" t="s">
        <v>1278</v>
      </c>
      <c r="CO57" s="236">
        <v>0.05</v>
      </c>
      <c r="CP57" s="237">
        <v>88</v>
      </c>
      <c r="CQ57" s="238">
        <v>-0.09</v>
      </c>
      <c r="CR57" s="239">
        <v>-65.5</v>
      </c>
      <c r="CS57" s="240">
        <v>-0.57999999999999996</v>
      </c>
      <c r="CT57" s="241">
        <v>5</v>
      </c>
      <c r="CU57" s="242">
        <v>0.67</v>
      </c>
      <c r="CV57" s="243">
        <v>97</v>
      </c>
      <c r="CW57" s="244">
        <v>2.81</v>
      </c>
      <c r="CX57" s="245">
        <v>89</v>
      </c>
      <c r="CY57" s="246">
        <v>-3.97</v>
      </c>
      <c r="CZ57" s="247">
        <v>1</v>
      </c>
      <c r="DA57" s="248">
        <v>0.67</v>
      </c>
      <c r="DB57" s="249">
        <v>97</v>
      </c>
      <c r="DC57" s="250">
        <v>191.31</v>
      </c>
      <c r="DD57" s="251">
        <v>100</v>
      </c>
      <c r="DE57" s="252">
        <v>1.95</v>
      </c>
      <c r="DF57" s="253">
        <v>1.03</v>
      </c>
      <c r="DG57" s="254">
        <v>148.81</v>
      </c>
      <c r="DH57" s="255">
        <v>100</v>
      </c>
      <c r="DI57" s="256">
        <v>233.81</v>
      </c>
      <c r="DJ57" s="257">
        <v>99</v>
      </c>
      <c r="DK57" s="258">
        <v>68.86</v>
      </c>
      <c r="DL57" s="259">
        <v>96</v>
      </c>
      <c r="DM57" s="260">
        <v>228.75</v>
      </c>
      <c r="DN57" s="261">
        <v>100</v>
      </c>
      <c r="DO57" s="262">
        <v>233.81</v>
      </c>
      <c r="DP57" s="263">
        <v>99</v>
      </c>
      <c r="DQ57" s="264">
        <v>40795</v>
      </c>
      <c r="DR57" s="265">
        <v>141</v>
      </c>
      <c r="DS57" s="266">
        <v>0.35</v>
      </c>
      <c r="DT57" s="267">
        <v>3636</v>
      </c>
      <c r="DU57" s="268">
        <v>62</v>
      </c>
      <c r="DV57" s="269">
        <v>1.73</v>
      </c>
      <c r="DW57" s="270">
        <v>73340</v>
      </c>
      <c r="DX57" s="271">
        <v>302</v>
      </c>
      <c r="DY57" s="272">
        <v>0.41</v>
      </c>
      <c r="DZ57" s="273" t="s">
        <v>191</v>
      </c>
      <c r="EA57" s="274">
        <v>44391</v>
      </c>
      <c r="EB57" s="275">
        <v>43000</v>
      </c>
      <c r="EC57" s="276">
        <v>44333</v>
      </c>
      <c r="ED57" s="277" t="s">
        <v>226</v>
      </c>
      <c r="EE57" s="279" t="str">
        <f>HYPERLINK("https://my.pitchbook.com?c=11634-76", "View company online")</f>
        <v>View company online</v>
      </c>
    </row>
    <row r="58" spans="1:135" x14ac:dyDescent="0.45">
      <c r="A58" s="10" t="s">
        <v>1339</v>
      </c>
      <c r="B58" s="11" t="s">
        <v>1340</v>
      </c>
      <c r="C58" s="12" t="s">
        <v>153</v>
      </c>
      <c r="D58" s="13" t="s">
        <v>153</v>
      </c>
      <c r="E58" s="14" t="s">
        <v>1341</v>
      </c>
      <c r="F58" s="15" t="s">
        <v>153</v>
      </c>
      <c r="G58" s="16" t="s">
        <v>1342</v>
      </c>
      <c r="H58" s="17" t="s">
        <v>1343</v>
      </c>
      <c r="I58" s="18" t="s">
        <v>1339</v>
      </c>
      <c r="J58" s="19" t="s">
        <v>1344</v>
      </c>
      <c r="K58" s="20" t="s">
        <v>559</v>
      </c>
      <c r="L58" s="21" t="s">
        <v>1345</v>
      </c>
      <c r="M58" s="22" t="s">
        <v>1346</v>
      </c>
      <c r="N58" s="23" t="s">
        <v>1347</v>
      </c>
      <c r="O58" s="24" t="s">
        <v>1348</v>
      </c>
      <c r="P58" s="25" t="s">
        <v>1349</v>
      </c>
      <c r="Q58" s="26" t="s">
        <v>204</v>
      </c>
      <c r="R58" s="27" t="s">
        <v>153</v>
      </c>
      <c r="S58" s="28" t="s">
        <v>163</v>
      </c>
      <c r="T58" s="29" t="s">
        <v>205</v>
      </c>
      <c r="U58" s="30" t="s">
        <v>237</v>
      </c>
      <c r="V58" s="31" t="s">
        <v>1350</v>
      </c>
      <c r="W58" s="32">
        <v>64200</v>
      </c>
      <c r="X58" s="33" t="s">
        <v>1351</v>
      </c>
      <c r="Y58" s="34" t="s">
        <v>153</v>
      </c>
      <c r="Z58" s="35" t="s">
        <v>153</v>
      </c>
      <c r="AA58" s="36">
        <v>1902</v>
      </c>
      <c r="AB58" s="37" t="s">
        <v>153</v>
      </c>
      <c r="AC58" s="38" t="s">
        <v>153</v>
      </c>
      <c r="AD58" s="39" t="s">
        <v>153</v>
      </c>
      <c r="AE58" s="40" t="s">
        <v>153</v>
      </c>
      <c r="AF58" s="41" t="s">
        <v>153</v>
      </c>
      <c r="AG58" s="42" t="s">
        <v>153</v>
      </c>
      <c r="AH58" s="43" t="s">
        <v>153</v>
      </c>
      <c r="AI58" s="44" t="s">
        <v>153</v>
      </c>
      <c r="AJ58" s="45" t="s">
        <v>153</v>
      </c>
      <c r="AK58" s="46" t="s">
        <v>153</v>
      </c>
      <c r="AL58" s="47" t="s">
        <v>153</v>
      </c>
      <c r="AM58" s="48" t="s">
        <v>153</v>
      </c>
      <c r="AN58" s="49" t="s">
        <v>1352</v>
      </c>
      <c r="AO58" s="50" t="s">
        <v>153</v>
      </c>
      <c r="AP58" s="51" t="s">
        <v>153</v>
      </c>
      <c r="AQ58" s="52" t="s">
        <v>153</v>
      </c>
      <c r="AR58" s="53" t="s">
        <v>153</v>
      </c>
      <c r="AS58" s="54" t="s">
        <v>153</v>
      </c>
      <c r="AT58" s="55" t="s">
        <v>1353</v>
      </c>
      <c r="AU58" s="56" t="s">
        <v>1354</v>
      </c>
      <c r="AV58" s="57" t="s">
        <v>153</v>
      </c>
      <c r="AW58" s="58" t="s">
        <v>1355</v>
      </c>
      <c r="AX58" s="59" t="s">
        <v>1356</v>
      </c>
      <c r="AY58" s="60" t="s">
        <v>1357</v>
      </c>
      <c r="AZ58" s="61" t="s">
        <v>1358</v>
      </c>
      <c r="BA58" s="62" t="s">
        <v>153</v>
      </c>
      <c r="BB58" s="63" t="s">
        <v>153</v>
      </c>
      <c r="BC58" s="64" t="s">
        <v>153</v>
      </c>
      <c r="BD58" s="65" t="s">
        <v>216</v>
      </c>
      <c r="BE58" s="66" t="s">
        <v>217</v>
      </c>
      <c r="BF58" s="67" t="s">
        <v>1359</v>
      </c>
      <c r="BG58" s="68" t="s">
        <v>153</v>
      </c>
      <c r="BH58" s="69" t="s">
        <v>153</v>
      </c>
      <c r="BI58" s="70" t="s">
        <v>1343</v>
      </c>
      <c r="BJ58" s="71" t="s">
        <v>153</v>
      </c>
      <c r="BK58" s="72" t="s">
        <v>1360</v>
      </c>
      <c r="BL58" s="73" t="s">
        <v>153</v>
      </c>
      <c r="BM58" s="74" t="s">
        <v>153</v>
      </c>
      <c r="BN58" s="75" t="s">
        <v>1361</v>
      </c>
      <c r="BO58" s="76" t="s">
        <v>1362</v>
      </c>
      <c r="BP58" s="77" t="s">
        <v>1363</v>
      </c>
      <c r="BQ58" s="78">
        <v>34711</v>
      </c>
      <c r="BR58" s="79" t="s">
        <v>153</v>
      </c>
      <c r="BS58" s="80" t="s">
        <v>153</v>
      </c>
      <c r="BT58" s="81" t="s">
        <v>153</v>
      </c>
      <c r="BU58" s="82" t="s">
        <v>153</v>
      </c>
      <c r="BV58" s="83" t="s">
        <v>251</v>
      </c>
      <c r="BW58" s="84" t="s">
        <v>153</v>
      </c>
      <c r="BX58" s="85" t="s">
        <v>153</v>
      </c>
      <c r="BY58" s="86" t="s">
        <v>252</v>
      </c>
      <c r="BZ58" s="87" t="s">
        <v>153</v>
      </c>
      <c r="CA58" s="88" t="s">
        <v>190</v>
      </c>
      <c r="CB58" s="89">
        <v>39400</v>
      </c>
      <c r="CC58" s="90">
        <v>41367.57</v>
      </c>
      <c r="CD58" s="91" t="s">
        <v>186</v>
      </c>
      <c r="CE58" s="92">
        <v>41367.57</v>
      </c>
      <c r="CF58" s="93" t="s">
        <v>187</v>
      </c>
      <c r="CG58" s="94" t="s">
        <v>226</v>
      </c>
      <c r="CH58" s="95" t="s">
        <v>153</v>
      </c>
      <c r="CI58" s="96" t="s">
        <v>153</v>
      </c>
      <c r="CJ58" s="97" t="s">
        <v>225</v>
      </c>
      <c r="CK58" s="98">
        <v>39400</v>
      </c>
      <c r="CL58" s="99" t="s">
        <v>153</v>
      </c>
      <c r="CM58" s="100" t="s">
        <v>153</v>
      </c>
      <c r="CN58" s="101" t="s">
        <v>190</v>
      </c>
      <c r="CO58" s="102" t="s">
        <v>153</v>
      </c>
      <c r="CP58" s="103" t="s">
        <v>153</v>
      </c>
      <c r="CQ58" s="104" t="s">
        <v>153</v>
      </c>
      <c r="CR58" s="105" t="s">
        <v>153</v>
      </c>
      <c r="CS58" s="106" t="s">
        <v>153</v>
      </c>
      <c r="CT58" s="107" t="s">
        <v>153</v>
      </c>
      <c r="CU58" s="108" t="s">
        <v>153</v>
      </c>
      <c r="CV58" s="109" t="s">
        <v>153</v>
      </c>
      <c r="CW58" s="110" t="s">
        <v>153</v>
      </c>
      <c r="CX58" s="111" t="s">
        <v>153</v>
      </c>
      <c r="CY58" s="112" t="s">
        <v>153</v>
      </c>
      <c r="CZ58" s="113" t="s">
        <v>153</v>
      </c>
      <c r="DA58" s="114" t="s">
        <v>153</v>
      </c>
      <c r="DB58" s="115" t="s">
        <v>153</v>
      </c>
      <c r="DC58" s="116" t="s">
        <v>153</v>
      </c>
      <c r="DD58" s="117" t="s">
        <v>153</v>
      </c>
      <c r="DE58" s="118" t="s">
        <v>153</v>
      </c>
      <c r="DF58" s="119" t="s">
        <v>153</v>
      </c>
      <c r="DG58" s="120" t="s">
        <v>153</v>
      </c>
      <c r="DH58" s="121" t="s">
        <v>153</v>
      </c>
      <c r="DI58" s="122" t="s">
        <v>153</v>
      </c>
      <c r="DJ58" s="123" t="s">
        <v>153</v>
      </c>
      <c r="DK58" s="124" t="s">
        <v>153</v>
      </c>
      <c r="DL58" s="125" t="s">
        <v>153</v>
      </c>
      <c r="DM58" s="126" t="s">
        <v>153</v>
      </c>
      <c r="DN58" s="127" t="s">
        <v>153</v>
      </c>
      <c r="DO58" s="128" t="s">
        <v>153</v>
      </c>
      <c r="DP58" s="129" t="s">
        <v>153</v>
      </c>
      <c r="DQ58" s="130" t="s">
        <v>153</v>
      </c>
      <c r="DR58" s="131" t="s">
        <v>153</v>
      </c>
      <c r="DS58" s="132" t="s">
        <v>153</v>
      </c>
      <c r="DT58" s="133" t="s">
        <v>153</v>
      </c>
      <c r="DU58" s="134" t="s">
        <v>153</v>
      </c>
      <c r="DV58" s="135" t="s">
        <v>153</v>
      </c>
      <c r="DW58" s="136" t="s">
        <v>153</v>
      </c>
      <c r="DX58" s="137" t="s">
        <v>153</v>
      </c>
      <c r="DY58" s="138" t="s">
        <v>153</v>
      </c>
      <c r="DZ58" s="139" t="s">
        <v>191</v>
      </c>
      <c r="EA58" s="140">
        <v>44351</v>
      </c>
      <c r="EB58" s="141">
        <v>41367.57</v>
      </c>
      <c r="EC58" s="142">
        <v>39400</v>
      </c>
      <c r="ED58" s="143" t="s">
        <v>226</v>
      </c>
      <c r="EE58" s="278" t="str">
        <f>HYPERLINK("https://my.pitchbook.com?c=62022-25", "View company online")</f>
        <v>View company online</v>
      </c>
    </row>
    <row r="59" spans="1:135" x14ac:dyDescent="0.45">
      <c r="A59" s="144" t="s">
        <v>1364</v>
      </c>
      <c r="B59" s="145" t="s">
        <v>1365</v>
      </c>
      <c r="C59" s="146" t="s">
        <v>153</v>
      </c>
      <c r="D59" s="147" t="s">
        <v>153</v>
      </c>
      <c r="E59" s="148" t="s">
        <v>153</v>
      </c>
      <c r="F59" s="149" t="s">
        <v>1366</v>
      </c>
      <c r="G59" s="150" t="s">
        <v>1367</v>
      </c>
      <c r="H59" s="151" t="s">
        <v>153</v>
      </c>
      <c r="I59" s="152" t="s">
        <v>1364</v>
      </c>
      <c r="J59" s="153" t="s">
        <v>1368</v>
      </c>
      <c r="K59" s="154" t="s">
        <v>882</v>
      </c>
      <c r="L59" s="155" t="s">
        <v>883</v>
      </c>
      <c r="M59" s="156" t="s">
        <v>1369</v>
      </c>
      <c r="N59" s="157" t="s">
        <v>1370</v>
      </c>
      <c r="O59" s="158" t="s">
        <v>261</v>
      </c>
      <c r="P59" s="159" t="s">
        <v>1371</v>
      </c>
      <c r="Q59" s="160" t="s">
        <v>204</v>
      </c>
      <c r="R59" s="161" t="s">
        <v>153</v>
      </c>
      <c r="S59" s="162" t="s">
        <v>163</v>
      </c>
      <c r="T59" s="163" t="s">
        <v>205</v>
      </c>
      <c r="U59" s="164" t="s">
        <v>206</v>
      </c>
      <c r="V59" s="165" t="s">
        <v>153</v>
      </c>
      <c r="W59" s="166">
        <v>1700</v>
      </c>
      <c r="X59" s="167" t="s">
        <v>1372</v>
      </c>
      <c r="Y59" s="168" t="s">
        <v>153</v>
      </c>
      <c r="Z59" s="169" t="s">
        <v>153</v>
      </c>
      <c r="AA59" s="170">
        <v>1983</v>
      </c>
      <c r="AB59" s="171" t="s">
        <v>153</v>
      </c>
      <c r="AC59" s="172" t="s">
        <v>153</v>
      </c>
      <c r="AD59" s="173" t="s">
        <v>153</v>
      </c>
      <c r="AE59" s="174" t="s">
        <v>153</v>
      </c>
      <c r="AF59" s="175" t="s">
        <v>153</v>
      </c>
      <c r="AG59" s="176" t="s">
        <v>153</v>
      </c>
      <c r="AH59" s="177" t="s">
        <v>153</v>
      </c>
      <c r="AI59" s="178" t="s">
        <v>153</v>
      </c>
      <c r="AJ59" s="179" t="s">
        <v>153</v>
      </c>
      <c r="AK59" s="180" t="s">
        <v>153</v>
      </c>
      <c r="AL59" s="181" t="s">
        <v>153</v>
      </c>
      <c r="AM59" s="182" t="s">
        <v>153</v>
      </c>
      <c r="AN59" s="183" t="s">
        <v>1373</v>
      </c>
      <c r="AO59" s="184" t="s">
        <v>1374</v>
      </c>
      <c r="AP59" s="185" t="s">
        <v>1375</v>
      </c>
      <c r="AQ59" s="186" t="s">
        <v>1376</v>
      </c>
      <c r="AR59" s="187" t="s">
        <v>1377</v>
      </c>
      <c r="AS59" s="188" t="s">
        <v>1378</v>
      </c>
      <c r="AT59" s="189" t="s">
        <v>1379</v>
      </c>
      <c r="AU59" s="190" t="s">
        <v>153</v>
      </c>
      <c r="AV59" s="191" t="s">
        <v>153</v>
      </c>
      <c r="AW59" s="192" t="s">
        <v>1380</v>
      </c>
      <c r="AX59" s="193" t="s">
        <v>308</v>
      </c>
      <c r="AY59" s="194" t="s">
        <v>153</v>
      </c>
      <c r="AZ59" s="195" t="s">
        <v>215</v>
      </c>
      <c r="BA59" s="196" t="s">
        <v>153</v>
      </c>
      <c r="BB59" s="197" t="s">
        <v>153</v>
      </c>
      <c r="BC59" s="198" t="s">
        <v>153</v>
      </c>
      <c r="BD59" s="199" t="s">
        <v>216</v>
      </c>
      <c r="BE59" s="200" t="s">
        <v>217</v>
      </c>
      <c r="BF59" s="201" t="s">
        <v>1381</v>
      </c>
      <c r="BG59" s="202" t="s">
        <v>153</v>
      </c>
      <c r="BH59" s="203" t="s">
        <v>153</v>
      </c>
      <c r="BI59" s="204" t="s">
        <v>1382</v>
      </c>
      <c r="BJ59" s="205" t="s">
        <v>153</v>
      </c>
      <c r="BK59" s="206" t="s">
        <v>153</v>
      </c>
      <c r="BL59" s="207" t="s">
        <v>153</v>
      </c>
      <c r="BM59" s="208" t="s">
        <v>153</v>
      </c>
      <c r="BN59" s="209" t="s">
        <v>153</v>
      </c>
      <c r="BO59" s="210" t="s">
        <v>153</v>
      </c>
      <c r="BP59" s="211" t="s">
        <v>1383</v>
      </c>
      <c r="BQ59" s="212">
        <v>36938</v>
      </c>
      <c r="BR59" s="213">
        <v>41193.1</v>
      </c>
      <c r="BS59" s="214" t="s">
        <v>186</v>
      </c>
      <c r="BT59" s="215">
        <v>41193.1</v>
      </c>
      <c r="BU59" s="216" t="s">
        <v>187</v>
      </c>
      <c r="BV59" s="217" t="s">
        <v>226</v>
      </c>
      <c r="BW59" s="218" t="s">
        <v>153</v>
      </c>
      <c r="BX59" s="219" t="s">
        <v>153</v>
      </c>
      <c r="BY59" s="220" t="s">
        <v>225</v>
      </c>
      <c r="BZ59" s="221" t="s">
        <v>153</v>
      </c>
      <c r="CA59" s="222" t="s">
        <v>190</v>
      </c>
      <c r="CB59" s="223">
        <v>36938</v>
      </c>
      <c r="CC59" s="224">
        <v>41193.1</v>
      </c>
      <c r="CD59" s="225" t="s">
        <v>186</v>
      </c>
      <c r="CE59" s="226">
        <v>41193.1</v>
      </c>
      <c r="CF59" s="227" t="s">
        <v>187</v>
      </c>
      <c r="CG59" s="228" t="s">
        <v>226</v>
      </c>
      <c r="CH59" s="229" t="s">
        <v>153</v>
      </c>
      <c r="CI59" s="230" t="s">
        <v>153</v>
      </c>
      <c r="CJ59" s="231" t="s">
        <v>225</v>
      </c>
      <c r="CK59" s="232">
        <v>36938</v>
      </c>
      <c r="CL59" s="233" t="s">
        <v>153</v>
      </c>
      <c r="CM59" s="234" t="s">
        <v>153</v>
      </c>
      <c r="CN59" s="235" t="s">
        <v>190</v>
      </c>
      <c r="CO59" s="236" t="s">
        <v>153</v>
      </c>
      <c r="CP59" s="237" t="s">
        <v>153</v>
      </c>
      <c r="CQ59" s="238" t="s">
        <v>153</v>
      </c>
      <c r="CR59" s="239" t="s">
        <v>153</v>
      </c>
      <c r="CS59" s="240" t="s">
        <v>153</v>
      </c>
      <c r="CT59" s="241" t="s">
        <v>153</v>
      </c>
      <c r="CU59" s="242" t="s">
        <v>153</v>
      </c>
      <c r="CV59" s="243" t="s">
        <v>153</v>
      </c>
      <c r="CW59" s="244" t="s">
        <v>153</v>
      </c>
      <c r="CX59" s="245" t="s">
        <v>153</v>
      </c>
      <c r="CY59" s="246" t="s">
        <v>153</v>
      </c>
      <c r="CZ59" s="247" t="s">
        <v>153</v>
      </c>
      <c r="DA59" s="248" t="s">
        <v>153</v>
      </c>
      <c r="DB59" s="249" t="s">
        <v>153</v>
      </c>
      <c r="DC59" s="250" t="s">
        <v>153</v>
      </c>
      <c r="DD59" s="251" t="s">
        <v>153</v>
      </c>
      <c r="DE59" s="252" t="s">
        <v>153</v>
      </c>
      <c r="DF59" s="253" t="s">
        <v>153</v>
      </c>
      <c r="DG59" s="254" t="s">
        <v>153</v>
      </c>
      <c r="DH59" s="255" t="s">
        <v>153</v>
      </c>
      <c r="DI59" s="256" t="s">
        <v>153</v>
      </c>
      <c r="DJ59" s="257" t="s">
        <v>153</v>
      </c>
      <c r="DK59" s="258" t="s">
        <v>153</v>
      </c>
      <c r="DL59" s="259" t="s">
        <v>153</v>
      </c>
      <c r="DM59" s="260" t="s">
        <v>153</v>
      </c>
      <c r="DN59" s="261" t="s">
        <v>153</v>
      </c>
      <c r="DO59" s="262" t="s">
        <v>153</v>
      </c>
      <c r="DP59" s="263" t="s">
        <v>153</v>
      </c>
      <c r="DQ59" s="264" t="s">
        <v>153</v>
      </c>
      <c r="DR59" s="265" t="s">
        <v>153</v>
      </c>
      <c r="DS59" s="266" t="s">
        <v>153</v>
      </c>
      <c r="DT59" s="267" t="s">
        <v>153</v>
      </c>
      <c r="DU59" s="268" t="s">
        <v>153</v>
      </c>
      <c r="DV59" s="269" t="s">
        <v>153</v>
      </c>
      <c r="DW59" s="270" t="s">
        <v>153</v>
      </c>
      <c r="DX59" s="271" t="s">
        <v>153</v>
      </c>
      <c r="DY59" s="272" t="s">
        <v>153</v>
      </c>
      <c r="DZ59" s="273" t="s">
        <v>191</v>
      </c>
      <c r="EA59" s="274">
        <v>44326</v>
      </c>
      <c r="EB59" s="275">
        <v>41193.1</v>
      </c>
      <c r="EC59" s="276">
        <v>36938</v>
      </c>
      <c r="ED59" s="277" t="s">
        <v>226</v>
      </c>
      <c r="EE59" s="279" t="str">
        <f>HYPERLINK("https://my.pitchbook.com?c=235146-61", "View company online")</f>
        <v>View company online</v>
      </c>
    </row>
    <row r="60" spans="1:135" x14ac:dyDescent="0.45">
      <c r="A60" s="10" t="s">
        <v>1384</v>
      </c>
      <c r="B60" s="11" t="s">
        <v>1385</v>
      </c>
      <c r="C60" s="12" t="s">
        <v>153</v>
      </c>
      <c r="D60" s="13" t="s">
        <v>153</v>
      </c>
      <c r="E60" s="14" t="s">
        <v>153</v>
      </c>
      <c r="F60" s="15" t="s">
        <v>153</v>
      </c>
      <c r="G60" s="16" t="s">
        <v>1386</v>
      </c>
      <c r="H60" s="17" t="s">
        <v>1387</v>
      </c>
      <c r="I60" s="18" t="s">
        <v>1384</v>
      </c>
      <c r="J60" s="19" t="s">
        <v>1388</v>
      </c>
      <c r="K60" s="20" t="s">
        <v>198</v>
      </c>
      <c r="L60" s="21" t="s">
        <v>199</v>
      </c>
      <c r="M60" s="22" t="s">
        <v>1389</v>
      </c>
      <c r="N60" s="23" t="s">
        <v>1390</v>
      </c>
      <c r="O60" s="24" t="s">
        <v>399</v>
      </c>
      <c r="P60" s="25" t="s">
        <v>1391</v>
      </c>
      <c r="Q60" s="26" t="s">
        <v>204</v>
      </c>
      <c r="R60" s="27">
        <v>10800</v>
      </c>
      <c r="S60" s="28" t="s">
        <v>290</v>
      </c>
      <c r="T60" s="29" t="s">
        <v>1392</v>
      </c>
      <c r="U60" s="30" t="s">
        <v>237</v>
      </c>
      <c r="V60" s="31" t="s">
        <v>1393</v>
      </c>
      <c r="W60" s="32">
        <v>34370</v>
      </c>
      <c r="X60" s="33" t="s">
        <v>1394</v>
      </c>
      <c r="Y60" s="34" t="s">
        <v>153</v>
      </c>
      <c r="Z60" s="35" t="s">
        <v>153</v>
      </c>
      <c r="AA60" s="36">
        <v>1992</v>
      </c>
      <c r="AB60" s="37" t="s">
        <v>153</v>
      </c>
      <c r="AC60" s="38" t="s">
        <v>153</v>
      </c>
      <c r="AD60" s="39" t="s">
        <v>153</v>
      </c>
      <c r="AE60" s="40">
        <v>42687.17</v>
      </c>
      <c r="AF60" s="41" t="s">
        <v>153</v>
      </c>
      <c r="AG60" s="42">
        <v>5720.79</v>
      </c>
      <c r="AH60" s="43" t="s">
        <v>153</v>
      </c>
      <c r="AI60" s="44">
        <v>13672.94</v>
      </c>
      <c r="AJ60" s="45">
        <v>8167.67</v>
      </c>
      <c r="AK60" s="46" t="s">
        <v>153</v>
      </c>
      <c r="AL60" s="47">
        <v>-733.29</v>
      </c>
      <c r="AM60" s="48">
        <v>-3.71</v>
      </c>
      <c r="AN60" s="49" t="s">
        <v>299</v>
      </c>
      <c r="AO60" s="50" t="s">
        <v>1395</v>
      </c>
      <c r="AP60" s="51" t="s">
        <v>1396</v>
      </c>
      <c r="AQ60" s="52" t="s">
        <v>1397</v>
      </c>
      <c r="AR60" s="53" t="s">
        <v>153</v>
      </c>
      <c r="AS60" s="54" t="s">
        <v>1398</v>
      </c>
      <c r="AT60" s="55" t="s">
        <v>1399</v>
      </c>
      <c r="AU60" s="56" t="s">
        <v>1400</v>
      </c>
      <c r="AV60" s="57" t="s">
        <v>1401</v>
      </c>
      <c r="AW60" s="58" t="s">
        <v>1402</v>
      </c>
      <c r="AX60" s="59" t="s">
        <v>153</v>
      </c>
      <c r="AY60" s="60" t="s">
        <v>1403</v>
      </c>
      <c r="AZ60" s="61" t="s">
        <v>1404</v>
      </c>
      <c r="BA60" s="62" t="s">
        <v>1398</v>
      </c>
      <c r="BB60" s="63" t="s">
        <v>1405</v>
      </c>
      <c r="BC60" s="64" t="s">
        <v>153</v>
      </c>
      <c r="BD60" s="65" t="s">
        <v>1406</v>
      </c>
      <c r="BE60" s="66" t="s">
        <v>1407</v>
      </c>
      <c r="BF60" s="67" t="s">
        <v>1408</v>
      </c>
      <c r="BG60" s="68" t="s">
        <v>1409</v>
      </c>
      <c r="BH60" s="69">
        <v>1</v>
      </c>
      <c r="BI60" s="70" t="s">
        <v>153</v>
      </c>
      <c r="BJ60" s="71" t="s">
        <v>153</v>
      </c>
      <c r="BK60" s="72" t="s">
        <v>153</v>
      </c>
      <c r="BL60" s="73" t="s">
        <v>1410</v>
      </c>
      <c r="BM60" s="74" t="s">
        <v>153</v>
      </c>
      <c r="BN60" s="75" t="s">
        <v>153</v>
      </c>
      <c r="BO60" s="76" t="s">
        <v>1411</v>
      </c>
      <c r="BP60" s="77" t="s">
        <v>1412</v>
      </c>
      <c r="BQ60" s="78">
        <v>36090</v>
      </c>
      <c r="BR60" s="79">
        <v>18000</v>
      </c>
      <c r="BS60" s="80" t="s">
        <v>187</v>
      </c>
      <c r="BT60" s="81">
        <v>76090</v>
      </c>
      <c r="BU60" s="82" t="s">
        <v>187</v>
      </c>
      <c r="BV60" s="83" t="s">
        <v>251</v>
      </c>
      <c r="BW60" s="84" t="s">
        <v>153</v>
      </c>
      <c r="BX60" s="85" t="s">
        <v>153</v>
      </c>
      <c r="BY60" s="86" t="s">
        <v>252</v>
      </c>
      <c r="BZ60" s="87" t="s">
        <v>153</v>
      </c>
      <c r="CA60" s="88" t="s">
        <v>190</v>
      </c>
      <c r="CB60" s="89">
        <v>44151</v>
      </c>
      <c r="CC60" s="90">
        <v>41082.29</v>
      </c>
      <c r="CD60" s="91" t="s">
        <v>186</v>
      </c>
      <c r="CE60" s="92">
        <v>120830.25</v>
      </c>
      <c r="CF60" s="93" t="s">
        <v>187</v>
      </c>
      <c r="CG60" s="94" t="s">
        <v>906</v>
      </c>
      <c r="CH60" s="95" t="s">
        <v>153</v>
      </c>
      <c r="CI60" s="96" t="s">
        <v>153</v>
      </c>
      <c r="CJ60" s="97" t="s">
        <v>225</v>
      </c>
      <c r="CK60" s="98">
        <v>44151</v>
      </c>
      <c r="CL60" s="99" t="s">
        <v>153</v>
      </c>
      <c r="CM60" s="100" t="s">
        <v>153</v>
      </c>
      <c r="CN60" s="101" t="s">
        <v>190</v>
      </c>
      <c r="CO60" s="102">
        <v>-0.43</v>
      </c>
      <c r="CP60" s="103">
        <v>5</v>
      </c>
      <c r="CQ60" s="104">
        <v>-0.02</v>
      </c>
      <c r="CR60" s="105">
        <v>-3.84</v>
      </c>
      <c r="CS60" s="106">
        <v>-0.79</v>
      </c>
      <c r="CT60" s="107">
        <v>4</v>
      </c>
      <c r="CU60" s="108">
        <v>-7.0000000000000007E-2</v>
      </c>
      <c r="CV60" s="109">
        <v>27</v>
      </c>
      <c r="CW60" s="110">
        <v>-1.79</v>
      </c>
      <c r="CX60" s="111">
        <v>13</v>
      </c>
      <c r="CY60" s="112">
        <v>0.21</v>
      </c>
      <c r="CZ60" s="113">
        <v>92</v>
      </c>
      <c r="DA60" s="114">
        <v>-7.0000000000000007E-2</v>
      </c>
      <c r="DB60" s="115">
        <v>27</v>
      </c>
      <c r="DC60" s="116">
        <v>1406.23</v>
      </c>
      <c r="DD60" s="117">
        <v>100</v>
      </c>
      <c r="DE60" s="118">
        <v>1.08</v>
      </c>
      <c r="DF60" s="119">
        <v>0.08</v>
      </c>
      <c r="DG60" s="120">
        <v>2806.09</v>
      </c>
      <c r="DH60" s="121">
        <v>100</v>
      </c>
      <c r="DI60" s="122">
        <v>6.38</v>
      </c>
      <c r="DJ60" s="123">
        <v>81</v>
      </c>
      <c r="DK60" s="124">
        <v>3453.24</v>
      </c>
      <c r="DL60" s="125">
        <v>100</v>
      </c>
      <c r="DM60" s="126">
        <v>2158.94</v>
      </c>
      <c r="DN60" s="127">
        <v>100</v>
      </c>
      <c r="DO60" s="128">
        <v>6.38</v>
      </c>
      <c r="DP60" s="129">
        <v>81</v>
      </c>
      <c r="DQ60" s="130">
        <v>2064059</v>
      </c>
      <c r="DR60" s="131">
        <v>-59713</v>
      </c>
      <c r="DS60" s="132">
        <v>-2.81</v>
      </c>
      <c r="DT60" s="133">
        <v>34514</v>
      </c>
      <c r="DU60" s="134">
        <v>73</v>
      </c>
      <c r="DV60" s="135">
        <v>0.21</v>
      </c>
      <c r="DW60" s="136">
        <v>2003</v>
      </c>
      <c r="DX60" s="137">
        <v>0</v>
      </c>
      <c r="DY60" s="138">
        <v>0</v>
      </c>
      <c r="DZ60" s="139" t="s">
        <v>191</v>
      </c>
      <c r="EA60" s="140">
        <v>44348</v>
      </c>
      <c r="EB60" s="141">
        <v>120830.25</v>
      </c>
      <c r="EC60" s="142">
        <v>44151</v>
      </c>
      <c r="ED60" s="143" t="s">
        <v>906</v>
      </c>
      <c r="EE60" s="278" t="str">
        <f>HYPERLINK("https://my.pitchbook.com?c=42010-30", "View company online")</f>
        <v>View company online</v>
      </c>
    </row>
    <row r="61" spans="1:135" x14ac:dyDescent="0.45">
      <c r="A61" s="144" t="s">
        <v>1413</v>
      </c>
      <c r="B61" s="145" t="s">
        <v>1414</v>
      </c>
      <c r="C61" s="146" t="s">
        <v>153</v>
      </c>
      <c r="D61" s="147" t="s">
        <v>153</v>
      </c>
      <c r="E61" s="148" t="s">
        <v>1415</v>
      </c>
      <c r="F61" s="149" t="s">
        <v>153</v>
      </c>
      <c r="G61" s="150" t="s">
        <v>153</v>
      </c>
      <c r="H61" s="151" t="s">
        <v>1416</v>
      </c>
      <c r="I61" s="152" t="s">
        <v>1413</v>
      </c>
      <c r="J61" s="153" t="s">
        <v>1417</v>
      </c>
      <c r="K61" s="154" t="s">
        <v>257</v>
      </c>
      <c r="L61" s="155" t="s">
        <v>258</v>
      </c>
      <c r="M61" s="156" t="s">
        <v>259</v>
      </c>
      <c r="N61" s="157" t="s">
        <v>260</v>
      </c>
      <c r="O61" s="158" t="s">
        <v>755</v>
      </c>
      <c r="P61" s="159" t="s">
        <v>1418</v>
      </c>
      <c r="Q61" s="160" t="s">
        <v>564</v>
      </c>
      <c r="R61" s="161" t="s">
        <v>153</v>
      </c>
      <c r="S61" s="162" t="s">
        <v>290</v>
      </c>
      <c r="T61" s="163" t="s">
        <v>205</v>
      </c>
      <c r="U61" s="164" t="s">
        <v>369</v>
      </c>
      <c r="V61" s="165" t="s">
        <v>1419</v>
      </c>
      <c r="W61" s="166">
        <v>10000</v>
      </c>
      <c r="X61" s="167" t="s">
        <v>1420</v>
      </c>
      <c r="Y61" s="168" t="s">
        <v>153</v>
      </c>
      <c r="Z61" s="169" t="s">
        <v>153</v>
      </c>
      <c r="AA61" s="170">
        <v>1956</v>
      </c>
      <c r="AB61" s="171" t="s">
        <v>153</v>
      </c>
      <c r="AC61" s="172" t="s">
        <v>153</v>
      </c>
      <c r="AD61" s="173" t="s">
        <v>153</v>
      </c>
      <c r="AE61" s="174" t="s">
        <v>153</v>
      </c>
      <c r="AF61" s="175" t="s">
        <v>153</v>
      </c>
      <c r="AG61" s="176" t="s">
        <v>153</v>
      </c>
      <c r="AH61" s="177" t="s">
        <v>153</v>
      </c>
      <c r="AI61" s="178" t="s">
        <v>153</v>
      </c>
      <c r="AJ61" s="179" t="s">
        <v>153</v>
      </c>
      <c r="AK61" s="180" t="s">
        <v>153</v>
      </c>
      <c r="AL61" s="181" t="s">
        <v>153</v>
      </c>
      <c r="AM61" s="182" t="s">
        <v>153</v>
      </c>
      <c r="AN61" s="183" t="s">
        <v>1421</v>
      </c>
      <c r="AO61" s="184" t="s">
        <v>153</v>
      </c>
      <c r="AP61" s="185" t="s">
        <v>153</v>
      </c>
      <c r="AQ61" s="186" t="s">
        <v>153</v>
      </c>
      <c r="AR61" s="187" t="s">
        <v>153</v>
      </c>
      <c r="AS61" s="188" t="s">
        <v>153</v>
      </c>
      <c r="AT61" s="189" t="s">
        <v>1422</v>
      </c>
      <c r="AU61" s="190" t="s">
        <v>1423</v>
      </c>
      <c r="AV61" s="191" t="s">
        <v>153</v>
      </c>
      <c r="AW61" s="192" t="s">
        <v>1424</v>
      </c>
      <c r="AX61" s="193" t="s">
        <v>153</v>
      </c>
      <c r="AY61" s="194" t="s">
        <v>1425</v>
      </c>
      <c r="AZ61" s="195" t="s">
        <v>1426</v>
      </c>
      <c r="BA61" s="196" t="s">
        <v>153</v>
      </c>
      <c r="BB61" s="197" t="s">
        <v>153</v>
      </c>
      <c r="BC61" s="198" t="s">
        <v>153</v>
      </c>
      <c r="BD61" s="199" t="s">
        <v>180</v>
      </c>
      <c r="BE61" s="200" t="s">
        <v>181</v>
      </c>
      <c r="BF61" s="201" t="s">
        <v>1427</v>
      </c>
      <c r="BG61" s="202" t="s">
        <v>153</v>
      </c>
      <c r="BH61" s="203" t="s">
        <v>153</v>
      </c>
      <c r="BI61" s="204" t="s">
        <v>1428</v>
      </c>
      <c r="BJ61" s="205" t="s">
        <v>1429</v>
      </c>
      <c r="BK61" s="206" t="s">
        <v>153</v>
      </c>
      <c r="BL61" s="207" t="s">
        <v>153</v>
      </c>
      <c r="BM61" s="208" t="s">
        <v>1430</v>
      </c>
      <c r="BN61" s="209" t="s">
        <v>153</v>
      </c>
      <c r="BO61" s="210" t="s">
        <v>153</v>
      </c>
      <c r="BP61" s="211" t="s">
        <v>1431</v>
      </c>
      <c r="BQ61" s="212">
        <v>35431</v>
      </c>
      <c r="BR61" s="213" t="s">
        <v>153</v>
      </c>
      <c r="BS61" s="214" t="s">
        <v>153</v>
      </c>
      <c r="BT61" s="215" t="s">
        <v>153</v>
      </c>
      <c r="BU61" s="216" t="s">
        <v>153</v>
      </c>
      <c r="BV61" s="217" t="s">
        <v>251</v>
      </c>
      <c r="BW61" s="218" t="s">
        <v>153</v>
      </c>
      <c r="BX61" s="219" t="s">
        <v>153</v>
      </c>
      <c r="BY61" s="220" t="s">
        <v>252</v>
      </c>
      <c r="BZ61" s="221" t="s">
        <v>153</v>
      </c>
      <c r="CA61" s="222" t="s">
        <v>190</v>
      </c>
      <c r="CB61" s="223">
        <v>42584</v>
      </c>
      <c r="CC61" s="224">
        <v>40500</v>
      </c>
      <c r="CD61" s="225" t="s">
        <v>187</v>
      </c>
      <c r="CE61" s="226">
        <v>40500</v>
      </c>
      <c r="CF61" s="227" t="s">
        <v>187</v>
      </c>
      <c r="CG61" s="228" t="s">
        <v>226</v>
      </c>
      <c r="CH61" s="229" t="s">
        <v>729</v>
      </c>
      <c r="CI61" s="230" t="s">
        <v>153</v>
      </c>
      <c r="CJ61" s="231" t="s">
        <v>225</v>
      </c>
      <c r="CK61" s="232">
        <v>42584</v>
      </c>
      <c r="CL61" s="233" t="s">
        <v>153</v>
      </c>
      <c r="CM61" s="234" t="s">
        <v>1432</v>
      </c>
      <c r="CN61" s="235" t="s">
        <v>190</v>
      </c>
      <c r="CO61" s="236" t="s">
        <v>153</v>
      </c>
      <c r="CP61" s="237" t="s">
        <v>153</v>
      </c>
      <c r="CQ61" s="238" t="s">
        <v>153</v>
      </c>
      <c r="CR61" s="239" t="s">
        <v>153</v>
      </c>
      <c r="CS61" s="240" t="s">
        <v>153</v>
      </c>
      <c r="CT61" s="241" t="s">
        <v>153</v>
      </c>
      <c r="CU61" s="242" t="s">
        <v>153</v>
      </c>
      <c r="CV61" s="243" t="s">
        <v>153</v>
      </c>
      <c r="CW61" s="244" t="s">
        <v>153</v>
      </c>
      <c r="CX61" s="245" t="s">
        <v>153</v>
      </c>
      <c r="CY61" s="246" t="s">
        <v>153</v>
      </c>
      <c r="CZ61" s="247" t="s">
        <v>153</v>
      </c>
      <c r="DA61" s="248" t="s">
        <v>153</v>
      </c>
      <c r="DB61" s="249" t="s">
        <v>153</v>
      </c>
      <c r="DC61" s="250" t="s">
        <v>153</v>
      </c>
      <c r="DD61" s="251" t="s">
        <v>153</v>
      </c>
      <c r="DE61" s="252" t="s">
        <v>153</v>
      </c>
      <c r="DF61" s="253" t="s">
        <v>153</v>
      </c>
      <c r="DG61" s="254" t="s">
        <v>153</v>
      </c>
      <c r="DH61" s="255" t="s">
        <v>153</v>
      </c>
      <c r="DI61" s="256" t="s">
        <v>153</v>
      </c>
      <c r="DJ61" s="257" t="s">
        <v>153</v>
      </c>
      <c r="DK61" s="258" t="s">
        <v>153</v>
      </c>
      <c r="DL61" s="259" t="s">
        <v>153</v>
      </c>
      <c r="DM61" s="260" t="s">
        <v>153</v>
      </c>
      <c r="DN61" s="261" t="s">
        <v>153</v>
      </c>
      <c r="DO61" s="262" t="s">
        <v>153</v>
      </c>
      <c r="DP61" s="263" t="s">
        <v>153</v>
      </c>
      <c r="DQ61" s="264" t="s">
        <v>153</v>
      </c>
      <c r="DR61" s="265" t="s">
        <v>153</v>
      </c>
      <c r="DS61" s="266" t="s">
        <v>153</v>
      </c>
      <c r="DT61" s="267" t="s">
        <v>153</v>
      </c>
      <c r="DU61" s="268" t="s">
        <v>153</v>
      </c>
      <c r="DV61" s="269" t="s">
        <v>153</v>
      </c>
      <c r="DW61" s="270" t="s">
        <v>153</v>
      </c>
      <c r="DX61" s="271" t="s">
        <v>153</v>
      </c>
      <c r="DY61" s="272" t="s">
        <v>153</v>
      </c>
      <c r="DZ61" s="273" t="s">
        <v>191</v>
      </c>
      <c r="EA61" s="274">
        <v>44348</v>
      </c>
      <c r="EB61" s="275">
        <v>40500</v>
      </c>
      <c r="EC61" s="276">
        <v>42584</v>
      </c>
      <c r="ED61" s="277" t="s">
        <v>226</v>
      </c>
      <c r="EE61" s="279" t="str">
        <f>HYPERLINK("https://my.pitchbook.com?c=25167-43", "View company online")</f>
        <v>View company online</v>
      </c>
    </row>
    <row r="62" spans="1:135" x14ac:dyDescent="0.45">
      <c r="A62" s="10" t="s">
        <v>1433</v>
      </c>
      <c r="B62" s="11" t="s">
        <v>1434</v>
      </c>
      <c r="C62" s="12" t="s">
        <v>153</v>
      </c>
      <c r="D62" s="13" t="s">
        <v>153</v>
      </c>
      <c r="E62" s="14" t="s">
        <v>153</v>
      </c>
      <c r="F62" s="15" t="s">
        <v>1435</v>
      </c>
      <c r="G62" s="16" t="s">
        <v>1436</v>
      </c>
      <c r="H62" s="17" t="s">
        <v>153</v>
      </c>
      <c r="I62" s="18" t="s">
        <v>1433</v>
      </c>
      <c r="J62" s="19" t="s">
        <v>1437</v>
      </c>
      <c r="K62" s="20" t="s">
        <v>157</v>
      </c>
      <c r="L62" s="21" t="s">
        <v>421</v>
      </c>
      <c r="M62" s="22" t="s">
        <v>422</v>
      </c>
      <c r="N62" s="23" t="s">
        <v>1438</v>
      </c>
      <c r="O62" s="24" t="s">
        <v>399</v>
      </c>
      <c r="P62" s="25" t="s">
        <v>1439</v>
      </c>
      <c r="Q62" s="26" t="s">
        <v>204</v>
      </c>
      <c r="R62" s="27">
        <v>1011.05</v>
      </c>
      <c r="S62" s="28" t="s">
        <v>290</v>
      </c>
      <c r="T62" s="29" t="s">
        <v>164</v>
      </c>
      <c r="U62" s="30" t="s">
        <v>369</v>
      </c>
      <c r="V62" s="31" t="s">
        <v>1440</v>
      </c>
      <c r="W62" s="32">
        <v>31000</v>
      </c>
      <c r="X62" s="33" t="s">
        <v>1441</v>
      </c>
      <c r="Y62" s="34" t="s">
        <v>153</v>
      </c>
      <c r="Z62" s="35" t="s">
        <v>153</v>
      </c>
      <c r="AA62" s="36">
        <v>1989</v>
      </c>
      <c r="AB62" s="37" t="s">
        <v>519</v>
      </c>
      <c r="AC62" s="38" t="s">
        <v>153</v>
      </c>
      <c r="AD62" s="39" t="s">
        <v>537</v>
      </c>
      <c r="AE62" s="40" t="s">
        <v>153</v>
      </c>
      <c r="AF62" s="41" t="s">
        <v>153</v>
      </c>
      <c r="AG62" s="42" t="s">
        <v>153</v>
      </c>
      <c r="AH62" s="43" t="s">
        <v>153</v>
      </c>
      <c r="AI62" s="44" t="s">
        <v>153</v>
      </c>
      <c r="AJ62" s="45" t="s">
        <v>153</v>
      </c>
      <c r="AK62" s="46" t="s">
        <v>153</v>
      </c>
      <c r="AL62" s="47" t="s">
        <v>153</v>
      </c>
      <c r="AM62" s="48" t="s">
        <v>153</v>
      </c>
      <c r="AN62" s="49" t="s">
        <v>1442</v>
      </c>
      <c r="AO62" s="50" t="s">
        <v>1443</v>
      </c>
      <c r="AP62" s="51" t="s">
        <v>1444</v>
      </c>
      <c r="AQ62" s="52" t="s">
        <v>1445</v>
      </c>
      <c r="AR62" s="53" t="s">
        <v>1446</v>
      </c>
      <c r="AS62" s="54" t="s">
        <v>153</v>
      </c>
      <c r="AT62" s="55" t="s">
        <v>1447</v>
      </c>
      <c r="AU62" s="56" t="s">
        <v>1448</v>
      </c>
      <c r="AV62" s="57" t="s">
        <v>153</v>
      </c>
      <c r="AW62" s="58" t="s">
        <v>1449</v>
      </c>
      <c r="AX62" s="59" t="s">
        <v>177</v>
      </c>
      <c r="AY62" s="60" t="s">
        <v>1450</v>
      </c>
      <c r="AZ62" s="61" t="s">
        <v>179</v>
      </c>
      <c r="BA62" s="62" t="s">
        <v>153</v>
      </c>
      <c r="BB62" s="63" t="s">
        <v>153</v>
      </c>
      <c r="BC62" s="64" t="s">
        <v>153</v>
      </c>
      <c r="BD62" s="65" t="s">
        <v>180</v>
      </c>
      <c r="BE62" s="66" t="s">
        <v>181</v>
      </c>
      <c r="BF62" s="67" t="s">
        <v>1451</v>
      </c>
      <c r="BG62" s="68" t="s">
        <v>153</v>
      </c>
      <c r="BH62" s="69" t="s">
        <v>153</v>
      </c>
      <c r="BI62" s="70" t="s">
        <v>519</v>
      </c>
      <c r="BJ62" s="71" t="s">
        <v>1452</v>
      </c>
      <c r="BK62" s="72" t="s">
        <v>153</v>
      </c>
      <c r="BL62" s="73" t="s">
        <v>153</v>
      </c>
      <c r="BM62" s="74" t="s">
        <v>1453</v>
      </c>
      <c r="BN62" s="75" t="s">
        <v>153</v>
      </c>
      <c r="BO62" s="76" t="s">
        <v>1454</v>
      </c>
      <c r="BP62" s="77" t="s">
        <v>1455</v>
      </c>
      <c r="BQ62" s="78">
        <v>33179</v>
      </c>
      <c r="BR62" s="79" t="s">
        <v>153</v>
      </c>
      <c r="BS62" s="80" t="s">
        <v>153</v>
      </c>
      <c r="BT62" s="81" t="s">
        <v>153</v>
      </c>
      <c r="BU62" s="82" t="s">
        <v>153</v>
      </c>
      <c r="BV62" s="83" t="s">
        <v>589</v>
      </c>
      <c r="BW62" s="84" t="s">
        <v>153</v>
      </c>
      <c r="BX62" s="85" t="s">
        <v>153</v>
      </c>
      <c r="BY62" s="86" t="s">
        <v>225</v>
      </c>
      <c r="BZ62" s="87" t="s">
        <v>153</v>
      </c>
      <c r="CA62" s="88" t="s">
        <v>190</v>
      </c>
      <c r="CB62" s="89">
        <v>43382</v>
      </c>
      <c r="CC62" s="90">
        <v>39387</v>
      </c>
      <c r="CD62" s="91" t="s">
        <v>186</v>
      </c>
      <c r="CE62" s="92">
        <v>39387</v>
      </c>
      <c r="CF62" s="93" t="s">
        <v>187</v>
      </c>
      <c r="CG62" s="94" t="s">
        <v>226</v>
      </c>
      <c r="CH62" s="95" t="s">
        <v>153</v>
      </c>
      <c r="CI62" s="96" t="s">
        <v>153</v>
      </c>
      <c r="CJ62" s="97" t="s">
        <v>225</v>
      </c>
      <c r="CK62" s="98">
        <v>43382</v>
      </c>
      <c r="CL62" s="99" t="s">
        <v>153</v>
      </c>
      <c r="CM62" s="100" t="s">
        <v>153</v>
      </c>
      <c r="CN62" s="101" t="s">
        <v>190</v>
      </c>
      <c r="CO62" s="102">
        <v>-0.03</v>
      </c>
      <c r="CP62" s="103">
        <v>10</v>
      </c>
      <c r="CQ62" s="104">
        <v>0</v>
      </c>
      <c r="CR62" s="105">
        <v>0</v>
      </c>
      <c r="CS62" s="106">
        <v>0</v>
      </c>
      <c r="CT62" s="107">
        <v>8</v>
      </c>
      <c r="CU62" s="108">
        <v>-0.05</v>
      </c>
      <c r="CV62" s="109">
        <v>32</v>
      </c>
      <c r="CW62" s="110" t="s">
        <v>153</v>
      </c>
      <c r="CX62" s="111" t="s">
        <v>153</v>
      </c>
      <c r="CY62" s="112">
        <v>0</v>
      </c>
      <c r="CZ62" s="113">
        <v>5</v>
      </c>
      <c r="DA62" s="114">
        <v>-0.05</v>
      </c>
      <c r="DB62" s="115">
        <v>32</v>
      </c>
      <c r="DC62" s="116">
        <v>385.3</v>
      </c>
      <c r="DD62" s="117">
        <v>100</v>
      </c>
      <c r="DE62" s="118">
        <v>2.44</v>
      </c>
      <c r="DF62" s="119">
        <v>0.64</v>
      </c>
      <c r="DG62" s="120">
        <v>0.44</v>
      </c>
      <c r="DH62" s="121">
        <v>31</v>
      </c>
      <c r="DI62" s="122">
        <v>770.15</v>
      </c>
      <c r="DJ62" s="123">
        <v>100</v>
      </c>
      <c r="DK62" s="124" t="s">
        <v>153</v>
      </c>
      <c r="DL62" s="125" t="s">
        <v>153</v>
      </c>
      <c r="DM62" s="126">
        <v>0.44</v>
      </c>
      <c r="DN62" s="127">
        <v>30</v>
      </c>
      <c r="DO62" s="128">
        <v>770.15</v>
      </c>
      <c r="DP62" s="129">
        <v>100</v>
      </c>
      <c r="DQ62" s="130" t="s">
        <v>153</v>
      </c>
      <c r="DR62" s="131" t="s">
        <v>153</v>
      </c>
      <c r="DS62" s="132" t="s">
        <v>153</v>
      </c>
      <c r="DT62" s="133">
        <v>7</v>
      </c>
      <c r="DU62" s="134">
        <v>0</v>
      </c>
      <c r="DV62" s="135">
        <v>0</v>
      </c>
      <c r="DW62" s="136">
        <v>241816</v>
      </c>
      <c r="DX62" s="137">
        <v>19</v>
      </c>
      <c r="DY62" s="138">
        <v>0.01</v>
      </c>
      <c r="DZ62" s="139" t="s">
        <v>191</v>
      </c>
      <c r="EA62" s="140">
        <v>44368</v>
      </c>
      <c r="EB62" s="141">
        <v>39387</v>
      </c>
      <c r="EC62" s="142">
        <v>43382</v>
      </c>
      <c r="ED62" s="143" t="s">
        <v>226</v>
      </c>
      <c r="EE62" s="278" t="str">
        <f>HYPERLINK("https://my.pitchbook.com?c=42001-93", "View company online")</f>
        <v>View company online</v>
      </c>
    </row>
    <row r="63" spans="1:135" x14ac:dyDescent="0.45">
      <c r="A63" s="144" t="s">
        <v>1456</v>
      </c>
      <c r="B63" s="145" t="s">
        <v>1457</v>
      </c>
      <c r="C63" s="146" t="s">
        <v>153</v>
      </c>
      <c r="D63" s="147" t="s">
        <v>153</v>
      </c>
      <c r="E63" s="148" t="s">
        <v>153</v>
      </c>
      <c r="F63" s="149" t="s">
        <v>1458</v>
      </c>
      <c r="G63" s="150" t="s">
        <v>1459</v>
      </c>
      <c r="H63" s="151" t="s">
        <v>1460</v>
      </c>
      <c r="I63" s="152" t="s">
        <v>1456</v>
      </c>
      <c r="J63" s="153" t="s">
        <v>1461</v>
      </c>
      <c r="K63" s="154" t="s">
        <v>257</v>
      </c>
      <c r="L63" s="155" t="s">
        <v>258</v>
      </c>
      <c r="M63" s="156" t="s">
        <v>259</v>
      </c>
      <c r="N63" s="157" t="s">
        <v>595</v>
      </c>
      <c r="O63" s="158" t="s">
        <v>153</v>
      </c>
      <c r="P63" s="159" t="s">
        <v>1462</v>
      </c>
      <c r="Q63" s="160" t="s">
        <v>204</v>
      </c>
      <c r="R63" s="161" t="s">
        <v>153</v>
      </c>
      <c r="S63" s="162" t="s">
        <v>290</v>
      </c>
      <c r="T63" s="163" t="s">
        <v>164</v>
      </c>
      <c r="U63" s="164" t="s">
        <v>292</v>
      </c>
      <c r="V63" s="165" t="s">
        <v>1463</v>
      </c>
      <c r="W63" s="166">
        <v>4150</v>
      </c>
      <c r="X63" s="167" t="s">
        <v>1464</v>
      </c>
      <c r="Y63" s="168" t="s">
        <v>153</v>
      </c>
      <c r="Z63" s="169" t="s">
        <v>153</v>
      </c>
      <c r="AA63" s="170">
        <v>1992</v>
      </c>
      <c r="AB63" s="171" t="s">
        <v>1465</v>
      </c>
      <c r="AC63" s="172" t="s">
        <v>537</v>
      </c>
      <c r="AD63" s="173" t="s">
        <v>1466</v>
      </c>
      <c r="AE63" s="174">
        <v>6261.6</v>
      </c>
      <c r="AF63" s="175">
        <v>5694.4</v>
      </c>
      <c r="AG63" s="176">
        <v>681.8</v>
      </c>
      <c r="AH63" s="177">
        <v>33356.65</v>
      </c>
      <c r="AI63" s="178">
        <v>929.7</v>
      </c>
      <c r="AJ63" s="179">
        <v>614</v>
      </c>
      <c r="AK63" s="180" t="s">
        <v>153</v>
      </c>
      <c r="AL63" s="181">
        <v>-766.5</v>
      </c>
      <c r="AM63" s="182">
        <v>18.239999999999998</v>
      </c>
      <c r="AN63" s="183" t="s">
        <v>376</v>
      </c>
      <c r="AO63" s="184" t="s">
        <v>1467</v>
      </c>
      <c r="AP63" s="185" t="s">
        <v>1468</v>
      </c>
      <c r="AQ63" s="186" t="s">
        <v>1175</v>
      </c>
      <c r="AR63" s="187" t="s">
        <v>1469</v>
      </c>
      <c r="AS63" s="188" t="s">
        <v>1470</v>
      </c>
      <c r="AT63" s="189" t="s">
        <v>826</v>
      </c>
      <c r="AU63" s="190" t="s">
        <v>1471</v>
      </c>
      <c r="AV63" s="191" t="s">
        <v>153</v>
      </c>
      <c r="AW63" s="192" t="s">
        <v>828</v>
      </c>
      <c r="AX63" s="193" t="s">
        <v>385</v>
      </c>
      <c r="AY63" s="194" t="s">
        <v>1472</v>
      </c>
      <c r="AZ63" s="195" t="s">
        <v>215</v>
      </c>
      <c r="BA63" s="196" t="s">
        <v>1470</v>
      </c>
      <c r="BB63" s="197" t="s">
        <v>1473</v>
      </c>
      <c r="BC63" s="198" t="s">
        <v>1474</v>
      </c>
      <c r="BD63" s="199" t="s">
        <v>216</v>
      </c>
      <c r="BE63" s="200" t="s">
        <v>217</v>
      </c>
      <c r="BF63" s="201" t="s">
        <v>1475</v>
      </c>
      <c r="BG63" s="202" t="s">
        <v>1476</v>
      </c>
      <c r="BH63" s="203">
        <v>9</v>
      </c>
      <c r="BI63" s="204" t="s">
        <v>1465</v>
      </c>
      <c r="BJ63" s="205" t="s">
        <v>1477</v>
      </c>
      <c r="BK63" s="206" t="s">
        <v>153</v>
      </c>
      <c r="BL63" s="207" t="s">
        <v>1478</v>
      </c>
      <c r="BM63" s="208" t="s">
        <v>1479</v>
      </c>
      <c r="BN63" s="209" t="s">
        <v>153</v>
      </c>
      <c r="BO63" s="210" t="s">
        <v>153</v>
      </c>
      <c r="BP63" s="211" t="s">
        <v>1480</v>
      </c>
      <c r="BQ63" s="212">
        <v>34335</v>
      </c>
      <c r="BR63" s="213" t="s">
        <v>153</v>
      </c>
      <c r="BS63" s="214" t="s">
        <v>153</v>
      </c>
      <c r="BT63" s="215" t="s">
        <v>153</v>
      </c>
      <c r="BU63" s="216" t="s">
        <v>153</v>
      </c>
      <c r="BV63" s="217" t="s">
        <v>471</v>
      </c>
      <c r="BW63" s="218" t="s">
        <v>153</v>
      </c>
      <c r="BX63" s="219" t="s">
        <v>153</v>
      </c>
      <c r="BY63" s="220" t="s">
        <v>472</v>
      </c>
      <c r="BZ63" s="221" t="s">
        <v>153</v>
      </c>
      <c r="CA63" s="222" t="s">
        <v>190</v>
      </c>
      <c r="CB63" s="223">
        <v>44398</v>
      </c>
      <c r="CC63" s="224">
        <v>39000</v>
      </c>
      <c r="CD63" s="225" t="s">
        <v>186</v>
      </c>
      <c r="CE63" s="226">
        <v>39000</v>
      </c>
      <c r="CF63" s="227" t="s">
        <v>186</v>
      </c>
      <c r="CG63" s="228" t="s">
        <v>226</v>
      </c>
      <c r="CH63" s="229" t="s">
        <v>153</v>
      </c>
      <c r="CI63" s="230" t="s">
        <v>153</v>
      </c>
      <c r="CJ63" s="231" t="s">
        <v>225</v>
      </c>
      <c r="CK63" s="232">
        <v>44398</v>
      </c>
      <c r="CL63" s="233" t="s">
        <v>153</v>
      </c>
      <c r="CM63" s="234" t="s">
        <v>153</v>
      </c>
      <c r="CN63" s="235" t="s">
        <v>190</v>
      </c>
      <c r="CO63" s="236">
        <v>0.53</v>
      </c>
      <c r="CP63" s="237">
        <v>93</v>
      </c>
      <c r="CQ63" s="238">
        <v>0.28999999999999998</v>
      </c>
      <c r="CR63" s="239">
        <v>116.99</v>
      </c>
      <c r="CS63" s="240">
        <v>0.09</v>
      </c>
      <c r="CT63" s="241">
        <v>90</v>
      </c>
      <c r="CU63" s="242">
        <v>0.98</v>
      </c>
      <c r="CV63" s="243">
        <v>98</v>
      </c>
      <c r="CW63" s="244">
        <v>0.43</v>
      </c>
      <c r="CX63" s="245">
        <v>79</v>
      </c>
      <c r="CY63" s="246">
        <v>-0.26</v>
      </c>
      <c r="CZ63" s="247">
        <v>3</v>
      </c>
      <c r="DA63" s="248">
        <v>0.98</v>
      </c>
      <c r="DB63" s="249">
        <v>98</v>
      </c>
      <c r="DC63" s="250">
        <v>35.119999999999997</v>
      </c>
      <c r="DD63" s="251">
        <v>98</v>
      </c>
      <c r="DE63" s="252">
        <v>0.18</v>
      </c>
      <c r="DF63" s="253">
        <v>0.53</v>
      </c>
      <c r="DG63" s="254">
        <v>29.77</v>
      </c>
      <c r="DH63" s="255">
        <v>97</v>
      </c>
      <c r="DI63" s="256">
        <v>40.479999999999997</v>
      </c>
      <c r="DJ63" s="257">
        <v>95</v>
      </c>
      <c r="DK63" s="258">
        <v>21.29</v>
      </c>
      <c r="DL63" s="259">
        <v>91</v>
      </c>
      <c r="DM63" s="260">
        <v>38.25</v>
      </c>
      <c r="DN63" s="261">
        <v>97</v>
      </c>
      <c r="DO63" s="262">
        <v>40.479999999999997</v>
      </c>
      <c r="DP63" s="263">
        <v>95</v>
      </c>
      <c r="DQ63" s="264">
        <v>12473</v>
      </c>
      <c r="DR63" s="265">
        <v>548</v>
      </c>
      <c r="DS63" s="266">
        <v>4.5999999999999996</v>
      </c>
      <c r="DT63" s="267">
        <v>613</v>
      </c>
      <c r="DU63" s="268">
        <v>-2</v>
      </c>
      <c r="DV63" s="269">
        <v>-0.33</v>
      </c>
      <c r="DW63" s="270">
        <v>12692</v>
      </c>
      <c r="DX63" s="271">
        <v>92</v>
      </c>
      <c r="DY63" s="272">
        <v>0.73</v>
      </c>
      <c r="DZ63" s="273" t="s">
        <v>191</v>
      </c>
      <c r="EA63" s="274">
        <v>44400</v>
      </c>
      <c r="EB63" s="275">
        <v>39000</v>
      </c>
      <c r="EC63" s="276">
        <v>44398</v>
      </c>
      <c r="ED63" s="277" t="s">
        <v>226</v>
      </c>
      <c r="EE63" s="279" t="str">
        <f>HYPERLINK("https://my.pitchbook.com?c=41106-70", "View company online")</f>
        <v>View company online</v>
      </c>
    </row>
    <row r="64" spans="1:135" x14ac:dyDescent="0.45">
      <c r="A64" s="10" t="s">
        <v>1481</v>
      </c>
      <c r="B64" s="11" t="s">
        <v>1482</v>
      </c>
      <c r="C64" s="12" t="s">
        <v>153</v>
      </c>
      <c r="D64" s="13" t="s">
        <v>153</v>
      </c>
      <c r="E64" s="14" t="s">
        <v>153</v>
      </c>
      <c r="F64" s="15" t="s">
        <v>1483</v>
      </c>
      <c r="G64" s="16" t="s">
        <v>153</v>
      </c>
      <c r="H64" s="17" t="s">
        <v>153</v>
      </c>
      <c r="I64" s="18" t="s">
        <v>1481</v>
      </c>
      <c r="J64" s="19" t="s">
        <v>1484</v>
      </c>
      <c r="K64" s="20" t="s">
        <v>198</v>
      </c>
      <c r="L64" s="21" t="s">
        <v>199</v>
      </c>
      <c r="M64" s="22" t="s">
        <v>344</v>
      </c>
      <c r="N64" s="23" t="s">
        <v>345</v>
      </c>
      <c r="O64" s="24" t="s">
        <v>1485</v>
      </c>
      <c r="P64" s="25" t="s">
        <v>1486</v>
      </c>
      <c r="Q64" s="26" t="s">
        <v>1487</v>
      </c>
      <c r="R64" s="27" t="s">
        <v>153</v>
      </c>
      <c r="S64" s="28" t="s">
        <v>153</v>
      </c>
      <c r="T64" s="29" t="s">
        <v>1488</v>
      </c>
      <c r="U64" s="30" t="s">
        <v>206</v>
      </c>
      <c r="V64" s="31" t="s">
        <v>153</v>
      </c>
      <c r="W64" s="32">
        <v>18000</v>
      </c>
      <c r="X64" s="33" t="s">
        <v>1489</v>
      </c>
      <c r="Y64" s="34" t="s">
        <v>153</v>
      </c>
      <c r="Z64" s="35" t="s">
        <v>153</v>
      </c>
      <c r="AA64" s="36" t="s">
        <v>153</v>
      </c>
      <c r="AB64" s="37" t="s">
        <v>153</v>
      </c>
      <c r="AC64" s="38" t="s">
        <v>153</v>
      </c>
      <c r="AD64" s="39" t="s">
        <v>153</v>
      </c>
      <c r="AE64" s="40" t="s">
        <v>153</v>
      </c>
      <c r="AF64" s="41" t="s">
        <v>153</v>
      </c>
      <c r="AG64" s="42" t="s">
        <v>153</v>
      </c>
      <c r="AH64" s="43" t="s">
        <v>153</v>
      </c>
      <c r="AI64" s="44" t="s">
        <v>153</v>
      </c>
      <c r="AJ64" s="45" t="s">
        <v>153</v>
      </c>
      <c r="AK64" s="46" t="s">
        <v>153</v>
      </c>
      <c r="AL64" s="47" t="s">
        <v>153</v>
      </c>
      <c r="AM64" s="48" t="s">
        <v>153</v>
      </c>
      <c r="AN64" s="49" t="s">
        <v>153</v>
      </c>
      <c r="AO64" s="50" t="s">
        <v>153</v>
      </c>
      <c r="AP64" s="51" t="s">
        <v>153</v>
      </c>
      <c r="AQ64" s="52" t="s">
        <v>153</v>
      </c>
      <c r="AR64" s="53" t="s">
        <v>153</v>
      </c>
      <c r="AS64" s="54" t="s">
        <v>153</v>
      </c>
      <c r="AT64" s="55" t="s">
        <v>179</v>
      </c>
      <c r="AU64" s="56" t="s">
        <v>153</v>
      </c>
      <c r="AV64" s="57" t="s">
        <v>153</v>
      </c>
      <c r="AW64" s="58" t="s">
        <v>153</v>
      </c>
      <c r="AX64" s="59" t="s">
        <v>153</v>
      </c>
      <c r="AY64" s="60" t="s">
        <v>153</v>
      </c>
      <c r="AZ64" s="61" t="s">
        <v>179</v>
      </c>
      <c r="BA64" s="62" t="s">
        <v>153</v>
      </c>
      <c r="BB64" s="63" t="s">
        <v>153</v>
      </c>
      <c r="BC64" s="64" t="s">
        <v>153</v>
      </c>
      <c r="BD64" s="65" t="s">
        <v>180</v>
      </c>
      <c r="BE64" s="66" t="s">
        <v>181</v>
      </c>
      <c r="BF64" s="67" t="s">
        <v>1490</v>
      </c>
      <c r="BG64" s="68" t="s">
        <v>153</v>
      </c>
      <c r="BH64" s="69" t="s">
        <v>153</v>
      </c>
      <c r="BI64" s="70" t="s">
        <v>153</v>
      </c>
      <c r="BJ64" s="71" t="s">
        <v>153</v>
      </c>
      <c r="BK64" s="72" t="s">
        <v>1491</v>
      </c>
      <c r="BL64" s="73" t="s">
        <v>153</v>
      </c>
      <c r="BM64" s="74" t="s">
        <v>153</v>
      </c>
      <c r="BN64" s="75" t="s">
        <v>1492</v>
      </c>
      <c r="BO64" s="76" t="s">
        <v>153</v>
      </c>
      <c r="BP64" s="77" t="s">
        <v>153</v>
      </c>
      <c r="BQ64" s="78">
        <v>43958</v>
      </c>
      <c r="BR64" s="79">
        <v>38567.67</v>
      </c>
      <c r="BS64" s="80" t="s">
        <v>186</v>
      </c>
      <c r="BT64" s="81">
        <v>38567.67</v>
      </c>
      <c r="BU64" s="82" t="s">
        <v>187</v>
      </c>
      <c r="BV64" s="83" t="s">
        <v>224</v>
      </c>
      <c r="BW64" s="84" t="s">
        <v>153</v>
      </c>
      <c r="BX64" s="85" t="s">
        <v>153</v>
      </c>
      <c r="BY64" s="86" t="s">
        <v>225</v>
      </c>
      <c r="BZ64" s="87" t="s">
        <v>153</v>
      </c>
      <c r="CA64" s="88" t="s">
        <v>1278</v>
      </c>
      <c r="CB64" s="89">
        <v>43958</v>
      </c>
      <c r="CC64" s="90">
        <v>38567.67</v>
      </c>
      <c r="CD64" s="91" t="s">
        <v>186</v>
      </c>
      <c r="CE64" s="92">
        <v>38567.67</v>
      </c>
      <c r="CF64" s="93" t="s">
        <v>187</v>
      </c>
      <c r="CG64" s="94" t="s">
        <v>224</v>
      </c>
      <c r="CH64" s="95" t="s">
        <v>153</v>
      </c>
      <c r="CI64" s="96" t="s">
        <v>153</v>
      </c>
      <c r="CJ64" s="97" t="s">
        <v>225</v>
      </c>
      <c r="CK64" s="98">
        <v>43958</v>
      </c>
      <c r="CL64" s="99" t="s">
        <v>153</v>
      </c>
      <c r="CM64" s="100" t="s">
        <v>153</v>
      </c>
      <c r="CN64" s="101" t="s">
        <v>1278</v>
      </c>
      <c r="CO64" s="102" t="s">
        <v>153</v>
      </c>
      <c r="CP64" s="103" t="s">
        <v>153</v>
      </c>
      <c r="CQ64" s="104" t="s">
        <v>153</v>
      </c>
      <c r="CR64" s="105" t="s">
        <v>153</v>
      </c>
      <c r="CS64" s="106" t="s">
        <v>153</v>
      </c>
      <c r="CT64" s="107" t="s">
        <v>153</v>
      </c>
      <c r="CU64" s="108" t="s">
        <v>153</v>
      </c>
      <c r="CV64" s="109" t="s">
        <v>153</v>
      </c>
      <c r="CW64" s="110" t="s">
        <v>153</v>
      </c>
      <c r="CX64" s="111" t="s">
        <v>153</v>
      </c>
      <c r="CY64" s="112" t="s">
        <v>153</v>
      </c>
      <c r="CZ64" s="113" t="s">
        <v>153</v>
      </c>
      <c r="DA64" s="114" t="s">
        <v>153</v>
      </c>
      <c r="DB64" s="115" t="s">
        <v>153</v>
      </c>
      <c r="DC64" s="116" t="s">
        <v>153</v>
      </c>
      <c r="DD64" s="117" t="s">
        <v>153</v>
      </c>
      <c r="DE64" s="118" t="s">
        <v>153</v>
      </c>
      <c r="DF64" s="119" t="s">
        <v>153</v>
      </c>
      <c r="DG64" s="120" t="s">
        <v>153</v>
      </c>
      <c r="DH64" s="121" t="s">
        <v>153</v>
      </c>
      <c r="DI64" s="122" t="s">
        <v>153</v>
      </c>
      <c r="DJ64" s="123" t="s">
        <v>153</v>
      </c>
      <c r="DK64" s="124" t="s">
        <v>153</v>
      </c>
      <c r="DL64" s="125" t="s">
        <v>153</v>
      </c>
      <c r="DM64" s="126" t="s">
        <v>153</v>
      </c>
      <c r="DN64" s="127" t="s">
        <v>153</v>
      </c>
      <c r="DO64" s="128" t="s">
        <v>153</v>
      </c>
      <c r="DP64" s="129" t="s">
        <v>153</v>
      </c>
      <c r="DQ64" s="130" t="s">
        <v>153</v>
      </c>
      <c r="DR64" s="131" t="s">
        <v>153</v>
      </c>
      <c r="DS64" s="132" t="s">
        <v>153</v>
      </c>
      <c r="DT64" s="133" t="s">
        <v>153</v>
      </c>
      <c r="DU64" s="134" t="s">
        <v>153</v>
      </c>
      <c r="DV64" s="135" t="s">
        <v>153</v>
      </c>
      <c r="DW64" s="136" t="s">
        <v>153</v>
      </c>
      <c r="DX64" s="137" t="s">
        <v>153</v>
      </c>
      <c r="DY64" s="138" t="s">
        <v>153</v>
      </c>
      <c r="DZ64" s="139" t="s">
        <v>191</v>
      </c>
      <c r="EA64" s="140">
        <v>44348</v>
      </c>
      <c r="EB64" s="141">
        <v>38567.67</v>
      </c>
      <c r="EC64" s="142">
        <v>43958</v>
      </c>
      <c r="ED64" s="143" t="s">
        <v>224</v>
      </c>
      <c r="EE64" s="278" t="str">
        <f>HYPERLINK("https://my.pitchbook.com?c=434942-11", "View company online")</f>
        <v>View company online</v>
      </c>
    </row>
    <row r="65" spans="1:135" x14ac:dyDescent="0.45">
      <c r="A65" s="144" t="s">
        <v>1493</v>
      </c>
      <c r="B65" s="145" t="s">
        <v>1494</v>
      </c>
      <c r="C65" s="146" t="s">
        <v>153</v>
      </c>
      <c r="D65" s="147" t="s">
        <v>153</v>
      </c>
      <c r="E65" s="148" t="s">
        <v>1495</v>
      </c>
      <c r="F65" s="149" t="s">
        <v>1496</v>
      </c>
      <c r="G65" s="150" t="s">
        <v>1497</v>
      </c>
      <c r="H65" s="151" t="s">
        <v>153</v>
      </c>
      <c r="I65" s="152" t="s">
        <v>1493</v>
      </c>
      <c r="J65" s="153" t="s">
        <v>1498</v>
      </c>
      <c r="K65" s="154" t="s">
        <v>157</v>
      </c>
      <c r="L65" s="155" t="s">
        <v>817</v>
      </c>
      <c r="M65" s="156" t="s">
        <v>1499</v>
      </c>
      <c r="N65" s="157" t="s">
        <v>1500</v>
      </c>
      <c r="O65" s="158" t="s">
        <v>399</v>
      </c>
      <c r="P65" s="159" t="s">
        <v>1501</v>
      </c>
      <c r="Q65" s="160" t="s">
        <v>204</v>
      </c>
      <c r="R65" s="161" t="s">
        <v>153</v>
      </c>
      <c r="S65" s="162" t="s">
        <v>290</v>
      </c>
      <c r="T65" s="163" t="s">
        <v>205</v>
      </c>
      <c r="U65" s="164" t="s">
        <v>237</v>
      </c>
      <c r="V65" s="165" t="s">
        <v>1502</v>
      </c>
      <c r="W65" s="166">
        <v>34000</v>
      </c>
      <c r="X65" s="167" t="s">
        <v>1503</v>
      </c>
      <c r="Y65" s="168" t="s">
        <v>153</v>
      </c>
      <c r="Z65" s="169" t="s">
        <v>153</v>
      </c>
      <c r="AA65" s="170">
        <v>1924</v>
      </c>
      <c r="AB65" s="171" t="s">
        <v>153</v>
      </c>
      <c r="AC65" s="172" t="s">
        <v>153</v>
      </c>
      <c r="AD65" s="173" t="s">
        <v>153</v>
      </c>
      <c r="AE65" s="174" t="s">
        <v>153</v>
      </c>
      <c r="AF65" s="175" t="s">
        <v>153</v>
      </c>
      <c r="AG65" s="176" t="s">
        <v>153</v>
      </c>
      <c r="AH65" s="177" t="s">
        <v>153</v>
      </c>
      <c r="AI65" s="178" t="s">
        <v>153</v>
      </c>
      <c r="AJ65" s="179" t="s">
        <v>153</v>
      </c>
      <c r="AK65" s="180" t="s">
        <v>153</v>
      </c>
      <c r="AL65" s="181" t="s">
        <v>153</v>
      </c>
      <c r="AM65" s="182" t="s">
        <v>153</v>
      </c>
      <c r="AN65" s="183" t="s">
        <v>1504</v>
      </c>
      <c r="AO65" s="184" t="s">
        <v>153</v>
      </c>
      <c r="AP65" s="185" t="s">
        <v>153</v>
      </c>
      <c r="AQ65" s="186" t="s">
        <v>153</v>
      </c>
      <c r="AR65" s="187" t="s">
        <v>153</v>
      </c>
      <c r="AS65" s="188" t="s">
        <v>153</v>
      </c>
      <c r="AT65" s="189" t="s">
        <v>1353</v>
      </c>
      <c r="AU65" s="190" t="s">
        <v>1505</v>
      </c>
      <c r="AV65" s="191" t="s">
        <v>153</v>
      </c>
      <c r="AW65" s="192" t="s">
        <v>1355</v>
      </c>
      <c r="AX65" s="193" t="s">
        <v>1356</v>
      </c>
      <c r="AY65" s="194" t="s">
        <v>1506</v>
      </c>
      <c r="AZ65" s="195" t="s">
        <v>1358</v>
      </c>
      <c r="BA65" s="196" t="s">
        <v>153</v>
      </c>
      <c r="BB65" s="197" t="s">
        <v>153</v>
      </c>
      <c r="BC65" s="198" t="s">
        <v>153</v>
      </c>
      <c r="BD65" s="199" t="s">
        <v>216</v>
      </c>
      <c r="BE65" s="200" t="s">
        <v>217</v>
      </c>
      <c r="BF65" s="201" t="s">
        <v>1507</v>
      </c>
      <c r="BG65" s="202" t="s">
        <v>1508</v>
      </c>
      <c r="BH65" s="203">
        <v>1</v>
      </c>
      <c r="BI65" s="204" t="s">
        <v>1509</v>
      </c>
      <c r="BJ65" s="205" t="s">
        <v>153</v>
      </c>
      <c r="BK65" s="206" t="s">
        <v>153</v>
      </c>
      <c r="BL65" s="207" t="s">
        <v>1510</v>
      </c>
      <c r="BM65" s="208" t="s">
        <v>153</v>
      </c>
      <c r="BN65" s="209" t="s">
        <v>153</v>
      </c>
      <c r="BO65" s="210" t="s">
        <v>1511</v>
      </c>
      <c r="BP65" s="211" t="s">
        <v>1512</v>
      </c>
      <c r="BQ65" s="212">
        <v>10228</v>
      </c>
      <c r="BR65" s="213" t="s">
        <v>153</v>
      </c>
      <c r="BS65" s="214" t="s">
        <v>153</v>
      </c>
      <c r="BT65" s="215" t="s">
        <v>153</v>
      </c>
      <c r="BU65" s="216" t="s">
        <v>153</v>
      </c>
      <c r="BV65" s="217" t="s">
        <v>748</v>
      </c>
      <c r="BW65" s="218" t="s">
        <v>153</v>
      </c>
      <c r="BX65" s="219" t="s">
        <v>153</v>
      </c>
      <c r="BY65" s="220" t="s">
        <v>225</v>
      </c>
      <c r="BZ65" s="221" t="s">
        <v>153</v>
      </c>
      <c r="CA65" s="222" t="s">
        <v>190</v>
      </c>
      <c r="CB65" s="223">
        <v>36868</v>
      </c>
      <c r="CC65" s="224">
        <v>38441.339999999997</v>
      </c>
      <c r="CD65" s="225" t="s">
        <v>186</v>
      </c>
      <c r="CE65" s="226">
        <v>38441.339999999997</v>
      </c>
      <c r="CF65" s="227" t="s">
        <v>186</v>
      </c>
      <c r="CG65" s="228" t="s">
        <v>226</v>
      </c>
      <c r="CH65" s="229" t="s">
        <v>153</v>
      </c>
      <c r="CI65" s="230" t="s">
        <v>153</v>
      </c>
      <c r="CJ65" s="231" t="s">
        <v>225</v>
      </c>
      <c r="CK65" s="232">
        <v>36868</v>
      </c>
      <c r="CL65" s="233" t="s">
        <v>153</v>
      </c>
      <c r="CM65" s="234" t="s">
        <v>153</v>
      </c>
      <c r="CN65" s="235" t="s">
        <v>190</v>
      </c>
      <c r="CO65" s="236" t="s">
        <v>153</v>
      </c>
      <c r="CP65" s="237" t="s">
        <v>153</v>
      </c>
      <c r="CQ65" s="238" t="s">
        <v>153</v>
      </c>
      <c r="CR65" s="239" t="s">
        <v>153</v>
      </c>
      <c r="CS65" s="240" t="s">
        <v>153</v>
      </c>
      <c r="CT65" s="241" t="s">
        <v>153</v>
      </c>
      <c r="CU65" s="242" t="s">
        <v>153</v>
      </c>
      <c r="CV65" s="243" t="s">
        <v>153</v>
      </c>
      <c r="CW65" s="244" t="s">
        <v>153</v>
      </c>
      <c r="CX65" s="245" t="s">
        <v>153</v>
      </c>
      <c r="CY65" s="246" t="s">
        <v>153</v>
      </c>
      <c r="CZ65" s="247" t="s">
        <v>153</v>
      </c>
      <c r="DA65" s="248" t="s">
        <v>153</v>
      </c>
      <c r="DB65" s="249" t="s">
        <v>153</v>
      </c>
      <c r="DC65" s="250" t="s">
        <v>153</v>
      </c>
      <c r="DD65" s="251" t="s">
        <v>153</v>
      </c>
      <c r="DE65" s="252" t="s">
        <v>153</v>
      </c>
      <c r="DF65" s="253" t="s">
        <v>153</v>
      </c>
      <c r="DG65" s="254" t="s">
        <v>153</v>
      </c>
      <c r="DH65" s="255" t="s">
        <v>153</v>
      </c>
      <c r="DI65" s="256" t="s">
        <v>153</v>
      </c>
      <c r="DJ65" s="257" t="s">
        <v>153</v>
      </c>
      <c r="DK65" s="258" t="s">
        <v>153</v>
      </c>
      <c r="DL65" s="259" t="s">
        <v>153</v>
      </c>
      <c r="DM65" s="260" t="s">
        <v>153</v>
      </c>
      <c r="DN65" s="261" t="s">
        <v>153</v>
      </c>
      <c r="DO65" s="262" t="s">
        <v>153</v>
      </c>
      <c r="DP65" s="263" t="s">
        <v>153</v>
      </c>
      <c r="DQ65" s="264" t="s">
        <v>153</v>
      </c>
      <c r="DR65" s="265" t="s">
        <v>153</v>
      </c>
      <c r="DS65" s="266" t="s">
        <v>153</v>
      </c>
      <c r="DT65" s="267" t="s">
        <v>153</v>
      </c>
      <c r="DU65" s="268" t="s">
        <v>153</v>
      </c>
      <c r="DV65" s="269" t="s">
        <v>153</v>
      </c>
      <c r="DW65" s="270" t="s">
        <v>153</v>
      </c>
      <c r="DX65" s="271" t="s">
        <v>153</v>
      </c>
      <c r="DY65" s="272" t="s">
        <v>153</v>
      </c>
      <c r="DZ65" s="273" t="s">
        <v>191</v>
      </c>
      <c r="EA65" s="274">
        <v>44307</v>
      </c>
      <c r="EB65" s="275">
        <v>38441.339999999997</v>
      </c>
      <c r="EC65" s="276">
        <v>36868</v>
      </c>
      <c r="ED65" s="277" t="s">
        <v>226</v>
      </c>
      <c r="EE65" s="279" t="str">
        <f>HYPERLINK("https://my.pitchbook.com?c=127705-51", "View company online")</f>
        <v>View company online</v>
      </c>
    </row>
    <row r="66" spans="1:135" x14ac:dyDescent="0.45">
      <c r="A66" s="10" t="s">
        <v>1513</v>
      </c>
      <c r="B66" s="11" t="s">
        <v>1514</v>
      </c>
      <c r="C66" s="12" t="s">
        <v>153</v>
      </c>
      <c r="D66" s="13" t="s">
        <v>153</v>
      </c>
      <c r="E66" s="14" t="s">
        <v>153</v>
      </c>
      <c r="F66" s="15" t="s">
        <v>153</v>
      </c>
      <c r="G66" s="16" t="s">
        <v>153</v>
      </c>
      <c r="H66" s="17" t="s">
        <v>153</v>
      </c>
      <c r="I66" s="18" t="s">
        <v>1513</v>
      </c>
      <c r="J66" s="19" t="s">
        <v>1515</v>
      </c>
      <c r="K66" s="20" t="s">
        <v>792</v>
      </c>
      <c r="L66" s="21" t="s">
        <v>1516</v>
      </c>
      <c r="M66" s="22" t="s">
        <v>1516</v>
      </c>
      <c r="N66" s="23" t="s">
        <v>1517</v>
      </c>
      <c r="O66" s="24" t="s">
        <v>153</v>
      </c>
      <c r="P66" s="25" t="s">
        <v>1518</v>
      </c>
      <c r="Q66" s="26" t="s">
        <v>204</v>
      </c>
      <c r="R66" s="27" t="s">
        <v>153</v>
      </c>
      <c r="S66" s="28" t="s">
        <v>153</v>
      </c>
      <c r="T66" s="29" t="s">
        <v>205</v>
      </c>
      <c r="U66" s="30" t="s">
        <v>206</v>
      </c>
      <c r="V66" s="31" t="s">
        <v>153</v>
      </c>
      <c r="W66" s="32" t="s">
        <v>153</v>
      </c>
      <c r="X66" s="33" t="s">
        <v>153</v>
      </c>
      <c r="Y66" s="34" t="s">
        <v>153</v>
      </c>
      <c r="Z66" s="35" t="s">
        <v>153</v>
      </c>
      <c r="AA66" s="36" t="s">
        <v>153</v>
      </c>
      <c r="AB66" s="37" t="s">
        <v>153</v>
      </c>
      <c r="AC66" s="38" t="s">
        <v>153</v>
      </c>
      <c r="AD66" s="39" t="s">
        <v>153</v>
      </c>
      <c r="AE66" s="40" t="s">
        <v>153</v>
      </c>
      <c r="AF66" s="41" t="s">
        <v>153</v>
      </c>
      <c r="AG66" s="42" t="s">
        <v>153</v>
      </c>
      <c r="AH66" s="43" t="s">
        <v>153</v>
      </c>
      <c r="AI66" s="44" t="s">
        <v>153</v>
      </c>
      <c r="AJ66" s="45" t="s">
        <v>153</v>
      </c>
      <c r="AK66" s="46" t="s">
        <v>153</v>
      </c>
      <c r="AL66" s="47" t="s">
        <v>153</v>
      </c>
      <c r="AM66" s="48" t="s">
        <v>153</v>
      </c>
      <c r="AN66" s="49" t="s">
        <v>153</v>
      </c>
      <c r="AO66" s="50" t="s">
        <v>153</v>
      </c>
      <c r="AP66" s="51" t="s">
        <v>153</v>
      </c>
      <c r="AQ66" s="52" t="s">
        <v>153</v>
      </c>
      <c r="AR66" s="53" t="s">
        <v>153</v>
      </c>
      <c r="AS66" s="54" t="s">
        <v>153</v>
      </c>
      <c r="AT66" s="55" t="s">
        <v>1519</v>
      </c>
      <c r="AU66" s="56" t="s">
        <v>153</v>
      </c>
      <c r="AV66" s="57" t="s">
        <v>153</v>
      </c>
      <c r="AW66" s="58" t="s">
        <v>153</v>
      </c>
      <c r="AX66" s="59" t="s">
        <v>153</v>
      </c>
      <c r="AY66" s="60" t="s">
        <v>153</v>
      </c>
      <c r="AZ66" s="61" t="s">
        <v>1519</v>
      </c>
      <c r="BA66" s="62" t="s">
        <v>153</v>
      </c>
      <c r="BB66" s="63" t="s">
        <v>153</v>
      </c>
      <c r="BC66" s="64" t="s">
        <v>153</v>
      </c>
      <c r="BD66" s="65" t="s">
        <v>1406</v>
      </c>
      <c r="BE66" s="66" t="s">
        <v>1407</v>
      </c>
      <c r="BF66" s="67" t="s">
        <v>1520</v>
      </c>
      <c r="BG66" s="68" t="s">
        <v>153</v>
      </c>
      <c r="BH66" s="69" t="s">
        <v>153</v>
      </c>
      <c r="BI66" s="70" t="s">
        <v>1521</v>
      </c>
      <c r="BJ66" s="71" t="s">
        <v>1522</v>
      </c>
      <c r="BK66" s="72" t="s">
        <v>153</v>
      </c>
      <c r="BL66" s="73" t="s">
        <v>153</v>
      </c>
      <c r="BM66" s="74" t="s">
        <v>1523</v>
      </c>
      <c r="BN66" s="75" t="s">
        <v>153</v>
      </c>
      <c r="BO66" s="76" t="s">
        <v>153</v>
      </c>
      <c r="BP66" s="77" t="s">
        <v>153</v>
      </c>
      <c r="BQ66" s="78">
        <v>44075</v>
      </c>
      <c r="BR66" s="79">
        <v>38360</v>
      </c>
      <c r="BS66" s="80" t="s">
        <v>187</v>
      </c>
      <c r="BT66" s="81">
        <v>38360</v>
      </c>
      <c r="BU66" s="82" t="s">
        <v>187</v>
      </c>
      <c r="BV66" s="83" t="s">
        <v>1524</v>
      </c>
      <c r="BW66" s="84" t="s">
        <v>1525</v>
      </c>
      <c r="BX66" s="85" t="s">
        <v>1526</v>
      </c>
      <c r="BY66" s="86" t="s">
        <v>225</v>
      </c>
      <c r="BZ66" s="87" t="s">
        <v>153</v>
      </c>
      <c r="CA66" s="88" t="s">
        <v>190</v>
      </c>
      <c r="CB66" s="89">
        <v>44075</v>
      </c>
      <c r="CC66" s="90">
        <v>38360</v>
      </c>
      <c r="CD66" s="91" t="s">
        <v>187</v>
      </c>
      <c r="CE66" s="92">
        <v>38360</v>
      </c>
      <c r="CF66" s="93" t="s">
        <v>187</v>
      </c>
      <c r="CG66" s="94" t="s">
        <v>1524</v>
      </c>
      <c r="CH66" s="95" t="s">
        <v>1525</v>
      </c>
      <c r="CI66" s="96" t="s">
        <v>1526</v>
      </c>
      <c r="CJ66" s="97" t="s">
        <v>225</v>
      </c>
      <c r="CK66" s="98">
        <v>44075</v>
      </c>
      <c r="CL66" s="99" t="s">
        <v>153</v>
      </c>
      <c r="CM66" s="100" t="s">
        <v>153</v>
      </c>
      <c r="CN66" s="101" t="s">
        <v>190</v>
      </c>
      <c r="CO66" s="102" t="s">
        <v>153</v>
      </c>
      <c r="CP66" s="103" t="s">
        <v>153</v>
      </c>
      <c r="CQ66" s="104" t="s">
        <v>153</v>
      </c>
      <c r="CR66" s="105" t="s">
        <v>153</v>
      </c>
      <c r="CS66" s="106" t="s">
        <v>153</v>
      </c>
      <c r="CT66" s="107" t="s">
        <v>153</v>
      </c>
      <c r="CU66" s="108" t="s">
        <v>153</v>
      </c>
      <c r="CV66" s="109" t="s">
        <v>153</v>
      </c>
      <c r="CW66" s="110" t="s">
        <v>153</v>
      </c>
      <c r="CX66" s="111" t="s">
        <v>153</v>
      </c>
      <c r="CY66" s="112" t="s">
        <v>153</v>
      </c>
      <c r="CZ66" s="113" t="s">
        <v>153</v>
      </c>
      <c r="DA66" s="114" t="s">
        <v>153</v>
      </c>
      <c r="DB66" s="115" t="s">
        <v>153</v>
      </c>
      <c r="DC66" s="116" t="s">
        <v>153</v>
      </c>
      <c r="DD66" s="117" t="s">
        <v>153</v>
      </c>
      <c r="DE66" s="118" t="s">
        <v>153</v>
      </c>
      <c r="DF66" s="119" t="s">
        <v>153</v>
      </c>
      <c r="DG66" s="120" t="s">
        <v>153</v>
      </c>
      <c r="DH66" s="121" t="s">
        <v>153</v>
      </c>
      <c r="DI66" s="122" t="s">
        <v>153</v>
      </c>
      <c r="DJ66" s="123" t="s">
        <v>153</v>
      </c>
      <c r="DK66" s="124" t="s">
        <v>153</v>
      </c>
      <c r="DL66" s="125" t="s">
        <v>153</v>
      </c>
      <c r="DM66" s="126" t="s">
        <v>153</v>
      </c>
      <c r="DN66" s="127" t="s">
        <v>153</v>
      </c>
      <c r="DO66" s="128" t="s">
        <v>153</v>
      </c>
      <c r="DP66" s="129" t="s">
        <v>153</v>
      </c>
      <c r="DQ66" s="130" t="s">
        <v>153</v>
      </c>
      <c r="DR66" s="131" t="s">
        <v>153</v>
      </c>
      <c r="DS66" s="132" t="s">
        <v>153</v>
      </c>
      <c r="DT66" s="133" t="s">
        <v>153</v>
      </c>
      <c r="DU66" s="134" t="s">
        <v>153</v>
      </c>
      <c r="DV66" s="135" t="s">
        <v>153</v>
      </c>
      <c r="DW66" s="136" t="s">
        <v>153</v>
      </c>
      <c r="DX66" s="137" t="s">
        <v>153</v>
      </c>
      <c r="DY66" s="138" t="s">
        <v>153</v>
      </c>
      <c r="DZ66" s="139" t="s">
        <v>191</v>
      </c>
      <c r="EA66" s="140">
        <v>44348</v>
      </c>
      <c r="EB66" s="141">
        <v>38360</v>
      </c>
      <c r="EC66" s="142">
        <v>44075</v>
      </c>
      <c r="ED66" s="143" t="s">
        <v>1524</v>
      </c>
      <c r="EE66" s="278" t="str">
        <f>HYPERLINK("https://my.pitchbook.com?c=437543-20", "View company online")</f>
        <v>View company online</v>
      </c>
    </row>
    <row r="67" spans="1:135" x14ac:dyDescent="0.45">
      <c r="A67" s="144" t="s">
        <v>1527</v>
      </c>
      <c r="B67" s="145" t="s">
        <v>1528</v>
      </c>
      <c r="C67" s="146" t="s">
        <v>153</v>
      </c>
      <c r="D67" s="147" t="s">
        <v>153</v>
      </c>
      <c r="E67" s="148" t="s">
        <v>1529</v>
      </c>
      <c r="F67" s="149" t="s">
        <v>1530</v>
      </c>
      <c r="G67" s="150" t="s">
        <v>1531</v>
      </c>
      <c r="H67" s="151" t="s">
        <v>1532</v>
      </c>
      <c r="I67" s="152" t="s">
        <v>1527</v>
      </c>
      <c r="J67" s="153" t="s">
        <v>1533</v>
      </c>
      <c r="K67" s="154" t="s">
        <v>792</v>
      </c>
      <c r="L67" s="155" t="s">
        <v>793</v>
      </c>
      <c r="M67" s="156" t="s">
        <v>1534</v>
      </c>
      <c r="N67" s="157" t="s">
        <v>1535</v>
      </c>
      <c r="O67" s="158" t="s">
        <v>1119</v>
      </c>
      <c r="P67" s="159" t="s">
        <v>1536</v>
      </c>
      <c r="Q67" s="160" t="s">
        <v>367</v>
      </c>
      <c r="R67" s="161" t="s">
        <v>153</v>
      </c>
      <c r="S67" s="162" t="s">
        <v>290</v>
      </c>
      <c r="T67" s="163" t="s">
        <v>291</v>
      </c>
      <c r="U67" s="164" t="s">
        <v>369</v>
      </c>
      <c r="V67" s="165" t="s">
        <v>1537</v>
      </c>
      <c r="W67" s="166">
        <v>4739</v>
      </c>
      <c r="X67" s="167" t="s">
        <v>1538</v>
      </c>
      <c r="Y67" s="168" t="s">
        <v>372</v>
      </c>
      <c r="Z67" s="169" t="s">
        <v>1539</v>
      </c>
      <c r="AA67" s="170">
        <v>1908</v>
      </c>
      <c r="AB67" s="171" t="s">
        <v>153</v>
      </c>
      <c r="AC67" s="172" t="s">
        <v>428</v>
      </c>
      <c r="AD67" s="173" t="s">
        <v>1540</v>
      </c>
      <c r="AE67" s="174">
        <v>8418</v>
      </c>
      <c r="AF67" s="175">
        <v>4531</v>
      </c>
      <c r="AG67" s="176">
        <v>1154</v>
      </c>
      <c r="AH67" s="177">
        <v>53856.59</v>
      </c>
      <c r="AI67" s="178">
        <v>4527</v>
      </c>
      <c r="AJ67" s="179">
        <v>2797</v>
      </c>
      <c r="AK67" s="180">
        <v>30551.27</v>
      </c>
      <c r="AL67" s="181">
        <v>22108</v>
      </c>
      <c r="AM67" s="182">
        <v>4.4400000000000004</v>
      </c>
      <c r="AN67" s="183" t="s">
        <v>376</v>
      </c>
      <c r="AO67" s="184" t="s">
        <v>1541</v>
      </c>
      <c r="AP67" s="185" t="s">
        <v>1542</v>
      </c>
      <c r="AQ67" s="186" t="s">
        <v>1543</v>
      </c>
      <c r="AR67" s="187" t="s">
        <v>1544</v>
      </c>
      <c r="AS67" s="188" t="s">
        <v>1545</v>
      </c>
      <c r="AT67" s="189" t="s">
        <v>1546</v>
      </c>
      <c r="AU67" s="190" t="s">
        <v>1547</v>
      </c>
      <c r="AV67" s="191" t="s">
        <v>1548</v>
      </c>
      <c r="AW67" s="192" t="s">
        <v>1549</v>
      </c>
      <c r="AX67" s="193" t="s">
        <v>1550</v>
      </c>
      <c r="AY67" s="194" t="s">
        <v>1551</v>
      </c>
      <c r="AZ67" s="195" t="s">
        <v>215</v>
      </c>
      <c r="BA67" s="196" t="s">
        <v>1545</v>
      </c>
      <c r="BB67" s="197" t="s">
        <v>153</v>
      </c>
      <c r="BC67" s="198" t="s">
        <v>1552</v>
      </c>
      <c r="BD67" s="199" t="s">
        <v>216</v>
      </c>
      <c r="BE67" s="200" t="s">
        <v>217</v>
      </c>
      <c r="BF67" s="201" t="s">
        <v>1553</v>
      </c>
      <c r="BG67" s="202" t="s">
        <v>153</v>
      </c>
      <c r="BH67" s="203" t="s">
        <v>153</v>
      </c>
      <c r="BI67" s="204" t="s">
        <v>153</v>
      </c>
      <c r="BJ67" s="205" t="s">
        <v>1554</v>
      </c>
      <c r="BK67" s="206" t="s">
        <v>1555</v>
      </c>
      <c r="BL67" s="207" t="s">
        <v>153</v>
      </c>
      <c r="BM67" s="208" t="s">
        <v>1556</v>
      </c>
      <c r="BN67" s="209" t="s">
        <v>1557</v>
      </c>
      <c r="BO67" s="210" t="s">
        <v>1558</v>
      </c>
      <c r="BP67" s="211" t="s">
        <v>1559</v>
      </c>
      <c r="BQ67" s="212">
        <v>24810</v>
      </c>
      <c r="BR67" s="213" t="s">
        <v>153</v>
      </c>
      <c r="BS67" s="214" t="s">
        <v>153</v>
      </c>
      <c r="BT67" s="215" t="s">
        <v>153</v>
      </c>
      <c r="BU67" s="216" t="s">
        <v>153</v>
      </c>
      <c r="BV67" s="217" t="s">
        <v>251</v>
      </c>
      <c r="BW67" s="218" t="s">
        <v>153</v>
      </c>
      <c r="BX67" s="219" t="s">
        <v>153</v>
      </c>
      <c r="BY67" s="220" t="s">
        <v>252</v>
      </c>
      <c r="BZ67" s="221" t="s">
        <v>153</v>
      </c>
      <c r="CA67" s="222" t="s">
        <v>190</v>
      </c>
      <c r="CB67" s="223">
        <v>42621</v>
      </c>
      <c r="CC67" s="224">
        <v>38000</v>
      </c>
      <c r="CD67" s="225" t="s">
        <v>186</v>
      </c>
      <c r="CE67" s="226">
        <v>38000</v>
      </c>
      <c r="CF67" s="227" t="s">
        <v>187</v>
      </c>
      <c r="CG67" s="228" t="s">
        <v>226</v>
      </c>
      <c r="CH67" s="229" t="s">
        <v>153</v>
      </c>
      <c r="CI67" s="230" t="s">
        <v>153</v>
      </c>
      <c r="CJ67" s="231" t="s">
        <v>225</v>
      </c>
      <c r="CK67" s="232">
        <v>42621</v>
      </c>
      <c r="CL67" s="233" t="s">
        <v>153</v>
      </c>
      <c r="CM67" s="234" t="s">
        <v>153</v>
      </c>
      <c r="CN67" s="235" t="s">
        <v>394</v>
      </c>
      <c r="CO67" s="236">
        <v>-0.03</v>
      </c>
      <c r="CP67" s="237">
        <v>10</v>
      </c>
      <c r="CQ67" s="238">
        <v>0.02</v>
      </c>
      <c r="CR67" s="239">
        <v>41.3</v>
      </c>
      <c r="CS67" s="240" t="s">
        <v>153</v>
      </c>
      <c r="CT67" s="241" t="s">
        <v>153</v>
      </c>
      <c r="CU67" s="242">
        <v>-0.03</v>
      </c>
      <c r="CV67" s="243">
        <v>36</v>
      </c>
      <c r="CW67" s="244" t="s">
        <v>153</v>
      </c>
      <c r="CX67" s="245" t="s">
        <v>153</v>
      </c>
      <c r="CY67" s="246" t="s">
        <v>153</v>
      </c>
      <c r="CZ67" s="247" t="s">
        <v>153</v>
      </c>
      <c r="DA67" s="248">
        <v>-0.03</v>
      </c>
      <c r="DB67" s="249">
        <v>36</v>
      </c>
      <c r="DC67" s="250">
        <v>22.81</v>
      </c>
      <c r="DD67" s="251">
        <v>96</v>
      </c>
      <c r="DE67" s="252">
        <v>0.14000000000000001</v>
      </c>
      <c r="DF67" s="253">
        <v>0.61</v>
      </c>
      <c r="DG67" s="254" t="s">
        <v>153</v>
      </c>
      <c r="DH67" s="255" t="s">
        <v>153</v>
      </c>
      <c r="DI67" s="256">
        <v>22.81</v>
      </c>
      <c r="DJ67" s="257">
        <v>92</v>
      </c>
      <c r="DK67" s="258" t="s">
        <v>153</v>
      </c>
      <c r="DL67" s="259" t="s">
        <v>153</v>
      </c>
      <c r="DM67" s="260" t="s">
        <v>153</v>
      </c>
      <c r="DN67" s="261" t="s">
        <v>153</v>
      </c>
      <c r="DO67" s="262">
        <v>22.81</v>
      </c>
      <c r="DP67" s="263">
        <v>92</v>
      </c>
      <c r="DQ67" s="264" t="s">
        <v>153</v>
      </c>
      <c r="DR67" s="265" t="s">
        <v>153</v>
      </c>
      <c r="DS67" s="266" t="s">
        <v>153</v>
      </c>
      <c r="DT67" s="267" t="s">
        <v>153</v>
      </c>
      <c r="DU67" s="268" t="s">
        <v>153</v>
      </c>
      <c r="DV67" s="269" t="s">
        <v>153</v>
      </c>
      <c r="DW67" s="270">
        <v>7163</v>
      </c>
      <c r="DX67" s="271">
        <v>-2</v>
      </c>
      <c r="DY67" s="272">
        <v>-0.03</v>
      </c>
      <c r="DZ67" s="273" t="s">
        <v>191</v>
      </c>
      <c r="EA67" s="274">
        <v>44402</v>
      </c>
      <c r="EB67" s="275">
        <v>38000</v>
      </c>
      <c r="EC67" s="276">
        <v>42621</v>
      </c>
      <c r="ED67" s="277" t="s">
        <v>226</v>
      </c>
      <c r="EE67" s="279" t="str">
        <f>HYPERLINK("https://my.pitchbook.com?c=10321-93", "View company online")</f>
        <v>View company online</v>
      </c>
    </row>
    <row r="68" spans="1:135" x14ac:dyDescent="0.45">
      <c r="A68" s="10" t="s">
        <v>1560</v>
      </c>
      <c r="B68" s="11" t="s">
        <v>1561</v>
      </c>
      <c r="C68" s="12" t="s">
        <v>153</v>
      </c>
      <c r="D68" s="13" t="s">
        <v>153</v>
      </c>
      <c r="E68" s="14" t="s">
        <v>153</v>
      </c>
      <c r="F68" s="15" t="s">
        <v>1562</v>
      </c>
      <c r="G68" s="16" t="s">
        <v>1563</v>
      </c>
      <c r="H68" s="17" t="s">
        <v>1564</v>
      </c>
      <c r="I68" s="18" t="s">
        <v>1560</v>
      </c>
      <c r="J68" s="19" t="s">
        <v>1565</v>
      </c>
      <c r="K68" s="20" t="s">
        <v>882</v>
      </c>
      <c r="L68" s="21" t="s">
        <v>883</v>
      </c>
      <c r="M68" s="22" t="s">
        <v>1369</v>
      </c>
      <c r="N68" s="23" t="s">
        <v>1566</v>
      </c>
      <c r="O68" s="24" t="s">
        <v>261</v>
      </c>
      <c r="P68" s="25" t="s">
        <v>1567</v>
      </c>
      <c r="Q68" s="26" t="s">
        <v>204</v>
      </c>
      <c r="R68" s="27" t="s">
        <v>153</v>
      </c>
      <c r="S68" s="28" t="s">
        <v>290</v>
      </c>
      <c r="T68" s="29" t="s">
        <v>164</v>
      </c>
      <c r="U68" s="30" t="s">
        <v>237</v>
      </c>
      <c r="V68" s="31" t="s">
        <v>1568</v>
      </c>
      <c r="W68" s="32">
        <v>33000</v>
      </c>
      <c r="X68" s="33" t="s">
        <v>1569</v>
      </c>
      <c r="Y68" s="34" t="s">
        <v>153</v>
      </c>
      <c r="Z68" s="35" t="s">
        <v>153</v>
      </c>
      <c r="AA68" s="36">
        <v>1953</v>
      </c>
      <c r="AB68" s="37" t="s">
        <v>1238</v>
      </c>
      <c r="AC68" s="38" t="s">
        <v>153</v>
      </c>
      <c r="AD68" s="39" t="s">
        <v>153</v>
      </c>
      <c r="AE68" s="40" t="s">
        <v>153</v>
      </c>
      <c r="AF68" s="41" t="s">
        <v>153</v>
      </c>
      <c r="AG68" s="42" t="s">
        <v>153</v>
      </c>
      <c r="AH68" s="43" t="s">
        <v>153</v>
      </c>
      <c r="AI68" s="44" t="s">
        <v>153</v>
      </c>
      <c r="AJ68" s="45" t="s">
        <v>153</v>
      </c>
      <c r="AK68" s="46" t="s">
        <v>153</v>
      </c>
      <c r="AL68" s="47" t="s">
        <v>153</v>
      </c>
      <c r="AM68" s="48" t="s">
        <v>153</v>
      </c>
      <c r="AN68" s="49" t="s">
        <v>1570</v>
      </c>
      <c r="AO68" s="50" t="s">
        <v>1571</v>
      </c>
      <c r="AP68" s="51" t="s">
        <v>1572</v>
      </c>
      <c r="AQ68" s="52" t="s">
        <v>1175</v>
      </c>
      <c r="AR68" s="53" t="s">
        <v>1573</v>
      </c>
      <c r="AS68" s="54" t="s">
        <v>1574</v>
      </c>
      <c r="AT68" s="55" t="s">
        <v>1575</v>
      </c>
      <c r="AU68" s="56" t="s">
        <v>1576</v>
      </c>
      <c r="AV68" s="57" t="s">
        <v>1577</v>
      </c>
      <c r="AW68" s="58" t="s">
        <v>1578</v>
      </c>
      <c r="AX68" s="59" t="s">
        <v>1579</v>
      </c>
      <c r="AY68" s="60" t="s">
        <v>1580</v>
      </c>
      <c r="AZ68" s="61" t="s">
        <v>215</v>
      </c>
      <c r="BA68" s="62" t="s">
        <v>1574</v>
      </c>
      <c r="BB68" s="63" t="s">
        <v>153</v>
      </c>
      <c r="BC68" s="64" t="s">
        <v>153</v>
      </c>
      <c r="BD68" s="65" t="s">
        <v>216</v>
      </c>
      <c r="BE68" s="66" t="s">
        <v>217</v>
      </c>
      <c r="BF68" s="67" t="s">
        <v>1581</v>
      </c>
      <c r="BG68" s="68" t="s">
        <v>153</v>
      </c>
      <c r="BH68" s="69" t="s">
        <v>153</v>
      </c>
      <c r="BI68" s="70" t="s">
        <v>1238</v>
      </c>
      <c r="BJ68" s="71" t="s">
        <v>153</v>
      </c>
      <c r="BK68" s="72" t="s">
        <v>153</v>
      </c>
      <c r="BL68" s="73" t="s">
        <v>153</v>
      </c>
      <c r="BM68" s="74" t="s">
        <v>153</v>
      </c>
      <c r="BN68" s="75" t="s">
        <v>153</v>
      </c>
      <c r="BO68" s="76" t="s">
        <v>1582</v>
      </c>
      <c r="BP68" s="77" t="s">
        <v>1583</v>
      </c>
      <c r="BQ68" s="78">
        <v>24473</v>
      </c>
      <c r="BR68" s="79" t="s">
        <v>153</v>
      </c>
      <c r="BS68" s="80" t="s">
        <v>153</v>
      </c>
      <c r="BT68" s="81" t="s">
        <v>153</v>
      </c>
      <c r="BU68" s="82" t="s">
        <v>153</v>
      </c>
      <c r="BV68" s="83" t="s">
        <v>251</v>
      </c>
      <c r="BW68" s="84" t="s">
        <v>153</v>
      </c>
      <c r="BX68" s="85" t="s">
        <v>153</v>
      </c>
      <c r="BY68" s="86" t="s">
        <v>225</v>
      </c>
      <c r="BZ68" s="87" t="s">
        <v>153</v>
      </c>
      <c r="CA68" s="88" t="s">
        <v>190</v>
      </c>
      <c r="CB68" s="89">
        <v>42398</v>
      </c>
      <c r="CC68" s="90">
        <v>37200</v>
      </c>
      <c r="CD68" s="91" t="s">
        <v>186</v>
      </c>
      <c r="CE68" s="92">
        <v>38374.25</v>
      </c>
      <c r="CF68" s="93" t="s">
        <v>187</v>
      </c>
      <c r="CG68" s="94" t="s">
        <v>226</v>
      </c>
      <c r="CH68" s="95" t="s">
        <v>153</v>
      </c>
      <c r="CI68" s="96" t="s">
        <v>153</v>
      </c>
      <c r="CJ68" s="97" t="s">
        <v>225</v>
      </c>
      <c r="CK68" s="98">
        <v>42398</v>
      </c>
      <c r="CL68" s="99" t="s">
        <v>153</v>
      </c>
      <c r="CM68" s="100" t="s">
        <v>153</v>
      </c>
      <c r="CN68" s="101" t="s">
        <v>190</v>
      </c>
      <c r="CO68" s="102">
        <v>6.02</v>
      </c>
      <c r="CP68" s="103">
        <v>100</v>
      </c>
      <c r="CQ68" s="104">
        <v>2.99</v>
      </c>
      <c r="CR68" s="105">
        <v>98.69</v>
      </c>
      <c r="CS68" s="106">
        <v>6.02</v>
      </c>
      <c r="CT68" s="107">
        <v>100</v>
      </c>
      <c r="CU68" s="108" t="s">
        <v>153</v>
      </c>
      <c r="CV68" s="109" t="s">
        <v>153</v>
      </c>
      <c r="CW68" s="110">
        <v>12.65</v>
      </c>
      <c r="CX68" s="111">
        <v>100</v>
      </c>
      <c r="CY68" s="112">
        <v>-0.61</v>
      </c>
      <c r="CZ68" s="113">
        <v>2</v>
      </c>
      <c r="DA68" s="114" t="s">
        <v>153</v>
      </c>
      <c r="DB68" s="115" t="s">
        <v>153</v>
      </c>
      <c r="DC68" s="116">
        <v>21.78</v>
      </c>
      <c r="DD68" s="117">
        <v>96</v>
      </c>
      <c r="DE68" s="118">
        <v>10.82</v>
      </c>
      <c r="DF68" s="119">
        <v>98.64</v>
      </c>
      <c r="DG68" s="120">
        <v>21.78</v>
      </c>
      <c r="DH68" s="121">
        <v>96</v>
      </c>
      <c r="DI68" s="122" t="s">
        <v>153</v>
      </c>
      <c r="DJ68" s="123" t="s">
        <v>153</v>
      </c>
      <c r="DK68" s="124">
        <v>6.19</v>
      </c>
      <c r="DL68" s="125">
        <v>81</v>
      </c>
      <c r="DM68" s="126">
        <v>37.380000000000003</v>
      </c>
      <c r="DN68" s="127">
        <v>97</v>
      </c>
      <c r="DO68" s="128" t="s">
        <v>153</v>
      </c>
      <c r="DP68" s="129" t="s">
        <v>153</v>
      </c>
      <c r="DQ68" s="130">
        <v>3617</v>
      </c>
      <c r="DR68" s="131">
        <v>189</v>
      </c>
      <c r="DS68" s="132">
        <v>5.51</v>
      </c>
      <c r="DT68" s="133">
        <v>597</v>
      </c>
      <c r="DU68" s="134">
        <v>1</v>
      </c>
      <c r="DV68" s="135">
        <v>0.17</v>
      </c>
      <c r="DW68" s="136">
        <v>67</v>
      </c>
      <c r="DX68" s="137">
        <v>1</v>
      </c>
      <c r="DY68" s="138">
        <v>1.52</v>
      </c>
      <c r="DZ68" s="139" t="s">
        <v>191</v>
      </c>
      <c r="EA68" s="140">
        <v>44390</v>
      </c>
      <c r="EB68" s="141">
        <v>38374.25</v>
      </c>
      <c r="EC68" s="142">
        <v>42398</v>
      </c>
      <c r="ED68" s="143" t="s">
        <v>226</v>
      </c>
      <c r="EE68" s="278" t="str">
        <f>HYPERLINK("https://my.pitchbook.com?c=26033-59", "View company online")</f>
        <v>View company online</v>
      </c>
    </row>
    <row r="69" spans="1:135" x14ac:dyDescent="0.45">
      <c r="A69" s="144" t="s">
        <v>1584</v>
      </c>
      <c r="B69" s="145" t="s">
        <v>1585</v>
      </c>
      <c r="C69" s="146" t="s">
        <v>153</v>
      </c>
      <c r="D69" s="147" t="s">
        <v>153</v>
      </c>
      <c r="E69" s="148" t="s">
        <v>153</v>
      </c>
      <c r="F69" s="149" t="s">
        <v>153</v>
      </c>
      <c r="G69" s="150" t="s">
        <v>1586</v>
      </c>
      <c r="H69" s="151" t="s">
        <v>1587</v>
      </c>
      <c r="I69" s="152" t="s">
        <v>1584</v>
      </c>
      <c r="J69" s="153" t="s">
        <v>1588</v>
      </c>
      <c r="K69" s="154" t="s">
        <v>198</v>
      </c>
      <c r="L69" s="155" t="s">
        <v>1589</v>
      </c>
      <c r="M69" s="156" t="s">
        <v>1590</v>
      </c>
      <c r="N69" s="157" t="s">
        <v>1591</v>
      </c>
      <c r="O69" s="158" t="s">
        <v>1592</v>
      </c>
      <c r="P69" s="159" t="s">
        <v>1593</v>
      </c>
      <c r="Q69" s="160" t="s">
        <v>289</v>
      </c>
      <c r="R69" s="161">
        <v>66.36</v>
      </c>
      <c r="S69" s="162" t="s">
        <v>290</v>
      </c>
      <c r="T69" s="163" t="s">
        <v>205</v>
      </c>
      <c r="U69" s="164" t="s">
        <v>941</v>
      </c>
      <c r="V69" s="165" t="s">
        <v>153</v>
      </c>
      <c r="W69" s="166">
        <v>10000</v>
      </c>
      <c r="X69" s="167" t="s">
        <v>1594</v>
      </c>
      <c r="Y69" s="168" t="s">
        <v>153</v>
      </c>
      <c r="Z69" s="169" t="s">
        <v>153</v>
      </c>
      <c r="AA69" s="170">
        <v>1991</v>
      </c>
      <c r="AB69" s="171" t="s">
        <v>153</v>
      </c>
      <c r="AC69" s="172" t="s">
        <v>153</v>
      </c>
      <c r="AD69" s="173" t="s">
        <v>153</v>
      </c>
      <c r="AE69" s="174" t="s">
        <v>153</v>
      </c>
      <c r="AF69" s="175" t="s">
        <v>153</v>
      </c>
      <c r="AG69" s="176" t="s">
        <v>153</v>
      </c>
      <c r="AH69" s="177" t="s">
        <v>153</v>
      </c>
      <c r="AI69" s="178" t="s">
        <v>153</v>
      </c>
      <c r="AJ69" s="179" t="s">
        <v>153</v>
      </c>
      <c r="AK69" s="180" t="s">
        <v>153</v>
      </c>
      <c r="AL69" s="181" t="s">
        <v>153</v>
      </c>
      <c r="AM69" s="182" t="s">
        <v>153</v>
      </c>
      <c r="AN69" s="183" t="s">
        <v>1595</v>
      </c>
      <c r="AO69" s="184" t="s">
        <v>1596</v>
      </c>
      <c r="AP69" s="185" t="s">
        <v>1597</v>
      </c>
      <c r="AQ69" s="186" t="s">
        <v>1598</v>
      </c>
      <c r="AR69" s="187" t="s">
        <v>153</v>
      </c>
      <c r="AS69" s="188" t="s">
        <v>153</v>
      </c>
      <c r="AT69" s="189" t="s">
        <v>485</v>
      </c>
      <c r="AU69" s="190" t="s">
        <v>1599</v>
      </c>
      <c r="AV69" s="191" t="s">
        <v>153</v>
      </c>
      <c r="AW69" s="192" t="s">
        <v>487</v>
      </c>
      <c r="AX69" s="193" t="s">
        <v>308</v>
      </c>
      <c r="AY69" s="194" t="s">
        <v>1600</v>
      </c>
      <c r="AZ69" s="195" t="s">
        <v>215</v>
      </c>
      <c r="BA69" s="196" t="s">
        <v>153</v>
      </c>
      <c r="BB69" s="197" t="s">
        <v>153</v>
      </c>
      <c r="BC69" s="198" t="s">
        <v>153</v>
      </c>
      <c r="BD69" s="199" t="s">
        <v>216</v>
      </c>
      <c r="BE69" s="200" t="s">
        <v>217</v>
      </c>
      <c r="BF69" s="201" t="s">
        <v>1601</v>
      </c>
      <c r="BG69" s="202" t="s">
        <v>153</v>
      </c>
      <c r="BH69" s="203" t="s">
        <v>153</v>
      </c>
      <c r="BI69" s="204" t="s">
        <v>1602</v>
      </c>
      <c r="BJ69" s="205" t="s">
        <v>1603</v>
      </c>
      <c r="BK69" s="206" t="s">
        <v>153</v>
      </c>
      <c r="BL69" s="207" t="s">
        <v>153</v>
      </c>
      <c r="BM69" s="208" t="s">
        <v>1604</v>
      </c>
      <c r="BN69" s="209" t="s">
        <v>153</v>
      </c>
      <c r="BO69" s="210" t="s">
        <v>1605</v>
      </c>
      <c r="BP69" s="211" t="s">
        <v>1606</v>
      </c>
      <c r="BQ69" s="212">
        <v>34700</v>
      </c>
      <c r="BR69" s="213" t="s">
        <v>153</v>
      </c>
      <c r="BS69" s="214" t="s">
        <v>153</v>
      </c>
      <c r="BT69" s="215" t="s">
        <v>153</v>
      </c>
      <c r="BU69" s="216" t="s">
        <v>153</v>
      </c>
      <c r="BV69" s="217" t="s">
        <v>905</v>
      </c>
      <c r="BW69" s="218" t="s">
        <v>153</v>
      </c>
      <c r="BX69" s="219" t="s">
        <v>153</v>
      </c>
      <c r="BY69" s="220" t="s">
        <v>472</v>
      </c>
      <c r="BZ69" s="221" t="s">
        <v>153</v>
      </c>
      <c r="CA69" s="222" t="s">
        <v>190</v>
      </c>
      <c r="CB69" s="223">
        <v>42401</v>
      </c>
      <c r="CC69" s="224">
        <v>37000</v>
      </c>
      <c r="CD69" s="225" t="s">
        <v>186</v>
      </c>
      <c r="CE69" s="226">
        <v>37000</v>
      </c>
      <c r="CF69" s="227" t="s">
        <v>186</v>
      </c>
      <c r="CG69" s="228" t="s">
        <v>226</v>
      </c>
      <c r="CH69" s="229" t="s">
        <v>153</v>
      </c>
      <c r="CI69" s="230" t="s">
        <v>153</v>
      </c>
      <c r="CJ69" s="231" t="s">
        <v>225</v>
      </c>
      <c r="CK69" s="232">
        <v>42401</v>
      </c>
      <c r="CL69" s="233">
        <v>15600</v>
      </c>
      <c r="CM69" s="234" t="s">
        <v>1607</v>
      </c>
      <c r="CN69" s="235" t="s">
        <v>190</v>
      </c>
      <c r="CO69" s="236">
        <v>7.0000000000000007E-2</v>
      </c>
      <c r="CP69" s="237">
        <v>88</v>
      </c>
      <c r="CQ69" s="238">
        <v>0</v>
      </c>
      <c r="CR69" s="239">
        <v>0</v>
      </c>
      <c r="CS69" s="240" t="s">
        <v>153</v>
      </c>
      <c r="CT69" s="241" t="s">
        <v>153</v>
      </c>
      <c r="CU69" s="242" t="s">
        <v>153</v>
      </c>
      <c r="CV69" s="243" t="s">
        <v>153</v>
      </c>
      <c r="CW69" s="244" t="s">
        <v>153</v>
      </c>
      <c r="CX69" s="245" t="s">
        <v>153</v>
      </c>
      <c r="CY69" s="246" t="s">
        <v>153</v>
      </c>
      <c r="CZ69" s="247" t="s">
        <v>153</v>
      </c>
      <c r="DA69" s="248" t="s">
        <v>153</v>
      </c>
      <c r="DB69" s="249" t="s">
        <v>153</v>
      </c>
      <c r="DC69" s="250">
        <v>270.27</v>
      </c>
      <c r="DD69" s="251">
        <v>100</v>
      </c>
      <c r="DE69" s="252">
        <v>0</v>
      </c>
      <c r="DF69" s="253">
        <v>0</v>
      </c>
      <c r="DG69" s="254" t="s">
        <v>153</v>
      </c>
      <c r="DH69" s="255" t="s">
        <v>153</v>
      </c>
      <c r="DI69" s="256" t="s">
        <v>153</v>
      </c>
      <c r="DJ69" s="257" t="s">
        <v>153</v>
      </c>
      <c r="DK69" s="258" t="s">
        <v>153</v>
      </c>
      <c r="DL69" s="259" t="s">
        <v>153</v>
      </c>
      <c r="DM69" s="260" t="s">
        <v>153</v>
      </c>
      <c r="DN69" s="261" t="s">
        <v>153</v>
      </c>
      <c r="DO69" s="262" t="s">
        <v>153</v>
      </c>
      <c r="DP69" s="263" t="s">
        <v>153</v>
      </c>
      <c r="DQ69" s="264" t="s">
        <v>153</v>
      </c>
      <c r="DR69" s="265" t="s">
        <v>153</v>
      </c>
      <c r="DS69" s="266" t="s">
        <v>153</v>
      </c>
      <c r="DT69" s="267" t="s">
        <v>153</v>
      </c>
      <c r="DU69" s="268" t="s">
        <v>153</v>
      </c>
      <c r="DV69" s="269" t="s">
        <v>153</v>
      </c>
      <c r="DW69" s="270" t="s">
        <v>153</v>
      </c>
      <c r="DX69" s="271" t="s">
        <v>153</v>
      </c>
      <c r="DY69" s="272" t="s">
        <v>153</v>
      </c>
      <c r="DZ69" s="273" t="s">
        <v>191</v>
      </c>
      <c r="EA69" s="274">
        <v>44274</v>
      </c>
      <c r="EB69" s="275">
        <v>37000</v>
      </c>
      <c r="EC69" s="276">
        <v>42401</v>
      </c>
      <c r="ED69" s="277" t="s">
        <v>226</v>
      </c>
      <c r="EE69" s="279" t="str">
        <f>HYPERLINK("https://my.pitchbook.com?c=10010-89", "View company online")</f>
        <v>View company online</v>
      </c>
    </row>
    <row r="70" spans="1:135" x14ac:dyDescent="0.45">
      <c r="A70" s="10" t="s">
        <v>1608</v>
      </c>
      <c r="B70" s="11" t="s">
        <v>1609</v>
      </c>
      <c r="C70" s="12" t="s">
        <v>153</v>
      </c>
      <c r="D70" s="13" t="s">
        <v>153</v>
      </c>
      <c r="E70" s="14" t="s">
        <v>1610</v>
      </c>
      <c r="F70" s="15" t="s">
        <v>1611</v>
      </c>
      <c r="G70" s="16" t="s">
        <v>1612</v>
      </c>
      <c r="H70" s="17" t="s">
        <v>1613</v>
      </c>
      <c r="I70" s="18" t="s">
        <v>1608</v>
      </c>
      <c r="J70" s="19" t="s">
        <v>1614</v>
      </c>
      <c r="K70" s="20" t="s">
        <v>882</v>
      </c>
      <c r="L70" s="21" t="s">
        <v>883</v>
      </c>
      <c r="M70" s="22" t="s">
        <v>1615</v>
      </c>
      <c r="N70" s="23" t="s">
        <v>1616</v>
      </c>
      <c r="O70" s="24" t="s">
        <v>365</v>
      </c>
      <c r="P70" s="25" t="s">
        <v>1617</v>
      </c>
      <c r="Q70" s="26" t="s">
        <v>204</v>
      </c>
      <c r="R70" s="27">
        <v>132</v>
      </c>
      <c r="S70" s="28" t="s">
        <v>163</v>
      </c>
      <c r="T70" s="29" t="s">
        <v>205</v>
      </c>
      <c r="U70" s="30" t="s">
        <v>369</v>
      </c>
      <c r="V70" s="31" t="s">
        <v>1618</v>
      </c>
      <c r="W70" s="32">
        <v>50000</v>
      </c>
      <c r="X70" s="33" t="s">
        <v>1619</v>
      </c>
      <c r="Y70" s="34" t="s">
        <v>153</v>
      </c>
      <c r="Z70" s="35" t="s">
        <v>153</v>
      </c>
      <c r="AA70" s="36">
        <v>1997</v>
      </c>
      <c r="AB70" s="37" t="s">
        <v>153</v>
      </c>
      <c r="AC70" s="38" t="s">
        <v>153</v>
      </c>
      <c r="AD70" s="39" t="s">
        <v>153</v>
      </c>
      <c r="AE70" s="40" t="s">
        <v>153</v>
      </c>
      <c r="AF70" s="41" t="s">
        <v>153</v>
      </c>
      <c r="AG70" s="42" t="s">
        <v>153</v>
      </c>
      <c r="AH70" s="43" t="s">
        <v>153</v>
      </c>
      <c r="AI70" s="44" t="s">
        <v>153</v>
      </c>
      <c r="AJ70" s="45" t="s">
        <v>153</v>
      </c>
      <c r="AK70" s="46" t="s">
        <v>153</v>
      </c>
      <c r="AL70" s="47" t="s">
        <v>153</v>
      </c>
      <c r="AM70" s="48" t="s">
        <v>153</v>
      </c>
      <c r="AN70" s="49" t="s">
        <v>1620</v>
      </c>
      <c r="AO70" s="50" t="s">
        <v>1621</v>
      </c>
      <c r="AP70" s="51" t="s">
        <v>1622</v>
      </c>
      <c r="AQ70" s="52" t="s">
        <v>1623</v>
      </c>
      <c r="AR70" s="53" t="s">
        <v>1624</v>
      </c>
      <c r="AS70" s="54" t="s">
        <v>153</v>
      </c>
      <c r="AT70" s="55" t="s">
        <v>433</v>
      </c>
      <c r="AU70" s="56" t="s">
        <v>1625</v>
      </c>
      <c r="AV70" s="57" t="s">
        <v>153</v>
      </c>
      <c r="AW70" s="58" t="s">
        <v>436</v>
      </c>
      <c r="AX70" s="59" t="s">
        <v>436</v>
      </c>
      <c r="AY70" s="60" t="s">
        <v>1626</v>
      </c>
      <c r="AZ70" s="61" t="s">
        <v>215</v>
      </c>
      <c r="BA70" s="62" t="s">
        <v>153</v>
      </c>
      <c r="BB70" s="63" t="s">
        <v>153</v>
      </c>
      <c r="BC70" s="64" t="s">
        <v>153</v>
      </c>
      <c r="BD70" s="65" t="s">
        <v>216</v>
      </c>
      <c r="BE70" s="66" t="s">
        <v>217</v>
      </c>
      <c r="BF70" s="67" t="s">
        <v>1627</v>
      </c>
      <c r="BG70" s="68" t="s">
        <v>153</v>
      </c>
      <c r="BH70" s="69" t="s">
        <v>153</v>
      </c>
      <c r="BI70" s="70" t="s">
        <v>1628</v>
      </c>
      <c r="BJ70" s="71" t="s">
        <v>1629</v>
      </c>
      <c r="BK70" s="72" t="s">
        <v>153</v>
      </c>
      <c r="BL70" s="73" t="s">
        <v>153</v>
      </c>
      <c r="BM70" s="74" t="s">
        <v>1630</v>
      </c>
      <c r="BN70" s="75" t="s">
        <v>153</v>
      </c>
      <c r="BO70" s="76" t="s">
        <v>1631</v>
      </c>
      <c r="BP70" s="77" t="s">
        <v>1632</v>
      </c>
      <c r="BQ70" s="78" t="s">
        <v>153</v>
      </c>
      <c r="BR70" s="79" t="s">
        <v>153</v>
      </c>
      <c r="BS70" s="80" t="s">
        <v>153</v>
      </c>
      <c r="BT70" s="81" t="s">
        <v>153</v>
      </c>
      <c r="BU70" s="82" t="s">
        <v>153</v>
      </c>
      <c r="BV70" s="83" t="s">
        <v>709</v>
      </c>
      <c r="BW70" s="84" t="s">
        <v>153</v>
      </c>
      <c r="BX70" s="85" t="s">
        <v>153</v>
      </c>
      <c r="BY70" s="86" t="s">
        <v>165</v>
      </c>
      <c r="BZ70" s="87" t="s">
        <v>153</v>
      </c>
      <c r="CA70" s="88" t="s">
        <v>190</v>
      </c>
      <c r="CB70" s="89">
        <v>43645</v>
      </c>
      <c r="CC70" s="90">
        <v>37000</v>
      </c>
      <c r="CD70" s="91" t="s">
        <v>186</v>
      </c>
      <c r="CE70" s="92">
        <v>37000</v>
      </c>
      <c r="CF70" s="93" t="s">
        <v>187</v>
      </c>
      <c r="CG70" s="94" t="s">
        <v>226</v>
      </c>
      <c r="CH70" s="95" t="s">
        <v>153</v>
      </c>
      <c r="CI70" s="96" t="s">
        <v>153</v>
      </c>
      <c r="CJ70" s="97" t="s">
        <v>225</v>
      </c>
      <c r="CK70" s="98">
        <v>43645</v>
      </c>
      <c r="CL70" s="99" t="s">
        <v>153</v>
      </c>
      <c r="CM70" s="100" t="s">
        <v>153</v>
      </c>
      <c r="CN70" s="101" t="s">
        <v>190</v>
      </c>
      <c r="CO70" s="102" t="s">
        <v>153</v>
      </c>
      <c r="CP70" s="103" t="s">
        <v>153</v>
      </c>
      <c r="CQ70" s="104" t="s">
        <v>153</v>
      </c>
      <c r="CR70" s="105" t="s">
        <v>153</v>
      </c>
      <c r="CS70" s="106" t="s">
        <v>153</v>
      </c>
      <c r="CT70" s="107" t="s">
        <v>153</v>
      </c>
      <c r="CU70" s="108" t="s">
        <v>153</v>
      </c>
      <c r="CV70" s="109" t="s">
        <v>153</v>
      </c>
      <c r="CW70" s="110" t="s">
        <v>153</v>
      </c>
      <c r="CX70" s="111" t="s">
        <v>153</v>
      </c>
      <c r="CY70" s="112" t="s">
        <v>153</v>
      </c>
      <c r="CZ70" s="113" t="s">
        <v>153</v>
      </c>
      <c r="DA70" s="114" t="s">
        <v>153</v>
      </c>
      <c r="DB70" s="115" t="s">
        <v>153</v>
      </c>
      <c r="DC70" s="116" t="s">
        <v>153</v>
      </c>
      <c r="DD70" s="117" t="s">
        <v>153</v>
      </c>
      <c r="DE70" s="118" t="s">
        <v>153</v>
      </c>
      <c r="DF70" s="119" t="s">
        <v>153</v>
      </c>
      <c r="DG70" s="120" t="s">
        <v>153</v>
      </c>
      <c r="DH70" s="121" t="s">
        <v>153</v>
      </c>
      <c r="DI70" s="122" t="s">
        <v>153</v>
      </c>
      <c r="DJ70" s="123" t="s">
        <v>153</v>
      </c>
      <c r="DK70" s="124" t="s">
        <v>153</v>
      </c>
      <c r="DL70" s="125" t="s">
        <v>153</v>
      </c>
      <c r="DM70" s="126" t="s">
        <v>153</v>
      </c>
      <c r="DN70" s="127" t="s">
        <v>153</v>
      </c>
      <c r="DO70" s="128" t="s">
        <v>153</v>
      </c>
      <c r="DP70" s="129" t="s">
        <v>153</v>
      </c>
      <c r="DQ70" s="130" t="s">
        <v>153</v>
      </c>
      <c r="DR70" s="131" t="s">
        <v>153</v>
      </c>
      <c r="DS70" s="132" t="s">
        <v>153</v>
      </c>
      <c r="DT70" s="133" t="s">
        <v>153</v>
      </c>
      <c r="DU70" s="134" t="s">
        <v>153</v>
      </c>
      <c r="DV70" s="135" t="s">
        <v>153</v>
      </c>
      <c r="DW70" s="136" t="s">
        <v>153</v>
      </c>
      <c r="DX70" s="137" t="s">
        <v>153</v>
      </c>
      <c r="DY70" s="138" t="s">
        <v>153</v>
      </c>
      <c r="DZ70" s="139" t="s">
        <v>191</v>
      </c>
      <c r="EA70" s="140">
        <v>44299</v>
      </c>
      <c r="EB70" s="141">
        <v>37000</v>
      </c>
      <c r="EC70" s="142">
        <v>43645</v>
      </c>
      <c r="ED70" s="143" t="s">
        <v>226</v>
      </c>
      <c r="EE70" s="278" t="str">
        <f>HYPERLINK("https://my.pitchbook.com?c=41238-73", "View company online")</f>
        <v>View company online</v>
      </c>
    </row>
    <row r="71" spans="1:135" x14ac:dyDescent="0.45">
      <c r="A71" s="144" t="s">
        <v>1633</v>
      </c>
      <c r="B71" s="145" t="s">
        <v>1634</v>
      </c>
      <c r="C71" s="146" t="s">
        <v>153</v>
      </c>
      <c r="D71" s="147" t="s">
        <v>153</v>
      </c>
      <c r="E71" s="148" t="s">
        <v>153</v>
      </c>
      <c r="F71" s="149" t="s">
        <v>1635</v>
      </c>
      <c r="G71" s="150" t="s">
        <v>1636</v>
      </c>
      <c r="H71" s="151" t="s">
        <v>1637</v>
      </c>
      <c r="I71" s="152" t="s">
        <v>1633</v>
      </c>
      <c r="J71" s="153" t="s">
        <v>1638</v>
      </c>
      <c r="K71" s="154" t="s">
        <v>232</v>
      </c>
      <c r="L71" s="155" t="s">
        <v>1016</v>
      </c>
      <c r="M71" s="156" t="s">
        <v>1639</v>
      </c>
      <c r="N71" s="157" t="s">
        <v>1640</v>
      </c>
      <c r="O71" s="158" t="s">
        <v>153</v>
      </c>
      <c r="P71" s="159" t="s">
        <v>1641</v>
      </c>
      <c r="Q71" s="160" t="s">
        <v>367</v>
      </c>
      <c r="R71" s="161">
        <v>444.58</v>
      </c>
      <c r="S71" s="162" t="s">
        <v>290</v>
      </c>
      <c r="T71" s="163" t="s">
        <v>291</v>
      </c>
      <c r="U71" s="164" t="s">
        <v>237</v>
      </c>
      <c r="V71" s="165" t="s">
        <v>1642</v>
      </c>
      <c r="W71" s="166">
        <v>1907</v>
      </c>
      <c r="X71" s="167" t="s">
        <v>1643</v>
      </c>
      <c r="Y71" s="168" t="s">
        <v>1644</v>
      </c>
      <c r="Z71" s="169" t="s">
        <v>1635</v>
      </c>
      <c r="AA71" s="170">
        <v>1800</v>
      </c>
      <c r="AB71" s="171" t="s">
        <v>153</v>
      </c>
      <c r="AC71" s="172" t="s">
        <v>153</v>
      </c>
      <c r="AD71" s="173" t="s">
        <v>570</v>
      </c>
      <c r="AE71" s="174">
        <v>3131.61</v>
      </c>
      <c r="AF71" s="175">
        <v>2844.47</v>
      </c>
      <c r="AG71" s="176">
        <v>539.66999999999996</v>
      </c>
      <c r="AH71" s="177">
        <v>44247.19</v>
      </c>
      <c r="AI71" s="178">
        <v>1426.72</v>
      </c>
      <c r="AJ71" s="179">
        <v>949.87</v>
      </c>
      <c r="AK71" s="180">
        <v>53139.08</v>
      </c>
      <c r="AL71" s="181">
        <v>2176.4299999999998</v>
      </c>
      <c r="AM71" s="182">
        <v>5.71</v>
      </c>
      <c r="AN71" s="183" t="s">
        <v>168</v>
      </c>
      <c r="AO71" s="184" t="s">
        <v>1645</v>
      </c>
      <c r="AP71" s="185" t="s">
        <v>1646</v>
      </c>
      <c r="AQ71" s="186" t="s">
        <v>1647</v>
      </c>
      <c r="AR71" s="187" t="s">
        <v>1648</v>
      </c>
      <c r="AS71" s="188" t="s">
        <v>1649</v>
      </c>
      <c r="AT71" s="189" t="s">
        <v>1071</v>
      </c>
      <c r="AU71" s="190" t="s">
        <v>1650</v>
      </c>
      <c r="AV71" s="191" t="s">
        <v>153</v>
      </c>
      <c r="AW71" s="192" t="s">
        <v>1074</v>
      </c>
      <c r="AX71" s="193" t="s">
        <v>177</v>
      </c>
      <c r="AY71" s="194" t="s">
        <v>1651</v>
      </c>
      <c r="AZ71" s="195" t="s">
        <v>179</v>
      </c>
      <c r="BA71" s="196" t="s">
        <v>1649</v>
      </c>
      <c r="BB71" s="197" t="s">
        <v>153</v>
      </c>
      <c r="BC71" s="198" t="s">
        <v>153</v>
      </c>
      <c r="BD71" s="199" t="s">
        <v>180</v>
      </c>
      <c r="BE71" s="200" t="s">
        <v>181</v>
      </c>
      <c r="BF71" s="201" t="s">
        <v>1652</v>
      </c>
      <c r="BG71" s="202" t="s">
        <v>1653</v>
      </c>
      <c r="BH71" s="203">
        <v>3</v>
      </c>
      <c r="BI71" s="204" t="s">
        <v>153</v>
      </c>
      <c r="BJ71" s="205" t="s">
        <v>1654</v>
      </c>
      <c r="BK71" s="206" t="s">
        <v>1655</v>
      </c>
      <c r="BL71" s="207" t="s">
        <v>1656</v>
      </c>
      <c r="BM71" s="208" t="s">
        <v>1657</v>
      </c>
      <c r="BN71" s="209" t="s">
        <v>1658</v>
      </c>
      <c r="BO71" s="210" t="s">
        <v>1659</v>
      </c>
      <c r="BP71" s="211" t="s">
        <v>1660</v>
      </c>
      <c r="BQ71" s="212">
        <v>37092</v>
      </c>
      <c r="BR71" s="213" t="s">
        <v>153</v>
      </c>
      <c r="BS71" s="214" t="s">
        <v>153</v>
      </c>
      <c r="BT71" s="215" t="s">
        <v>153</v>
      </c>
      <c r="BU71" s="216" t="s">
        <v>153</v>
      </c>
      <c r="BV71" s="217" t="s">
        <v>251</v>
      </c>
      <c r="BW71" s="218" t="s">
        <v>153</v>
      </c>
      <c r="BX71" s="219" t="s">
        <v>153</v>
      </c>
      <c r="BY71" s="220" t="s">
        <v>252</v>
      </c>
      <c r="BZ71" s="221" t="s">
        <v>153</v>
      </c>
      <c r="CA71" s="222" t="s">
        <v>190</v>
      </c>
      <c r="CB71" s="223">
        <v>43719</v>
      </c>
      <c r="CC71" s="224">
        <v>36600</v>
      </c>
      <c r="CD71" s="225" t="s">
        <v>186</v>
      </c>
      <c r="CE71" s="226">
        <v>36600</v>
      </c>
      <c r="CF71" s="227" t="s">
        <v>187</v>
      </c>
      <c r="CG71" s="228" t="s">
        <v>226</v>
      </c>
      <c r="CH71" s="229" t="s">
        <v>153</v>
      </c>
      <c r="CI71" s="230" t="s">
        <v>153</v>
      </c>
      <c r="CJ71" s="231" t="s">
        <v>225</v>
      </c>
      <c r="CK71" s="232">
        <v>43719</v>
      </c>
      <c r="CL71" s="233" t="s">
        <v>153</v>
      </c>
      <c r="CM71" s="234" t="s">
        <v>153</v>
      </c>
      <c r="CN71" s="235" t="s">
        <v>394</v>
      </c>
      <c r="CO71" s="236">
        <v>-1.1399999999999999</v>
      </c>
      <c r="CP71" s="237">
        <v>3</v>
      </c>
      <c r="CQ71" s="238">
        <v>0</v>
      </c>
      <c r="CR71" s="239">
        <v>0.35</v>
      </c>
      <c r="CS71" s="240">
        <v>-2.42</v>
      </c>
      <c r="CT71" s="241">
        <v>2</v>
      </c>
      <c r="CU71" s="242">
        <v>0.14000000000000001</v>
      </c>
      <c r="CV71" s="243">
        <v>88</v>
      </c>
      <c r="CW71" s="244">
        <v>-2.42</v>
      </c>
      <c r="CX71" s="245">
        <v>11</v>
      </c>
      <c r="CY71" s="246" t="s">
        <v>153</v>
      </c>
      <c r="CZ71" s="247" t="s">
        <v>153</v>
      </c>
      <c r="DA71" s="248">
        <v>0.14000000000000001</v>
      </c>
      <c r="DB71" s="249">
        <v>88</v>
      </c>
      <c r="DC71" s="250">
        <v>74.91</v>
      </c>
      <c r="DD71" s="251">
        <v>99</v>
      </c>
      <c r="DE71" s="252">
        <v>0.31</v>
      </c>
      <c r="DF71" s="253">
        <v>0.42</v>
      </c>
      <c r="DG71" s="254">
        <v>72.150000000000006</v>
      </c>
      <c r="DH71" s="255">
        <v>99</v>
      </c>
      <c r="DI71" s="256">
        <v>77.67</v>
      </c>
      <c r="DJ71" s="257">
        <v>97</v>
      </c>
      <c r="DK71" s="258">
        <v>72.150000000000006</v>
      </c>
      <c r="DL71" s="259">
        <v>96</v>
      </c>
      <c r="DM71" s="260" t="s">
        <v>153</v>
      </c>
      <c r="DN71" s="261" t="s">
        <v>153</v>
      </c>
      <c r="DO71" s="262">
        <v>77.67</v>
      </c>
      <c r="DP71" s="263">
        <v>97</v>
      </c>
      <c r="DQ71" s="264">
        <v>42658</v>
      </c>
      <c r="DR71" s="265">
        <v>468</v>
      </c>
      <c r="DS71" s="266">
        <v>1.1100000000000001</v>
      </c>
      <c r="DT71" s="267" t="s">
        <v>153</v>
      </c>
      <c r="DU71" s="268" t="s">
        <v>153</v>
      </c>
      <c r="DV71" s="269" t="s">
        <v>153</v>
      </c>
      <c r="DW71" s="270">
        <v>24370</v>
      </c>
      <c r="DX71" s="271">
        <v>45</v>
      </c>
      <c r="DY71" s="272">
        <v>0.18</v>
      </c>
      <c r="DZ71" s="273" t="s">
        <v>191</v>
      </c>
      <c r="EA71" s="274">
        <v>44400</v>
      </c>
      <c r="EB71" s="275">
        <v>36600</v>
      </c>
      <c r="EC71" s="276">
        <v>43719</v>
      </c>
      <c r="ED71" s="277" t="s">
        <v>226</v>
      </c>
      <c r="EE71" s="279" t="str">
        <f>HYPERLINK("https://my.pitchbook.com?c=57839-05", "View company online")</f>
        <v>View company online</v>
      </c>
    </row>
    <row r="72" spans="1:135" x14ac:dyDescent="0.45">
      <c r="A72" s="10" t="s">
        <v>1661</v>
      </c>
      <c r="B72" s="11" t="s">
        <v>1662</v>
      </c>
      <c r="C72" s="12" t="s">
        <v>153</v>
      </c>
      <c r="D72" s="13" t="s">
        <v>153</v>
      </c>
      <c r="E72" s="14" t="s">
        <v>153</v>
      </c>
      <c r="F72" s="15" t="s">
        <v>1663</v>
      </c>
      <c r="G72" s="16" t="s">
        <v>1664</v>
      </c>
      <c r="H72" s="17" t="s">
        <v>1665</v>
      </c>
      <c r="I72" s="18" t="s">
        <v>1661</v>
      </c>
      <c r="J72" s="19" t="s">
        <v>1666</v>
      </c>
      <c r="K72" s="20" t="s">
        <v>157</v>
      </c>
      <c r="L72" s="21" t="s">
        <v>1667</v>
      </c>
      <c r="M72" s="22" t="s">
        <v>1668</v>
      </c>
      <c r="N72" s="23" t="s">
        <v>1669</v>
      </c>
      <c r="O72" s="24" t="s">
        <v>1670</v>
      </c>
      <c r="P72" s="25" t="s">
        <v>1671</v>
      </c>
      <c r="Q72" s="26" t="s">
        <v>367</v>
      </c>
      <c r="R72" s="27">
        <v>4547.3100000000004</v>
      </c>
      <c r="S72" s="28" t="s">
        <v>290</v>
      </c>
      <c r="T72" s="29" t="s">
        <v>291</v>
      </c>
      <c r="U72" s="30" t="s">
        <v>292</v>
      </c>
      <c r="V72" s="31" t="s">
        <v>1672</v>
      </c>
      <c r="W72" s="32">
        <v>224280</v>
      </c>
      <c r="X72" s="33" t="s">
        <v>1673</v>
      </c>
      <c r="Y72" s="34" t="s">
        <v>1674</v>
      </c>
      <c r="Z72" s="35" t="s">
        <v>1675</v>
      </c>
      <c r="AA72" s="36">
        <v>1995</v>
      </c>
      <c r="AB72" s="37" t="s">
        <v>153</v>
      </c>
      <c r="AC72" s="38" t="s">
        <v>1676</v>
      </c>
      <c r="AD72" s="39" t="s">
        <v>1677</v>
      </c>
      <c r="AE72" s="40">
        <v>26216.28</v>
      </c>
      <c r="AF72" s="41">
        <v>4720.5</v>
      </c>
      <c r="AG72" s="42">
        <v>642.32000000000005</v>
      </c>
      <c r="AH72" s="43">
        <v>74494.2</v>
      </c>
      <c r="AI72" s="44">
        <v>1424.99</v>
      </c>
      <c r="AJ72" s="45">
        <v>1424.99</v>
      </c>
      <c r="AK72" s="46">
        <v>103103.34</v>
      </c>
      <c r="AL72" s="47">
        <v>3376.35</v>
      </c>
      <c r="AM72" s="48">
        <v>51.91</v>
      </c>
      <c r="AN72" s="49" t="s">
        <v>376</v>
      </c>
      <c r="AO72" s="50" t="s">
        <v>1678</v>
      </c>
      <c r="AP72" s="51" t="s">
        <v>1679</v>
      </c>
      <c r="AQ72" s="52" t="s">
        <v>1680</v>
      </c>
      <c r="AR72" s="53" t="s">
        <v>1681</v>
      </c>
      <c r="AS72" s="54" t="s">
        <v>1682</v>
      </c>
      <c r="AT72" s="55" t="s">
        <v>1683</v>
      </c>
      <c r="AU72" s="56" t="s">
        <v>1684</v>
      </c>
      <c r="AV72" s="57" t="s">
        <v>1685</v>
      </c>
      <c r="AW72" s="58" t="s">
        <v>1686</v>
      </c>
      <c r="AX72" s="59" t="s">
        <v>1687</v>
      </c>
      <c r="AY72" s="60" t="s">
        <v>1688</v>
      </c>
      <c r="AZ72" s="61" t="s">
        <v>1519</v>
      </c>
      <c r="BA72" s="62" t="s">
        <v>1682</v>
      </c>
      <c r="BB72" s="63" t="s">
        <v>1689</v>
      </c>
      <c r="BC72" s="64" t="s">
        <v>1690</v>
      </c>
      <c r="BD72" s="65" t="s">
        <v>1406</v>
      </c>
      <c r="BE72" s="66" t="s">
        <v>1407</v>
      </c>
      <c r="BF72" s="67" t="s">
        <v>1691</v>
      </c>
      <c r="BG72" s="68" t="s">
        <v>1692</v>
      </c>
      <c r="BH72" s="69">
        <v>6</v>
      </c>
      <c r="BI72" s="70" t="s">
        <v>153</v>
      </c>
      <c r="BJ72" s="71" t="s">
        <v>1693</v>
      </c>
      <c r="BK72" s="72" t="s">
        <v>153</v>
      </c>
      <c r="BL72" s="73" t="s">
        <v>1694</v>
      </c>
      <c r="BM72" s="74" t="s">
        <v>1695</v>
      </c>
      <c r="BN72" s="75" t="s">
        <v>153</v>
      </c>
      <c r="BO72" s="76" t="s">
        <v>1696</v>
      </c>
      <c r="BP72" s="77" t="s">
        <v>1697</v>
      </c>
      <c r="BQ72" s="78">
        <v>37468</v>
      </c>
      <c r="BR72" s="79">
        <v>182.5</v>
      </c>
      <c r="BS72" s="80" t="s">
        <v>186</v>
      </c>
      <c r="BT72" s="81">
        <v>730.01</v>
      </c>
      <c r="BU72" s="82" t="s">
        <v>187</v>
      </c>
      <c r="BV72" s="83" t="s">
        <v>251</v>
      </c>
      <c r="BW72" s="84" t="s">
        <v>153</v>
      </c>
      <c r="BX72" s="85" t="s">
        <v>153</v>
      </c>
      <c r="BY72" s="86" t="s">
        <v>252</v>
      </c>
      <c r="BZ72" s="87" t="s">
        <v>153</v>
      </c>
      <c r="CA72" s="88" t="s">
        <v>190</v>
      </c>
      <c r="CB72" s="89" t="s">
        <v>153</v>
      </c>
      <c r="CC72" s="90">
        <v>36000</v>
      </c>
      <c r="CD72" s="91" t="s">
        <v>186</v>
      </c>
      <c r="CE72" s="92" t="s">
        <v>153</v>
      </c>
      <c r="CF72" s="93" t="s">
        <v>153</v>
      </c>
      <c r="CG72" s="94" t="s">
        <v>393</v>
      </c>
      <c r="CH72" s="95" t="s">
        <v>153</v>
      </c>
      <c r="CI72" s="96" t="s">
        <v>153</v>
      </c>
      <c r="CJ72" s="97" t="s">
        <v>225</v>
      </c>
      <c r="CK72" s="98" t="s">
        <v>153</v>
      </c>
      <c r="CL72" s="99" t="s">
        <v>153</v>
      </c>
      <c r="CM72" s="100" t="s">
        <v>153</v>
      </c>
      <c r="CN72" s="101" t="s">
        <v>1698</v>
      </c>
      <c r="CO72" s="102">
        <v>1.04</v>
      </c>
      <c r="CP72" s="103">
        <v>96</v>
      </c>
      <c r="CQ72" s="104">
        <v>0.11</v>
      </c>
      <c r="CR72" s="105">
        <v>11.68</v>
      </c>
      <c r="CS72" s="106">
        <v>1.61</v>
      </c>
      <c r="CT72" s="107">
        <v>97</v>
      </c>
      <c r="CU72" s="108">
        <v>0.47</v>
      </c>
      <c r="CV72" s="109">
        <v>96</v>
      </c>
      <c r="CW72" s="110">
        <v>3.47</v>
      </c>
      <c r="CX72" s="111">
        <v>90</v>
      </c>
      <c r="CY72" s="112">
        <v>-0.25</v>
      </c>
      <c r="CZ72" s="113">
        <v>3</v>
      </c>
      <c r="DA72" s="114">
        <v>0.47</v>
      </c>
      <c r="DB72" s="115">
        <v>96</v>
      </c>
      <c r="DC72" s="116">
        <v>162.84</v>
      </c>
      <c r="DD72" s="117">
        <v>100</v>
      </c>
      <c r="DE72" s="118">
        <v>2.8</v>
      </c>
      <c r="DF72" s="119">
        <v>1.75</v>
      </c>
      <c r="DG72" s="120">
        <v>258.44</v>
      </c>
      <c r="DH72" s="121">
        <v>100</v>
      </c>
      <c r="DI72" s="122">
        <v>67.239999999999995</v>
      </c>
      <c r="DJ72" s="123">
        <v>97</v>
      </c>
      <c r="DK72" s="124">
        <v>218.2</v>
      </c>
      <c r="DL72" s="125">
        <v>99</v>
      </c>
      <c r="DM72" s="126">
        <v>298.69</v>
      </c>
      <c r="DN72" s="127">
        <v>100</v>
      </c>
      <c r="DO72" s="128">
        <v>67.239999999999995</v>
      </c>
      <c r="DP72" s="129">
        <v>97</v>
      </c>
      <c r="DQ72" s="130">
        <v>127547</v>
      </c>
      <c r="DR72" s="131">
        <v>6759</v>
      </c>
      <c r="DS72" s="132">
        <v>5.6</v>
      </c>
      <c r="DT72" s="133">
        <v>4712</v>
      </c>
      <c r="DU72" s="134">
        <v>173</v>
      </c>
      <c r="DV72" s="135">
        <v>3.81</v>
      </c>
      <c r="DW72" s="136">
        <v>21092</v>
      </c>
      <c r="DX72" s="137">
        <v>84</v>
      </c>
      <c r="DY72" s="138">
        <v>0.4</v>
      </c>
      <c r="DZ72" s="139" t="s">
        <v>191</v>
      </c>
      <c r="EA72" s="140">
        <v>44400</v>
      </c>
      <c r="EB72" s="141">
        <v>730.01</v>
      </c>
      <c r="EC72" s="142">
        <v>37468</v>
      </c>
      <c r="ED72" s="143" t="s">
        <v>251</v>
      </c>
      <c r="EE72" s="278" t="str">
        <f>HYPERLINK("https://my.pitchbook.com?c=59592-70", "View company online")</f>
        <v>View company online</v>
      </c>
    </row>
    <row r="73" spans="1:135" x14ac:dyDescent="0.45">
      <c r="A73" s="144" t="s">
        <v>1699</v>
      </c>
      <c r="B73" s="145" t="s">
        <v>1700</v>
      </c>
      <c r="C73" s="146" t="s">
        <v>153</v>
      </c>
      <c r="D73" s="147" t="s">
        <v>153</v>
      </c>
      <c r="E73" s="148" t="s">
        <v>153</v>
      </c>
      <c r="F73" s="149" t="s">
        <v>1701</v>
      </c>
      <c r="G73" s="150" t="s">
        <v>1702</v>
      </c>
      <c r="H73" s="151" t="s">
        <v>1703</v>
      </c>
      <c r="I73" s="152" t="s">
        <v>1699</v>
      </c>
      <c r="J73" s="153" t="s">
        <v>1704</v>
      </c>
      <c r="K73" s="154" t="s">
        <v>792</v>
      </c>
      <c r="L73" s="155" t="s">
        <v>841</v>
      </c>
      <c r="M73" s="156" t="s">
        <v>913</v>
      </c>
      <c r="N73" s="157" t="s">
        <v>1300</v>
      </c>
      <c r="O73" s="158" t="s">
        <v>796</v>
      </c>
      <c r="P73" s="159" t="s">
        <v>1705</v>
      </c>
      <c r="Q73" s="160" t="s">
        <v>204</v>
      </c>
      <c r="R73" s="161">
        <v>1884.39</v>
      </c>
      <c r="S73" s="162" t="s">
        <v>163</v>
      </c>
      <c r="T73" s="163" t="s">
        <v>205</v>
      </c>
      <c r="U73" s="164" t="s">
        <v>1706</v>
      </c>
      <c r="V73" s="165" t="s">
        <v>1707</v>
      </c>
      <c r="W73" s="166">
        <v>4700</v>
      </c>
      <c r="X73" s="167" t="s">
        <v>1708</v>
      </c>
      <c r="Y73" s="168" t="s">
        <v>153</v>
      </c>
      <c r="Z73" s="169" t="s">
        <v>153</v>
      </c>
      <c r="AA73" s="170">
        <v>1959</v>
      </c>
      <c r="AB73" s="171" t="s">
        <v>153</v>
      </c>
      <c r="AC73" s="172" t="s">
        <v>428</v>
      </c>
      <c r="AD73" s="173" t="s">
        <v>428</v>
      </c>
      <c r="AE73" s="174" t="s">
        <v>153</v>
      </c>
      <c r="AF73" s="175" t="s">
        <v>153</v>
      </c>
      <c r="AG73" s="176" t="s">
        <v>153</v>
      </c>
      <c r="AH73" s="177" t="s">
        <v>153</v>
      </c>
      <c r="AI73" s="178" t="s">
        <v>153</v>
      </c>
      <c r="AJ73" s="179" t="s">
        <v>153</v>
      </c>
      <c r="AK73" s="180" t="s">
        <v>153</v>
      </c>
      <c r="AL73" s="181" t="s">
        <v>153</v>
      </c>
      <c r="AM73" s="182" t="s">
        <v>153</v>
      </c>
      <c r="AN73" s="183" t="s">
        <v>509</v>
      </c>
      <c r="AO73" s="184" t="s">
        <v>1709</v>
      </c>
      <c r="AP73" s="185" t="s">
        <v>1710</v>
      </c>
      <c r="AQ73" s="186" t="s">
        <v>1711</v>
      </c>
      <c r="AR73" s="187" t="s">
        <v>1712</v>
      </c>
      <c r="AS73" s="188" t="s">
        <v>153</v>
      </c>
      <c r="AT73" s="189" t="s">
        <v>1713</v>
      </c>
      <c r="AU73" s="190" t="s">
        <v>1714</v>
      </c>
      <c r="AV73" s="191" t="s">
        <v>153</v>
      </c>
      <c r="AW73" s="192" t="s">
        <v>1715</v>
      </c>
      <c r="AX73" s="193" t="s">
        <v>1128</v>
      </c>
      <c r="AY73" s="194" t="s">
        <v>1716</v>
      </c>
      <c r="AZ73" s="195" t="s">
        <v>215</v>
      </c>
      <c r="BA73" s="196" t="s">
        <v>153</v>
      </c>
      <c r="BB73" s="197" t="s">
        <v>153</v>
      </c>
      <c r="BC73" s="198" t="s">
        <v>153</v>
      </c>
      <c r="BD73" s="199" t="s">
        <v>216</v>
      </c>
      <c r="BE73" s="200" t="s">
        <v>217</v>
      </c>
      <c r="BF73" s="201" t="s">
        <v>1717</v>
      </c>
      <c r="BG73" s="202" t="s">
        <v>153</v>
      </c>
      <c r="BH73" s="203" t="s">
        <v>153</v>
      </c>
      <c r="BI73" s="204" t="s">
        <v>1718</v>
      </c>
      <c r="BJ73" s="205" t="s">
        <v>153</v>
      </c>
      <c r="BK73" s="206" t="s">
        <v>1216</v>
      </c>
      <c r="BL73" s="207" t="s">
        <v>153</v>
      </c>
      <c r="BM73" s="208" t="s">
        <v>153</v>
      </c>
      <c r="BN73" s="209" t="s">
        <v>1719</v>
      </c>
      <c r="BO73" s="210" t="s">
        <v>1720</v>
      </c>
      <c r="BP73" s="211" t="s">
        <v>1721</v>
      </c>
      <c r="BQ73" s="212">
        <v>31663</v>
      </c>
      <c r="BR73" s="213" t="s">
        <v>153</v>
      </c>
      <c r="BS73" s="214" t="s">
        <v>153</v>
      </c>
      <c r="BT73" s="215" t="s">
        <v>153</v>
      </c>
      <c r="BU73" s="216" t="s">
        <v>153</v>
      </c>
      <c r="BV73" s="217" t="s">
        <v>251</v>
      </c>
      <c r="BW73" s="218" t="s">
        <v>153</v>
      </c>
      <c r="BX73" s="219" t="s">
        <v>153</v>
      </c>
      <c r="BY73" s="220" t="s">
        <v>252</v>
      </c>
      <c r="BZ73" s="221" t="s">
        <v>153</v>
      </c>
      <c r="CA73" s="222" t="s">
        <v>190</v>
      </c>
      <c r="CB73" s="223">
        <v>43685</v>
      </c>
      <c r="CC73" s="224">
        <v>35704</v>
      </c>
      <c r="CD73" s="225" t="s">
        <v>186</v>
      </c>
      <c r="CE73" s="226">
        <v>35704</v>
      </c>
      <c r="CF73" s="227" t="s">
        <v>187</v>
      </c>
      <c r="CG73" s="228" t="s">
        <v>226</v>
      </c>
      <c r="CH73" s="229" t="s">
        <v>153</v>
      </c>
      <c r="CI73" s="230" t="s">
        <v>153</v>
      </c>
      <c r="CJ73" s="231" t="s">
        <v>225</v>
      </c>
      <c r="CK73" s="232">
        <v>43685</v>
      </c>
      <c r="CL73" s="233">
        <v>22000</v>
      </c>
      <c r="CM73" s="234" t="s">
        <v>1722</v>
      </c>
      <c r="CN73" s="235" t="s">
        <v>190</v>
      </c>
      <c r="CO73" s="236" t="s">
        <v>153</v>
      </c>
      <c r="CP73" s="237" t="s">
        <v>153</v>
      </c>
      <c r="CQ73" s="238" t="s">
        <v>153</v>
      </c>
      <c r="CR73" s="239" t="s">
        <v>153</v>
      </c>
      <c r="CS73" s="240" t="s">
        <v>153</v>
      </c>
      <c r="CT73" s="241" t="s">
        <v>153</v>
      </c>
      <c r="CU73" s="242" t="s">
        <v>153</v>
      </c>
      <c r="CV73" s="243" t="s">
        <v>153</v>
      </c>
      <c r="CW73" s="244" t="s">
        <v>153</v>
      </c>
      <c r="CX73" s="245" t="s">
        <v>153</v>
      </c>
      <c r="CY73" s="246" t="s">
        <v>153</v>
      </c>
      <c r="CZ73" s="247" t="s">
        <v>153</v>
      </c>
      <c r="DA73" s="248" t="s">
        <v>153</v>
      </c>
      <c r="DB73" s="249" t="s">
        <v>153</v>
      </c>
      <c r="DC73" s="250" t="s">
        <v>153</v>
      </c>
      <c r="DD73" s="251" t="s">
        <v>153</v>
      </c>
      <c r="DE73" s="252" t="s">
        <v>153</v>
      </c>
      <c r="DF73" s="253" t="s">
        <v>153</v>
      </c>
      <c r="DG73" s="254" t="s">
        <v>153</v>
      </c>
      <c r="DH73" s="255" t="s">
        <v>153</v>
      </c>
      <c r="DI73" s="256" t="s">
        <v>153</v>
      </c>
      <c r="DJ73" s="257" t="s">
        <v>153</v>
      </c>
      <c r="DK73" s="258" t="s">
        <v>153</v>
      </c>
      <c r="DL73" s="259" t="s">
        <v>153</v>
      </c>
      <c r="DM73" s="260" t="s">
        <v>153</v>
      </c>
      <c r="DN73" s="261" t="s">
        <v>153</v>
      </c>
      <c r="DO73" s="262" t="s">
        <v>153</v>
      </c>
      <c r="DP73" s="263" t="s">
        <v>153</v>
      </c>
      <c r="DQ73" s="264" t="s">
        <v>153</v>
      </c>
      <c r="DR73" s="265" t="s">
        <v>153</v>
      </c>
      <c r="DS73" s="266" t="s">
        <v>153</v>
      </c>
      <c r="DT73" s="267" t="s">
        <v>153</v>
      </c>
      <c r="DU73" s="268" t="s">
        <v>153</v>
      </c>
      <c r="DV73" s="269" t="s">
        <v>153</v>
      </c>
      <c r="DW73" s="270" t="s">
        <v>153</v>
      </c>
      <c r="DX73" s="271" t="s">
        <v>153</v>
      </c>
      <c r="DY73" s="272" t="s">
        <v>153</v>
      </c>
      <c r="DZ73" s="273" t="s">
        <v>191</v>
      </c>
      <c r="EA73" s="274">
        <v>44350</v>
      </c>
      <c r="EB73" s="275">
        <v>35704</v>
      </c>
      <c r="EC73" s="276">
        <v>43685</v>
      </c>
      <c r="ED73" s="277" t="s">
        <v>226</v>
      </c>
      <c r="EE73" s="279" t="str">
        <f>HYPERLINK("https://my.pitchbook.com?c=11839-51", "View company online")</f>
        <v>View company online</v>
      </c>
    </row>
    <row r="74" spans="1:135" x14ac:dyDescent="0.45">
      <c r="A74" s="10" t="s">
        <v>1723</v>
      </c>
      <c r="B74" s="11" t="s">
        <v>1724</v>
      </c>
      <c r="C74" s="12" t="s">
        <v>153</v>
      </c>
      <c r="D74" s="13" t="s">
        <v>153</v>
      </c>
      <c r="E74" s="14" t="s">
        <v>1725</v>
      </c>
      <c r="F74" s="15" t="s">
        <v>1726</v>
      </c>
      <c r="G74" s="16" t="s">
        <v>1727</v>
      </c>
      <c r="H74" s="17" t="s">
        <v>1728</v>
      </c>
      <c r="I74" s="18" t="s">
        <v>1723</v>
      </c>
      <c r="J74" s="19" t="s">
        <v>1729</v>
      </c>
      <c r="K74" s="20" t="s">
        <v>157</v>
      </c>
      <c r="L74" s="21" t="s">
        <v>1667</v>
      </c>
      <c r="M74" s="22" t="s">
        <v>1668</v>
      </c>
      <c r="N74" s="23" t="s">
        <v>1730</v>
      </c>
      <c r="O74" s="24" t="s">
        <v>365</v>
      </c>
      <c r="P74" s="25" t="s">
        <v>1731</v>
      </c>
      <c r="Q74" s="26" t="s">
        <v>204</v>
      </c>
      <c r="R74" s="27">
        <v>1.1100000000000001</v>
      </c>
      <c r="S74" s="28" t="s">
        <v>368</v>
      </c>
      <c r="T74" s="29" t="s">
        <v>291</v>
      </c>
      <c r="U74" s="30" t="s">
        <v>237</v>
      </c>
      <c r="V74" s="31" t="s">
        <v>1732</v>
      </c>
      <c r="W74" s="32">
        <v>170158</v>
      </c>
      <c r="X74" s="33" t="s">
        <v>1733</v>
      </c>
      <c r="Y74" s="34" t="s">
        <v>1734</v>
      </c>
      <c r="Z74" s="35" t="s">
        <v>1735</v>
      </c>
      <c r="AA74" s="36">
        <v>1898</v>
      </c>
      <c r="AB74" s="37" t="s">
        <v>153</v>
      </c>
      <c r="AC74" s="38" t="s">
        <v>428</v>
      </c>
      <c r="AD74" s="39" t="s">
        <v>1736</v>
      </c>
      <c r="AE74" s="40">
        <v>49556.57</v>
      </c>
      <c r="AF74" s="41">
        <v>8226.75</v>
      </c>
      <c r="AG74" s="42">
        <v>-9128.42</v>
      </c>
      <c r="AH74" s="43">
        <v>63943.56</v>
      </c>
      <c r="AI74" s="44">
        <v>-2876</v>
      </c>
      <c r="AJ74" s="45">
        <v>-8290.59</v>
      </c>
      <c r="AK74" s="46">
        <v>10663.24</v>
      </c>
      <c r="AL74" s="47">
        <v>51755.78</v>
      </c>
      <c r="AM74" s="48">
        <v>-21.72</v>
      </c>
      <c r="AN74" s="49" t="s">
        <v>168</v>
      </c>
      <c r="AO74" s="50" t="s">
        <v>1737</v>
      </c>
      <c r="AP74" s="51" t="s">
        <v>1738</v>
      </c>
      <c r="AQ74" s="52" t="s">
        <v>573</v>
      </c>
      <c r="AR74" s="53" t="s">
        <v>1739</v>
      </c>
      <c r="AS74" s="54" t="s">
        <v>153</v>
      </c>
      <c r="AT74" s="55" t="s">
        <v>1740</v>
      </c>
      <c r="AU74" s="56" t="s">
        <v>1741</v>
      </c>
      <c r="AV74" s="57" t="s">
        <v>153</v>
      </c>
      <c r="AW74" s="58" t="s">
        <v>1742</v>
      </c>
      <c r="AX74" s="59" t="s">
        <v>1743</v>
      </c>
      <c r="AY74" s="60" t="s">
        <v>1744</v>
      </c>
      <c r="AZ74" s="61" t="s">
        <v>701</v>
      </c>
      <c r="BA74" s="62" t="s">
        <v>1745</v>
      </c>
      <c r="BB74" s="63" t="s">
        <v>153</v>
      </c>
      <c r="BC74" s="64" t="s">
        <v>153</v>
      </c>
      <c r="BD74" s="65" t="s">
        <v>180</v>
      </c>
      <c r="BE74" s="66" t="s">
        <v>181</v>
      </c>
      <c r="BF74" s="67" t="s">
        <v>1746</v>
      </c>
      <c r="BG74" s="68" t="s">
        <v>1747</v>
      </c>
      <c r="BH74" s="69">
        <v>2</v>
      </c>
      <c r="BI74" s="70" t="s">
        <v>153</v>
      </c>
      <c r="BJ74" s="71" t="s">
        <v>153</v>
      </c>
      <c r="BK74" s="72" t="s">
        <v>1748</v>
      </c>
      <c r="BL74" s="73" t="s">
        <v>1749</v>
      </c>
      <c r="BM74" s="74" t="s">
        <v>153</v>
      </c>
      <c r="BN74" s="75" t="s">
        <v>1750</v>
      </c>
      <c r="BO74" s="76" t="s">
        <v>1751</v>
      </c>
      <c r="BP74" s="77" t="s">
        <v>1752</v>
      </c>
      <c r="BQ74" s="78">
        <v>34655</v>
      </c>
      <c r="BR74" s="79" t="s">
        <v>153</v>
      </c>
      <c r="BS74" s="80" t="s">
        <v>153</v>
      </c>
      <c r="BT74" s="81" t="s">
        <v>153</v>
      </c>
      <c r="BU74" s="82" t="s">
        <v>153</v>
      </c>
      <c r="BV74" s="83" t="s">
        <v>251</v>
      </c>
      <c r="BW74" s="84" t="s">
        <v>153</v>
      </c>
      <c r="BX74" s="85" t="s">
        <v>153</v>
      </c>
      <c r="BY74" s="86" t="s">
        <v>252</v>
      </c>
      <c r="BZ74" s="87" t="s">
        <v>153</v>
      </c>
      <c r="CA74" s="88" t="s">
        <v>190</v>
      </c>
      <c r="CB74" s="89">
        <v>43732</v>
      </c>
      <c r="CC74" s="90">
        <v>35000</v>
      </c>
      <c r="CD74" s="91" t="s">
        <v>186</v>
      </c>
      <c r="CE74" s="92">
        <v>35000</v>
      </c>
      <c r="CF74" s="93" t="s">
        <v>187</v>
      </c>
      <c r="CG74" s="94" t="s">
        <v>226</v>
      </c>
      <c r="CH74" s="95" t="s">
        <v>153</v>
      </c>
      <c r="CI74" s="96" t="s">
        <v>153</v>
      </c>
      <c r="CJ74" s="97" t="s">
        <v>225</v>
      </c>
      <c r="CK74" s="98">
        <v>43732</v>
      </c>
      <c r="CL74" s="99" t="s">
        <v>153</v>
      </c>
      <c r="CM74" s="100" t="s">
        <v>153</v>
      </c>
      <c r="CN74" s="101" t="s">
        <v>394</v>
      </c>
      <c r="CO74" s="102">
        <v>-1.7</v>
      </c>
      <c r="CP74" s="103">
        <v>2</v>
      </c>
      <c r="CQ74" s="104">
        <v>0.09</v>
      </c>
      <c r="CR74" s="105">
        <v>5.2</v>
      </c>
      <c r="CS74" s="106">
        <v>-1.7</v>
      </c>
      <c r="CT74" s="107">
        <v>3</v>
      </c>
      <c r="CU74" s="108" t="s">
        <v>153</v>
      </c>
      <c r="CV74" s="109" t="s">
        <v>153</v>
      </c>
      <c r="CW74" s="110">
        <v>-3.59</v>
      </c>
      <c r="CX74" s="111">
        <v>8</v>
      </c>
      <c r="CY74" s="112">
        <v>0.19</v>
      </c>
      <c r="CZ74" s="113">
        <v>91</v>
      </c>
      <c r="DA74" s="114" t="s">
        <v>153</v>
      </c>
      <c r="DB74" s="115" t="s">
        <v>153</v>
      </c>
      <c r="DC74" s="116">
        <v>215.06</v>
      </c>
      <c r="DD74" s="117">
        <v>100</v>
      </c>
      <c r="DE74" s="118">
        <v>0.09</v>
      </c>
      <c r="DF74" s="119">
        <v>0.04</v>
      </c>
      <c r="DG74" s="120">
        <v>215.06</v>
      </c>
      <c r="DH74" s="121">
        <v>100</v>
      </c>
      <c r="DI74" s="122" t="s">
        <v>153</v>
      </c>
      <c r="DJ74" s="123" t="s">
        <v>153</v>
      </c>
      <c r="DK74" s="124">
        <v>408.93</v>
      </c>
      <c r="DL74" s="125">
        <v>99</v>
      </c>
      <c r="DM74" s="126">
        <v>21.19</v>
      </c>
      <c r="DN74" s="127">
        <v>95</v>
      </c>
      <c r="DO74" s="128" t="s">
        <v>153</v>
      </c>
      <c r="DP74" s="129" t="s">
        <v>153</v>
      </c>
      <c r="DQ74" s="130">
        <v>243723</v>
      </c>
      <c r="DR74" s="131">
        <v>-4506</v>
      </c>
      <c r="DS74" s="132">
        <v>-1.82</v>
      </c>
      <c r="DT74" s="133">
        <v>338</v>
      </c>
      <c r="DU74" s="134">
        <v>3</v>
      </c>
      <c r="DV74" s="135">
        <v>0.9</v>
      </c>
      <c r="DW74" s="136">
        <v>134215</v>
      </c>
      <c r="DX74" s="137">
        <v>42</v>
      </c>
      <c r="DY74" s="138">
        <v>0.03</v>
      </c>
      <c r="DZ74" s="139" t="s">
        <v>191</v>
      </c>
      <c r="EA74" s="140">
        <v>44394</v>
      </c>
      <c r="EB74" s="141">
        <v>35000</v>
      </c>
      <c r="EC74" s="142">
        <v>43732</v>
      </c>
      <c r="ED74" s="143" t="s">
        <v>226</v>
      </c>
      <c r="EE74" s="278" t="str">
        <f>HYPERLINK("https://my.pitchbook.com?c=59179-15", "View company online")</f>
        <v>View company online</v>
      </c>
    </row>
    <row r="75" spans="1:135" x14ac:dyDescent="0.45">
      <c r="A75" s="144" t="s">
        <v>1753</v>
      </c>
      <c r="B75" s="145" t="s">
        <v>1754</v>
      </c>
      <c r="C75" s="146" t="s">
        <v>153</v>
      </c>
      <c r="D75" s="147" t="s">
        <v>153</v>
      </c>
      <c r="E75" s="148" t="s">
        <v>153</v>
      </c>
      <c r="F75" s="149" t="s">
        <v>153</v>
      </c>
      <c r="G75" s="150" t="s">
        <v>1755</v>
      </c>
      <c r="H75" s="151" t="s">
        <v>1756</v>
      </c>
      <c r="I75" s="152" t="s">
        <v>1753</v>
      </c>
      <c r="J75" s="153" t="s">
        <v>1757</v>
      </c>
      <c r="K75" s="154" t="s">
        <v>198</v>
      </c>
      <c r="L75" s="155" t="s">
        <v>1589</v>
      </c>
      <c r="M75" s="156" t="s">
        <v>1590</v>
      </c>
      <c r="N75" s="157" t="s">
        <v>1758</v>
      </c>
      <c r="O75" s="158" t="s">
        <v>1759</v>
      </c>
      <c r="P75" s="159" t="s">
        <v>1760</v>
      </c>
      <c r="Q75" s="160" t="s">
        <v>1487</v>
      </c>
      <c r="R75" s="161" t="s">
        <v>153</v>
      </c>
      <c r="S75" s="162" t="s">
        <v>290</v>
      </c>
      <c r="T75" s="163" t="s">
        <v>291</v>
      </c>
      <c r="U75" s="164" t="s">
        <v>292</v>
      </c>
      <c r="V75" s="165" t="s">
        <v>1761</v>
      </c>
      <c r="W75" s="166">
        <v>4890</v>
      </c>
      <c r="X75" s="167" t="s">
        <v>1762</v>
      </c>
      <c r="Y75" s="168" t="s">
        <v>295</v>
      </c>
      <c r="Z75" s="169" t="s">
        <v>1763</v>
      </c>
      <c r="AA75" s="170">
        <v>1984</v>
      </c>
      <c r="AB75" s="171" t="s">
        <v>153</v>
      </c>
      <c r="AC75" s="172" t="s">
        <v>428</v>
      </c>
      <c r="AD75" s="173" t="s">
        <v>1764</v>
      </c>
      <c r="AE75" s="174">
        <v>3147.6</v>
      </c>
      <c r="AF75" s="175">
        <v>2153</v>
      </c>
      <c r="AG75" s="176">
        <v>646.51</v>
      </c>
      <c r="AH75" s="177">
        <v>29117.37</v>
      </c>
      <c r="AI75" s="178">
        <v>959.12</v>
      </c>
      <c r="AJ75" s="179">
        <v>772.61</v>
      </c>
      <c r="AK75" s="180">
        <v>33896.57</v>
      </c>
      <c r="AL75" s="181">
        <v>-1575.75</v>
      </c>
      <c r="AM75" s="182">
        <v>-0.48</v>
      </c>
      <c r="AN75" s="183" t="s">
        <v>1765</v>
      </c>
      <c r="AO75" s="184" t="s">
        <v>1766</v>
      </c>
      <c r="AP75" s="185" t="s">
        <v>1767</v>
      </c>
      <c r="AQ75" s="186" t="s">
        <v>1768</v>
      </c>
      <c r="AR75" s="187" t="s">
        <v>1769</v>
      </c>
      <c r="AS75" s="188" t="s">
        <v>1770</v>
      </c>
      <c r="AT75" s="189" t="s">
        <v>1379</v>
      </c>
      <c r="AU75" s="190" t="s">
        <v>1771</v>
      </c>
      <c r="AV75" s="191" t="s">
        <v>153</v>
      </c>
      <c r="AW75" s="192" t="s">
        <v>1380</v>
      </c>
      <c r="AX75" s="193" t="s">
        <v>308</v>
      </c>
      <c r="AY75" s="194" t="s">
        <v>1772</v>
      </c>
      <c r="AZ75" s="195" t="s">
        <v>215</v>
      </c>
      <c r="BA75" s="196" t="s">
        <v>1770</v>
      </c>
      <c r="BB75" s="197" t="s">
        <v>1773</v>
      </c>
      <c r="BC75" s="198" t="s">
        <v>153</v>
      </c>
      <c r="BD75" s="199" t="s">
        <v>216</v>
      </c>
      <c r="BE75" s="200" t="s">
        <v>217</v>
      </c>
      <c r="BF75" s="201" t="s">
        <v>1774</v>
      </c>
      <c r="BG75" s="202" t="s">
        <v>153</v>
      </c>
      <c r="BH75" s="203" t="s">
        <v>153</v>
      </c>
      <c r="BI75" s="204" t="s">
        <v>153</v>
      </c>
      <c r="BJ75" s="205" t="s">
        <v>1775</v>
      </c>
      <c r="BK75" s="206" t="s">
        <v>1776</v>
      </c>
      <c r="BL75" s="207" t="s">
        <v>153</v>
      </c>
      <c r="BM75" s="208" t="s">
        <v>1777</v>
      </c>
      <c r="BN75" s="209" t="s">
        <v>1778</v>
      </c>
      <c r="BO75" s="210" t="s">
        <v>1779</v>
      </c>
      <c r="BP75" s="211" t="s">
        <v>1780</v>
      </c>
      <c r="BQ75" s="212">
        <v>32772</v>
      </c>
      <c r="BR75" s="213" t="s">
        <v>153</v>
      </c>
      <c r="BS75" s="214" t="s">
        <v>153</v>
      </c>
      <c r="BT75" s="215" t="s">
        <v>153</v>
      </c>
      <c r="BU75" s="216" t="s">
        <v>153</v>
      </c>
      <c r="BV75" s="217" t="s">
        <v>471</v>
      </c>
      <c r="BW75" s="218" t="s">
        <v>153</v>
      </c>
      <c r="BX75" s="219" t="s">
        <v>153</v>
      </c>
      <c r="BY75" s="220" t="s">
        <v>472</v>
      </c>
      <c r="BZ75" s="221" t="s">
        <v>153</v>
      </c>
      <c r="CA75" s="222" t="s">
        <v>190</v>
      </c>
      <c r="CB75" s="223">
        <v>44131</v>
      </c>
      <c r="CC75" s="224">
        <v>35000</v>
      </c>
      <c r="CD75" s="225" t="s">
        <v>186</v>
      </c>
      <c r="CE75" s="226">
        <v>35000</v>
      </c>
      <c r="CF75" s="227" t="s">
        <v>187</v>
      </c>
      <c r="CG75" s="228" t="s">
        <v>226</v>
      </c>
      <c r="CH75" s="229" t="s">
        <v>153</v>
      </c>
      <c r="CI75" s="230" t="s">
        <v>153</v>
      </c>
      <c r="CJ75" s="231" t="s">
        <v>225</v>
      </c>
      <c r="CK75" s="232">
        <v>44131</v>
      </c>
      <c r="CL75" s="233" t="s">
        <v>153</v>
      </c>
      <c r="CM75" s="234" t="s">
        <v>153</v>
      </c>
      <c r="CN75" s="235" t="s">
        <v>1278</v>
      </c>
      <c r="CO75" s="236">
        <v>-0.15</v>
      </c>
      <c r="CP75" s="237">
        <v>7</v>
      </c>
      <c r="CQ75" s="238">
        <v>-0.02</v>
      </c>
      <c r="CR75" s="239">
        <v>-13.53</v>
      </c>
      <c r="CS75" s="240">
        <v>-0.93</v>
      </c>
      <c r="CT75" s="241">
        <v>4</v>
      </c>
      <c r="CU75" s="242">
        <v>0.47</v>
      </c>
      <c r="CV75" s="243">
        <v>96</v>
      </c>
      <c r="CW75" s="244">
        <v>-2.0299999999999998</v>
      </c>
      <c r="CX75" s="245">
        <v>12</v>
      </c>
      <c r="CY75" s="246">
        <v>0.18</v>
      </c>
      <c r="CZ75" s="247">
        <v>91</v>
      </c>
      <c r="DA75" s="248">
        <v>0.47</v>
      </c>
      <c r="DB75" s="249">
        <v>96</v>
      </c>
      <c r="DC75" s="250">
        <v>246.51</v>
      </c>
      <c r="DD75" s="251">
        <v>100</v>
      </c>
      <c r="DE75" s="252">
        <v>0.42</v>
      </c>
      <c r="DF75" s="253">
        <v>0.17</v>
      </c>
      <c r="DG75" s="254">
        <v>493.44</v>
      </c>
      <c r="DH75" s="255">
        <v>100</v>
      </c>
      <c r="DI75" s="256">
        <v>113.94</v>
      </c>
      <c r="DJ75" s="257">
        <v>98</v>
      </c>
      <c r="DK75" s="258">
        <v>325.57</v>
      </c>
      <c r="DL75" s="259">
        <v>99</v>
      </c>
      <c r="DM75" s="260">
        <v>661.31</v>
      </c>
      <c r="DN75" s="261">
        <v>100</v>
      </c>
      <c r="DO75" s="262">
        <v>113.94</v>
      </c>
      <c r="DP75" s="263">
        <v>98</v>
      </c>
      <c r="DQ75" s="264">
        <v>194118</v>
      </c>
      <c r="DR75" s="265">
        <v>-3872</v>
      </c>
      <c r="DS75" s="266">
        <v>-1.96</v>
      </c>
      <c r="DT75" s="267">
        <v>10573</v>
      </c>
      <c r="DU75" s="268">
        <v>18</v>
      </c>
      <c r="DV75" s="269">
        <v>0.17</v>
      </c>
      <c r="DW75" s="270">
        <v>35776</v>
      </c>
      <c r="DX75" s="271">
        <v>18</v>
      </c>
      <c r="DY75" s="272">
        <v>0.05</v>
      </c>
      <c r="DZ75" s="273" t="s">
        <v>191</v>
      </c>
      <c r="EA75" s="274">
        <v>44400</v>
      </c>
      <c r="EB75" s="275">
        <v>35000</v>
      </c>
      <c r="EC75" s="276">
        <v>44131</v>
      </c>
      <c r="ED75" s="277" t="s">
        <v>226</v>
      </c>
      <c r="EE75" s="279" t="str">
        <f>HYPERLINK("https://my.pitchbook.com?c=14186-62", "View company online")</f>
        <v>View company online</v>
      </c>
    </row>
    <row r="76" spans="1:135" x14ac:dyDescent="0.45">
      <c r="A76" s="10" t="s">
        <v>1781</v>
      </c>
      <c r="B76" s="11" t="s">
        <v>1782</v>
      </c>
      <c r="C76" s="12" t="s">
        <v>153</v>
      </c>
      <c r="D76" s="13" t="s">
        <v>153</v>
      </c>
      <c r="E76" s="14" t="s">
        <v>1783</v>
      </c>
      <c r="F76" s="15" t="s">
        <v>1784</v>
      </c>
      <c r="G76" s="16" t="s">
        <v>1785</v>
      </c>
      <c r="H76" s="17" t="s">
        <v>1786</v>
      </c>
      <c r="I76" s="18" t="s">
        <v>1781</v>
      </c>
      <c r="J76" s="19" t="s">
        <v>1787</v>
      </c>
      <c r="K76" s="20" t="s">
        <v>198</v>
      </c>
      <c r="L76" s="21" t="s">
        <v>984</v>
      </c>
      <c r="M76" s="22" t="s">
        <v>1165</v>
      </c>
      <c r="N76" s="23" t="s">
        <v>1788</v>
      </c>
      <c r="O76" s="24" t="s">
        <v>1789</v>
      </c>
      <c r="P76" s="25" t="s">
        <v>1790</v>
      </c>
      <c r="Q76" s="26" t="s">
        <v>162</v>
      </c>
      <c r="R76" s="27">
        <v>23400</v>
      </c>
      <c r="S76" s="28" t="s">
        <v>290</v>
      </c>
      <c r="T76" s="29" t="s">
        <v>1392</v>
      </c>
      <c r="U76" s="30" t="s">
        <v>1791</v>
      </c>
      <c r="V76" s="31" t="s">
        <v>1792</v>
      </c>
      <c r="W76" s="32">
        <v>16000</v>
      </c>
      <c r="X76" s="33" t="s">
        <v>1793</v>
      </c>
      <c r="Y76" s="34" t="s">
        <v>153</v>
      </c>
      <c r="Z76" s="35" t="s">
        <v>153</v>
      </c>
      <c r="AA76" s="36">
        <v>2004</v>
      </c>
      <c r="AB76" s="37" t="s">
        <v>153</v>
      </c>
      <c r="AC76" s="38" t="s">
        <v>1794</v>
      </c>
      <c r="AD76" s="39" t="s">
        <v>1795</v>
      </c>
      <c r="AE76" s="40">
        <v>20996.41</v>
      </c>
      <c r="AF76" s="41" t="s">
        <v>153</v>
      </c>
      <c r="AG76" s="42" t="s">
        <v>153</v>
      </c>
      <c r="AH76" s="43" t="s">
        <v>153</v>
      </c>
      <c r="AI76" s="44" t="s">
        <v>153</v>
      </c>
      <c r="AJ76" s="45" t="s">
        <v>153</v>
      </c>
      <c r="AK76" s="46" t="s">
        <v>153</v>
      </c>
      <c r="AL76" s="47" t="s">
        <v>153</v>
      </c>
      <c r="AM76" s="48">
        <v>20.260000000000002</v>
      </c>
      <c r="AN76" s="49" t="s">
        <v>168</v>
      </c>
      <c r="AO76" s="50" t="s">
        <v>1796</v>
      </c>
      <c r="AP76" s="51" t="s">
        <v>1797</v>
      </c>
      <c r="AQ76" s="52" t="s">
        <v>1798</v>
      </c>
      <c r="AR76" s="53" t="s">
        <v>1799</v>
      </c>
      <c r="AS76" s="54" t="s">
        <v>153</v>
      </c>
      <c r="AT76" s="55" t="s">
        <v>1800</v>
      </c>
      <c r="AU76" s="56" t="s">
        <v>1801</v>
      </c>
      <c r="AV76" s="57" t="s">
        <v>153</v>
      </c>
      <c r="AW76" s="58" t="s">
        <v>1802</v>
      </c>
      <c r="AX76" s="59" t="s">
        <v>1803</v>
      </c>
      <c r="AY76" s="60" t="s">
        <v>153</v>
      </c>
      <c r="AZ76" s="61" t="s">
        <v>1519</v>
      </c>
      <c r="BA76" s="62" t="s">
        <v>1804</v>
      </c>
      <c r="BB76" s="63" t="s">
        <v>1805</v>
      </c>
      <c r="BC76" s="64" t="s">
        <v>153</v>
      </c>
      <c r="BD76" s="65" t="s">
        <v>1406</v>
      </c>
      <c r="BE76" s="66" t="s">
        <v>1407</v>
      </c>
      <c r="BF76" s="67" t="s">
        <v>1806</v>
      </c>
      <c r="BG76" s="68" t="s">
        <v>1807</v>
      </c>
      <c r="BH76" s="69">
        <v>58</v>
      </c>
      <c r="BI76" s="70" t="s">
        <v>153</v>
      </c>
      <c r="BJ76" s="71" t="s">
        <v>153</v>
      </c>
      <c r="BK76" s="72" t="s">
        <v>153</v>
      </c>
      <c r="BL76" s="73" t="s">
        <v>1808</v>
      </c>
      <c r="BM76" s="74" t="s">
        <v>153</v>
      </c>
      <c r="BN76" s="75" t="s">
        <v>153</v>
      </c>
      <c r="BO76" s="76" t="s">
        <v>1809</v>
      </c>
      <c r="BP76" s="77" t="s">
        <v>1810</v>
      </c>
      <c r="BQ76" s="78">
        <v>42189</v>
      </c>
      <c r="BR76" s="79">
        <v>1900</v>
      </c>
      <c r="BS76" s="80" t="s">
        <v>187</v>
      </c>
      <c r="BT76" s="81">
        <v>43000</v>
      </c>
      <c r="BU76" s="82" t="s">
        <v>187</v>
      </c>
      <c r="BV76" s="83" t="s">
        <v>905</v>
      </c>
      <c r="BW76" s="84" t="s">
        <v>1811</v>
      </c>
      <c r="BX76" s="85" t="s">
        <v>153</v>
      </c>
      <c r="BY76" s="86" t="s">
        <v>472</v>
      </c>
      <c r="BZ76" s="87" t="s">
        <v>153</v>
      </c>
      <c r="CA76" s="88" t="s">
        <v>190</v>
      </c>
      <c r="CB76" s="89">
        <v>44138</v>
      </c>
      <c r="CC76" s="90">
        <v>34400</v>
      </c>
      <c r="CD76" s="91" t="s">
        <v>187</v>
      </c>
      <c r="CE76" s="92" t="s">
        <v>153</v>
      </c>
      <c r="CF76" s="93" t="s">
        <v>153</v>
      </c>
      <c r="CG76" s="94" t="s">
        <v>251</v>
      </c>
      <c r="CH76" s="95" t="s">
        <v>153</v>
      </c>
      <c r="CI76" s="96" t="s">
        <v>153</v>
      </c>
      <c r="CJ76" s="97" t="s">
        <v>252</v>
      </c>
      <c r="CK76" s="98">
        <v>44138</v>
      </c>
      <c r="CL76" s="99" t="s">
        <v>153</v>
      </c>
      <c r="CM76" s="100" t="s">
        <v>153</v>
      </c>
      <c r="CN76" s="101" t="s">
        <v>1812</v>
      </c>
      <c r="CO76" s="102">
        <v>2.2599999999999998</v>
      </c>
      <c r="CP76" s="103">
        <v>99</v>
      </c>
      <c r="CQ76" s="104">
        <v>-0.13</v>
      </c>
      <c r="CR76" s="105">
        <v>-5.45</v>
      </c>
      <c r="CS76" s="106">
        <v>-0.15</v>
      </c>
      <c r="CT76" s="107">
        <v>7</v>
      </c>
      <c r="CU76" s="108">
        <v>0.41</v>
      </c>
      <c r="CV76" s="109">
        <v>95</v>
      </c>
      <c r="CW76" s="110">
        <v>-0.47</v>
      </c>
      <c r="CX76" s="111">
        <v>19</v>
      </c>
      <c r="CY76" s="112">
        <v>0.17</v>
      </c>
      <c r="CZ76" s="113">
        <v>91</v>
      </c>
      <c r="DA76" s="114">
        <v>0.41</v>
      </c>
      <c r="DB76" s="115">
        <v>95</v>
      </c>
      <c r="DC76" s="116">
        <v>215.18</v>
      </c>
      <c r="DD76" s="117">
        <v>100</v>
      </c>
      <c r="DE76" s="118">
        <v>-0.31</v>
      </c>
      <c r="DF76" s="119">
        <v>-0.14000000000000001</v>
      </c>
      <c r="DG76" s="120">
        <v>116.7</v>
      </c>
      <c r="DH76" s="121">
        <v>100</v>
      </c>
      <c r="DI76" s="122">
        <v>96.4</v>
      </c>
      <c r="DJ76" s="123">
        <v>98</v>
      </c>
      <c r="DK76" s="124">
        <v>86.27</v>
      </c>
      <c r="DL76" s="125">
        <v>97</v>
      </c>
      <c r="DM76" s="126">
        <v>147.13</v>
      </c>
      <c r="DN76" s="127">
        <v>100</v>
      </c>
      <c r="DO76" s="128">
        <v>96.4</v>
      </c>
      <c r="DP76" s="129">
        <v>98</v>
      </c>
      <c r="DQ76" s="130">
        <v>50748</v>
      </c>
      <c r="DR76" s="131">
        <v>1502</v>
      </c>
      <c r="DS76" s="132">
        <v>3.05</v>
      </c>
      <c r="DT76" s="133">
        <v>2374</v>
      </c>
      <c r="DU76" s="134">
        <v>-53</v>
      </c>
      <c r="DV76" s="135">
        <v>-2.1800000000000002</v>
      </c>
      <c r="DW76" s="136">
        <v>30204</v>
      </c>
      <c r="DX76" s="137">
        <v>156</v>
      </c>
      <c r="DY76" s="138">
        <v>0.52</v>
      </c>
      <c r="DZ76" s="139" t="s">
        <v>191</v>
      </c>
      <c r="EA76" s="140">
        <v>44399</v>
      </c>
      <c r="EB76" s="141">
        <v>200000</v>
      </c>
      <c r="EC76" s="142">
        <v>43731</v>
      </c>
      <c r="ED76" s="143" t="s">
        <v>225</v>
      </c>
      <c r="EE76" s="278" t="str">
        <f>HYPERLINK("https://my.pitchbook.com?c=99609-31", "View company online")</f>
        <v>View company online</v>
      </c>
    </row>
    <row r="77" spans="1:135" x14ac:dyDescent="0.45">
      <c r="A77" s="144" t="s">
        <v>1813</v>
      </c>
      <c r="B77" s="145" t="s">
        <v>1814</v>
      </c>
      <c r="C77" s="146" t="s">
        <v>153</v>
      </c>
      <c r="D77" s="147" t="s">
        <v>153</v>
      </c>
      <c r="E77" s="148" t="s">
        <v>153</v>
      </c>
      <c r="F77" s="149" t="s">
        <v>1815</v>
      </c>
      <c r="G77" s="150" t="s">
        <v>1816</v>
      </c>
      <c r="H77" s="151" t="s">
        <v>1817</v>
      </c>
      <c r="I77" s="152" t="s">
        <v>1813</v>
      </c>
      <c r="J77" s="153" t="s">
        <v>1818</v>
      </c>
      <c r="K77" s="154" t="s">
        <v>257</v>
      </c>
      <c r="L77" s="155" t="s">
        <v>478</v>
      </c>
      <c r="M77" s="156" t="s">
        <v>1819</v>
      </c>
      <c r="N77" s="157" t="s">
        <v>1820</v>
      </c>
      <c r="O77" s="158" t="s">
        <v>261</v>
      </c>
      <c r="P77" s="159" t="s">
        <v>1821</v>
      </c>
      <c r="Q77" s="160" t="s">
        <v>204</v>
      </c>
      <c r="R77" s="161" t="s">
        <v>153</v>
      </c>
      <c r="S77" s="162" t="s">
        <v>163</v>
      </c>
      <c r="T77" s="163" t="s">
        <v>205</v>
      </c>
      <c r="U77" s="164" t="s">
        <v>369</v>
      </c>
      <c r="V77" s="165" t="s">
        <v>1822</v>
      </c>
      <c r="W77" s="166">
        <v>28000</v>
      </c>
      <c r="X77" s="167" t="s">
        <v>1823</v>
      </c>
      <c r="Y77" s="168" t="s">
        <v>153</v>
      </c>
      <c r="Z77" s="169" t="s">
        <v>153</v>
      </c>
      <c r="AA77" s="170">
        <v>1966</v>
      </c>
      <c r="AB77" s="171" t="s">
        <v>153</v>
      </c>
      <c r="AC77" s="172" t="s">
        <v>428</v>
      </c>
      <c r="AD77" s="173" t="s">
        <v>508</v>
      </c>
      <c r="AE77" s="174">
        <v>17500</v>
      </c>
      <c r="AF77" s="175" t="s">
        <v>153</v>
      </c>
      <c r="AG77" s="176" t="s">
        <v>153</v>
      </c>
      <c r="AH77" s="177" t="s">
        <v>153</v>
      </c>
      <c r="AI77" s="178" t="s">
        <v>153</v>
      </c>
      <c r="AJ77" s="179" t="s">
        <v>153</v>
      </c>
      <c r="AK77" s="180" t="s">
        <v>153</v>
      </c>
      <c r="AL77" s="181" t="s">
        <v>153</v>
      </c>
      <c r="AM77" s="182">
        <v>25</v>
      </c>
      <c r="AN77" s="183" t="s">
        <v>168</v>
      </c>
      <c r="AO77" s="184" t="s">
        <v>1824</v>
      </c>
      <c r="AP77" s="185" t="s">
        <v>1825</v>
      </c>
      <c r="AQ77" s="186" t="s">
        <v>1826</v>
      </c>
      <c r="AR77" s="187" t="s">
        <v>1827</v>
      </c>
      <c r="AS77" s="188" t="s">
        <v>1828</v>
      </c>
      <c r="AT77" s="189" t="s">
        <v>1829</v>
      </c>
      <c r="AU77" s="190" t="s">
        <v>1830</v>
      </c>
      <c r="AV77" s="191" t="s">
        <v>153</v>
      </c>
      <c r="AW77" s="192" t="s">
        <v>1831</v>
      </c>
      <c r="AX77" s="193" t="s">
        <v>783</v>
      </c>
      <c r="AY77" s="194" t="s">
        <v>872</v>
      </c>
      <c r="AZ77" s="195" t="s">
        <v>215</v>
      </c>
      <c r="BA77" s="196" t="s">
        <v>1828</v>
      </c>
      <c r="BB77" s="197" t="s">
        <v>153</v>
      </c>
      <c r="BC77" s="198" t="s">
        <v>1832</v>
      </c>
      <c r="BD77" s="199" t="s">
        <v>216</v>
      </c>
      <c r="BE77" s="200" t="s">
        <v>217</v>
      </c>
      <c r="BF77" s="201" t="s">
        <v>1833</v>
      </c>
      <c r="BG77" s="202" t="s">
        <v>1834</v>
      </c>
      <c r="BH77" s="203">
        <v>1</v>
      </c>
      <c r="BI77" s="204" t="s">
        <v>153</v>
      </c>
      <c r="BJ77" s="205" t="s">
        <v>153</v>
      </c>
      <c r="BK77" s="206" t="s">
        <v>1835</v>
      </c>
      <c r="BL77" s="207" t="s">
        <v>1836</v>
      </c>
      <c r="BM77" s="208" t="s">
        <v>153</v>
      </c>
      <c r="BN77" s="209" t="s">
        <v>1837</v>
      </c>
      <c r="BO77" s="210" t="s">
        <v>1838</v>
      </c>
      <c r="BP77" s="211" t="s">
        <v>1839</v>
      </c>
      <c r="BQ77" s="212">
        <v>26299</v>
      </c>
      <c r="BR77" s="213" t="s">
        <v>153</v>
      </c>
      <c r="BS77" s="214" t="s">
        <v>153</v>
      </c>
      <c r="BT77" s="215" t="s">
        <v>153</v>
      </c>
      <c r="BU77" s="216" t="s">
        <v>153</v>
      </c>
      <c r="BV77" s="217" t="s">
        <v>251</v>
      </c>
      <c r="BW77" s="218" t="s">
        <v>153</v>
      </c>
      <c r="BX77" s="219" t="s">
        <v>153</v>
      </c>
      <c r="BY77" s="220" t="s">
        <v>252</v>
      </c>
      <c r="BZ77" s="221" t="s">
        <v>153</v>
      </c>
      <c r="CA77" s="222" t="s">
        <v>190</v>
      </c>
      <c r="CB77" s="223">
        <v>44352</v>
      </c>
      <c r="CC77" s="224">
        <v>34000</v>
      </c>
      <c r="CD77" s="225" t="s">
        <v>186</v>
      </c>
      <c r="CE77" s="226">
        <v>34000</v>
      </c>
      <c r="CF77" s="227" t="s">
        <v>153</v>
      </c>
      <c r="CG77" s="228" t="s">
        <v>188</v>
      </c>
      <c r="CH77" s="229" t="s">
        <v>153</v>
      </c>
      <c r="CI77" s="230" t="s">
        <v>153</v>
      </c>
      <c r="CJ77" s="231" t="s">
        <v>165</v>
      </c>
      <c r="CK77" s="232">
        <v>44352</v>
      </c>
      <c r="CL77" s="233">
        <v>4000</v>
      </c>
      <c r="CM77" s="234" t="s">
        <v>153</v>
      </c>
      <c r="CN77" s="235" t="s">
        <v>1278</v>
      </c>
      <c r="CO77" s="236" t="s">
        <v>153</v>
      </c>
      <c r="CP77" s="237" t="s">
        <v>153</v>
      </c>
      <c r="CQ77" s="238" t="s">
        <v>153</v>
      </c>
      <c r="CR77" s="239" t="s">
        <v>153</v>
      </c>
      <c r="CS77" s="240" t="s">
        <v>153</v>
      </c>
      <c r="CT77" s="241" t="s">
        <v>153</v>
      </c>
      <c r="CU77" s="242" t="s">
        <v>153</v>
      </c>
      <c r="CV77" s="243" t="s">
        <v>153</v>
      </c>
      <c r="CW77" s="244" t="s">
        <v>153</v>
      </c>
      <c r="CX77" s="245" t="s">
        <v>153</v>
      </c>
      <c r="CY77" s="246" t="s">
        <v>153</v>
      </c>
      <c r="CZ77" s="247" t="s">
        <v>153</v>
      </c>
      <c r="DA77" s="248" t="s">
        <v>153</v>
      </c>
      <c r="DB77" s="249" t="s">
        <v>153</v>
      </c>
      <c r="DC77" s="250" t="s">
        <v>153</v>
      </c>
      <c r="DD77" s="251" t="s">
        <v>153</v>
      </c>
      <c r="DE77" s="252" t="s">
        <v>153</v>
      </c>
      <c r="DF77" s="253" t="s">
        <v>153</v>
      </c>
      <c r="DG77" s="254" t="s">
        <v>153</v>
      </c>
      <c r="DH77" s="255" t="s">
        <v>153</v>
      </c>
      <c r="DI77" s="256" t="s">
        <v>153</v>
      </c>
      <c r="DJ77" s="257" t="s">
        <v>153</v>
      </c>
      <c r="DK77" s="258" t="s">
        <v>153</v>
      </c>
      <c r="DL77" s="259" t="s">
        <v>153</v>
      </c>
      <c r="DM77" s="260" t="s">
        <v>153</v>
      </c>
      <c r="DN77" s="261" t="s">
        <v>153</v>
      </c>
      <c r="DO77" s="262" t="s">
        <v>153</v>
      </c>
      <c r="DP77" s="263" t="s">
        <v>153</v>
      </c>
      <c r="DQ77" s="264" t="s">
        <v>153</v>
      </c>
      <c r="DR77" s="265" t="s">
        <v>153</v>
      </c>
      <c r="DS77" s="266" t="s">
        <v>153</v>
      </c>
      <c r="DT77" s="267" t="s">
        <v>153</v>
      </c>
      <c r="DU77" s="268" t="s">
        <v>153</v>
      </c>
      <c r="DV77" s="269" t="s">
        <v>153</v>
      </c>
      <c r="DW77" s="270" t="s">
        <v>153</v>
      </c>
      <c r="DX77" s="271" t="s">
        <v>153</v>
      </c>
      <c r="DY77" s="272" t="s">
        <v>153</v>
      </c>
      <c r="DZ77" s="273" t="s">
        <v>191</v>
      </c>
      <c r="EA77" s="274">
        <v>44392</v>
      </c>
      <c r="EB77" s="275">
        <v>34000</v>
      </c>
      <c r="EC77" s="276">
        <v>44352</v>
      </c>
      <c r="ED77" s="277" t="s">
        <v>188</v>
      </c>
      <c r="EE77" s="279" t="str">
        <f>HYPERLINK("https://my.pitchbook.com?c=11534-32", "View company online")</f>
        <v>View company online</v>
      </c>
    </row>
    <row r="78" spans="1:135" x14ac:dyDescent="0.45">
      <c r="A78" s="10" t="s">
        <v>1840</v>
      </c>
      <c r="B78" s="11" t="s">
        <v>1841</v>
      </c>
      <c r="C78" s="12" t="s">
        <v>153</v>
      </c>
      <c r="D78" s="13" t="s">
        <v>153</v>
      </c>
      <c r="E78" s="14" t="s">
        <v>1842</v>
      </c>
      <c r="F78" s="15" t="s">
        <v>153</v>
      </c>
      <c r="G78" s="16" t="s">
        <v>1843</v>
      </c>
      <c r="H78" s="17" t="s">
        <v>1844</v>
      </c>
      <c r="I78" s="18" t="s">
        <v>1840</v>
      </c>
      <c r="J78" s="19" t="s">
        <v>1845</v>
      </c>
      <c r="K78" s="20" t="s">
        <v>198</v>
      </c>
      <c r="L78" s="21" t="s">
        <v>1846</v>
      </c>
      <c r="M78" s="22" t="s">
        <v>1847</v>
      </c>
      <c r="N78" s="23" t="s">
        <v>1848</v>
      </c>
      <c r="O78" s="24" t="s">
        <v>1849</v>
      </c>
      <c r="P78" s="25" t="s">
        <v>1850</v>
      </c>
      <c r="Q78" s="26" t="s">
        <v>289</v>
      </c>
      <c r="R78" s="27">
        <v>722.54</v>
      </c>
      <c r="S78" s="28" t="s">
        <v>290</v>
      </c>
      <c r="T78" s="29" t="s">
        <v>205</v>
      </c>
      <c r="U78" s="30" t="s">
        <v>292</v>
      </c>
      <c r="V78" s="31" t="s">
        <v>1851</v>
      </c>
      <c r="W78" s="32">
        <v>13000</v>
      </c>
      <c r="X78" s="33" t="s">
        <v>1852</v>
      </c>
      <c r="Y78" s="34" t="s">
        <v>153</v>
      </c>
      <c r="Z78" s="35" t="s">
        <v>153</v>
      </c>
      <c r="AA78" s="36">
        <v>1993</v>
      </c>
      <c r="AB78" s="37" t="s">
        <v>1853</v>
      </c>
      <c r="AC78" s="38" t="s">
        <v>428</v>
      </c>
      <c r="AD78" s="39" t="s">
        <v>671</v>
      </c>
      <c r="AE78" s="40" t="s">
        <v>153</v>
      </c>
      <c r="AF78" s="41" t="s">
        <v>153</v>
      </c>
      <c r="AG78" s="42" t="s">
        <v>153</v>
      </c>
      <c r="AH78" s="43" t="s">
        <v>153</v>
      </c>
      <c r="AI78" s="44" t="s">
        <v>153</v>
      </c>
      <c r="AJ78" s="45" t="s">
        <v>153</v>
      </c>
      <c r="AK78" s="46" t="s">
        <v>153</v>
      </c>
      <c r="AL78" s="47" t="s">
        <v>153</v>
      </c>
      <c r="AM78" s="48" t="s">
        <v>153</v>
      </c>
      <c r="AN78" s="49" t="s">
        <v>623</v>
      </c>
      <c r="AO78" s="50" t="s">
        <v>1854</v>
      </c>
      <c r="AP78" s="51" t="s">
        <v>1855</v>
      </c>
      <c r="AQ78" s="52" t="s">
        <v>1856</v>
      </c>
      <c r="AR78" s="53" t="s">
        <v>1857</v>
      </c>
      <c r="AS78" s="54" t="s">
        <v>1858</v>
      </c>
      <c r="AT78" s="55" t="s">
        <v>1859</v>
      </c>
      <c r="AU78" s="56" t="s">
        <v>1860</v>
      </c>
      <c r="AV78" s="57" t="s">
        <v>153</v>
      </c>
      <c r="AW78" s="58" t="s">
        <v>1861</v>
      </c>
      <c r="AX78" s="59" t="s">
        <v>1862</v>
      </c>
      <c r="AY78" s="60" t="s">
        <v>1863</v>
      </c>
      <c r="AZ78" s="61" t="s">
        <v>215</v>
      </c>
      <c r="BA78" s="62" t="s">
        <v>1858</v>
      </c>
      <c r="BB78" s="63" t="s">
        <v>1864</v>
      </c>
      <c r="BC78" s="64" t="s">
        <v>153</v>
      </c>
      <c r="BD78" s="65" t="s">
        <v>216</v>
      </c>
      <c r="BE78" s="66" t="s">
        <v>217</v>
      </c>
      <c r="BF78" s="67" t="s">
        <v>1865</v>
      </c>
      <c r="BG78" s="68" t="s">
        <v>153</v>
      </c>
      <c r="BH78" s="69" t="s">
        <v>153</v>
      </c>
      <c r="BI78" s="70" t="s">
        <v>1853</v>
      </c>
      <c r="BJ78" s="71" t="s">
        <v>1866</v>
      </c>
      <c r="BK78" s="72" t="s">
        <v>153</v>
      </c>
      <c r="BL78" s="73" t="s">
        <v>153</v>
      </c>
      <c r="BM78" s="74" t="s">
        <v>1867</v>
      </c>
      <c r="BN78" s="75" t="s">
        <v>153</v>
      </c>
      <c r="BO78" s="76" t="s">
        <v>1868</v>
      </c>
      <c r="BP78" s="77" t="s">
        <v>1869</v>
      </c>
      <c r="BQ78" s="78">
        <v>35657</v>
      </c>
      <c r="BR78" s="79">
        <v>2</v>
      </c>
      <c r="BS78" s="80" t="s">
        <v>186</v>
      </c>
      <c r="BT78" s="81" t="s">
        <v>153</v>
      </c>
      <c r="BU78" s="82" t="s">
        <v>153</v>
      </c>
      <c r="BV78" s="83" t="s">
        <v>471</v>
      </c>
      <c r="BW78" s="84" t="s">
        <v>1811</v>
      </c>
      <c r="BX78" s="85" t="s">
        <v>153</v>
      </c>
      <c r="BY78" s="86" t="s">
        <v>318</v>
      </c>
      <c r="BZ78" s="87" t="s">
        <v>153</v>
      </c>
      <c r="CA78" s="88" t="s">
        <v>190</v>
      </c>
      <c r="CB78" s="89">
        <v>43655</v>
      </c>
      <c r="CC78" s="90">
        <v>34000</v>
      </c>
      <c r="CD78" s="91" t="s">
        <v>186</v>
      </c>
      <c r="CE78" s="92">
        <v>34000</v>
      </c>
      <c r="CF78" s="93" t="s">
        <v>187</v>
      </c>
      <c r="CG78" s="94" t="s">
        <v>226</v>
      </c>
      <c r="CH78" s="95" t="s">
        <v>153</v>
      </c>
      <c r="CI78" s="96" t="s">
        <v>153</v>
      </c>
      <c r="CJ78" s="97" t="s">
        <v>225</v>
      </c>
      <c r="CK78" s="98">
        <v>43655</v>
      </c>
      <c r="CL78" s="99" t="s">
        <v>153</v>
      </c>
      <c r="CM78" s="100" t="s">
        <v>1607</v>
      </c>
      <c r="CN78" s="101" t="s">
        <v>190</v>
      </c>
      <c r="CO78" s="102">
        <v>-2.78</v>
      </c>
      <c r="CP78" s="103">
        <v>1</v>
      </c>
      <c r="CQ78" s="104">
        <v>0</v>
      </c>
      <c r="CR78" s="105">
        <v>0</v>
      </c>
      <c r="CS78" s="106" t="s">
        <v>153</v>
      </c>
      <c r="CT78" s="107" t="s">
        <v>153</v>
      </c>
      <c r="CU78" s="108" t="s">
        <v>153</v>
      </c>
      <c r="CV78" s="109" t="s">
        <v>153</v>
      </c>
      <c r="CW78" s="110" t="s">
        <v>153</v>
      </c>
      <c r="CX78" s="111" t="s">
        <v>153</v>
      </c>
      <c r="CY78" s="112" t="s">
        <v>153</v>
      </c>
      <c r="CZ78" s="113" t="s">
        <v>153</v>
      </c>
      <c r="DA78" s="114" t="s">
        <v>153</v>
      </c>
      <c r="DB78" s="115" t="s">
        <v>153</v>
      </c>
      <c r="DC78" s="116">
        <v>351.35</v>
      </c>
      <c r="DD78" s="117">
        <v>100</v>
      </c>
      <c r="DE78" s="118">
        <v>0</v>
      </c>
      <c r="DF78" s="119">
        <v>0</v>
      </c>
      <c r="DG78" s="120" t="s">
        <v>153</v>
      </c>
      <c r="DH78" s="121" t="s">
        <v>153</v>
      </c>
      <c r="DI78" s="122" t="s">
        <v>153</v>
      </c>
      <c r="DJ78" s="123" t="s">
        <v>153</v>
      </c>
      <c r="DK78" s="124" t="s">
        <v>153</v>
      </c>
      <c r="DL78" s="125" t="s">
        <v>153</v>
      </c>
      <c r="DM78" s="126" t="s">
        <v>153</v>
      </c>
      <c r="DN78" s="127" t="s">
        <v>153</v>
      </c>
      <c r="DO78" s="128" t="s">
        <v>153</v>
      </c>
      <c r="DP78" s="129" t="s">
        <v>153</v>
      </c>
      <c r="DQ78" s="130" t="s">
        <v>153</v>
      </c>
      <c r="DR78" s="131" t="s">
        <v>153</v>
      </c>
      <c r="DS78" s="132" t="s">
        <v>153</v>
      </c>
      <c r="DT78" s="133" t="s">
        <v>153</v>
      </c>
      <c r="DU78" s="134" t="s">
        <v>153</v>
      </c>
      <c r="DV78" s="135" t="s">
        <v>153</v>
      </c>
      <c r="DW78" s="136" t="s">
        <v>153</v>
      </c>
      <c r="DX78" s="137" t="s">
        <v>153</v>
      </c>
      <c r="DY78" s="138" t="s">
        <v>153</v>
      </c>
      <c r="DZ78" s="139" t="s">
        <v>191</v>
      </c>
      <c r="EA78" s="140">
        <v>44384</v>
      </c>
      <c r="EB78" s="141">
        <v>34000</v>
      </c>
      <c r="EC78" s="142">
        <v>43655</v>
      </c>
      <c r="ED78" s="143" t="s">
        <v>226</v>
      </c>
      <c r="EE78" s="278" t="str">
        <f>HYPERLINK("https://my.pitchbook.com?c=41182-21", "View company online")</f>
        <v>View company online</v>
      </c>
    </row>
    <row r="79" spans="1:135" x14ac:dyDescent="0.45">
      <c r="A79" s="144" t="s">
        <v>1870</v>
      </c>
      <c r="B79" s="145" t="s">
        <v>1871</v>
      </c>
      <c r="C79" s="146" t="s">
        <v>153</v>
      </c>
      <c r="D79" s="147" t="s">
        <v>153</v>
      </c>
      <c r="E79" s="148" t="s">
        <v>1872</v>
      </c>
      <c r="F79" s="149" t="s">
        <v>1873</v>
      </c>
      <c r="G79" s="150" t="s">
        <v>153</v>
      </c>
      <c r="H79" s="151" t="s">
        <v>1874</v>
      </c>
      <c r="I79" s="152" t="s">
        <v>1870</v>
      </c>
      <c r="J79" s="153" t="s">
        <v>1875</v>
      </c>
      <c r="K79" s="154" t="s">
        <v>882</v>
      </c>
      <c r="L79" s="155" t="s">
        <v>1231</v>
      </c>
      <c r="M79" s="156" t="s">
        <v>1232</v>
      </c>
      <c r="N79" s="157" t="s">
        <v>1876</v>
      </c>
      <c r="O79" s="158" t="s">
        <v>1877</v>
      </c>
      <c r="P79" s="159" t="s">
        <v>1878</v>
      </c>
      <c r="Q79" s="160" t="s">
        <v>367</v>
      </c>
      <c r="R79" s="161" t="s">
        <v>153</v>
      </c>
      <c r="S79" s="162" t="s">
        <v>290</v>
      </c>
      <c r="T79" s="163" t="s">
        <v>291</v>
      </c>
      <c r="U79" s="164" t="s">
        <v>369</v>
      </c>
      <c r="V79" s="165" t="s">
        <v>1879</v>
      </c>
      <c r="W79" s="166">
        <v>6522</v>
      </c>
      <c r="X79" s="167" t="s">
        <v>1880</v>
      </c>
      <c r="Y79" s="168" t="s">
        <v>372</v>
      </c>
      <c r="Z79" s="169" t="s">
        <v>1881</v>
      </c>
      <c r="AA79" s="170">
        <v>1887</v>
      </c>
      <c r="AB79" s="171" t="s">
        <v>153</v>
      </c>
      <c r="AC79" s="172" t="s">
        <v>1794</v>
      </c>
      <c r="AD79" s="173" t="s">
        <v>1882</v>
      </c>
      <c r="AE79" s="174">
        <v>2808.5</v>
      </c>
      <c r="AF79" s="175">
        <v>1109.3</v>
      </c>
      <c r="AG79" s="176">
        <v>130</v>
      </c>
      <c r="AH79" s="177">
        <v>29664.79</v>
      </c>
      <c r="AI79" s="178">
        <v>746</v>
      </c>
      <c r="AJ79" s="179">
        <v>383.6</v>
      </c>
      <c r="AK79" s="180">
        <v>24687.81</v>
      </c>
      <c r="AL79" s="181">
        <v>3502</v>
      </c>
      <c r="AM79" s="182">
        <v>1.88</v>
      </c>
      <c r="AN79" s="183" t="s">
        <v>299</v>
      </c>
      <c r="AO79" s="184" t="s">
        <v>1883</v>
      </c>
      <c r="AP79" s="185" t="s">
        <v>1884</v>
      </c>
      <c r="AQ79" s="186" t="s">
        <v>1885</v>
      </c>
      <c r="AR79" s="187" t="s">
        <v>1886</v>
      </c>
      <c r="AS79" s="188" t="s">
        <v>1887</v>
      </c>
      <c r="AT79" s="189" t="s">
        <v>1888</v>
      </c>
      <c r="AU79" s="190" t="s">
        <v>1889</v>
      </c>
      <c r="AV79" s="191" t="s">
        <v>153</v>
      </c>
      <c r="AW79" s="192" t="s">
        <v>1890</v>
      </c>
      <c r="AX79" s="193" t="s">
        <v>652</v>
      </c>
      <c r="AY79" s="194" t="s">
        <v>1891</v>
      </c>
      <c r="AZ79" s="195" t="s">
        <v>215</v>
      </c>
      <c r="BA79" s="196" t="s">
        <v>1887</v>
      </c>
      <c r="BB79" s="197" t="s">
        <v>153</v>
      </c>
      <c r="BC79" s="198" t="s">
        <v>153</v>
      </c>
      <c r="BD79" s="199" t="s">
        <v>216</v>
      </c>
      <c r="BE79" s="200" t="s">
        <v>217</v>
      </c>
      <c r="BF79" s="201" t="s">
        <v>1892</v>
      </c>
      <c r="BG79" s="202" t="s">
        <v>153</v>
      </c>
      <c r="BH79" s="203" t="s">
        <v>153</v>
      </c>
      <c r="BI79" s="204" t="s">
        <v>153</v>
      </c>
      <c r="BJ79" s="205" t="s">
        <v>153</v>
      </c>
      <c r="BK79" s="206" t="s">
        <v>1893</v>
      </c>
      <c r="BL79" s="207" t="s">
        <v>153</v>
      </c>
      <c r="BM79" s="208" t="s">
        <v>153</v>
      </c>
      <c r="BN79" s="209" t="s">
        <v>1894</v>
      </c>
      <c r="BO79" s="210" t="s">
        <v>1895</v>
      </c>
      <c r="BP79" s="211" t="s">
        <v>1896</v>
      </c>
      <c r="BQ79" s="212">
        <v>35796</v>
      </c>
      <c r="BR79" s="213" t="s">
        <v>153</v>
      </c>
      <c r="BS79" s="214" t="s">
        <v>153</v>
      </c>
      <c r="BT79" s="215" t="s">
        <v>153</v>
      </c>
      <c r="BU79" s="216" t="s">
        <v>153</v>
      </c>
      <c r="BV79" s="217" t="s">
        <v>251</v>
      </c>
      <c r="BW79" s="218" t="s">
        <v>153</v>
      </c>
      <c r="BX79" s="219" t="s">
        <v>153</v>
      </c>
      <c r="BY79" s="220" t="s">
        <v>252</v>
      </c>
      <c r="BZ79" s="221" t="s">
        <v>153</v>
      </c>
      <c r="CA79" s="222" t="s">
        <v>190</v>
      </c>
      <c r="CB79" s="223">
        <v>44337</v>
      </c>
      <c r="CC79" s="224">
        <v>33600</v>
      </c>
      <c r="CD79" s="225" t="s">
        <v>186</v>
      </c>
      <c r="CE79" s="226">
        <v>33600</v>
      </c>
      <c r="CF79" s="227" t="s">
        <v>187</v>
      </c>
      <c r="CG79" s="228" t="s">
        <v>226</v>
      </c>
      <c r="CH79" s="229" t="s">
        <v>153</v>
      </c>
      <c r="CI79" s="230" t="s">
        <v>153</v>
      </c>
      <c r="CJ79" s="231" t="s">
        <v>225</v>
      </c>
      <c r="CK79" s="232">
        <v>44337</v>
      </c>
      <c r="CL79" s="233" t="s">
        <v>153</v>
      </c>
      <c r="CM79" s="234" t="s">
        <v>153</v>
      </c>
      <c r="CN79" s="235" t="s">
        <v>1278</v>
      </c>
      <c r="CO79" s="236">
        <v>-2.11</v>
      </c>
      <c r="CP79" s="237">
        <v>2</v>
      </c>
      <c r="CQ79" s="238">
        <v>-0.13</v>
      </c>
      <c r="CR79" s="239">
        <v>-6.74</v>
      </c>
      <c r="CS79" s="240">
        <v>-2.11</v>
      </c>
      <c r="CT79" s="241">
        <v>2</v>
      </c>
      <c r="CU79" s="242" t="s">
        <v>153</v>
      </c>
      <c r="CV79" s="243" t="s">
        <v>153</v>
      </c>
      <c r="CW79" s="244">
        <v>-4.67</v>
      </c>
      <c r="CX79" s="245">
        <v>6</v>
      </c>
      <c r="CY79" s="246">
        <v>0.45</v>
      </c>
      <c r="CZ79" s="247">
        <v>94</v>
      </c>
      <c r="DA79" s="248" t="s">
        <v>153</v>
      </c>
      <c r="DB79" s="249" t="s">
        <v>153</v>
      </c>
      <c r="DC79" s="250">
        <v>50.21</v>
      </c>
      <c r="DD79" s="251">
        <v>98</v>
      </c>
      <c r="DE79" s="252">
        <v>-0.19</v>
      </c>
      <c r="DF79" s="253">
        <v>-0.37</v>
      </c>
      <c r="DG79" s="254">
        <v>50.21</v>
      </c>
      <c r="DH79" s="255">
        <v>98</v>
      </c>
      <c r="DI79" s="256" t="s">
        <v>153</v>
      </c>
      <c r="DJ79" s="257" t="s">
        <v>153</v>
      </c>
      <c r="DK79" s="258">
        <v>11.23</v>
      </c>
      <c r="DL79" s="259">
        <v>87</v>
      </c>
      <c r="DM79" s="260">
        <v>89.19</v>
      </c>
      <c r="DN79" s="261">
        <v>99</v>
      </c>
      <c r="DO79" s="262" t="s">
        <v>153</v>
      </c>
      <c r="DP79" s="263" t="s">
        <v>153</v>
      </c>
      <c r="DQ79" s="264">
        <v>6800</v>
      </c>
      <c r="DR79" s="265">
        <v>-516</v>
      </c>
      <c r="DS79" s="266">
        <v>-7.05</v>
      </c>
      <c r="DT79" s="267">
        <v>1429</v>
      </c>
      <c r="DU79" s="268">
        <v>-3</v>
      </c>
      <c r="DV79" s="269">
        <v>-0.21</v>
      </c>
      <c r="DW79" s="270" t="s">
        <v>153</v>
      </c>
      <c r="DX79" s="271" t="s">
        <v>153</v>
      </c>
      <c r="DY79" s="272" t="s">
        <v>153</v>
      </c>
      <c r="DZ79" s="273" t="s">
        <v>191</v>
      </c>
      <c r="EA79" s="274">
        <v>44400</v>
      </c>
      <c r="EB79" s="275">
        <v>33600</v>
      </c>
      <c r="EC79" s="276">
        <v>44337</v>
      </c>
      <c r="ED79" s="277" t="s">
        <v>226</v>
      </c>
      <c r="EE79" s="279" t="str">
        <f>HYPERLINK("https://my.pitchbook.com?c=41114-44", "View company online")</f>
        <v>View company online</v>
      </c>
    </row>
    <row r="80" spans="1:135" x14ac:dyDescent="0.45">
      <c r="A80" s="10" t="s">
        <v>1897</v>
      </c>
      <c r="B80" s="11" t="s">
        <v>1898</v>
      </c>
      <c r="C80" s="12" t="s">
        <v>153</v>
      </c>
      <c r="D80" s="13" t="s">
        <v>153</v>
      </c>
      <c r="E80" s="14" t="s">
        <v>1899</v>
      </c>
      <c r="F80" s="15" t="s">
        <v>1900</v>
      </c>
      <c r="G80" s="16" t="s">
        <v>1901</v>
      </c>
      <c r="H80" s="17" t="s">
        <v>1902</v>
      </c>
      <c r="I80" s="18" t="s">
        <v>1897</v>
      </c>
      <c r="J80" s="19" t="s">
        <v>1903</v>
      </c>
      <c r="K80" s="20" t="s">
        <v>232</v>
      </c>
      <c r="L80" s="21" t="s">
        <v>233</v>
      </c>
      <c r="M80" s="22" t="s">
        <v>234</v>
      </c>
      <c r="N80" s="23" t="s">
        <v>235</v>
      </c>
      <c r="O80" s="24" t="s">
        <v>153</v>
      </c>
      <c r="P80" s="25" t="s">
        <v>1904</v>
      </c>
      <c r="Q80" s="26" t="s">
        <v>204</v>
      </c>
      <c r="R80" s="27" t="s">
        <v>153</v>
      </c>
      <c r="S80" s="28" t="s">
        <v>290</v>
      </c>
      <c r="T80" s="29" t="s">
        <v>164</v>
      </c>
      <c r="U80" s="30" t="s">
        <v>237</v>
      </c>
      <c r="V80" s="31" t="s">
        <v>1905</v>
      </c>
      <c r="W80" s="32">
        <v>22899</v>
      </c>
      <c r="X80" s="33" t="s">
        <v>1906</v>
      </c>
      <c r="Y80" s="34" t="s">
        <v>153</v>
      </c>
      <c r="Z80" s="35" t="s">
        <v>153</v>
      </c>
      <c r="AA80" s="36">
        <v>1980</v>
      </c>
      <c r="AB80" s="37" t="s">
        <v>1907</v>
      </c>
      <c r="AC80" s="38" t="s">
        <v>153</v>
      </c>
      <c r="AD80" s="39" t="s">
        <v>508</v>
      </c>
      <c r="AE80" s="40" t="s">
        <v>153</v>
      </c>
      <c r="AF80" s="41" t="s">
        <v>153</v>
      </c>
      <c r="AG80" s="42" t="s">
        <v>153</v>
      </c>
      <c r="AH80" s="43" t="s">
        <v>153</v>
      </c>
      <c r="AI80" s="44" t="s">
        <v>153</v>
      </c>
      <c r="AJ80" s="45" t="s">
        <v>153</v>
      </c>
      <c r="AK80" s="46" t="s">
        <v>153</v>
      </c>
      <c r="AL80" s="47" t="s">
        <v>153</v>
      </c>
      <c r="AM80" s="48" t="s">
        <v>153</v>
      </c>
      <c r="AN80" s="49" t="s">
        <v>1908</v>
      </c>
      <c r="AO80" s="50" t="s">
        <v>1909</v>
      </c>
      <c r="AP80" s="51" t="s">
        <v>1910</v>
      </c>
      <c r="AQ80" s="52" t="s">
        <v>1911</v>
      </c>
      <c r="AR80" s="53" t="s">
        <v>1912</v>
      </c>
      <c r="AS80" s="54" t="s">
        <v>153</v>
      </c>
      <c r="AT80" s="55" t="s">
        <v>404</v>
      </c>
      <c r="AU80" s="56" t="s">
        <v>1913</v>
      </c>
      <c r="AV80" s="57" t="s">
        <v>153</v>
      </c>
      <c r="AW80" s="58" t="s">
        <v>407</v>
      </c>
      <c r="AX80" s="59" t="s">
        <v>408</v>
      </c>
      <c r="AY80" s="60" t="s">
        <v>1914</v>
      </c>
      <c r="AZ80" s="61" t="s">
        <v>215</v>
      </c>
      <c r="BA80" s="62" t="s">
        <v>153</v>
      </c>
      <c r="BB80" s="63" t="s">
        <v>153</v>
      </c>
      <c r="BC80" s="64" t="s">
        <v>153</v>
      </c>
      <c r="BD80" s="65" t="s">
        <v>216</v>
      </c>
      <c r="BE80" s="66" t="s">
        <v>217</v>
      </c>
      <c r="BF80" s="67" t="s">
        <v>1915</v>
      </c>
      <c r="BG80" s="68" t="s">
        <v>153</v>
      </c>
      <c r="BH80" s="69" t="s">
        <v>153</v>
      </c>
      <c r="BI80" s="70" t="s">
        <v>1907</v>
      </c>
      <c r="BJ80" s="71" t="s">
        <v>153</v>
      </c>
      <c r="BK80" s="72" t="s">
        <v>153</v>
      </c>
      <c r="BL80" s="73" t="s">
        <v>153</v>
      </c>
      <c r="BM80" s="74" t="s">
        <v>153</v>
      </c>
      <c r="BN80" s="75" t="s">
        <v>153</v>
      </c>
      <c r="BO80" s="76" t="s">
        <v>1916</v>
      </c>
      <c r="BP80" s="77" t="s">
        <v>1917</v>
      </c>
      <c r="BQ80" s="78">
        <v>29297</v>
      </c>
      <c r="BR80" s="79" t="s">
        <v>153</v>
      </c>
      <c r="BS80" s="80" t="s">
        <v>153</v>
      </c>
      <c r="BT80" s="81" t="s">
        <v>153</v>
      </c>
      <c r="BU80" s="82" t="s">
        <v>153</v>
      </c>
      <c r="BV80" s="83" t="s">
        <v>251</v>
      </c>
      <c r="BW80" s="84" t="s">
        <v>153</v>
      </c>
      <c r="BX80" s="85" t="s">
        <v>153</v>
      </c>
      <c r="BY80" s="86" t="s">
        <v>252</v>
      </c>
      <c r="BZ80" s="87" t="s">
        <v>153</v>
      </c>
      <c r="CA80" s="88" t="s">
        <v>190</v>
      </c>
      <c r="CB80" s="89">
        <v>43805</v>
      </c>
      <c r="CC80" s="90">
        <v>33547</v>
      </c>
      <c r="CD80" s="91" t="s">
        <v>187</v>
      </c>
      <c r="CE80" s="92">
        <v>33547</v>
      </c>
      <c r="CF80" s="93" t="s">
        <v>187</v>
      </c>
      <c r="CG80" s="94" t="s">
        <v>226</v>
      </c>
      <c r="CH80" s="95" t="s">
        <v>153</v>
      </c>
      <c r="CI80" s="96" t="s">
        <v>153</v>
      </c>
      <c r="CJ80" s="97" t="s">
        <v>225</v>
      </c>
      <c r="CK80" s="98">
        <v>43805</v>
      </c>
      <c r="CL80" s="99" t="s">
        <v>153</v>
      </c>
      <c r="CM80" s="100" t="s">
        <v>153</v>
      </c>
      <c r="CN80" s="101" t="s">
        <v>190</v>
      </c>
      <c r="CO80" s="102">
        <v>0.11</v>
      </c>
      <c r="CP80" s="103">
        <v>89</v>
      </c>
      <c r="CQ80" s="104">
        <v>0.02</v>
      </c>
      <c r="CR80" s="105">
        <v>19.12</v>
      </c>
      <c r="CS80" s="106" t="s">
        <v>153</v>
      </c>
      <c r="CT80" s="107" t="s">
        <v>153</v>
      </c>
      <c r="CU80" s="108">
        <v>-0.01</v>
      </c>
      <c r="CV80" s="109">
        <v>40</v>
      </c>
      <c r="CW80" s="110" t="s">
        <v>153</v>
      </c>
      <c r="CX80" s="111" t="s">
        <v>153</v>
      </c>
      <c r="CY80" s="112" t="s">
        <v>153</v>
      </c>
      <c r="CZ80" s="113" t="s">
        <v>153</v>
      </c>
      <c r="DA80" s="114">
        <v>-0.01</v>
      </c>
      <c r="DB80" s="115">
        <v>40</v>
      </c>
      <c r="DC80" s="116">
        <v>397.31</v>
      </c>
      <c r="DD80" s="117">
        <v>100</v>
      </c>
      <c r="DE80" s="118">
        <v>0.88</v>
      </c>
      <c r="DF80" s="119">
        <v>0.22</v>
      </c>
      <c r="DG80" s="120" t="s">
        <v>153</v>
      </c>
      <c r="DH80" s="121" t="s">
        <v>153</v>
      </c>
      <c r="DI80" s="122">
        <v>76.56</v>
      </c>
      <c r="DJ80" s="123">
        <v>97</v>
      </c>
      <c r="DK80" s="124" t="s">
        <v>153</v>
      </c>
      <c r="DL80" s="125" t="s">
        <v>153</v>
      </c>
      <c r="DM80" s="126" t="s">
        <v>153</v>
      </c>
      <c r="DN80" s="127" t="s">
        <v>153</v>
      </c>
      <c r="DO80" s="128">
        <v>76.56</v>
      </c>
      <c r="DP80" s="129">
        <v>97</v>
      </c>
      <c r="DQ80" s="130" t="s">
        <v>153</v>
      </c>
      <c r="DR80" s="131" t="s">
        <v>153</v>
      </c>
      <c r="DS80" s="132" t="s">
        <v>153</v>
      </c>
      <c r="DT80" s="133" t="s">
        <v>153</v>
      </c>
      <c r="DU80" s="134" t="s">
        <v>153</v>
      </c>
      <c r="DV80" s="135" t="s">
        <v>153</v>
      </c>
      <c r="DW80" s="136">
        <v>24037</v>
      </c>
      <c r="DX80" s="137">
        <v>-1</v>
      </c>
      <c r="DY80" s="138">
        <v>0</v>
      </c>
      <c r="DZ80" s="139" t="s">
        <v>191</v>
      </c>
      <c r="EA80" s="140">
        <v>44385</v>
      </c>
      <c r="EB80" s="141">
        <v>33547</v>
      </c>
      <c r="EC80" s="142">
        <v>43805</v>
      </c>
      <c r="ED80" s="143" t="s">
        <v>226</v>
      </c>
      <c r="EE80" s="278" t="str">
        <f>HYPERLINK("https://my.pitchbook.com?c=10173-07", "View company online")</f>
        <v>View company online</v>
      </c>
    </row>
    <row r="81" spans="1:135" x14ac:dyDescent="0.45">
      <c r="A81" s="144" t="s">
        <v>1918</v>
      </c>
      <c r="B81" s="145" t="s">
        <v>1919</v>
      </c>
      <c r="C81" s="146" t="s">
        <v>153</v>
      </c>
      <c r="D81" s="147" t="s">
        <v>153</v>
      </c>
      <c r="E81" s="148" t="s">
        <v>1920</v>
      </c>
      <c r="F81" s="149" t="s">
        <v>153</v>
      </c>
      <c r="G81" s="150" t="s">
        <v>1921</v>
      </c>
      <c r="H81" s="151" t="s">
        <v>1922</v>
      </c>
      <c r="I81" s="152" t="s">
        <v>1918</v>
      </c>
      <c r="J81" s="153" t="s">
        <v>1923</v>
      </c>
      <c r="K81" s="154" t="s">
        <v>882</v>
      </c>
      <c r="L81" s="155" t="s">
        <v>883</v>
      </c>
      <c r="M81" s="156" t="s">
        <v>1615</v>
      </c>
      <c r="N81" s="157" t="s">
        <v>1924</v>
      </c>
      <c r="O81" s="158" t="s">
        <v>1925</v>
      </c>
      <c r="P81" s="159" t="s">
        <v>1926</v>
      </c>
      <c r="Q81" s="160" t="s">
        <v>204</v>
      </c>
      <c r="R81" s="161" t="s">
        <v>153</v>
      </c>
      <c r="S81" s="162" t="s">
        <v>290</v>
      </c>
      <c r="T81" s="163" t="s">
        <v>205</v>
      </c>
      <c r="U81" s="164" t="s">
        <v>237</v>
      </c>
      <c r="V81" s="165" t="s">
        <v>1927</v>
      </c>
      <c r="W81" s="166">
        <v>70000</v>
      </c>
      <c r="X81" s="167" t="s">
        <v>1928</v>
      </c>
      <c r="Y81" s="168" t="s">
        <v>153</v>
      </c>
      <c r="Z81" s="169" t="s">
        <v>153</v>
      </c>
      <c r="AA81" s="170">
        <v>1922</v>
      </c>
      <c r="AB81" s="171" t="s">
        <v>153</v>
      </c>
      <c r="AC81" s="172" t="s">
        <v>508</v>
      </c>
      <c r="AD81" s="173" t="s">
        <v>1929</v>
      </c>
      <c r="AE81" s="174" t="s">
        <v>153</v>
      </c>
      <c r="AF81" s="175" t="s">
        <v>153</v>
      </c>
      <c r="AG81" s="176" t="s">
        <v>153</v>
      </c>
      <c r="AH81" s="177" t="s">
        <v>153</v>
      </c>
      <c r="AI81" s="178" t="s">
        <v>153</v>
      </c>
      <c r="AJ81" s="179" t="s">
        <v>153</v>
      </c>
      <c r="AK81" s="180" t="s">
        <v>153</v>
      </c>
      <c r="AL81" s="181" t="s">
        <v>153</v>
      </c>
      <c r="AM81" s="182" t="s">
        <v>153</v>
      </c>
      <c r="AN81" s="183" t="s">
        <v>456</v>
      </c>
      <c r="AO81" s="184" t="s">
        <v>1930</v>
      </c>
      <c r="AP81" s="185" t="s">
        <v>1931</v>
      </c>
      <c r="AQ81" s="186" t="s">
        <v>512</v>
      </c>
      <c r="AR81" s="187" t="s">
        <v>1932</v>
      </c>
      <c r="AS81" s="188" t="s">
        <v>153</v>
      </c>
      <c r="AT81" s="189" t="s">
        <v>382</v>
      </c>
      <c r="AU81" s="190" t="s">
        <v>383</v>
      </c>
      <c r="AV81" s="191" t="s">
        <v>153</v>
      </c>
      <c r="AW81" s="192" t="s">
        <v>384</v>
      </c>
      <c r="AX81" s="193" t="s">
        <v>385</v>
      </c>
      <c r="AY81" s="194" t="s">
        <v>386</v>
      </c>
      <c r="AZ81" s="195" t="s">
        <v>215</v>
      </c>
      <c r="BA81" s="196" t="s">
        <v>381</v>
      </c>
      <c r="BB81" s="197" t="s">
        <v>153</v>
      </c>
      <c r="BC81" s="198" t="s">
        <v>153</v>
      </c>
      <c r="BD81" s="199" t="s">
        <v>216</v>
      </c>
      <c r="BE81" s="200" t="s">
        <v>217</v>
      </c>
      <c r="BF81" s="201" t="s">
        <v>1933</v>
      </c>
      <c r="BG81" s="202" t="s">
        <v>153</v>
      </c>
      <c r="BH81" s="203" t="s">
        <v>153</v>
      </c>
      <c r="BI81" s="204" t="s">
        <v>1934</v>
      </c>
      <c r="BJ81" s="205" t="s">
        <v>153</v>
      </c>
      <c r="BK81" s="206" t="s">
        <v>153</v>
      </c>
      <c r="BL81" s="207" t="s">
        <v>153</v>
      </c>
      <c r="BM81" s="208" t="s">
        <v>153</v>
      </c>
      <c r="BN81" s="209" t="s">
        <v>153</v>
      </c>
      <c r="BO81" s="210" t="s">
        <v>1935</v>
      </c>
      <c r="BP81" s="211" t="s">
        <v>1936</v>
      </c>
      <c r="BQ81" s="212">
        <v>19252</v>
      </c>
      <c r="BR81" s="213" t="s">
        <v>153</v>
      </c>
      <c r="BS81" s="214" t="s">
        <v>153</v>
      </c>
      <c r="BT81" s="215" t="s">
        <v>153</v>
      </c>
      <c r="BU81" s="216" t="s">
        <v>153</v>
      </c>
      <c r="BV81" s="217" t="s">
        <v>251</v>
      </c>
      <c r="BW81" s="218" t="s">
        <v>153</v>
      </c>
      <c r="BX81" s="219" t="s">
        <v>153</v>
      </c>
      <c r="BY81" s="220" t="s">
        <v>252</v>
      </c>
      <c r="BZ81" s="221" t="s">
        <v>153</v>
      </c>
      <c r="CA81" s="222" t="s">
        <v>190</v>
      </c>
      <c r="CB81" s="223">
        <v>43924</v>
      </c>
      <c r="CC81" s="224">
        <v>33166</v>
      </c>
      <c r="CD81" s="225" t="s">
        <v>186</v>
      </c>
      <c r="CE81" s="226">
        <v>33166</v>
      </c>
      <c r="CF81" s="227" t="s">
        <v>187</v>
      </c>
      <c r="CG81" s="228" t="s">
        <v>226</v>
      </c>
      <c r="CH81" s="229" t="s">
        <v>153</v>
      </c>
      <c r="CI81" s="230" t="s">
        <v>153</v>
      </c>
      <c r="CJ81" s="231" t="s">
        <v>225</v>
      </c>
      <c r="CK81" s="232">
        <v>43924</v>
      </c>
      <c r="CL81" s="233" t="s">
        <v>153</v>
      </c>
      <c r="CM81" s="234" t="s">
        <v>153</v>
      </c>
      <c r="CN81" s="235" t="s">
        <v>190</v>
      </c>
      <c r="CO81" s="236" t="s">
        <v>153</v>
      </c>
      <c r="CP81" s="237" t="s">
        <v>153</v>
      </c>
      <c r="CQ81" s="238" t="s">
        <v>153</v>
      </c>
      <c r="CR81" s="239" t="s">
        <v>153</v>
      </c>
      <c r="CS81" s="240" t="s">
        <v>153</v>
      </c>
      <c r="CT81" s="241" t="s">
        <v>153</v>
      </c>
      <c r="CU81" s="242" t="s">
        <v>153</v>
      </c>
      <c r="CV81" s="243" t="s">
        <v>153</v>
      </c>
      <c r="CW81" s="244" t="s">
        <v>153</v>
      </c>
      <c r="CX81" s="245" t="s">
        <v>153</v>
      </c>
      <c r="CY81" s="246" t="s">
        <v>153</v>
      </c>
      <c r="CZ81" s="247" t="s">
        <v>153</v>
      </c>
      <c r="DA81" s="248" t="s">
        <v>153</v>
      </c>
      <c r="DB81" s="249" t="s">
        <v>153</v>
      </c>
      <c r="DC81" s="250" t="s">
        <v>153</v>
      </c>
      <c r="DD81" s="251" t="s">
        <v>153</v>
      </c>
      <c r="DE81" s="252" t="s">
        <v>153</v>
      </c>
      <c r="DF81" s="253" t="s">
        <v>153</v>
      </c>
      <c r="DG81" s="254" t="s">
        <v>153</v>
      </c>
      <c r="DH81" s="255" t="s">
        <v>153</v>
      </c>
      <c r="DI81" s="256" t="s">
        <v>153</v>
      </c>
      <c r="DJ81" s="257" t="s">
        <v>153</v>
      </c>
      <c r="DK81" s="258" t="s">
        <v>153</v>
      </c>
      <c r="DL81" s="259" t="s">
        <v>153</v>
      </c>
      <c r="DM81" s="260" t="s">
        <v>153</v>
      </c>
      <c r="DN81" s="261" t="s">
        <v>153</v>
      </c>
      <c r="DO81" s="262" t="s">
        <v>153</v>
      </c>
      <c r="DP81" s="263" t="s">
        <v>153</v>
      </c>
      <c r="DQ81" s="264" t="s">
        <v>153</v>
      </c>
      <c r="DR81" s="265" t="s">
        <v>153</v>
      </c>
      <c r="DS81" s="266" t="s">
        <v>153</v>
      </c>
      <c r="DT81" s="267" t="s">
        <v>153</v>
      </c>
      <c r="DU81" s="268" t="s">
        <v>153</v>
      </c>
      <c r="DV81" s="269" t="s">
        <v>153</v>
      </c>
      <c r="DW81" s="270" t="s">
        <v>153</v>
      </c>
      <c r="DX81" s="271" t="s">
        <v>153</v>
      </c>
      <c r="DY81" s="272" t="s">
        <v>153</v>
      </c>
      <c r="DZ81" s="273" t="s">
        <v>191</v>
      </c>
      <c r="EA81" s="274">
        <v>44390</v>
      </c>
      <c r="EB81" s="275">
        <v>33166</v>
      </c>
      <c r="EC81" s="276">
        <v>43924</v>
      </c>
      <c r="ED81" s="277" t="s">
        <v>226</v>
      </c>
      <c r="EE81" s="279" t="str">
        <f>HYPERLINK("https://my.pitchbook.com?c=10493-83", "View company online")</f>
        <v>View company online</v>
      </c>
    </row>
    <row r="82" spans="1:135" x14ac:dyDescent="0.45">
      <c r="A82" s="10" t="s">
        <v>1937</v>
      </c>
      <c r="B82" s="11" t="s">
        <v>1938</v>
      </c>
      <c r="C82" s="12" t="s">
        <v>153</v>
      </c>
      <c r="D82" s="13" t="s">
        <v>153</v>
      </c>
      <c r="E82" s="14" t="s">
        <v>153</v>
      </c>
      <c r="F82" s="15" t="s">
        <v>153</v>
      </c>
      <c r="G82" s="16" t="s">
        <v>1939</v>
      </c>
      <c r="H82" s="17" t="s">
        <v>1940</v>
      </c>
      <c r="I82" s="18" t="s">
        <v>1937</v>
      </c>
      <c r="J82" s="19" t="s">
        <v>1941</v>
      </c>
      <c r="K82" s="20" t="s">
        <v>257</v>
      </c>
      <c r="L82" s="21" t="s">
        <v>258</v>
      </c>
      <c r="M82" s="22" t="s">
        <v>448</v>
      </c>
      <c r="N82" s="23" t="s">
        <v>1942</v>
      </c>
      <c r="O82" s="24" t="s">
        <v>755</v>
      </c>
      <c r="P82" s="25" t="s">
        <v>1943</v>
      </c>
      <c r="Q82" s="26" t="s">
        <v>564</v>
      </c>
      <c r="R82" s="27">
        <v>112.6</v>
      </c>
      <c r="S82" s="28" t="s">
        <v>290</v>
      </c>
      <c r="T82" s="29" t="s">
        <v>205</v>
      </c>
      <c r="U82" s="30" t="s">
        <v>565</v>
      </c>
      <c r="V82" s="31" t="s">
        <v>1944</v>
      </c>
      <c r="W82" s="32">
        <v>17000</v>
      </c>
      <c r="X82" s="33" t="s">
        <v>1945</v>
      </c>
      <c r="Y82" s="34" t="s">
        <v>153</v>
      </c>
      <c r="Z82" s="35" t="s">
        <v>153</v>
      </c>
      <c r="AA82" s="36">
        <v>2015</v>
      </c>
      <c r="AB82" s="37" t="s">
        <v>153</v>
      </c>
      <c r="AC82" s="38" t="s">
        <v>153</v>
      </c>
      <c r="AD82" s="39" t="s">
        <v>153</v>
      </c>
      <c r="AE82" s="40" t="s">
        <v>153</v>
      </c>
      <c r="AF82" s="41" t="s">
        <v>153</v>
      </c>
      <c r="AG82" s="42" t="s">
        <v>153</v>
      </c>
      <c r="AH82" s="43" t="s">
        <v>153</v>
      </c>
      <c r="AI82" s="44" t="s">
        <v>153</v>
      </c>
      <c r="AJ82" s="45" t="s">
        <v>153</v>
      </c>
      <c r="AK82" s="46" t="s">
        <v>153</v>
      </c>
      <c r="AL82" s="47" t="s">
        <v>153</v>
      </c>
      <c r="AM82" s="48" t="s">
        <v>153</v>
      </c>
      <c r="AN82" s="49" t="s">
        <v>429</v>
      </c>
      <c r="AO82" s="50" t="s">
        <v>1946</v>
      </c>
      <c r="AP82" s="51" t="s">
        <v>1947</v>
      </c>
      <c r="AQ82" s="52" t="s">
        <v>1948</v>
      </c>
      <c r="AR82" s="53" t="s">
        <v>1949</v>
      </c>
      <c r="AS82" s="54" t="s">
        <v>1950</v>
      </c>
      <c r="AT82" s="55" t="s">
        <v>1951</v>
      </c>
      <c r="AU82" s="56" t="s">
        <v>1952</v>
      </c>
      <c r="AV82" s="57" t="s">
        <v>153</v>
      </c>
      <c r="AW82" s="58" t="s">
        <v>1953</v>
      </c>
      <c r="AX82" s="59" t="s">
        <v>783</v>
      </c>
      <c r="AY82" s="60" t="s">
        <v>1954</v>
      </c>
      <c r="AZ82" s="61" t="s">
        <v>215</v>
      </c>
      <c r="BA82" s="62" t="s">
        <v>1955</v>
      </c>
      <c r="BB82" s="63" t="s">
        <v>153</v>
      </c>
      <c r="BC82" s="64" t="s">
        <v>1956</v>
      </c>
      <c r="BD82" s="65" t="s">
        <v>216</v>
      </c>
      <c r="BE82" s="66" t="s">
        <v>217</v>
      </c>
      <c r="BF82" s="67" t="s">
        <v>1957</v>
      </c>
      <c r="BG82" s="68" t="s">
        <v>153</v>
      </c>
      <c r="BH82" s="69" t="s">
        <v>153</v>
      </c>
      <c r="BI82" s="70" t="s">
        <v>750</v>
      </c>
      <c r="BJ82" s="71" t="s">
        <v>1958</v>
      </c>
      <c r="BK82" s="72" t="s">
        <v>153</v>
      </c>
      <c r="BL82" s="73" t="s">
        <v>153</v>
      </c>
      <c r="BM82" s="74" t="s">
        <v>1959</v>
      </c>
      <c r="BN82" s="75" t="s">
        <v>153</v>
      </c>
      <c r="BO82" s="76" t="s">
        <v>1960</v>
      </c>
      <c r="BP82" s="77" t="s">
        <v>1961</v>
      </c>
      <c r="BQ82" s="78">
        <v>42170</v>
      </c>
      <c r="BR82" s="79">
        <v>112.6</v>
      </c>
      <c r="BS82" s="80" t="s">
        <v>186</v>
      </c>
      <c r="BT82" s="81">
        <v>21778.080000000002</v>
      </c>
      <c r="BU82" s="82" t="s">
        <v>186</v>
      </c>
      <c r="BV82" s="83" t="s">
        <v>251</v>
      </c>
      <c r="BW82" s="84" t="s">
        <v>524</v>
      </c>
      <c r="BX82" s="85" t="s">
        <v>153</v>
      </c>
      <c r="BY82" s="86" t="s">
        <v>252</v>
      </c>
      <c r="BZ82" s="87" t="s">
        <v>153</v>
      </c>
      <c r="CA82" s="88" t="s">
        <v>190</v>
      </c>
      <c r="CB82" s="89">
        <v>42524</v>
      </c>
      <c r="CC82" s="90">
        <v>32000</v>
      </c>
      <c r="CD82" s="91" t="s">
        <v>186</v>
      </c>
      <c r="CE82" s="92">
        <v>32000</v>
      </c>
      <c r="CF82" s="93" t="s">
        <v>187</v>
      </c>
      <c r="CG82" s="94" t="s">
        <v>226</v>
      </c>
      <c r="CH82" s="95" t="s">
        <v>153</v>
      </c>
      <c r="CI82" s="96" t="s">
        <v>153</v>
      </c>
      <c r="CJ82" s="97" t="s">
        <v>225</v>
      </c>
      <c r="CK82" s="98">
        <v>42524</v>
      </c>
      <c r="CL82" s="99" t="s">
        <v>153</v>
      </c>
      <c r="CM82" s="100" t="s">
        <v>153</v>
      </c>
      <c r="CN82" s="101" t="s">
        <v>190</v>
      </c>
      <c r="CO82" s="102" t="s">
        <v>153</v>
      </c>
      <c r="CP82" s="103" t="s">
        <v>153</v>
      </c>
      <c r="CQ82" s="104" t="s">
        <v>153</v>
      </c>
      <c r="CR82" s="105" t="s">
        <v>153</v>
      </c>
      <c r="CS82" s="106" t="s">
        <v>153</v>
      </c>
      <c r="CT82" s="107" t="s">
        <v>153</v>
      </c>
      <c r="CU82" s="108" t="s">
        <v>153</v>
      </c>
      <c r="CV82" s="109" t="s">
        <v>153</v>
      </c>
      <c r="CW82" s="110" t="s">
        <v>153</v>
      </c>
      <c r="CX82" s="111" t="s">
        <v>153</v>
      </c>
      <c r="CY82" s="112" t="s">
        <v>153</v>
      </c>
      <c r="CZ82" s="113" t="s">
        <v>153</v>
      </c>
      <c r="DA82" s="114" t="s">
        <v>153</v>
      </c>
      <c r="DB82" s="115" t="s">
        <v>153</v>
      </c>
      <c r="DC82" s="116" t="s">
        <v>153</v>
      </c>
      <c r="DD82" s="117" t="s">
        <v>153</v>
      </c>
      <c r="DE82" s="118" t="s">
        <v>153</v>
      </c>
      <c r="DF82" s="119" t="s">
        <v>153</v>
      </c>
      <c r="DG82" s="120" t="s">
        <v>153</v>
      </c>
      <c r="DH82" s="121" t="s">
        <v>153</v>
      </c>
      <c r="DI82" s="122" t="s">
        <v>153</v>
      </c>
      <c r="DJ82" s="123" t="s">
        <v>153</v>
      </c>
      <c r="DK82" s="124" t="s">
        <v>153</v>
      </c>
      <c r="DL82" s="125" t="s">
        <v>153</v>
      </c>
      <c r="DM82" s="126" t="s">
        <v>153</v>
      </c>
      <c r="DN82" s="127" t="s">
        <v>153</v>
      </c>
      <c r="DO82" s="128" t="s">
        <v>153</v>
      </c>
      <c r="DP82" s="129" t="s">
        <v>153</v>
      </c>
      <c r="DQ82" s="130" t="s">
        <v>153</v>
      </c>
      <c r="DR82" s="131" t="s">
        <v>153</v>
      </c>
      <c r="DS82" s="132" t="s">
        <v>153</v>
      </c>
      <c r="DT82" s="133" t="s">
        <v>153</v>
      </c>
      <c r="DU82" s="134" t="s">
        <v>153</v>
      </c>
      <c r="DV82" s="135" t="s">
        <v>153</v>
      </c>
      <c r="DW82" s="136" t="s">
        <v>153</v>
      </c>
      <c r="DX82" s="137" t="s">
        <v>153</v>
      </c>
      <c r="DY82" s="138" t="s">
        <v>153</v>
      </c>
      <c r="DZ82" s="139" t="s">
        <v>191</v>
      </c>
      <c r="EA82" s="140">
        <v>44356</v>
      </c>
      <c r="EB82" s="141">
        <v>32000</v>
      </c>
      <c r="EC82" s="142">
        <v>42524</v>
      </c>
      <c r="ED82" s="143" t="s">
        <v>226</v>
      </c>
      <c r="EE82" s="278" t="str">
        <f>HYPERLINK("https://my.pitchbook.com?c=63353-53", "View company online")</f>
        <v>View company online</v>
      </c>
    </row>
    <row r="83" spans="1:135" x14ac:dyDescent="0.45">
      <c r="A83" s="144" t="s">
        <v>1962</v>
      </c>
      <c r="B83" s="145" t="s">
        <v>1963</v>
      </c>
      <c r="C83" s="146" t="s">
        <v>153</v>
      </c>
      <c r="D83" s="147" t="s">
        <v>153</v>
      </c>
      <c r="E83" s="148" t="s">
        <v>153</v>
      </c>
      <c r="F83" s="149" t="s">
        <v>153</v>
      </c>
      <c r="G83" s="150" t="s">
        <v>153</v>
      </c>
      <c r="H83" s="151" t="s">
        <v>153</v>
      </c>
      <c r="I83" s="152" t="s">
        <v>1962</v>
      </c>
      <c r="J83" s="153" t="s">
        <v>1964</v>
      </c>
      <c r="K83" s="154" t="s">
        <v>232</v>
      </c>
      <c r="L83" s="155" t="s">
        <v>362</v>
      </c>
      <c r="M83" s="156" t="s">
        <v>1059</v>
      </c>
      <c r="N83" s="157" t="s">
        <v>1965</v>
      </c>
      <c r="O83" s="158" t="s">
        <v>153</v>
      </c>
      <c r="P83" s="159" t="s">
        <v>1966</v>
      </c>
      <c r="Q83" s="160" t="s">
        <v>204</v>
      </c>
      <c r="R83" s="161" t="s">
        <v>153</v>
      </c>
      <c r="S83" s="162" t="s">
        <v>163</v>
      </c>
      <c r="T83" s="163" t="s">
        <v>205</v>
      </c>
      <c r="U83" s="164" t="s">
        <v>206</v>
      </c>
      <c r="V83" s="165" t="s">
        <v>153</v>
      </c>
      <c r="W83" s="166">
        <v>3000</v>
      </c>
      <c r="X83" s="167" t="s">
        <v>1967</v>
      </c>
      <c r="Y83" s="168" t="s">
        <v>153</v>
      </c>
      <c r="Z83" s="169" t="s">
        <v>153</v>
      </c>
      <c r="AA83" s="170" t="s">
        <v>153</v>
      </c>
      <c r="AB83" s="171" t="s">
        <v>153</v>
      </c>
      <c r="AC83" s="172" t="s">
        <v>153</v>
      </c>
      <c r="AD83" s="173" t="s">
        <v>153</v>
      </c>
      <c r="AE83" s="174" t="s">
        <v>153</v>
      </c>
      <c r="AF83" s="175" t="s">
        <v>153</v>
      </c>
      <c r="AG83" s="176" t="s">
        <v>153</v>
      </c>
      <c r="AH83" s="177" t="s">
        <v>153</v>
      </c>
      <c r="AI83" s="178" t="s">
        <v>153</v>
      </c>
      <c r="AJ83" s="179" t="s">
        <v>153</v>
      </c>
      <c r="AK83" s="180" t="s">
        <v>153</v>
      </c>
      <c r="AL83" s="181" t="s">
        <v>153</v>
      </c>
      <c r="AM83" s="182" t="s">
        <v>153</v>
      </c>
      <c r="AN83" s="183" t="s">
        <v>153</v>
      </c>
      <c r="AO83" s="184" t="s">
        <v>153</v>
      </c>
      <c r="AP83" s="185" t="s">
        <v>153</v>
      </c>
      <c r="AQ83" s="186" t="s">
        <v>153</v>
      </c>
      <c r="AR83" s="187" t="s">
        <v>153</v>
      </c>
      <c r="AS83" s="188" t="s">
        <v>153</v>
      </c>
      <c r="AT83" s="189" t="s">
        <v>1968</v>
      </c>
      <c r="AU83" s="190" t="s">
        <v>153</v>
      </c>
      <c r="AV83" s="191" t="s">
        <v>153</v>
      </c>
      <c r="AW83" s="192" t="s">
        <v>153</v>
      </c>
      <c r="AX83" s="193" t="s">
        <v>213</v>
      </c>
      <c r="AY83" s="194" t="s">
        <v>153</v>
      </c>
      <c r="AZ83" s="195" t="s">
        <v>215</v>
      </c>
      <c r="BA83" s="196" t="s">
        <v>153</v>
      </c>
      <c r="BB83" s="197" t="s">
        <v>153</v>
      </c>
      <c r="BC83" s="198" t="s">
        <v>153</v>
      </c>
      <c r="BD83" s="199" t="s">
        <v>216</v>
      </c>
      <c r="BE83" s="200" t="s">
        <v>217</v>
      </c>
      <c r="BF83" s="201" t="s">
        <v>1969</v>
      </c>
      <c r="BG83" s="202" t="s">
        <v>153</v>
      </c>
      <c r="BH83" s="203" t="s">
        <v>153</v>
      </c>
      <c r="BI83" s="204" t="s">
        <v>1970</v>
      </c>
      <c r="BJ83" s="205" t="s">
        <v>1971</v>
      </c>
      <c r="BK83" s="206" t="s">
        <v>153</v>
      </c>
      <c r="BL83" s="207" t="s">
        <v>153</v>
      </c>
      <c r="BM83" s="208" t="s">
        <v>1972</v>
      </c>
      <c r="BN83" s="209" t="s">
        <v>153</v>
      </c>
      <c r="BO83" s="210" t="s">
        <v>153</v>
      </c>
      <c r="BP83" s="211" t="s">
        <v>153</v>
      </c>
      <c r="BQ83" s="212">
        <v>42430</v>
      </c>
      <c r="BR83" s="213">
        <v>32000</v>
      </c>
      <c r="BS83" s="214" t="s">
        <v>186</v>
      </c>
      <c r="BT83" s="215">
        <v>32000</v>
      </c>
      <c r="BU83" s="216" t="s">
        <v>186</v>
      </c>
      <c r="BV83" s="217" t="s">
        <v>226</v>
      </c>
      <c r="BW83" s="218" t="s">
        <v>729</v>
      </c>
      <c r="BX83" s="219" t="s">
        <v>153</v>
      </c>
      <c r="BY83" s="220" t="s">
        <v>225</v>
      </c>
      <c r="BZ83" s="221" t="s">
        <v>153</v>
      </c>
      <c r="CA83" s="222" t="s">
        <v>190</v>
      </c>
      <c r="CB83" s="223">
        <v>42430</v>
      </c>
      <c r="CC83" s="224">
        <v>32000</v>
      </c>
      <c r="CD83" s="225" t="s">
        <v>186</v>
      </c>
      <c r="CE83" s="226">
        <v>32000</v>
      </c>
      <c r="CF83" s="227" t="s">
        <v>186</v>
      </c>
      <c r="CG83" s="228" t="s">
        <v>226</v>
      </c>
      <c r="CH83" s="229" t="s">
        <v>729</v>
      </c>
      <c r="CI83" s="230" t="s">
        <v>153</v>
      </c>
      <c r="CJ83" s="231" t="s">
        <v>225</v>
      </c>
      <c r="CK83" s="232">
        <v>42430</v>
      </c>
      <c r="CL83" s="233" t="s">
        <v>153</v>
      </c>
      <c r="CM83" s="234" t="s">
        <v>153</v>
      </c>
      <c r="CN83" s="235" t="s">
        <v>190</v>
      </c>
      <c r="CO83" s="236" t="s">
        <v>153</v>
      </c>
      <c r="CP83" s="237" t="s">
        <v>153</v>
      </c>
      <c r="CQ83" s="238" t="s">
        <v>153</v>
      </c>
      <c r="CR83" s="239" t="s">
        <v>153</v>
      </c>
      <c r="CS83" s="240" t="s">
        <v>153</v>
      </c>
      <c r="CT83" s="241" t="s">
        <v>153</v>
      </c>
      <c r="CU83" s="242" t="s">
        <v>153</v>
      </c>
      <c r="CV83" s="243" t="s">
        <v>153</v>
      </c>
      <c r="CW83" s="244" t="s">
        <v>153</v>
      </c>
      <c r="CX83" s="245" t="s">
        <v>153</v>
      </c>
      <c r="CY83" s="246" t="s">
        <v>153</v>
      </c>
      <c r="CZ83" s="247" t="s">
        <v>153</v>
      </c>
      <c r="DA83" s="248" t="s">
        <v>153</v>
      </c>
      <c r="DB83" s="249" t="s">
        <v>153</v>
      </c>
      <c r="DC83" s="250" t="s">
        <v>153</v>
      </c>
      <c r="DD83" s="251" t="s">
        <v>153</v>
      </c>
      <c r="DE83" s="252" t="s">
        <v>153</v>
      </c>
      <c r="DF83" s="253" t="s">
        <v>153</v>
      </c>
      <c r="DG83" s="254" t="s">
        <v>153</v>
      </c>
      <c r="DH83" s="255" t="s">
        <v>153</v>
      </c>
      <c r="DI83" s="256" t="s">
        <v>153</v>
      </c>
      <c r="DJ83" s="257" t="s">
        <v>153</v>
      </c>
      <c r="DK83" s="258" t="s">
        <v>153</v>
      </c>
      <c r="DL83" s="259" t="s">
        <v>153</v>
      </c>
      <c r="DM83" s="260" t="s">
        <v>153</v>
      </c>
      <c r="DN83" s="261" t="s">
        <v>153</v>
      </c>
      <c r="DO83" s="262" t="s">
        <v>153</v>
      </c>
      <c r="DP83" s="263" t="s">
        <v>153</v>
      </c>
      <c r="DQ83" s="264" t="s">
        <v>153</v>
      </c>
      <c r="DR83" s="265" t="s">
        <v>153</v>
      </c>
      <c r="DS83" s="266" t="s">
        <v>153</v>
      </c>
      <c r="DT83" s="267" t="s">
        <v>153</v>
      </c>
      <c r="DU83" s="268" t="s">
        <v>153</v>
      </c>
      <c r="DV83" s="269" t="s">
        <v>153</v>
      </c>
      <c r="DW83" s="270" t="s">
        <v>153</v>
      </c>
      <c r="DX83" s="271" t="s">
        <v>153</v>
      </c>
      <c r="DY83" s="272" t="s">
        <v>153</v>
      </c>
      <c r="DZ83" s="273" t="s">
        <v>191</v>
      </c>
      <c r="EA83" s="274">
        <v>44147</v>
      </c>
      <c r="EB83" s="275">
        <v>32000</v>
      </c>
      <c r="EC83" s="276">
        <v>42430</v>
      </c>
      <c r="ED83" s="277" t="s">
        <v>226</v>
      </c>
      <c r="EE83" s="279" t="str">
        <f>HYPERLINK("https://my.pitchbook.com?c=125686-00", "View company online")</f>
        <v>View company online</v>
      </c>
    </row>
    <row r="84" spans="1:135" x14ac:dyDescent="0.45">
      <c r="A84" s="10" t="s">
        <v>1973</v>
      </c>
      <c r="B84" s="11" t="s">
        <v>1974</v>
      </c>
      <c r="C84" s="12" t="s">
        <v>153</v>
      </c>
      <c r="D84" s="13" t="s">
        <v>153</v>
      </c>
      <c r="E84" s="14" t="s">
        <v>153</v>
      </c>
      <c r="F84" s="15" t="s">
        <v>1975</v>
      </c>
      <c r="G84" s="16" t="s">
        <v>1976</v>
      </c>
      <c r="H84" s="17" t="s">
        <v>153</v>
      </c>
      <c r="I84" s="18" t="s">
        <v>1973</v>
      </c>
      <c r="J84" s="19" t="s">
        <v>1977</v>
      </c>
      <c r="K84" s="20" t="s">
        <v>232</v>
      </c>
      <c r="L84" s="21" t="s">
        <v>362</v>
      </c>
      <c r="M84" s="22" t="s">
        <v>1978</v>
      </c>
      <c r="N84" s="23" t="s">
        <v>1979</v>
      </c>
      <c r="O84" s="24" t="s">
        <v>153</v>
      </c>
      <c r="P84" s="25" t="s">
        <v>1980</v>
      </c>
      <c r="Q84" s="26" t="s">
        <v>204</v>
      </c>
      <c r="R84" s="27" t="s">
        <v>153</v>
      </c>
      <c r="S84" s="28" t="s">
        <v>163</v>
      </c>
      <c r="T84" s="29" t="s">
        <v>205</v>
      </c>
      <c r="U84" s="30" t="s">
        <v>237</v>
      </c>
      <c r="V84" s="31" t="s">
        <v>1981</v>
      </c>
      <c r="W84" s="32">
        <v>32486</v>
      </c>
      <c r="X84" s="33" t="s">
        <v>1982</v>
      </c>
      <c r="Y84" s="34" t="s">
        <v>153</v>
      </c>
      <c r="Z84" s="35" t="s">
        <v>153</v>
      </c>
      <c r="AA84" s="36">
        <v>1918</v>
      </c>
      <c r="AB84" s="37" t="s">
        <v>153</v>
      </c>
      <c r="AC84" s="38" t="s">
        <v>153</v>
      </c>
      <c r="AD84" s="39" t="s">
        <v>153</v>
      </c>
      <c r="AE84" s="40" t="s">
        <v>153</v>
      </c>
      <c r="AF84" s="41" t="s">
        <v>153</v>
      </c>
      <c r="AG84" s="42" t="s">
        <v>153</v>
      </c>
      <c r="AH84" s="43" t="s">
        <v>153</v>
      </c>
      <c r="AI84" s="44" t="s">
        <v>153</v>
      </c>
      <c r="AJ84" s="45" t="s">
        <v>153</v>
      </c>
      <c r="AK84" s="46" t="s">
        <v>153</v>
      </c>
      <c r="AL84" s="47" t="s">
        <v>153</v>
      </c>
      <c r="AM84" s="48" t="s">
        <v>153</v>
      </c>
      <c r="AN84" s="49" t="s">
        <v>1983</v>
      </c>
      <c r="AO84" s="50" t="s">
        <v>153</v>
      </c>
      <c r="AP84" s="51" t="s">
        <v>153</v>
      </c>
      <c r="AQ84" s="52" t="s">
        <v>153</v>
      </c>
      <c r="AR84" s="53" t="s">
        <v>153</v>
      </c>
      <c r="AS84" s="54" t="s">
        <v>153</v>
      </c>
      <c r="AT84" s="55" t="s">
        <v>1984</v>
      </c>
      <c r="AU84" s="56" t="s">
        <v>1985</v>
      </c>
      <c r="AV84" s="57" t="s">
        <v>153</v>
      </c>
      <c r="AW84" s="58" t="s">
        <v>1986</v>
      </c>
      <c r="AX84" s="59" t="s">
        <v>1128</v>
      </c>
      <c r="AY84" s="60" t="s">
        <v>1987</v>
      </c>
      <c r="AZ84" s="61" t="s">
        <v>215</v>
      </c>
      <c r="BA84" s="62" t="s">
        <v>153</v>
      </c>
      <c r="BB84" s="63" t="s">
        <v>153</v>
      </c>
      <c r="BC84" s="64" t="s">
        <v>153</v>
      </c>
      <c r="BD84" s="65" t="s">
        <v>216</v>
      </c>
      <c r="BE84" s="66" t="s">
        <v>217</v>
      </c>
      <c r="BF84" s="67" t="s">
        <v>1988</v>
      </c>
      <c r="BG84" s="68" t="s">
        <v>153</v>
      </c>
      <c r="BH84" s="69" t="s">
        <v>153</v>
      </c>
      <c r="BI84" s="70" t="s">
        <v>1989</v>
      </c>
      <c r="BJ84" s="71" t="s">
        <v>153</v>
      </c>
      <c r="BK84" s="72" t="s">
        <v>153</v>
      </c>
      <c r="BL84" s="73" t="s">
        <v>153</v>
      </c>
      <c r="BM84" s="74" t="s">
        <v>153</v>
      </c>
      <c r="BN84" s="75" t="s">
        <v>153</v>
      </c>
      <c r="BO84" s="76" t="s">
        <v>153</v>
      </c>
      <c r="BP84" s="77" t="s">
        <v>1990</v>
      </c>
      <c r="BQ84" s="78">
        <v>35096</v>
      </c>
      <c r="BR84" s="79" t="s">
        <v>153</v>
      </c>
      <c r="BS84" s="80" t="s">
        <v>153</v>
      </c>
      <c r="BT84" s="81" t="s">
        <v>153</v>
      </c>
      <c r="BU84" s="82" t="s">
        <v>153</v>
      </c>
      <c r="BV84" s="83" t="s">
        <v>251</v>
      </c>
      <c r="BW84" s="84" t="s">
        <v>153</v>
      </c>
      <c r="BX84" s="85" t="s">
        <v>153</v>
      </c>
      <c r="BY84" s="86" t="s">
        <v>252</v>
      </c>
      <c r="BZ84" s="87" t="s">
        <v>153</v>
      </c>
      <c r="CA84" s="88" t="s">
        <v>190</v>
      </c>
      <c r="CB84" s="89">
        <v>36860</v>
      </c>
      <c r="CC84" s="90">
        <v>31100</v>
      </c>
      <c r="CD84" s="91" t="s">
        <v>186</v>
      </c>
      <c r="CE84" s="92">
        <v>31100</v>
      </c>
      <c r="CF84" s="93" t="s">
        <v>187</v>
      </c>
      <c r="CG84" s="94" t="s">
        <v>226</v>
      </c>
      <c r="CH84" s="95" t="s">
        <v>153</v>
      </c>
      <c r="CI84" s="96" t="s">
        <v>153</v>
      </c>
      <c r="CJ84" s="97" t="s">
        <v>225</v>
      </c>
      <c r="CK84" s="98">
        <v>36860</v>
      </c>
      <c r="CL84" s="99" t="s">
        <v>153</v>
      </c>
      <c r="CM84" s="100" t="s">
        <v>153</v>
      </c>
      <c r="CN84" s="101" t="s">
        <v>190</v>
      </c>
      <c r="CO84" s="102" t="s">
        <v>153</v>
      </c>
      <c r="CP84" s="103" t="s">
        <v>153</v>
      </c>
      <c r="CQ84" s="104" t="s">
        <v>153</v>
      </c>
      <c r="CR84" s="105" t="s">
        <v>153</v>
      </c>
      <c r="CS84" s="106" t="s">
        <v>153</v>
      </c>
      <c r="CT84" s="107" t="s">
        <v>153</v>
      </c>
      <c r="CU84" s="108" t="s">
        <v>153</v>
      </c>
      <c r="CV84" s="109" t="s">
        <v>153</v>
      </c>
      <c r="CW84" s="110" t="s">
        <v>153</v>
      </c>
      <c r="CX84" s="111" t="s">
        <v>153</v>
      </c>
      <c r="CY84" s="112" t="s">
        <v>153</v>
      </c>
      <c r="CZ84" s="113" t="s">
        <v>153</v>
      </c>
      <c r="DA84" s="114" t="s">
        <v>153</v>
      </c>
      <c r="DB84" s="115" t="s">
        <v>153</v>
      </c>
      <c r="DC84" s="116" t="s">
        <v>153</v>
      </c>
      <c r="DD84" s="117" t="s">
        <v>153</v>
      </c>
      <c r="DE84" s="118" t="s">
        <v>153</v>
      </c>
      <c r="DF84" s="119" t="s">
        <v>153</v>
      </c>
      <c r="DG84" s="120" t="s">
        <v>153</v>
      </c>
      <c r="DH84" s="121" t="s">
        <v>153</v>
      </c>
      <c r="DI84" s="122" t="s">
        <v>153</v>
      </c>
      <c r="DJ84" s="123" t="s">
        <v>153</v>
      </c>
      <c r="DK84" s="124" t="s">
        <v>153</v>
      </c>
      <c r="DL84" s="125" t="s">
        <v>153</v>
      </c>
      <c r="DM84" s="126" t="s">
        <v>153</v>
      </c>
      <c r="DN84" s="127" t="s">
        <v>153</v>
      </c>
      <c r="DO84" s="128" t="s">
        <v>153</v>
      </c>
      <c r="DP84" s="129" t="s">
        <v>153</v>
      </c>
      <c r="DQ84" s="130" t="s">
        <v>153</v>
      </c>
      <c r="DR84" s="131" t="s">
        <v>153</v>
      </c>
      <c r="DS84" s="132" t="s">
        <v>153</v>
      </c>
      <c r="DT84" s="133" t="s">
        <v>153</v>
      </c>
      <c r="DU84" s="134" t="s">
        <v>153</v>
      </c>
      <c r="DV84" s="135" t="s">
        <v>153</v>
      </c>
      <c r="DW84" s="136" t="s">
        <v>153</v>
      </c>
      <c r="DX84" s="137" t="s">
        <v>153</v>
      </c>
      <c r="DY84" s="138" t="s">
        <v>153</v>
      </c>
      <c r="DZ84" s="139" t="s">
        <v>191</v>
      </c>
      <c r="EA84" s="140">
        <v>44350</v>
      </c>
      <c r="EB84" s="141">
        <v>31100</v>
      </c>
      <c r="EC84" s="142">
        <v>36860</v>
      </c>
      <c r="ED84" s="143" t="s">
        <v>226</v>
      </c>
      <c r="EE84" s="278" t="str">
        <f>HYPERLINK("https://my.pitchbook.com?c=60384-25", "View company online")</f>
        <v>View company online</v>
      </c>
    </row>
    <row r="85" spans="1:135" x14ac:dyDescent="0.45">
      <c r="A85" s="144" t="s">
        <v>1991</v>
      </c>
      <c r="B85" s="145" t="s">
        <v>1992</v>
      </c>
      <c r="C85" s="146" t="s">
        <v>153</v>
      </c>
      <c r="D85" s="147" t="s">
        <v>153</v>
      </c>
      <c r="E85" s="148" t="s">
        <v>153</v>
      </c>
      <c r="F85" s="149" t="s">
        <v>1993</v>
      </c>
      <c r="G85" s="150" t="s">
        <v>1994</v>
      </c>
      <c r="H85" s="151" t="s">
        <v>1995</v>
      </c>
      <c r="I85" s="152" t="s">
        <v>1991</v>
      </c>
      <c r="J85" s="153" t="s">
        <v>1996</v>
      </c>
      <c r="K85" s="154" t="s">
        <v>882</v>
      </c>
      <c r="L85" s="155" t="s">
        <v>1231</v>
      </c>
      <c r="M85" s="156" t="s">
        <v>1997</v>
      </c>
      <c r="N85" s="157" t="s">
        <v>1998</v>
      </c>
      <c r="O85" s="158" t="s">
        <v>1234</v>
      </c>
      <c r="P85" s="159" t="s">
        <v>1999</v>
      </c>
      <c r="Q85" s="160" t="s">
        <v>1487</v>
      </c>
      <c r="R85" s="161" t="s">
        <v>153</v>
      </c>
      <c r="S85" s="162" t="s">
        <v>163</v>
      </c>
      <c r="T85" s="163" t="s">
        <v>1488</v>
      </c>
      <c r="U85" s="164" t="s">
        <v>2000</v>
      </c>
      <c r="V85" s="165" t="s">
        <v>2001</v>
      </c>
      <c r="W85" s="166">
        <v>473</v>
      </c>
      <c r="X85" s="167" t="s">
        <v>2002</v>
      </c>
      <c r="Y85" s="168" t="s">
        <v>153</v>
      </c>
      <c r="Z85" s="169" t="s">
        <v>153</v>
      </c>
      <c r="AA85" s="170">
        <v>1967</v>
      </c>
      <c r="AB85" s="171" t="s">
        <v>1971</v>
      </c>
      <c r="AC85" s="172" t="s">
        <v>153</v>
      </c>
      <c r="AD85" s="173" t="s">
        <v>428</v>
      </c>
      <c r="AE85" s="174">
        <v>194.19</v>
      </c>
      <c r="AF85" s="175" t="s">
        <v>153</v>
      </c>
      <c r="AG85" s="176" t="s">
        <v>153</v>
      </c>
      <c r="AH85" s="177" t="s">
        <v>153</v>
      </c>
      <c r="AI85" s="178">
        <v>193</v>
      </c>
      <c r="AJ85" s="179">
        <v>192.19</v>
      </c>
      <c r="AK85" s="180" t="s">
        <v>153</v>
      </c>
      <c r="AL85" s="181">
        <v>0</v>
      </c>
      <c r="AM85" s="182">
        <v>-22.35</v>
      </c>
      <c r="AN85" s="183" t="s">
        <v>168</v>
      </c>
      <c r="AO85" s="184" t="s">
        <v>2003</v>
      </c>
      <c r="AP85" s="185" t="s">
        <v>2004</v>
      </c>
      <c r="AQ85" s="186" t="s">
        <v>1175</v>
      </c>
      <c r="AR85" s="187" t="s">
        <v>2005</v>
      </c>
      <c r="AS85" s="188" t="s">
        <v>2006</v>
      </c>
      <c r="AT85" s="189" t="s">
        <v>2007</v>
      </c>
      <c r="AU85" s="190" t="s">
        <v>2008</v>
      </c>
      <c r="AV85" s="191" t="s">
        <v>2009</v>
      </c>
      <c r="AW85" s="192" t="s">
        <v>2010</v>
      </c>
      <c r="AX85" s="193" t="s">
        <v>153</v>
      </c>
      <c r="AY85" s="194" t="s">
        <v>2011</v>
      </c>
      <c r="AZ85" s="195" t="s">
        <v>629</v>
      </c>
      <c r="BA85" s="196" t="s">
        <v>2006</v>
      </c>
      <c r="BB85" s="197" t="s">
        <v>153</v>
      </c>
      <c r="BC85" s="198" t="s">
        <v>153</v>
      </c>
      <c r="BD85" s="199" t="s">
        <v>180</v>
      </c>
      <c r="BE85" s="200" t="s">
        <v>181</v>
      </c>
      <c r="BF85" s="201" t="s">
        <v>2012</v>
      </c>
      <c r="BG85" s="202" t="s">
        <v>1971</v>
      </c>
      <c r="BH85" s="203">
        <v>1</v>
      </c>
      <c r="BI85" s="204" t="s">
        <v>153</v>
      </c>
      <c r="BJ85" s="205" t="s">
        <v>153</v>
      </c>
      <c r="BK85" s="206" t="s">
        <v>1995</v>
      </c>
      <c r="BL85" s="207" t="s">
        <v>1972</v>
      </c>
      <c r="BM85" s="208" t="s">
        <v>153</v>
      </c>
      <c r="BN85" s="209" t="s">
        <v>2013</v>
      </c>
      <c r="BO85" s="210" t="s">
        <v>2014</v>
      </c>
      <c r="BP85" s="211" t="s">
        <v>2015</v>
      </c>
      <c r="BQ85" s="212">
        <v>43046</v>
      </c>
      <c r="BR85" s="213" t="s">
        <v>153</v>
      </c>
      <c r="BS85" s="214" t="s">
        <v>153</v>
      </c>
      <c r="BT85" s="215" t="s">
        <v>153</v>
      </c>
      <c r="BU85" s="216" t="s">
        <v>153</v>
      </c>
      <c r="BV85" s="217" t="s">
        <v>188</v>
      </c>
      <c r="BW85" s="218" t="s">
        <v>729</v>
      </c>
      <c r="BX85" s="219" t="s">
        <v>153</v>
      </c>
      <c r="BY85" s="220" t="s">
        <v>165</v>
      </c>
      <c r="BZ85" s="221" t="s">
        <v>153</v>
      </c>
      <c r="CA85" s="222" t="s">
        <v>394</v>
      </c>
      <c r="CB85" s="223">
        <v>44265</v>
      </c>
      <c r="CC85" s="224">
        <v>30000</v>
      </c>
      <c r="CD85" s="225" t="s">
        <v>187</v>
      </c>
      <c r="CE85" s="226">
        <v>30000</v>
      </c>
      <c r="CF85" s="227" t="s">
        <v>187</v>
      </c>
      <c r="CG85" s="228" t="s">
        <v>226</v>
      </c>
      <c r="CH85" s="229" t="s">
        <v>153</v>
      </c>
      <c r="CI85" s="230" t="s">
        <v>153</v>
      </c>
      <c r="CJ85" s="231" t="s">
        <v>225</v>
      </c>
      <c r="CK85" s="232">
        <v>44265</v>
      </c>
      <c r="CL85" s="233" t="s">
        <v>153</v>
      </c>
      <c r="CM85" s="234" t="s">
        <v>153</v>
      </c>
      <c r="CN85" s="235" t="s">
        <v>1278</v>
      </c>
      <c r="CO85" s="236" t="s">
        <v>153</v>
      </c>
      <c r="CP85" s="237" t="s">
        <v>153</v>
      </c>
      <c r="CQ85" s="238" t="s">
        <v>153</v>
      </c>
      <c r="CR85" s="239" t="s">
        <v>153</v>
      </c>
      <c r="CS85" s="240" t="s">
        <v>153</v>
      </c>
      <c r="CT85" s="241" t="s">
        <v>153</v>
      </c>
      <c r="CU85" s="242" t="s">
        <v>153</v>
      </c>
      <c r="CV85" s="243" t="s">
        <v>153</v>
      </c>
      <c r="CW85" s="244" t="s">
        <v>153</v>
      </c>
      <c r="CX85" s="245" t="s">
        <v>153</v>
      </c>
      <c r="CY85" s="246" t="s">
        <v>153</v>
      </c>
      <c r="CZ85" s="247" t="s">
        <v>153</v>
      </c>
      <c r="DA85" s="248" t="s">
        <v>153</v>
      </c>
      <c r="DB85" s="249" t="s">
        <v>153</v>
      </c>
      <c r="DC85" s="250" t="s">
        <v>153</v>
      </c>
      <c r="DD85" s="251" t="s">
        <v>153</v>
      </c>
      <c r="DE85" s="252" t="s">
        <v>153</v>
      </c>
      <c r="DF85" s="253" t="s">
        <v>153</v>
      </c>
      <c r="DG85" s="254" t="s">
        <v>153</v>
      </c>
      <c r="DH85" s="255" t="s">
        <v>153</v>
      </c>
      <c r="DI85" s="256" t="s">
        <v>153</v>
      </c>
      <c r="DJ85" s="257" t="s">
        <v>153</v>
      </c>
      <c r="DK85" s="258" t="s">
        <v>153</v>
      </c>
      <c r="DL85" s="259" t="s">
        <v>153</v>
      </c>
      <c r="DM85" s="260" t="s">
        <v>153</v>
      </c>
      <c r="DN85" s="261" t="s">
        <v>153</v>
      </c>
      <c r="DO85" s="262" t="s">
        <v>153</v>
      </c>
      <c r="DP85" s="263" t="s">
        <v>153</v>
      </c>
      <c r="DQ85" s="264" t="s">
        <v>153</v>
      </c>
      <c r="DR85" s="265" t="s">
        <v>153</v>
      </c>
      <c r="DS85" s="266" t="s">
        <v>153</v>
      </c>
      <c r="DT85" s="267" t="s">
        <v>153</v>
      </c>
      <c r="DU85" s="268" t="s">
        <v>153</v>
      </c>
      <c r="DV85" s="269" t="s">
        <v>153</v>
      </c>
      <c r="DW85" s="270" t="s">
        <v>153</v>
      </c>
      <c r="DX85" s="271" t="s">
        <v>153</v>
      </c>
      <c r="DY85" s="272" t="s">
        <v>153</v>
      </c>
      <c r="DZ85" s="273" t="s">
        <v>191</v>
      </c>
      <c r="EA85" s="274">
        <v>44403</v>
      </c>
      <c r="EB85" s="275">
        <v>30000</v>
      </c>
      <c r="EC85" s="276">
        <v>44265</v>
      </c>
      <c r="ED85" s="277" t="s">
        <v>226</v>
      </c>
      <c r="EE85" s="279" t="str">
        <f>HYPERLINK("https://my.pitchbook.com?c=98273-26", "View company online")</f>
        <v>View company online</v>
      </c>
    </row>
    <row r="86" spans="1:135" x14ac:dyDescent="0.45">
      <c r="A86" s="10" t="s">
        <v>2016</v>
      </c>
      <c r="B86" s="11" t="s">
        <v>2017</v>
      </c>
      <c r="C86" s="12" t="s">
        <v>153</v>
      </c>
      <c r="D86" s="13" t="s">
        <v>153</v>
      </c>
      <c r="E86" s="14" t="s">
        <v>153</v>
      </c>
      <c r="F86" s="15" t="s">
        <v>2018</v>
      </c>
      <c r="G86" s="16" t="s">
        <v>2019</v>
      </c>
      <c r="H86" s="17" t="s">
        <v>2020</v>
      </c>
      <c r="I86" s="18" t="s">
        <v>2016</v>
      </c>
      <c r="J86" s="19" t="s">
        <v>2021</v>
      </c>
      <c r="K86" s="20" t="s">
        <v>198</v>
      </c>
      <c r="L86" s="21" t="s">
        <v>1589</v>
      </c>
      <c r="M86" s="22" t="s">
        <v>2022</v>
      </c>
      <c r="N86" s="23" t="s">
        <v>2023</v>
      </c>
      <c r="O86" s="24" t="s">
        <v>261</v>
      </c>
      <c r="P86" s="25" t="s">
        <v>2024</v>
      </c>
      <c r="Q86" s="26" t="s">
        <v>204</v>
      </c>
      <c r="R86" s="27">
        <v>184.05</v>
      </c>
      <c r="S86" s="28" t="s">
        <v>290</v>
      </c>
      <c r="T86" s="29" t="s">
        <v>1392</v>
      </c>
      <c r="U86" s="30" t="s">
        <v>2025</v>
      </c>
      <c r="V86" s="31" t="s">
        <v>2026</v>
      </c>
      <c r="W86" s="32">
        <v>15000</v>
      </c>
      <c r="X86" s="33" t="s">
        <v>2027</v>
      </c>
      <c r="Y86" s="34" t="s">
        <v>153</v>
      </c>
      <c r="Z86" s="35" t="s">
        <v>153</v>
      </c>
      <c r="AA86" s="36">
        <v>2009</v>
      </c>
      <c r="AB86" s="37" t="s">
        <v>153</v>
      </c>
      <c r="AC86" s="38" t="s">
        <v>428</v>
      </c>
      <c r="AD86" s="39" t="s">
        <v>2028</v>
      </c>
      <c r="AE86" s="40">
        <v>5500</v>
      </c>
      <c r="AF86" s="41" t="s">
        <v>153</v>
      </c>
      <c r="AG86" s="42" t="s">
        <v>153</v>
      </c>
      <c r="AH86" s="43" t="s">
        <v>153</v>
      </c>
      <c r="AI86" s="44" t="s">
        <v>153</v>
      </c>
      <c r="AJ86" s="45" t="s">
        <v>153</v>
      </c>
      <c r="AK86" s="46" t="s">
        <v>153</v>
      </c>
      <c r="AL86" s="47" t="s">
        <v>153</v>
      </c>
      <c r="AM86" s="48" t="s">
        <v>153</v>
      </c>
      <c r="AN86" s="49" t="s">
        <v>168</v>
      </c>
      <c r="AO86" s="50" t="s">
        <v>2029</v>
      </c>
      <c r="AP86" s="51" t="s">
        <v>2030</v>
      </c>
      <c r="AQ86" s="52" t="s">
        <v>512</v>
      </c>
      <c r="AR86" s="53" t="s">
        <v>2031</v>
      </c>
      <c r="AS86" s="54" t="s">
        <v>2032</v>
      </c>
      <c r="AT86" s="55" t="s">
        <v>2033</v>
      </c>
      <c r="AU86" s="56" t="s">
        <v>2034</v>
      </c>
      <c r="AV86" s="57" t="s">
        <v>2035</v>
      </c>
      <c r="AW86" s="58" t="s">
        <v>2036</v>
      </c>
      <c r="AX86" s="59" t="s">
        <v>308</v>
      </c>
      <c r="AY86" s="60" t="s">
        <v>2037</v>
      </c>
      <c r="AZ86" s="61" t="s">
        <v>215</v>
      </c>
      <c r="BA86" s="62" t="s">
        <v>2032</v>
      </c>
      <c r="BB86" s="63" t="s">
        <v>153</v>
      </c>
      <c r="BC86" s="64" t="s">
        <v>153</v>
      </c>
      <c r="BD86" s="65" t="s">
        <v>216</v>
      </c>
      <c r="BE86" s="66" t="s">
        <v>217</v>
      </c>
      <c r="BF86" s="67" t="s">
        <v>2038</v>
      </c>
      <c r="BG86" s="68" t="s">
        <v>2039</v>
      </c>
      <c r="BH86" s="69">
        <v>1</v>
      </c>
      <c r="BI86" s="70" t="s">
        <v>153</v>
      </c>
      <c r="BJ86" s="71" t="s">
        <v>1776</v>
      </c>
      <c r="BK86" s="72" t="s">
        <v>153</v>
      </c>
      <c r="BL86" s="73" t="s">
        <v>2040</v>
      </c>
      <c r="BM86" s="74" t="s">
        <v>1778</v>
      </c>
      <c r="BN86" s="75" t="s">
        <v>153</v>
      </c>
      <c r="BO86" s="76" t="s">
        <v>1960</v>
      </c>
      <c r="BP86" s="77" t="s">
        <v>2041</v>
      </c>
      <c r="BQ86" s="78">
        <v>39873</v>
      </c>
      <c r="BR86" s="79" t="s">
        <v>153</v>
      </c>
      <c r="BS86" s="80" t="s">
        <v>153</v>
      </c>
      <c r="BT86" s="81" t="s">
        <v>153</v>
      </c>
      <c r="BU86" s="82" t="s">
        <v>153</v>
      </c>
      <c r="BV86" s="83" t="s">
        <v>224</v>
      </c>
      <c r="BW86" s="84" t="s">
        <v>153</v>
      </c>
      <c r="BX86" s="85" t="s">
        <v>153</v>
      </c>
      <c r="BY86" s="86" t="s">
        <v>225</v>
      </c>
      <c r="BZ86" s="87" t="s">
        <v>153</v>
      </c>
      <c r="CA86" s="88" t="s">
        <v>190</v>
      </c>
      <c r="CB86" s="89">
        <v>44393</v>
      </c>
      <c r="CC86" s="90">
        <v>30000</v>
      </c>
      <c r="CD86" s="91" t="s">
        <v>186</v>
      </c>
      <c r="CE86" s="92">
        <v>30000</v>
      </c>
      <c r="CF86" s="93" t="s">
        <v>187</v>
      </c>
      <c r="CG86" s="94" t="s">
        <v>226</v>
      </c>
      <c r="CH86" s="95" t="s">
        <v>153</v>
      </c>
      <c r="CI86" s="96" t="s">
        <v>153</v>
      </c>
      <c r="CJ86" s="97" t="s">
        <v>225</v>
      </c>
      <c r="CK86" s="98">
        <v>44393</v>
      </c>
      <c r="CL86" s="99" t="s">
        <v>153</v>
      </c>
      <c r="CM86" s="100" t="s">
        <v>153</v>
      </c>
      <c r="CN86" s="101" t="s">
        <v>2042</v>
      </c>
      <c r="CO86" s="102">
        <v>0.7</v>
      </c>
      <c r="CP86" s="103">
        <v>94</v>
      </c>
      <c r="CQ86" s="104">
        <v>-0.02</v>
      </c>
      <c r="CR86" s="105">
        <v>-2.71</v>
      </c>
      <c r="CS86" s="106">
        <v>2.14</v>
      </c>
      <c r="CT86" s="107">
        <v>98</v>
      </c>
      <c r="CU86" s="108">
        <v>0.2</v>
      </c>
      <c r="CV86" s="109">
        <v>91</v>
      </c>
      <c r="CW86" s="110">
        <v>4.17</v>
      </c>
      <c r="CX86" s="111">
        <v>92</v>
      </c>
      <c r="CY86" s="112">
        <v>0.1</v>
      </c>
      <c r="CZ86" s="113">
        <v>90</v>
      </c>
      <c r="DA86" s="114">
        <v>0.2</v>
      </c>
      <c r="DB86" s="115">
        <v>91</v>
      </c>
      <c r="DC86" s="116">
        <v>181.09</v>
      </c>
      <c r="DD86" s="117">
        <v>100</v>
      </c>
      <c r="DE86" s="118">
        <v>0.05</v>
      </c>
      <c r="DF86" s="119">
        <v>0.03</v>
      </c>
      <c r="DG86" s="120">
        <v>103.46</v>
      </c>
      <c r="DH86" s="121">
        <v>99</v>
      </c>
      <c r="DI86" s="122">
        <v>34.39</v>
      </c>
      <c r="DJ86" s="123">
        <v>94</v>
      </c>
      <c r="DK86" s="124">
        <v>45.29</v>
      </c>
      <c r="DL86" s="125">
        <v>95</v>
      </c>
      <c r="DM86" s="126">
        <v>161.63</v>
      </c>
      <c r="DN86" s="127">
        <v>100</v>
      </c>
      <c r="DO86" s="128">
        <v>34.39</v>
      </c>
      <c r="DP86" s="129">
        <v>94</v>
      </c>
      <c r="DQ86" s="130">
        <v>26530</v>
      </c>
      <c r="DR86" s="131">
        <v>1202</v>
      </c>
      <c r="DS86" s="132">
        <v>4.75</v>
      </c>
      <c r="DT86" s="133">
        <v>2586</v>
      </c>
      <c r="DU86" s="134">
        <v>-3</v>
      </c>
      <c r="DV86" s="135">
        <v>-0.12</v>
      </c>
      <c r="DW86" s="136">
        <v>10796</v>
      </c>
      <c r="DX86" s="137">
        <v>19</v>
      </c>
      <c r="DY86" s="138">
        <v>0.18</v>
      </c>
      <c r="DZ86" s="139" t="s">
        <v>191</v>
      </c>
      <c r="EA86" s="140">
        <v>44399</v>
      </c>
      <c r="EB86" s="141">
        <v>30000</v>
      </c>
      <c r="EC86" s="142">
        <v>44393</v>
      </c>
      <c r="ED86" s="143" t="s">
        <v>226</v>
      </c>
      <c r="EE86" s="278" t="str">
        <f>HYPERLINK("https://my.pitchbook.com?c=40782-34", "View company online")</f>
        <v>View company online</v>
      </c>
    </row>
    <row r="87" spans="1:135" x14ac:dyDescent="0.45">
      <c r="A87" s="144" t="s">
        <v>2043</v>
      </c>
      <c r="B87" s="145" t="s">
        <v>2044</v>
      </c>
      <c r="C87" s="146" t="s">
        <v>153</v>
      </c>
      <c r="D87" s="147" t="s">
        <v>153</v>
      </c>
      <c r="E87" s="148" t="s">
        <v>153</v>
      </c>
      <c r="F87" s="149" t="s">
        <v>2045</v>
      </c>
      <c r="G87" s="150" t="s">
        <v>2046</v>
      </c>
      <c r="H87" s="151" t="s">
        <v>153</v>
      </c>
      <c r="I87" s="152" t="s">
        <v>2043</v>
      </c>
      <c r="J87" s="153" t="s">
        <v>2047</v>
      </c>
      <c r="K87" s="154" t="s">
        <v>792</v>
      </c>
      <c r="L87" s="155" t="s">
        <v>841</v>
      </c>
      <c r="M87" s="156" t="s">
        <v>842</v>
      </c>
      <c r="N87" s="157" t="s">
        <v>2048</v>
      </c>
      <c r="O87" s="158" t="s">
        <v>796</v>
      </c>
      <c r="P87" s="159" t="s">
        <v>2049</v>
      </c>
      <c r="Q87" s="160" t="s">
        <v>204</v>
      </c>
      <c r="R87" s="161" t="s">
        <v>153</v>
      </c>
      <c r="S87" s="162" t="s">
        <v>163</v>
      </c>
      <c r="T87" s="163" t="s">
        <v>205</v>
      </c>
      <c r="U87" s="164" t="s">
        <v>206</v>
      </c>
      <c r="V87" s="165" t="s">
        <v>153</v>
      </c>
      <c r="W87" s="166" t="s">
        <v>153</v>
      </c>
      <c r="X87" s="167" t="s">
        <v>153</v>
      </c>
      <c r="Y87" s="168" t="s">
        <v>153</v>
      </c>
      <c r="Z87" s="169" t="s">
        <v>153</v>
      </c>
      <c r="AA87" s="170" t="s">
        <v>153</v>
      </c>
      <c r="AB87" s="171" t="s">
        <v>153</v>
      </c>
      <c r="AC87" s="172" t="s">
        <v>153</v>
      </c>
      <c r="AD87" s="173" t="s">
        <v>153</v>
      </c>
      <c r="AE87" s="174" t="s">
        <v>153</v>
      </c>
      <c r="AF87" s="175" t="s">
        <v>153</v>
      </c>
      <c r="AG87" s="176" t="s">
        <v>153</v>
      </c>
      <c r="AH87" s="177" t="s">
        <v>153</v>
      </c>
      <c r="AI87" s="178" t="s">
        <v>153</v>
      </c>
      <c r="AJ87" s="179" t="s">
        <v>153</v>
      </c>
      <c r="AK87" s="180" t="s">
        <v>153</v>
      </c>
      <c r="AL87" s="181" t="s">
        <v>153</v>
      </c>
      <c r="AM87" s="182" t="s">
        <v>153</v>
      </c>
      <c r="AN87" s="183" t="s">
        <v>153</v>
      </c>
      <c r="AO87" s="184" t="s">
        <v>153</v>
      </c>
      <c r="AP87" s="185" t="s">
        <v>153</v>
      </c>
      <c r="AQ87" s="186" t="s">
        <v>153</v>
      </c>
      <c r="AR87" s="187" t="s">
        <v>153</v>
      </c>
      <c r="AS87" s="188" t="s">
        <v>153</v>
      </c>
      <c r="AT87" s="189" t="s">
        <v>2050</v>
      </c>
      <c r="AU87" s="190" t="s">
        <v>153</v>
      </c>
      <c r="AV87" s="191" t="s">
        <v>153</v>
      </c>
      <c r="AW87" s="192" t="s">
        <v>153</v>
      </c>
      <c r="AX87" s="193" t="s">
        <v>153</v>
      </c>
      <c r="AY87" s="194" t="s">
        <v>153</v>
      </c>
      <c r="AZ87" s="195" t="s">
        <v>2050</v>
      </c>
      <c r="BA87" s="196" t="s">
        <v>153</v>
      </c>
      <c r="BB87" s="197" t="s">
        <v>153</v>
      </c>
      <c r="BC87" s="198" t="s">
        <v>153</v>
      </c>
      <c r="BD87" s="199" t="s">
        <v>180</v>
      </c>
      <c r="BE87" s="200" t="s">
        <v>2051</v>
      </c>
      <c r="BF87" s="201" t="s">
        <v>2052</v>
      </c>
      <c r="BG87" s="202" t="s">
        <v>153</v>
      </c>
      <c r="BH87" s="203" t="s">
        <v>153</v>
      </c>
      <c r="BI87" s="204" t="s">
        <v>2053</v>
      </c>
      <c r="BJ87" s="205" t="s">
        <v>2054</v>
      </c>
      <c r="BK87" s="206" t="s">
        <v>153</v>
      </c>
      <c r="BL87" s="207" t="s">
        <v>153</v>
      </c>
      <c r="BM87" s="208" t="s">
        <v>2055</v>
      </c>
      <c r="BN87" s="209" t="s">
        <v>153</v>
      </c>
      <c r="BO87" s="210" t="s">
        <v>153</v>
      </c>
      <c r="BP87" s="211" t="s">
        <v>153</v>
      </c>
      <c r="BQ87" s="212">
        <v>39356</v>
      </c>
      <c r="BR87" s="213">
        <v>30000</v>
      </c>
      <c r="BS87" s="214" t="s">
        <v>186</v>
      </c>
      <c r="BT87" s="215">
        <v>30000</v>
      </c>
      <c r="BU87" s="216" t="s">
        <v>187</v>
      </c>
      <c r="BV87" s="217" t="s">
        <v>226</v>
      </c>
      <c r="BW87" s="218" t="s">
        <v>729</v>
      </c>
      <c r="BX87" s="219" t="s">
        <v>153</v>
      </c>
      <c r="BY87" s="220" t="s">
        <v>225</v>
      </c>
      <c r="BZ87" s="221" t="s">
        <v>153</v>
      </c>
      <c r="CA87" s="222" t="s">
        <v>190</v>
      </c>
      <c r="CB87" s="223">
        <v>39356</v>
      </c>
      <c r="CC87" s="224">
        <v>30000</v>
      </c>
      <c r="CD87" s="225" t="s">
        <v>186</v>
      </c>
      <c r="CE87" s="226">
        <v>30000</v>
      </c>
      <c r="CF87" s="227" t="s">
        <v>187</v>
      </c>
      <c r="CG87" s="228" t="s">
        <v>226</v>
      </c>
      <c r="CH87" s="229" t="s">
        <v>729</v>
      </c>
      <c r="CI87" s="230" t="s">
        <v>153</v>
      </c>
      <c r="CJ87" s="231" t="s">
        <v>225</v>
      </c>
      <c r="CK87" s="232">
        <v>39356</v>
      </c>
      <c r="CL87" s="233" t="s">
        <v>153</v>
      </c>
      <c r="CM87" s="234" t="s">
        <v>153</v>
      </c>
      <c r="CN87" s="235" t="s">
        <v>190</v>
      </c>
      <c r="CO87" s="236" t="s">
        <v>153</v>
      </c>
      <c r="CP87" s="237" t="s">
        <v>153</v>
      </c>
      <c r="CQ87" s="238" t="s">
        <v>153</v>
      </c>
      <c r="CR87" s="239" t="s">
        <v>153</v>
      </c>
      <c r="CS87" s="240" t="s">
        <v>153</v>
      </c>
      <c r="CT87" s="241" t="s">
        <v>153</v>
      </c>
      <c r="CU87" s="242" t="s">
        <v>153</v>
      </c>
      <c r="CV87" s="243" t="s">
        <v>153</v>
      </c>
      <c r="CW87" s="244" t="s">
        <v>153</v>
      </c>
      <c r="CX87" s="245" t="s">
        <v>153</v>
      </c>
      <c r="CY87" s="246" t="s">
        <v>153</v>
      </c>
      <c r="CZ87" s="247" t="s">
        <v>153</v>
      </c>
      <c r="DA87" s="248" t="s">
        <v>153</v>
      </c>
      <c r="DB87" s="249" t="s">
        <v>153</v>
      </c>
      <c r="DC87" s="250" t="s">
        <v>153</v>
      </c>
      <c r="DD87" s="251" t="s">
        <v>153</v>
      </c>
      <c r="DE87" s="252" t="s">
        <v>153</v>
      </c>
      <c r="DF87" s="253" t="s">
        <v>153</v>
      </c>
      <c r="DG87" s="254" t="s">
        <v>153</v>
      </c>
      <c r="DH87" s="255" t="s">
        <v>153</v>
      </c>
      <c r="DI87" s="256" t="s">
        <v>153</v>
      </c>
      <c r="DJ87" s="257" t="s">
        <v>153</v>
      </c>
      <c r="DK87" s="258" t="s">
        <v>153</v>
      </c>
      <c r="DL87" s="259" t="s">
        <v>153</v>
      </c>
      <c r="DM87" s="260" t="s">
        <v>153</v>
      </c>
      <c r="DN87" s="261" t="s">
        <v>153</v>
      </c>
      <c r="DO87" s="262" t="s">
        <v>153</v>
      </c>
      <c r="DP87" s="263" t="s">
        <v>153</v>
      </c>
      <c r="DQ87" s="264" t="s">
        <v>153</v>
      </c>
      <c r="DR87" s="265" t="s">
        <v>153</v>
      </c>
      <c r="DS87" s="266" t="s">
        <v>153</v>
      </c>
      <c r="DT87" s="267" t="s">
        <v>153</v>
      </c>
      <c r="DU87" s="268" t="s">
        <v>153</v>
      </c>
      <c r="DV87" s="269" t="s">
        <v>153</v>
      </c>
      <c r="DW87" s="270" t="s">
        <v>153</v>
      </c>
      <c r="DX87" s="271" t="s">
        <v>153</v>
      </c>
      <c r="DY87" s="272" t="s">
        <v>153</v>
      </c>
      <c r="DZ87" s="273" t="s">
        <v>191</v>
      </c>
      <c r="EA87" s="274">
        <v>44350</v>
      </c>
      <c r="EB87" s="275">
        <v>30000</v>
      </c>
      <c r="EC87" s="276">
        <v>39356</v>
      </c>
      <c r="ED87" s="277" t="s">
        <v>226</v>
      </c>
      <c r="EE87" s="279" t="str">
        <f>HYPERLINK("https://my.pitchbook.com?c=186839-56", "View company online")</f>
        <v>View company online</v>
      </c>
    </row>
    <row r="88" spans="1:135" x14ac:dyDescent="0.45">
      <c r="A88" s="10" t="s">
        <v>2056</v>
      </c>
      <c r="B88" s="11" t="s">
        <v>2057</v>
      </c>
      <c r="C88" s="12" t="s">
        <v>153</v>
      </c>
      <c r="D88" s="13" t="s">
        <v>153</v>
      </c>
      <c r="E88" s="14" t="s">
        <v>153</v>
      </c>
      <c r="F88" s="15" t="s">
        <v>153</v>
      </c>
      <c r="G88" s="16" t="s">
        <v>2058</v>
      </c>
      <c r="H88" s="17" t="s">
        <v>153</v>
      </c>
      <c r="I88" s="18" t="s">
        <v>2056</v>
      </c>
      <c r="J88" s="19" t="s">
        <v>2059</v>
      </c>
      <c r="K88" s="20" t="s">
        <v>559</v>
      </c>
      <c r="L88" s="21" t="s">
        <v>1345</v>
      </c>
      <c r="M88" s="22" t="s">
        <v>1346</v>
      </c>
      <c r="N88" s="23" t="s">
        <v>2060</v>
      </c>
      <c r="O88" s="24" t="s">
        <v>261</v>
      </c>
      <c r="P88" s="25" t="s">
        <v>2061</v>
      </c>
      <c r="Q88" s="26" t="s">
        <v>204</v>
      </c>
      <c r="R88" s="27" t="s">
        <v>153</v>
      </c>
      <c r="S88" s="28" t="s">
        <v>163</v>
      </c>
      <c r="T88" s="29" t="s">
        <v>205</v>
      </c>
      <c r="U88" s="30" t="s">
        <v>206</v>
      </c>
      <c r="V88" s="31" t="s">
        <v>2062</v>
      </c>
      <c r="W88" s="32">
        <v>62000</v>
      </c>
      <c r="X88" s="33" t="s">
        <v>2063</v>
      </c>
      <c r="Y88" s="34" t="s">
        <v>153</v>
      </c>
      <c r="Z88" s="35" t="s">
        <v>153</v>
      </c>
      <c r="AA88" s="36">
        <v>1996</v>
      </c>
      <c r="AB88" s="37" t="s">
        <v>153</v>
      </c>
      <c r="AC88" s="38" t="s">
        <v>153</v>
      </c>
      <c r="AD88" s="39" t="s">
        <v>153</v>
      </c>
      <c r="AE88" s="40" t="s">
        <v>153</v>
      </c>
      <c r="AF88" s="41" t="s">
        <v>153</v>
      </c>
      <c r="AG88" s="42" t="s">
        <v>153</v>
      </c>
      <c r="AH88" s="43" t="s">
        <v>153</v>
      </c>
      <c r="AI88" s="44" t="s">
        <v>153</v>
      </c>
      <c r="AJ88" s="45" t="s">
        <v>153</v>
      </c>
      <c r="AK88" s="46" t="s">
        <v>153</v>
      </c>
      <c r="AL88" s="47" t="s">
        <v>153</v>
      </c>
      <c r="AM88" s="48" t="s">
        <v>153</v>
      </c>
      <c r="AN88" s="49" t="s">
        <v>2064</v>
      </c>
      <c r="AO88" s="50" t="s">
        <v>2065</v>
      </c>
      <c r="AP88" s="51" t="s">
        <v>2066</v>
      </c>
      <c r="AQ88" s="52" t="s">
        <v>302</v>
      </c>
      <c r="AR88" s="53" t="s">
        <v>153</v>
      </c>
      <c r="AS88" s="54" t="s">
        <v>2067</v>
      </c>
      <c r="AT88" s="55" t="s">
        <v>802</v>
      </c>
      <c r="AU88" s="56" t="s">
        <v>2068</v>
      </c>
      <c r="AV88" s="57" t="s">
        <v>153</v>
      </c>
      <c r="AW88" s="58" t="s">
        <v>805</v>
      </c>
      <c r="AX88" s="59" t="s">
        <v>153</v>
      </c>
      <c r="AY88" s="60" t="s">
        <v>153</v>
      </c>
      <c r="AZ88" s="61" t="s">
        <v>808</v>
      </c>
      <c r="BA88" s="62" t="s">
        <v>153</v>
      </c>
      <c r="BB88" s="63" t="s">
        <v>153</v>
      </c>
      <c r="BC88" s="64" t="s">
        <v>153</v>
      </c>
      <c r="BD88" s="65" t="s">
        <v>180</v>
      </c>
      <c r="BE88" s="66" t="s">
        <v>809</v>
      </c>
      <c r="BF88" s="67" t="s">
        <v>2069</v>
      </c>
      <c r="BG88" s="68" t="s">
        <v>153</v>
      </c>
      <c r="BH88" s="69" t="s">
        <v>153</v>
      </c>
      <c r="BI88" s="70" t="s">
        <v>2070</v>
      </c>
      <c r="BJ88" s="71" t="s">
        <v>153</v>
      </c>
      <c r="BK88" s="72" t="s">
        <v>153</v>
      </c>
      <c r="BL88" s="73" t="s">
        <v>153</v>
      </c>
      <c r="BM88" s="74" t="s">
        <v>153</v>
      </c>
      <c r="BN88" s="75" t="s">
        <v>153</v>
      </c>
      <c r="BO88" s="76" t="s">
        <v>153</v>
      </c>
      <c r="BP88" s="77" t="s">
        <v>153</v>
      </c>
      <c r="BQ88" s="78">
        <v>39168</v>
      </c>
      <c r="BR88" s="79">
        <v>30000</v>
      </c>
      <c r="BS88" s="80" t="s">
        <v>187</v>
      </c>
      <c r="BT88" s="81">
        <v>30000</v>
      </c>
      <c r="BU88" s="82" t="s">
        <v>187</v>
      </c>
      <c r="BV88" s="83" t="s">
        <v>226</v>
      </c>
      <c r="BW88" s="84" t="s">
        <v>153</v>
      </c>
      <c r="BX88" s="85" t="s">
        <v>153</v>
      </c>
      <c r="BY88" s="86" t="s">
        <v>225</v>
      </c>
      <c r="BZ88" s="87" t="s">
        <v>153</v>
      </c>
      <c r="CA88" s="88" t="s">
        <v>190</v>
      </c>
      <c r="CB88" s="89">
        <v>39168</v>
      </c>
      <c r="CC88" s="90">
        <v>30000</v>
      </c>
      <c r="CD88" s="91" t="s">
        <v>187</v>
      </c>
      <c r="CE88" s="92">
        <v>30000</v>
      </c>
      <c r="CF88" s="93" t="s">
        <v>187</v>
      </c>
      <c r="CG88" s="94" t="s">
        <v>226</v>
      </c>
      <c r="CH88" s="95" t="s">
        <v>153</v>
      </c>
      <c r="CI88" s="96" t="s">
        <v>153</v>
      </c>
      <c r="CJ88" s="97" t="s">
        <v>225</v>
      </c>
      <c r="CK88" s="98">
        <v>39168</v>
      </c>
      <c r="CL88" s="99" t="s">
        <v>153</v>
      </c>
      <c r="CM88" s="100" t="s">
        <v>153</v>
      </c>
      <c r="CN88" s="101" t="s">
        <v>190</v>
      </c>
      <c r="CO88" s="102" t="s">
        <v>153</v>
      </c>
      <c r="CP88" s="103" t="s">
        <v>153</v>
      </c>
      <c r="CQ88" s="104" t="s">
        <v>153</v>
      </c>
      <c r="CR88" s="105" t="s">
        <v>153</v>
      </c>
      <c r="CS88" s="106" t="s">
        <v>153</v>
      </c>
      <c r="CT88" s="107" t="s">
        <v>153</v>
      </c>
      <c r="CU88" s="108" t="s">
        <v>153</v>
      </c>
      <c r="CV88" s="109" t="s">
        <v>153</v>
      </c>
      <c r="CW88" s="110" t="s">
        <v>153</v>
      </c>
      <c r="CX88" s="111" t="s">
        <v>153</v>
      </c>
      <c r="CY88" s="112" t="s">
        <v>153</v>
      </c>
      <c r="CZ88" s="113" t="s">
        <v>153</v>
      </c>
      <c r="DA88" s="114" t="s">
        <v>153</v>
      </c>
      <c r="DB88" s="115" t="s">
        <v>153</v>
      </c>
      <c r="DC88" s="116" t="s">
        <v>153</v>
      </c>
      <c r="DD88" s="117" t="s">
        <v>153</v>
      </c>
      <c r="DE88" s="118" t="s">
        <v>153</v>
      </c>
      <c r="DF88" s="119" t="s">
        <v>153</v>
      </c>
      <c r="DG88" s="120" t="s">
        <v>153</v>
      </c>
      <c r="DH88" s="121" t="s">
        <v>153</v>
      </c>
      <c r="DI88" s="122" t="s">
        <v>153</v>
      </c>
      <c r="DJ88" s="123" t="s">
        <v>153</v>
      </c>
      <c r="DK88" s="124" t="s">
        <v>153</v>
      </c>
      <c r="DL88" s="125" t="s">
        <v>153</v>
      </c>
      <c r="DM88" s="126" t="s">
        <v>153</v>
      </c>
      <c r="DN88" s="127" t="s">
        <v>153</v>
      </c>
      <c r="DO88" s="128" t="s">
        <v>153</v>
      </c>
      <c r="DP88" s="129" t="s">
        <v>153</v>
      </c>
      <c r="DQ88" s="130" t="s">
        <v>153</v>
      </c>
      <c r="DR88" s="131" t="s">
        <v>153</v>
      </c>
      <c r="DS88" s="132" t="s">
        <v>153</v>
      </c>
      <c r="DT88" s="133" t="s">
        <v>153</v>
      </c>
      <c r="DU88" s="134" t="s">
        <v>153</v>
      </c>
      <c r="DV88" s="135" t="s">
        <v>153</v>
      </c>
      <c r="DW88" s="136" t="s">
        <v>153</v>
      </c>
      <c r="DX88" s="137" t="s">
        <v>153</v>
      </c>
      <c r="DY88" s="138" t="s">
        <v>153</v>
      </c>
      <c r="DZ88" s="139" t="s">
        <v>191</v>
      </c>
      <c r="EA88" s="140">
        <v>44350</v>
      </c>
      <c r="EB88" s="141">
        <v>30000</v>
      </c>
      <c r="EC88" s="142">
        <v>39168</v>
      </c>
      <c r="ED88" s="143" t="s">
        <v>226</v>
      </c>
      <c r="EE88" s="278" t="str">
        <f>HYPERLINK("https://my.pitchbook.com?c=227643-13", "View company online")</f>
        <v>View company online</v>
      </c>
    </row>
    <row r="89" spans="1:135" x14ac:dyDescent="0.45">
      <c r="A89" s="144" t="s">
        <v>2071</v>
      </c>
      <c r="B89" s="145" t="s">
        <v>2072</v>
      </c>
      <c r="C89" s="146" t="s">
        <v>153</v>
      </c>
      <c r="D89" s="147" t="s">
        <v>153</v>
      </c>
      <c r="E89" s="148" t="s">
        <v>2073</v>
      </c>
      <c r="F89" s="149" t="s">
        <v>153</v>
      </c>
      <c r="G89" s="150" t="s">
        <v>2074</v>
      </c>
      <c r="H89" s="151" t="s">
        <v>2075</v>
      </c>
      <c r="I89" s="152" t="s">
        <v>2071</v>
      </c>
      <c r="J89" s="153" t="s">
        <v>2076</v>
      </c>
      <c r="K89" s="154" t="s">
        <v>882</v>
      </c>
      <c r="L89" s="155" t="s">
        <v>1257</v>
      </c>
      <c r="M89" s="156" t="s">
        <v>1258</v>
      </c>
      <c r="N89" s="157" t="s">
        <v>2077</v>
      </c>
      <c r="O89" s="158" t="s">
        <v>2078</v>
      </c>
      <c r="P89" s="159" t="s">
        <v>2079</v>
      </c>
      <c r="Q89" s="160" t="s">
        <v>564</v>
      </c>
      <c r="R89" s="161">
        <v>1622.78</v>
      </c>
      <c r="S89" s="162" t="s">
        <v>290</v>
      </c>
      <c r="T89" s="163" t="s">
        <v>291</v>
      </c>
      <c r="U89" s="164" t="s">
        <v>369</v>
      </c>
      <c r="V89" s="165" t="s">
        <v>2080</v>
      </c>
      <c r="W89" s="166">
        <v>46000</v>
      </c>
      <c r="X89" s="167" t="s">
        <v>2081</v>
      </c>
      <c r="Y89" s="168" t="s">
        <v>295</v>
      </c>
      <c r="Z89" s="169" t="s">
        <v>2082</v>
      </c>
      <c r="AA89" s="170">
        <v>1828</v>
      </c>
      <c r="AB89" s="171" t="s">
        <v>153</v>
      </c>
      <c r="AC89" s="172" t="s">
        <v>2083</v>
      </c>
      <c r="AD89" s="173" t="s">
        <v>2084</v>
      </c>
      <c r="AE89" s="174">
        <v>9476</v>
      </c>
      <c r="AF89" s="175">
        <v>3840</v>
      </c>
      <c r="AG89" s="176">
        <v>1424</v>
      </c>
      <c r="AH89" s="177">
        <v>19106.02</v>
      </c>
      <c r="AI89" s="178">
        <v>2749</v>
      </c>
      <c r="AJ89" s="179">
        <v>2024</v>
      </c>
      <c r="AK89" s="180">
        <v>29201.63</v>
      </c>
      <c r="AL89" s="181">
        <v>-11764</v>
      </c>
      <c r="AM89" s="182">
        <v>3.08</v>
      </c>
      <c r="AN89" s="183" t="s">
        <v>376</v>
      </c>
      <c r="AO89" s="184" t="s">
        <v>2085</v>
      </c>
      <c r="AP89" s="185" t="s">
        <v>2086</v>
      </c>
      <c r="AQ89" s="186" t="s">
        <v>2087</v>
      </c>
      <c r="AR89" s="187" t="s">
        <v>153</v>
      </c>
      <c r="AS89" s="188" t="s">
        <v>2088</v>
      </c>
      <c r="AT89" s="189" t="s">
        <v>2089</v>
      </c>
      <c r="AU89" s="190" t="s">
        <v>2090</v>
      </c>
      <c r="AV89" s="191" t="s">
        <v>2091</v>
      </c>
      <c r="AW89" s="192" t="s">
        <v>2092</v>
      </c>
      <c r="AX89" s="193" t="s">
        <v>2093</v>
      </c>
      <c r="AY89" s="194" t="s">
        <v>2094</v>
      </c>
      <c r="AZ89" s="195" t="s">
        <v>215</v>
      </c>
      <c r="BA89" s="196" t="s">
        <v>2088</v>
      </c>
      <c r="BB89" s="197" t="s">
        <v>2095</v>
      </c>
      <c r="BC89" s="198" t="s">
        <v>153</v>
      </c>
      <c r="BD89" s="199" t="s">
        <v>216</v>
      </c>
      <c r="BE89" s="200" t="s">
        <v>217</v>
      </c>
      <c r="BF89" s="201" t="s">
        <v>2096</v>
      </c>
      <c r="BG89" s="202" t="s">
        <v>2097</v>
      </c>
      <c r="BH89" s="203">
        <v>1</v>
      </c>
      <c r="BI89" s="204" t="s">
        <v>153</v>
      </c>
      <c r="BJ89" s="205" t="s">
        <v>2098</v>
      </c>
      <c r="BK89" s="206" t="s">
        <v>2099</v>
      </c>
      <c r="BL89" s="207" t="s">
        <v>153</v>
      </c>
      <c r="BM89" s="208" t="s">
        <v>2100</v>
      </c>
      <c r="BN89" s="209" t="s">
        <v>2101</v>
      </c>
      <c r="BO89" s="210" t="s">
        <v>153</v>
      </c>
      <c r="BP89" s="211" t="s">
        <v>2102</v>
      </c>
      <c r="BQ89" s="212">
        <v>27760</v>
      </c>
      <c r="BR89" s="213" t="s">
        <v>153</v>
      </c>
      <c r="BS89" s="214" t="s">
        <v>153</v>
      </c>
      <c r="BT89" s="215" t="s">
        <v>153</v>
      </c>
      <c r="BU89" s="216" t="s">
        <v>153</v>
      </c>
      <c r="BV89" s="217" t="s">
        <v>251</v>
      </c>
      <c r="BW89" s="218" t="s">
        <v>153</v>
      </c>
      <c r="BX89" s="219" t="s">
        <v>153</v>
      </c>
      <c r="BY89" s="220" t="s">
        <v>252</v>
      </c>
      <c r="BZ89" s="221" t="s">
        <v>153</v>
      </c>
      <c r="CA89" s="222" t="s">
        <v>190</v>
      </c>
      <c r="CB89" s="223">
        <v>43899</v>
      </c>
      <c r="CC89" s="224">
        <v>30000</v>
      </c>
      <c r="CD89" s="225" t="s">
        <v>186</v>
      </c>
      <c r="CE89" s="226">
        <v>30000</v>
      </c>
      <c r="CF89" s="227" t="s">
        <v>186</v>
      </c>
      <c r="CG89" s="228" t="s">
        <v>226</v>
      </c>
      <c r="CH89" s="229" t="s">
        <v>153</v>
      </c>
      <c r="CI89" s="230" t="s">
        <v>153</v>
      </c>
      <c r="CJ89" s="231" t="s">
        <v>225</v>
      </c>
      <c r="CK89" s="232">
        <v>43899</v>
      </c>
      <c r="CL89" s="233" t="s">
        <v>153</v>
      </c>
      <c r="CM89" s="234" t="s">
        <v>153</v>
      </c>
      <c r="CN89" s="235" t="s">
        <v>1278</v>
      </c>
      <c r="CO89" s="236">
        <v>0.17</v>
      </c>
      <c r="CP89" s="237">
        <v>90</v>
      </c>
      <c r="CQ89" s="238">
        <v>-0.02</v>
      </c>
      <c r="CR89" s="239">
        <v>-12.41</v>
      </c>
      <c r="CS89" s="240">
        <v>0.49</v>
      </c>
      <c r="CT89" s="241">
        <v>93</v>
      </c>
      <c r="CU89" s="242">
        <v>0.04</v>
      </c>
      <c r="CV89" s="243">
        <v>80</v>
      </c>
      <c r="CW89" s="244">
        <v>0.65</v>
      </c>
      <c r="CX89" s="245">
        <v>80</v>
      </c>
      <c r="CY89" s="246">
        <v>0.34</v>
      </c>
      <c r="CZ89" s="247">
        <v>93</v>
      </c>
      <c r="DA89" s="248">
        <v>0.04</v>
      </c>
      <c r="DB89" s="249">
        <v>80</v>
      </c>
      <c r="DC89" s="250">
        <v>565.54999999999995</v>
      </c>
      <c r="DD89" s="251">
        <v>100</v>
      </c>
      <c r="DE89" s="252">
        <v>0.05</v>
      </c>
      <c r="DF89" s="253">
        <v>0.01</v>
      </c>
      <c r="DG89" s="254">
        <v>434.16</v>
      </c>
      <c r="DH89" s="255">
        <v>100</v>
      </c>
      <c r="DI89" s="256">
        <v>19.25</v>
      </c>
      <c r="DJ89" s="257">
        <v>91</v>
      </c>
      <c r="DK89" s="258">
        <v>159.58000000000001</v>
      </c>
      <c r="DL89" s="259">
        <v>98</v>
      </c>
      <c r="DM89" s="260">
        <v>708.75</v>
      </c>
      <c r="DN89" s="261">
        <v>100</v>
      </c>
      <c r="DO89" s="262">
        <v>19.25</v>
      </c>
      <c r="DP89" s="263">
        <v>91</v>
      </c>
      <c r="DQ89" s="264">
        <v>94173</v>
      </c>
      <c r="DR89" s="265">
        <v>1667</v>
      </c>
      <c r="DS89" s="266">
        <v>1.8</v>
      </c>
      <c r="DT89" s="267">
        <v>11340</v>
      </c>
      <c r="DU89" s="268">
        <v>1</v>
      </c>
      <c r="DV89" s="269">
        <v>0.01</v>
      </c>
      <c r="DW89" s="270">
        <v>6038</v>
      </c>
      <c r="DX89" s="271">
        <v>10</v>
      </c>
      <c r="DY89" s="272">
        <v>0.17</v>
      </c>
      <c r="DZ89" s="273" t="s">
        <v>191</v>
      </c>
      <c r="EA89" s="274">
        <v>44403</v>
      </c>
      <c r="EB89" s="275">
        <v>30000</v>
      </c>
      <c r="EC89" s="276">
        <v>43899</v>
      </c>
      <c r="ED89" s="277" t="s">
        <v>226</v>
      </c>
      <c r="EE89" s="279" t="str">
        <f>HYPERLINK("https://my.pitchbook.com?c=11642-95", "View company online")</f>
        <v>View company online</v>
      </c>
    </row>
    <row r="90" spans="1:135" x14ac:dyDescent="0.45">
      <c r="A90" s="10" t="s">
        <v>2103</v>
      </c>
      <c r="B90" s="11" t="s">
        <v>2104</v>
      </c>
      <c r="C90" s="12" t="s">
        <v>153</v>
      </c>
      <c r="D90" s="13" t="s">
        <v>153</v>
      </c>
      <c r="E90" s="14" t="s">
        <v>153</v>
      </c>
      <c r="F90" s="15" t="s">
        <v>153</v>
      </c>
      <c r="G90" s="16" t="s">
        <v>2105</v>
      </c>
      <c r="H90" s="17" t="s">
        <v>153</v>
      </c>
      <c r="I90" s="18" t="s">
        <v>2103</v>
      </c>
      <c r="J90" s="19" t="s">
        <v>2106</v>
      </c>
      <c r="K90" s="20" t="s">
        <v>157</v>
      </c>
      <c r="L90" s="21" t="s">
        <v>817</v>
      </c>
      <c r="M90" s="22" t="s">
        <v>2107</v>
      </c>
      <c r="N90" s="23" t="s">
        <v>2108</v>
      </c>
      <c r="O90" s="24" t="s">
        <v>261</v>
      </c>
      <c r="P90" s="25" t="s">
        <v>2109</v>
      </c>
      <c r="Q90" s="26" t="s">
        <v>204</v>
      </c>
      <c r="R90" s="27" t="s">
        <v>153</v>
      </c>
      <c r="S90" s="28" t="s">
        <v>163</v>
      </c>
      <c r="T90" s="29" t="s">
        <v>205</v>
      </c>
      <c r="U90" s="30" t="s">
        <v>369</v>
      </c>
      <c r="V90" s="31" t="s">
        <v>2110</v>
      </c>
      <c r="W90" s="32">
        <v>652</v>
      </c>
      <c r="X90" s="33" t="s">
        <v>2111</v>
      </c>
      <c r="Y90" s="34" t="s">
        <v>153</v>
      </c>
      <c r="Z90" s="35" t="s">
        <v>153</v>
      </c>
      <c r="AA90" s="36">
        <v>1945</v>
      </c>
      <c r="AB90" s="37" t="s">
        <v>153</v>
      </c>
      <c r="AC90" s="38" t="s">
        <v>153</v>
      </c>
      <c r="AD90" s="39" t="s">
        <v>153</v>
      </c>
      <c r="AE90" s="40" t="s">
        <v>153</v>
      </c>
      <c r="AF90" s="41" t="s">
        <v>153</v>
      </c>
      <c r="AG90" s="42" t="s">
        <v>153</v>
      </c>
      <c r="AH90" s="43" t="s">
        <v>153</v>
      </c>
      <c r="AI90" s="44" t="s">
        <v>153</v>
      </c>
      <c r="AJ90" s="45" t="s">
        <v>153</v>
      </c>
      <c r="AK90" s="46" t="s">
        <v>153</v>
      </c>
      <c r="AL90" s="47" t="s">
        <v>153</v>
      </c>
      <c r="AM90" s="48" t="s">
        <v>153</v>
      </c>
      <c r="AN90" s="49" t="s">
        <v>2112</v>
      </c>
      <c r="AO90" s="50" t="s">
        <v>2113</v>
      </c>
      <c r="AP90" s="51" t="s">
        <v>2114</v>
      </c>
      <c r="AQ90" s="52" t="s">
        <v>171</v>
      </c>
      <c r="AR90" s="53" t="s">
        <v>153</v>
      </c>
      <c r="AS90" s="54" t="s">
        <v>2115</v>
      </c>
      <c r="AT90" s="55" t="s">
        <v>2116</v>
      </c>
      <c r="AU90" s="56" t="s">
        <v>2117</v>
      </c>
      <c r="AV90" s="57" t="s">
        <v>2118</v>
      </c>
      <c r="AW90" s="58" t="s">
        <v>2119</v>
      </c>
      <c r="AX90" s="59" t="s">
        <v>153</v>
      </c>
      <c r="AY90" s="60" t="s">
        <v>2120</v>
      </c>
      <c r="AZ90" s="61" t="s">
        <v>2121</v>
      </c>
      <c r="BA90" s="62" t="s">
        <v>2115</v>
      </c>
      <c r="BB90" s="63" t="s">
        <v>2122</v>
      </c>
      <c r="BC90" s="64" t="s">
        <v>153</v>
      </c>
      <c r="BD90" s="65" t="s">
        <v>180</v>
      </c>
      <c r="BE90" s="66" t="s">
        <v>684</v>
      </c>
      <c r="BF90" s="67" t="s">
        <v>2123</v>
      </c>
      <c r="BG90" s="68" t="s">
        <v>153</v>
      </c>
      <c r="BH90" s="69" t="s">
        <v>153</v>
      </c>
      <c r="BI90" s="70" t="s">
        <v>2124</v>
      </c>
      <c r="BJ90" s="71" t="s">
        <v>153</v>
      </c>
      <c r="BK90" s="72" t="s">
        <v>2125</v>
      </c>
      <c r="BL90" s="73" t="s">
        <v>153</v>
      </c>
      <c r="BM90" s="74" t="s">
        <v>153</v>
      </c>
      <c r="BN90" s="75" t="s">
        <v>2126</v>
      </c>
      <c r="BO90" s="76" t="s">
        <v>2127</v>
      </c>
      <c r="BP90" s="77" t="s">
        <v>153</v>
      </c>
      <c r="BQ90" s="78" t="s">
        <v>153</v>
      </c>
      <c r="BR90" s="79" t="s">
        <v>153</v>
      </c>
      <c r="BS90" s="80" t="s">
        <v>153</v>
      </c>
      <c r="BT90" s="81" t="s">
        <v>153</v>
      </c>
      <c r="BU90" s="82" t="s">
        <v>153</v>
      </c>
      <c r="BV90" s="83" t="s">
        <v>188</v>
      </c>
      <c r="BW90" s="84" t="s">
        <v>153</v>
      </c>
      <c r="BX90" s="85" t="s">
        <v>153</v>
      </c>
      <c r="BY90" s="86" t="s">
        <v>165</v>
      </c>
      <c r="BZ90" s="87" t="s">
        <v>153</v>
      </c>
      <c r="CA90" s="88" t="s">
        <v>394</v>
      </c>
      <c r="CB90" s="89">
        <v>39472</v>
      </c>
      <c r="CC90" s="90">
        <v>29952.43</v>
      </c>
      <c r="CD90" s="91" t="s">
        <v>186</v>
      </c>
      <c r="CE90" s="92">
        <v>29952.43</v>
      </c>
      <c r="CF90" s="93" t="s">
        <v>186</v>
      </c>
      <c r="CG90" s="94" t="s">
        <v>226</v>
      </c>
      <c r="CH90" s="95" t="s">
        <v>153</v>
      </c>
      <c r="CI90" s="96" t="s">
        <v>153</v>
      </c>
      <c r="CJ90" s="97" t="s">
        <v>225</v>
      </c>
      <c r="CK90" s="98">
        <v>39472</v>
      </c>
      <c r="CL90" s="99" t="s">
        <v>153</v>
      </c>
      <c r="CM90" s="100" t="s">
        <v>153</v>
      </c>
      <c r="CN90" s="101" t="s">
        <v>190</v>
      </c>
      <c r="CO90" s="102" t="s">
        <v>153</v>
      </c>
      <c r="CP90" s="103" t="s">
        <v>153</v>
      </c>
      <c r="CQ90" s="104" t="s">
        <v>153</v>
      </c>
      <c r="CR90" s="105" t="s">
        <v>153</v>
      </c>
      <c r="CS90" s="106" t="s">
        <v>153</v>
      </c>
      <c r="CT90" s="107" t="s">
        <v>153</v>
      </c>
      <c r="CU90" s="108" t="s">
        <v>153</v>
      </c>
      <c r="CV90" s="109" t="s">
        <v>153</v>
      </c>
      <c r="CW90" s="110" t="s">
        <v>153</v>
      </c>
      <c r="CX90" s="111" t="s">
        <v>153</v>
      </c>
      <c r="CY90" s="112" t="s">
        <v>153</v>
      </c>
      <c r="CZ90" s="113" t="s">
        <v>153</v>
      </c>
      <c r="DA90" s="114" t="s">
        <v>153</v>
      </c>
      <c r="DB90" s="115" t="s">
        <v>153</v>
      </c>
      <c r="DC90" s="116" t="s">
        <v>153</v>
      </c>
      <c r="DD90" s="117" t="s">
        <v>153</v>
      </c>
      <c r="DE90" s="118" t="s">
        <v>153</v>
      </c>
      <c r="DF90" s="119" t="s">
        <v>153</v>
      </c>
      <c r="DG90" s="120" t="s">
        <v>153</v>
      </c>
      <c r="DH90" s="121" t="s">
        <v>153</v>
      </c>
      <c r="DI90" s="122" t="s">
        <v>153</v>
      </c>
      <c r="DJ90" s="123" t="s">
        <v>153</v>
      </c>
      <c r="DK90" s="124" t="s">
        <v>153</v>
      </c>
      <c r="DL90" s="125" t="s">
        <v>153</v>
      </c>
      <c r="DM90" s="126" t="s">
        <v>153</v>
      </c>
      <c r="DN90" s="127" t="s">
        <v>153</v>
      </c>
      <c r="DO90" s="128" t="s">
        <v>153</v>
      </c>
      <c r="DP90" s="129" t="s">
        <v>153</v>
      </c>
      <c r="DQ90" s="130" t="s">
        <v>153</v>
      </c>
      <c r="DR90" s="131" t="s">
        <v>153</v>
      </c>
      <c r="DS90" s="132" t="s">
        <v>153</v>
      </c>
      <c r="DT90" s="133" t="s">
        <v>153</v>
      </c>
      <c r="DU90" s="134" t="s">
        <v>153</v>
      </c>
      <c r="DV90" s="135" t="s">
        <v>153</v>
      </c>
      <c r="DW90" s="136" t="s">
        <v>153</v>
      </c>
      <c r="DX90" s="137" t="s">
        <v>153</v>
      </c>
      <c r="DY90" s="138" t="s">
        <v>153</v>
      </c>
      <c r="DZ90" s="139" t="s">
        <v>191</v>
      </c>
      <c r="EA90" s="140">
        <v>44341</v>
      </c>
      <c r="EB90" s="141">
        <v>29952.43</v>
      </c>
      <c r="EC90" s="142">
        <v>39472</v>
      </c>
      <c r="ED90" s="143" t="s">
        <v>226</v>
      </c>
      <c r="EE90" s="278" t="str">
        <f>HYPERLINK("https://my.pitchbook.com?c=10227-70", "View company online")</f>
        <v>View company online</v>
      </c>
    </row>
    <row r="91" spans="1:135" x14ac:dyDescent="0.45">
      <c r="A91" s="144" t="s">
        <v>2128</v>
      </c>
      <c r="B91" s="145" t="s">
        <v>2129</v>
      </c>
      <c r="C91" s="146" t="s">
        <v>153</v>
      </c>
      <c r="D91" s="147" t="s">
        <v>153</v>
      </c>
      <c r="E91" s="148" t="s">
        <v>153</v>
      </c>
      <c r="F91" s="149" t="s">
        <v>2130</v>
      </c>
      <c r="G91" s="150" t="s">
        <v>2131</v>
      </c>
      <c r="H91" s="151" t="s">
        <v>2132</v>
      </c>
      <c r="I91" s="152" t="s">
        <v>2128</v>
      </c>
      <c r="J91" s="153" t="s">
        <v>2133</v>
      </c>
      <c r="K91" s="154" t="s">
        <v>257</v>
      </c>
      <c r="L91" s="155" t="s">
        <v>258</v>
      </c>
      <c r="M91" s="156" t="s">
        <v>259</v>
      </c>
      <c r="N91" s="157" t="s">
        <v>2134</v>
      </c>
      <c r="O91" s="158" t="s">
        <v>755</v>
      </c>
      <c r="P91" s="159" t="s">
        <v>2135</v>
      </c>
      <c r="Q91" s="160" t="s">
        <v>289</v>
      </c>
      <c r="R91" s="161">
        <v>209.95</v>
      </c>
      <c r="S91" s="162" t="s">
        <v>290</v>
      </c>
      <c r="T91" s="163" t="s">
        <v>164</v>
      </c>
      <c r="U91" s="164" t="s">
        <v>482</v>
      </c>
      <c r="V91" s="165" t="s">
        <v>2136</v>
      </c>
      <c r="W91" s="166">
        <v>2500</v>
      </c>
      <c r="X91" s="167" t="s">
        <v>2137</v>
      </c>
      <c r="Y91" s="168" t="s">
        <v>153</v>
      </c>
      <c r="Z91" s="169" t="s">
        <v>153</v>
      </c>
      <c r="AA91" s="170">
        <v>1997</v>
      </c>
      <c r="AB91" s="171" t="s">
        <v>2138</v>
      </c>
      <c r="AC91" s="172" t="s">
        <v>153</v>
      </c>
      <c r="AD91" s="173" t="s">
        <v>428</v>
      </c>
      <c r="AE91" s="174" t="s">
        <v>153</v>
      </c>
      <c r="AF91" s="175" t="s">
        <v>153</v>
      </c>
      <c r="AG91" s="176" t="s">
        <v>153</v>
      </c>
      <c r="AH91" s="177" t="s">
        <v>153</v>
      </c>
      <c r="AI91" s="178" t="s">
        <v>153</v>
      </c>
      <c r="AJ91" s="179" t="s">
        <v>153</v>
      </c>
      <c r="AK91" s="180" t="s">
        <v>153</v>
      </c>
      <c r="AL91" s="181" t="s">
        <v>153</v>
      </c>
      <c r="AM91" s="182" t="s">
        <v>153</v>
      </c>
      <c r="AN91" s="183" t="s">
        <v>2139</v>
      </c>
      <c r="AO91" s="184" t="s">
        <v>2140</v>
      </c>
      <c r="AP91" s="185" t="s">
        <v>2141</v>
      </c>
      <c r="AQ91" s="186" t="s">
        <v>2142</v>
      </c>
      <c r="AR91" s="187" t="s">
        <v>2143</v>
      </c>
      <c r="AS91" s="188" t="s">
        <v>2144</v>
      </c>
      <c r="AT91" s="189" t="s">
        <v>2145</v>
      </c>
      <c r="AU91" s="190" t="s">
        <v>2146</v>
      </c>
      <c r="AV91" s="191" t="s">
        <v>153</v>
      </c>
      <c r="AW91" s="192" t="s">
        <v>2147</v>
      </c>
      <c r="AX91" s="193" t="s">
        <v>153</v>
      </c>
      <c r="AY91" s="194" t="s">
        <v>2148</v>
      </c>
      <c r="AZ91" s="195" t="s">
        <v>1426</v>
      </c>
      <c r="BA91" s="196" t="s">
        <v>2149</v>
      </c>
      <c r="BB91" s="197" t="s">
        <v>2150</v>
      </c>
      <c r="BC91" s="198" t="s">
        <v>153</v>
      </c>
      <c r="BD91" s="199" t="s">
        <v>180</v>
      </c>
      <c r="BE91" s="200" t="s">
        <v>181</v>
      </c>
      <c r="BF91" s="201" t="s">
        <v>2151</v>
      </c>
      <c r="BG91" s="202" t="s">
        <v>153</v>
      </c>
      <c r="BH91" s="203" t="s">
        <v>153</v>
      </c>
      <c r="BI91" s="204" t="s">
        <v>2138</v>
      </c>
      <c r="BJ91" s="205" t="s">
        <v>2152</v>
      </c>
      <c r="BK91" s="206" t="s">
        <v>153</v>
      </c>
      <c r="BL91" s="207" t="s">
        <v>153</v>
      </c>
      <c r="BM91" s="208" t="s">
        <v>2153</v>
      </c>
      <c r="BN91" s="209" t="s">
        <v>153</v>
      </c>
      <c r="BO91" s="210" t="s">
        <v>2154</v>
      </c>
      <c r="BP91" s="211" t="s">
        <v>2155</v>
      </c>
      <c r="BQ91" s="212">
        <v>35886</v>
      </c>
      <c r="BR91" s="213">
        <v>12.06</v>
      </c>
      <c r="BS91" s="214" t="s">
        <v>186</v>
      </c>
      <c r="BT91" s="215" t="s">
        <v>153</v>
      </c>
      <c r="BU91" s="216" t="s">
        <v>153</v>
      </c>
      <c r="BV91" s="217" t="s">
        <v>471</v>
      </c>
      <c r="BW91" s="218" t="s">
        <v>1811</v>
      </c>
      <c r="BX91" s="219" t="s">
        <v>153</v>
      </c>
      <c r="BY91" s="220" t="s">
        <v>472</v>
      </c>
      <c r="BZ91" s="221" t="s">
        <v>153</v>
      </c>
      <c r="CA91" s="222" t="s">
        <v>190</v>
      </c>
      <c r="CB91" s="223">
        <v>42902</v>
      </c>
      <c r="CC91" s="224">
        <v>29600</v>
      </c>
      <c r="CD91" s="225" t="s">
        <v>186</v>
      </c>
      <c r="CE91" s="226">
        <v>29600</v>
      </c>
      <c r="CF91" s="227" t="s">
        <v>187</v>
      </c>
      <c r="CG91" s="228" t="s">
        <v>226</v>
      </c>
      <c r="CH91" s="229" t="s">
        <v>153</v>
      </c>
      <c r="CI91" s="230" t="s">
        <v>153</v>
      </c>
      <c r="CJ91" s="231" t="s">
        <v>225</v>
      </c>
      <c r="CK91" s="232">
        <v>42902</v>
      </c>
      <c r="CL91" s="233" t="s">
        <v>153</v>
      </c>
      <c r="CM91" s="234" t="s">
        <v>153</v>
      </c>
      <c r="CN91" s="235" t="s">
        <v>190</v>
      </c>
      <c r="CO91" s="236" t="s">
        <v>153</v>
      </c>
      <c r="CP91" s="237" t="s">
        <v>153</v>
      </c>
      <c r="CQ91" s="238" t="s">
        <v>153</v>
      </c>
      <c r="CR91" s="239" t="s">
        <v>153</v>
      </c>
      <c r="CS91" s="240" t="s">
        <v>153</v>
      </c>
      <c r="CT91" s="241" t="s">
        <v>153</v>
      </c>
      <c r="CU91" s="242" t="s">
        <v>153</v>
      </c>
      <c r="CV91" s="243" t="s">
        <v>153</v>
      </c>
      <c r="CW91" s="244" t="s">
        <v>153</v>
      </c>
      <c r="CX91" s="245" t="s">
        <v>153</v>
      </c>
      <c r="CY91" s="246" t="s">
        <v>153</v>
      </c>
      <c r="CZ91" s="247" t="s">
        <v>153</v>
      </c>
      <c r="DA91" s="248" t="s">
        <v>153</v>
      </c>
      <c r="DB91" s="249" t="s">
        <v>153</v>
      </c>
      <c r="DC91" s="250" t="s">
        <v>153</v>
      </c>
      <c r="DD91" s="251" t="s">
        <v>153</v>
      </c>
      <c r="DE91" s="252" t="s">
        <v>153</v>
      </c>
      <c r="DF91" s="253" t="s">
        <v>153</v>
      </c>
      <c r="DG91" s="254" t="s">
        <v>153</v>
      </c>
      <c r="DH91" s="255" t="s">
        <v>153</v>
      </c>
      <c r="DI91" s="256" t="s">
        <v>153</v>
      </c>
      <c r="DJ91" s="257" t="s">
        <v>153</v>
      </c>
      <c r="DK91" s="258" t="s">
        <v>153</v>
      </c>
      <c r="DL91" s="259" t="s">
        <v>153</v>
      </c>
      <c r="DM91" s="260" t="s">
        <v>153</v>
      </c>
      <c r="DN91" s="261" t="s">
        <v>153</v>
      </c>
      <c r="DO91" s="262" t="s">
        <v>153</v>
      </c>
      <c r="DP91" s="263" t="s">
        <v>153</v>
      </c>
      <c r="DQ91" s="264" t="s">
        <v>153</v>
      </c>
      <c r="DR91" s="265" t="s">
        <v>153</v>
      </c>
      <c r="DS91" s="266" t="s">
        <v>153</v>
      </c>
      <c r="DT91" s="267" t="s">
        <v>153</v>
      </c>
      <c r="DU91" s="268" t="s">
        <v>153</v>
      </c>
      <c r="DV91" s="269" t="s">
        <v>153</v>
      </c>
      <c r="DW91" s="270" t="s">
        <v>153</v>
      </c>
      <c r="DX91" s="271" t="s">
        <v>153</v>
      </c>
      <c r="DY91" s="272" t="s">
        <v>153</v>
      </c>
      <c r="DZ91" s="273" t="s">
        <v>191</v>
      </c>
      <c r="EA91" s="274">
        <v>44287</v>
      </c>
      <c r="EB91" s="275">
        <v>29600</v>
      </c>
      <c r="EC91" s="276">
        <v>42902</v>
      </c>
      <c r="ED91" s="277" t="s">
        <v>226</v>
      </c>
      <c r="EE91" s="279" t="str">
        <f>HYPERLINK("https://my.pitchbook.com?c=52845-94", "View company online")</f>
        <v>View company online</v>
      </c>
    </row>
    <row r="92" spans="1:135" x14ac:dyDescent="0.45">
      <c r="A92" s="10" t="s">
        <v>2156</v>
      </c>
      <c r="B92" s="11" t="s">
        <v>2157</v>
      </c>
      <c r="C92" s="12" t="s">
        <v>153</v>
      </c>
      <c r="D92" s="13" t="s">
        <v>153</v>
      </c>
      <c r="E92" s="14" t="s">
        <v>153</v>
      </c>
      <c r="F92" s="15" t="s">
        <v>2158</v>
      </c>
      <c r="G92" s="16" t="s">
        <v>2159</v>
      </c>
      <c r="H92" s="17" t="s">
        <v>2160</v>
      </c>
      <c r="I92" s="18" t="s">
        <v>2156</v>
      </c>
      <c r="J92" s="19" t="s">
        <v>2161</v>
      </c>
      <c r="K92" s="20" t="s">
        <v>232</v>
      </c>
      <c r="L92" s="21" t="s">
        <v>2162</v>
      </c>
      <c r="M92" s="22" t="s">
        <v>2163</v>
      </c>
      <c r="N92" s="23" t="s">
        <v>2164</v>
      </c>
      <c r="O92" s="24" t="s">
        <v>153</v>
      </c>
      <c r="P92" s="25" t="s">
        <v>2165</v>
      </c>
      <c r="Q92" s="26" t="s">
        <v>204</v>
      </c>
      <c r="R92" s="27" t="s">
        <v>153</v>
      </c>
      <c r="S92" s="28" t="s">
        <v>163</v>
      </c>
      <c r="T92" s="29" t="s">
        <v>164</v>
      </c>
      <c r="U92" s="30" t="s">
        <v>237</v>
      </c>
      <c r="V92" s="31" t="s">
        <v>153</v>
      </c>
      <c r="W92" s="32">
        <v>30000</v>
      </c>
      <c r="X92" s="33" t="s">
        <v>2166</v>
      </c>
      <c r="Y92" s="34" t="s">
        <v>153</v>
      </c>
      <c r="Z92" s="35" t="s">
        <v>153</v>
      </c>
      <c r="AA92" s="36">
        <v>1967</v>
      </c>
      <c r="AB92" s="37" t="s">
        <v>2158</v>
      </c>
      <c r="AC92" s="38" t="s">
        <v>153</v>
      </c>
      <c r="AD92" s="39" t="s">
        <v>153</v>
      </c>
      <c r="AE92" s="40" t="s">
        <v>153</v>
      </c>
      <c r="AF92" s="41" t="s">
        <v>153</v>
      </c>
      <c r="AG92" s="42" t="s">
        <v>153</v>
      </c>
      <c r="AH92" s="43" t="s">
        <v>153</v>
      </c>
      <c r="AI92" s="44" t="s">
        <v>153</v>
      </c>
      <c r="AJ92" s="45" t="s">
        <v>153</v>
      </c>
      <c r="AK92" s="46" t="s">
        <v>153</v>
      </c>
      <c r="AL92" s="47" t="s">
        <v>153</v>
      </c>
      <c r="AM92" s="48" t="s">
        <v>153</v>
      </c>
      <c r="AN92" s="49" t="s">
        <v>1595</v>
      </c>
      <c r="AO92" s="50" t="s">
        <v>2167</v>
      </c>
      <c r="AP92" s="51" t="s">
        <v>2168</v>
      </c>
      <c r="AQ92" s="52" t="s">
        <v>1241</v>
      </c>
      <c r="AR92" s="53" t="s">
        <v>153</v>
      </c>
      <c r="AS92" s="54" t="s">
        <v>2169</v>
      </c>
      <c r="AT92" s="55" t="s">
        <v>2170</v>
      </c>
      <c r="AU92" s="56" t="s">
        <v>2171</v>
      </c>
      <c r="AV92" s="57" t="s">
        <v>153</v>
      </c>
      <c r="AW92" s="58" t="s">
        <v>2172</v>
      </c>
      <c r="AX92" s="59" t="s">
        <v>273</v>
      </c>
      <c r="AY92" s="60" t="s">
        <v>2173</v>
      </c>
      <c r="AZ92" s="61" t="s">
        <v>215</v>
      </c>
      <c r="BA92" s="62" t="s">
        <v>2169</v>
      </c>
      <c r="BB92" s="63" t="s">
        <v>2174</v>
      </c>
      <c r="BC92" s="64" t="s">
        <v>2175</v>
      </c>
      <c r="BD92" s="65" t="s">
        <v>216</v>
      </c>
      <c r="BE92" s="66" t="s">
        <v>217</v>
      </c>
      <c r="BF92" s="67" t="s">
        <v>2176</v>
      </c>
      <c r="BG92" s="68" t="s">
        <v>153</v>
      </c>
      <c r="BH92" s="69" t="s">
        <v>153</v>
      </c>
      <c r="BI92" s="70" t="s">
        <v>2158</v>
      </c>
      <c r="BJ92" s="71" t="s">
        <v>153</v>
      </c>
      <c r="BK92" s="72" t="s">
        <v>2177</v>
      </c>
      <c r="BL92" s="73" t="s">
        <v>153</v>
      </c>
      <c r="BM92" s="74" t="s">
        <v>153</v>
      </c>
      <c r="BN92" s="75" t="s">
        <v>2178</v>
      </c>
      <c r="BO92" s="76" t="s">
        <v>2179</v>
      </c>
      <c r="BP92" s="77" t="s">
        <v>2180</v>
      </c>
      <c r="BQ92" s="78">
        <v>30682</v>
      </c>
      <c r="BR92" s="79" t="s">
        <v>153</v>
      </c>
      <c r="BS92" s="80" t="s">
        <v>153</v>
      </c>
      <c r="BT92" s="81" t="s">
        <v>153</v>
      </c>
      <c r="BU92" s="82" t="s">
        <v>153</v>
      </c>
      <c r="BV92" s="83" t="s">
        <v>251</v>
      </c>
      <c r="BW92" s="84" t="s">
        <v>153</v>
      </c>
      <c r="BX92" s="85" t="s">
        <v>153</v>
      </c>
      <c r="BY92" s="86" t="s">
        <v>252</v>
      </c>
      <c r="BZ92" s="87" t="s">
        <v>153</v>
      </c>
      <c r="CA92" s="88" t="s">
        <v>190</v>
      </c>
      <c r="CB92" s="89">
        <v>42383</v>
      </c>
      <c r="CC92" s="90">
        <v>29500</v>
      </c>
      <c r="CD92" s="91" t="s">
        <v>187</v>
      </c>
      <c r="CE92" s="92">
        <v>29500</v>
      </c>
      <c r="CF92" s="93" t="s">
        <v>187</v>
      </c>
      <c r="CG92" s="94" t="s">
        <v>226</v>
      </c>
      <c r="CH92" s="95" t="s">
        <v>153</v>
      </c>
      <c r="CI92" s="96" t="s">
        <v>153</v>
      </c>
      <c r="CJ92" s="97" t="s">
        <v>225</v>
      </c>
      <c r="CK92" s="98">
        <v>42383</v>
      </c>
      <c r="CL92" s="99" t="s">
        <v>153</v>
      </c>
      <c r="CM92" s="100" t="s">
        <v>153</v>
      </c>
      <c r="CN92" s="101" t="s">
        <v>190</v>
      </c>
      <c r="CO92" s="102">
        <v>-0.01</v>
      </c>
      <c r="CP92" s="103">
        <v>11</v>
      </c>
      <c r="CQ92" s="104">
        <v>0</v>
      </c>
      <c r="CR92" s="105">
        <v>0</v>
      </c>
      <c r="CS92" s="106" t="s">
        <v>153</v>
      </c>
      <c r="CT92" s="107" t="s">
        <v>153</v>
      </c>
      <c r="CU92" s="108" t="s">
        <v>153</v>
      </c>
      <c r="CV92" s="109" t="s">
        <v>153</v>
      </c>
      <c r="CW92" s="110" t="s">
        <v>153</v>
      </c>
      <c r="CX92" s="111" t="s">
        <v>153</v>
      </c>
      <c r="CY92" s="112" t="s">
        <v>153</v>
      </c>
      <c r="CZ92" s="113" t="s">
        <v>153</v>
      </c>
      <c r="DA92" s="114" t="s">
        <v>153</v>
      </c>
      <c r="DB92" s="115" t="s">
        <v>153</v>
      </c>
      <c r="DC92" s="116">
        <v>810.81</v>
      </c>
      <c r="DD92" s="117">
        <v>100</v>
      </c>
      <c r="DE92" s="118">
        <v>0</v>
      </c>
      <c r="DF92" s="119">
        <v>0</v>
      </c>
      <c r="DG92" s="120" t="s">
        <v>153</v>
      </c>
      <c r="DH92" s="121" t="s">
        <v>153</v>
      </c>
      <c r="DI92" s="122" t="s">
        <v>153</v>
      </c>
      <c r="DJ92" s="123" t="s">
        <v>153</v>
      </c>
      <c r="DK92" s="124" t="s">
        <v>153</v>
      </c>
      <c r="DL92" s="125" t="s">
        <v>153</v>
      </c>
      <c r="DM92" s="126" t="s">
        <v>153</v>
      </c>
      <c r="DN92" s="127" t="s">
        <v>153</v>
      </c>
      <c r="DO92" s="128" t="s">
        <v>153</v>
      </c>
      <c r="DP92" s="129" t="s">
        <v>153</v>
      </c>
      <c r="DQ92" s="130" t="s">
        <v>153</v>
      </c>
      <c r="DR92" s="131" t="s">
        <v>153</v>
      </c>
      <c r="DS92" s="132" t="s">
        <v>153</v>
      </c>
      <c r="DT92" s="133" t="s">
        <v>153</v>
      </c>
      <c r="DU92" s="134" t="s">
        <v>153</v>
      </c>
      <c r="DV92" s="135" t="s">
        <v>153</v>
      </c>
      <c r="DW92" s="136" t="s">
        <v>153</v>
      </c>
      <c r="DX92" s="137" t="s">
        <v>153</v>
      </c>
      <c r="DY92" s="138" t="s">
        <v>153</v>
      </c>
      <c r="DZ92" s="139" t="s">
        <v>191</v>
      </c>
      <c r="EA92" s="140">
        <v>44327</v>
      </c>
      <c r="EB92" s="141">
        <v>29500</v>
      </c>
      <c r="EC92" s="142">
        <v>42383</v>
      </c>
      <c r="ED92" s="143" t="s">
        <v>226</v>
      </c>
      <c r="EE92" s="278" t="str">
        <f>HYPERLINK("https://my.pitchbook.com?c=10709-74", "View company online")</f>
        <v>View company online</v>
      </c>
    </row>
    <row r="93" spans="1:135" x14ac:dyDescent="0.45">
      <c r="A93" s="144" t="s">
        <v>2181</v>
      </c>
      <c r="B93" s="145" t="s">
        <v>2182</v>
      </c>
      <c r="C93" s="146" t="s">
        <v>153</v>
      </c>
      <c r="D93" s="147" t="s">
        <v>153</v>
      </c>
      <c r="E93" s="148" t="s">
        <v>2183</v>
      </c>
      <c r="F93" s="149" t="s">
        <v>153</v>
      </c>
      <c r="G93" s="150" t="s">
        <v>2184</v>
      </c>
      <c r="H93" s="151" t="s">
        <v>153</v>
      </c>
      <c r="I93" s="152" t="s">
        <v>2181</v>
      </c>
      <c r="J93" s="153" t="s">
        <v>2185</v>
      </c>
      <c r="K93" s="154" t="s">
        <v>559</v>
      </c>
      <c r="L93" s="155" t="s">
        <v>1345</v>
      </c>
      <c r="M93" s="156" t="s">
        <v>2186</v>
      </c>
      <c r="N93" s="157" t="s">
        <v>2187</v>
      </c>
      <c r="O93" s="158" t="s">
        <v>153</v>
      </c>
      <c r="P93" s="159" t="s">
        <v>2188</v>
      </c>
      <c r="Q93" s="160" t="s">
        <v>564</v>
      </c>
      <c r="R93" s="161">
        <v>1238.3499999999999</v>
      </c>
      <c r="S93" s="162" t="s">
        <v>290</v>
      </c>
      <c r="T93" s="163" t="s">
        <v>205</v>
      </c>
      <c r="U93" s="164" t="s">
        <v>565</v>
      </c>
      <c r="V93" s="165" t="s">
        <v>153</v>
      </c>
      <c r="W93" s="166">
        <v>38000</v>
      </c>
      <c r="X93" s="167" t="s">
        <v>2189</v>
      </c>
      <c r="Y93" s="168" t="s">
        <v>153</v>
      </c>
      <c r="Z93" s="169" t="s">
        <v>153</v>
      </c>
      <c r="AA93" s="170">
        <v>1926</v>
      </c>
      <c r="AB93" s="171" t="s">
        <v>153</v>
      </c>
      <c r="AC93" s="172" t="s">
        <v>153</v>
      </c>
      <c r="AD93" s="173" t="s">
        <v>153</v>
      </c>
      <c r="AE93" s="174" t="s">
        <v>153</v>
      </c>
      <c r="AF93" s="175" t="s">
        <v>153</v>
      </c>
      <c r="AG93" s="176" t="s">
        <v>153</v>
      </c>
      <c r="AH93" s="177" t="s">
        <v>153</v>
      </c>
      <c r="AI93" s="178" t="s">
        <v>153</v>
      </c>
      <c r="AJ93" s="179" t="s">
        <v>153</v>
      </c>
      <c r="AK93" s="180" t="s">
        <v>153</v>
      </c>
      <c r="AL93" s="181" t="s">
        <v>153</v>
      </c>
      <c r="AM93" s="182" t="s">
        <v>153</v>
      </c>
      <c r="AN93" s="183" t="s">
        <v>1421</v>
      </c>
      <c r="AO93" s="184" t="s">
        <v>2190</v>
      </c>
      <c r="AP93" s="185" t="s">
        <v>2191</v>
      </c>
      <c r="AQ93" s="186" t="s">
        <v>171</v>
      </c>
      <c r="AR93" s="187" t="s">
        <v>153</v>
      </c>
      <c r="AS93" s="188" t="s">
        <v>153</v>
      </c>
      <c r="AT93" s="189" t="s">
        <v>1422</v>
      </c>
      <c r="AU93" s="190" t="s">
        <v>2192</v>
      </c>
      <c r="AV93" s="191" t="s">
        <v>153</v>
      </c>
      <c r="AW93" s="192" t="s">
        <v>1424</v>
      </c>
      <c r="AX93" s="193" t="s">
        <v>153</v>
      </c>
      <c r="AY93" s="194" t="s">
        <v>1425</v>
      </c>
      <c r="AZ93" s="195" t="s">
        <v>1426</v>
      </c>
      <c r="BA93" s="196" t="s">
        <v>153</v>
      </c>
      <c r="BB93" s="197" t="s">
        <v>153</v>
      </c>
      <c r="BC93" s="198" t="s">
        <v>153</v>
      </c>
      <c r="BD93" s="199" t="s">
        <v>180</v>
      </c>
      <c r="BE93" s="200" t="s">
        <v>181</v>
      </c>
      <c r="BF93" s="201" t="s">
        <v>2193</v>
      </c>
      <c r="BG93" s="202" t="s">
        <v>153</v>
      </c>
      <c r="BH93" s="203" t="s">
        <v>153</v>
      </c>
      <c r="BI93" s="204" t="s">
        <v>2194</v>
      </c>
      <c r="BJ93" s="205" t="s">
        <v>2195</v>
      </c>
      <c r="BK93" s="206" t="s">
        <v>153</v>
      </c>
      <c r="BL93" s="207" t="s">
        <v>153</v>
      </c>
      <c r="BM93" s="208" t="s">
        <v>2196</v>
      </c>
      <c r="BN93" s="209" t="s">
        <v>153</v>
      </c>
      <c r="BO93" s="210" t="s">
        <v>2197</v>
      </c>
      <c r="BP93" s="211" t="s">
        <v>2198</v>
      </c>
      <c r="BQ93" s="212">
        <v>37335</v>
      </c>
      <c r="BR93" s="213">
        <v>2087.86</v>
      </c>
      <c r="BS93" s="214" t="s">
        <v>187</v>
      </c>
      <c r="BT93" s="215">
        <v>2818.32</v>
      </c>
      <c r="BU93" s="216" t="s">
        <v>187</v>
      </c>
      <c r="BV93" s="217" t="s">
        <v>251</v>
      </c>
      <c r="BW93" s="218" t="s">
        <v>153</v>
      </c>
      <c r="BX93" s="219" t="s">
        <v>153</v>
      </c>
      <c r="BY93" s="220" t="s">
        <v>252</v>
      </c>
      <c r="BZ93" s="221" t="s">
        <v>153</v>
      </c>
      <c r="CA93" s="222" t="s">
        <v>190</v>
      </c>
      <c r="CB93" s="223">
        <v>41396</v>
      </c>
      <c r="CC93" s="224">
        <v>29500</v>
      </c>
      <c r="CD93" s="225" t="s">
        <v>186</v>
      </c>
      <c r="CE93" s="226">
        <v>44696.97</v>
      </c>
      <c r="CF93" s="227" t="s">
        <v>187</v>
      </c>
      <c r="CG93" s="228" t="s">
        <v>226</v>
      </c>
      <c r="CH93" s="229" t="s">
        <v>153</v>
      </c>
      <c r="CI93" s="230" t="s">
        <v>153</v>
      </c>
      <c r="CJ93" s="231" t="s">
        <v>225</v>
      </c>
      <c r="CK93" s="232">
        <v>41396</v>
      </c>
      <c r="CL93" s="233" t="s">
        <v>153</v>
      </c>
      <c r="CM93" s="234" t="s">
        <v>153</v>
      </c>
      <c r="CN93" s="235" t="s">
        <v>190</v>
      </c>
      <c r="CO93" s="236" t="s">
        <v>153</v>
      </c>
      <c r="CP93" s="237" t="s">
        <v>153</v>
      </c>
      <c r="CQ93" s="238" t="s">
        <v>153</v>
      </c>
      <c r="CR93" s="239" t="s">
        <v>153</v>
      </c>
      <c r="CS93" s="240" t="s">
        <v>153</v>
      </c>
      <c r="CT93" s="241" t="s">
        <v>153</v>
      </c>
      <c r="CU93" s="242" t="s">
        <v>153</v>
      </c>
      <c r="CV93" s="243" t="s">
        <v>153</v>
      </c>
      <c r="CW93" s="244" t="s">
        <v>153</v>
      </c>
      <c r="CX93" s="245" t="s">
        <v>153</v>
      </c>
      <c r="CY93" s="246" t="s">
        <v>153</v>
      </c>
      <c r="CZ93" s="247" t="s">
        <v>153</v>
      </c>
      <c r="DA93" s="248" t="s">
        <v>153</v>
      </c>
      <c r="DB93" s="249" t="s">
        <v>153</v>
      </c>
      <c r="DC93" s="250" t="s">
        <v>153</v>
      </c>
      <c r="DD93" s="251" t="s">
        <v>153</v>
      </c>
      <c r="DE93" s="252" t="s">
        <v>153</v>
      </c>
      <c r="DF93" s="253" t="s">
        <v>153</v>
      </c>
      <c r="DG93" s="254" t="s">
        <v>153</v>
      </c>
      <c r="DH93" s="255" t="s">
        <v>153</v>
      </c>
      <c r="DI93" s="256" t="s">
        <v>153</v>
      </c>
      <c r="DJ93" s="257" t="s">
        <v>153</v>
      </c>
      <c r="DK93" s="258" t="s">
        <v>153</v>
      </c>
      <c r="DL93" s="259" t="s">
        <v>153</v>
      </c>
      <c r="DM93" s="260" t="s">
        <v>153</v>
      </c>
      <c r="DN93" s="261" t="s">
        <v>153</v>
      </c>
      <c r="DO93" s="262" t="s">
        <v>153</v>
      </c>
      <c r="DP93" s="263" t="s">
        <v>153</v>
      </c>
      <c r="DQ93" s="264" t="s">
        <v>153</v>
      </c>
      <c r="DR93" s="265" t="s">
        <v>153</v>
      </c>
      <c r="DS93" s="266" t="s">
        <v>153</v>
      </c>
      <c r="DT93" s="267" t="s">
        <v>153</v>
      </c>
      <c r="DU93" s="268" t="s">
        <v>153</v>
      </c>
      <c r="DV93" s="269" t="s">
        <v>153</v>
      </c>
      <c r="DW93" s="270" t="s">
        <v>153</v>
      </c>
      <c r="DX93" s="271" t="s">
        <v>153</v>
      </c>
      <c r="DY93" s="272" t="s">
        <v>153</v>
      </c>
      <c r="DZ93" s="273" t="s">
        <v>191</v>
      </c>
      <c r="EA93" s="274">
        <v>44217</v>
      </c>
      <c r="EB93" s="275">
        <v>44696.97</v>
      </c>
      <c r="EC93" s="276">
        <v>41396</v>
      </c>
      <c r="ED93" s="277" t="s">
        <v>226</v>
      </c>
      <c r="EE93" s="279" t="str">
        <f>HYPERLINK("https://my.pitchbook.com?c=42942-34", "View company online")</f>
        <v>View company online</v>
      </c>
    </row>
    <row r="94" spans="1:135" x14ac:dyDescent="0.45">
      <c r="A94" s="10" t="s">
        <v>2199</v>
      </c>
      <c r="B94" s="11" t="s">
        <v>2200</v>
      </c>
      <c r="C94" s="12" t="s">
        <v>153</v>
      </c>
      <c r="D94" s="13" t="s">
        <v>153</v>
      </c>
      <c r="E94" s="14" t="s">
        <v>2201</v>
      </c>
      <c r="F94" s="15" t="s">
        <v>2202</v>
      </c>
      <c r="G94" s="16" t="s">
        <v>2203</v>
      </c>
      <c r="H94" s="17" t="s">
        <v>153</v>
      </c>
      <c r="I94" s="18" t="s">
        <v>2199</v>
      </c>
      <c r="J94" s="19" t="s">
        <v>2204</v>
      </c>
      <c r="K94" s="20" t="s">
        <v>257</v>
      </c>
      <c r="L94" s="21" t="s">
        <v>530</v>
      </c>
      <c r="M94" s="22" t="s">
        <v>960</v>
      </c>
      <c r="N94" s="23" t="s">
        <v>2205</v>
      </c>
      <c r="O94" s="24" t="s">
        <v>153</v>
      </c>
      <c r="P94" s="25" t="s">
        <v>2206</v>
      </c>
      <c r="Q94" s="26" t="s">
        <v>204</v>
      </c>
      <c r="R94" s="27" t="s">
        <v>153</v>
      </c>
      <c r="S94" s="28" t="s">
        <v>290</v>
      </c>
      <c r="T94" s="29" t="s">
        <v>205</v>
      </c>
      <c r="U94" s="30" t="s">
        <v>237</v>
      </c>
      <c r="V94" s="31" t="s">
        <v>153</v>
      </c>
      <c r="W94" s="32">
        <v>23200</v>
      </c>
      <c r="X94" s="33" t="s">
        <v>2207</v>
      </c>
      <c r="Y94" s="34" t="s">
        <v>153</v>
      </c>
      <c r="Z94" s="35" t="s">
        <v>153</v>
      </c>
      <c r="AA94" s="36">
        <v>1983</v>
      </c>
      <c r="AB94" s="37" t="s">
        <v>153</v>
      </c>
      <c r="AC94" s="38" t="s">
        <v>153</v>
      </c>
      <c r="AD94" s="39" t="s">
        <v>153</v>
      </c>
      <c r="AE94" s="40" t="s">
        <v>153</v>
      </c>
      <c r="AF94" s="41" t="s">
        <v>153</v>
      </c>
      <c r="AG94" s="42" t="s">
        <v>153</v>
      </c>
      <c r="AH94" s="43" t="s">
        <v>153</v>
      </c>
      <c r="AI94" s="44" t="s">
        <v>153</v>
      </c>
      <c r="AJ94" s="45" t="s">
        <v>153</v>
      </c>
      <c r="AK94" s="46" t="s">
        <v>153</v>
      </c>
      <c r="AL94" s="47" t="s">
        <v>153</v>
      </c>
      <c r="AM94" s="48" t="s">
        <v>153</v>
      </c>
      <c r="AN94" s="49" t="s">
        <v>330</v>
      </c>
      <c r="AO94" s="50" t="s">
        <v>153</v>
      </c>
      <c r="AP94" s="51" t="s">
        <v>153</v>
      </c>
      <c r="AQ94" s="52" t="s">
        <v>153</v>
      </c>
      <c r="AR94" s="53" t="s">
        <v>153</v>
      </c>
      <c r="AS94" s="54" t="s">
        <v>153</v>
      </c>
      <c r="AT94" s="55" t="s">
        <v>2208</v>
      </c>
      <c r="AU94" s="56" t="s">
        <v>2209</v>
      </c>
      <c r="AV94" s="57" t="s">
        <v>153</v>
      </c>
      <c r="AW94" s="58" t="s">
        <v>2210</v>
      </c>
      <c r="AX94" s="59" t="s">
        <v>273</v>
      </c>
      <c r="AY94" s="60" t="s">
        <v>2211</v>
      </c>
      <c r="AZ94" s="61" t="s">
        <v>215</v>
      </c>
      <c r="BA94" s="62" t="s">
        <v>153</v>
      </c>
      <c r="BB94" s="63" t="s">
        <v>153</v>
      </c>
      <c r="BC94" s="64" t="s">
        <v>153</v>
      </c>
      <c r="BD94" s="65" t="s">
        <v>216</v>
      </c>
      <c r="BE94" s="66" t="s">
        <v>217</v>
      </c>
      <c r="BF94" s="67" t="s">
        <v>2212</v>
      </c>
      <c r="BG94" s="68" t="s">
        <v>153</v>
      </c>
      <c r="BH94" s="69" t="s">
        <v>153</v>
      </c>
      <c r="BI94" s="70" t="s">
        <v>955</v>
      </c>
      <c r="BJ94" s="71" t="s">
        <v>1201</v>
      </c>
      <c r="BK94" s="72" t="s">
        <v>153</v>
      </c>
      <c r="BL94" s="73" t="s">
        <v>153</v>
      </c>
      <c r="BM94" s="74" t="s">
        <v>2213</v>
      </c>
      <c r="BN94" s="75" t="s">
        <v>153</v>
      </c>
      <c r="BO94" s="76" t="s">
        <v>2214</v>
      </c>
      <c r="BP94" s="77" t="s">
        <v>2215</v>
      </c>
      <c r="BQ94" s="78">
        <v>30682</v>
      </c>
      <c r="BR94" s="79" t="s">
        <v>153</v>
      </c>
      <c r="BS94" s="80" t="s">
        <v>153</v>
      </c>
      <c r="BT94" s="81" t="s">
        <v>153</v>
      </c>
      <c r="BU94" s="82" t="s">
        <v>153</v>
      </c>
      <c r="BV94" s="83" t="s">
        <v>251</v>
      </c>
      <c r="BW94" s="84" t="s">
        <v>153</v>
      </c>
      <c r="BX94" s="85" t="s">
        <v>153</v>
      </c>
      <c r="BY94" s="86" t="s">
        <v>252</v>
      </c>
      <c r="BZ94" s="87" t="s">
        <v>153</v>
      </c>
      <c r="CA94" s="88" t="s">
        <v>190</v>
      </c>
      <c r="CB94" s="89">
        <v>41001</v>
      </c>
      <c r="CC94" s="90">
        <v>29100</v>
      </c>
      <c r="CD94" s="91" t="s">
        <v>186</v>
      </c>
      <c r="CE94" s="92">
        <v>29100</v>
      </c>
      <c r="CF94" s="93" t="s">
        <v>187</v>
      </c>
      <c r="CG94" s="94" t="s">
        <v>226</v>
      </c>
      <c r="CH94" s="95" t="s">
        <v>153</v>
      </c>
      <c r="CI94" s="96" t="s">
        <v>153</v>
      </c>
      <c r="CJ94" s="97" t="s">
        <v>225</v>
      </c>
      <c r="CK94" s="98">
        <v>41001</v>
      </c>
      <c r="CL94" s="99" t="s">
        <v>153</v>
      </c>
      <c r="CM94" s="100" t="s">
        <v>153</v>
      </c>
      <c r="CN94" s="101" t="s">
        <v>190</v>
      </c>
      <c r="CO94" s="102" t="s">
        <v>153</v>
      </c>
      <c r="CP94" s="103" t="s">
        <v>153</v>
      </c>
      <c r="CQ94" s="104" t="s">
        <v>153</v>
      </c>
      <c r="CR94" s="105" t="s">
        <v>153</v>
      </c>
      <c r="CS94" s="106" t="s">
        <v>153</v>
      </c>
      <c r="CT94" s="107" t="s">
        <v>153</v>
      </c>
      <c r="CU94" s="108" t="s">
        <v>153</v>
      </c>
      <c r="CV94" s="109" t="s">
        <v>153</v>
      </c>
      <c r="CW94" s="110" t="s">
        <v>153</v>
      </c>
      <c r="CX94" s="111" t="s">
        <v>153</v>
      </c>
      <c r="CY94" s="112" t="s">
        <v>153</v>
      </c>
      <c r="CZ94" s="113" t="s">
        <v>153</v>
      </c>
      <c r="DA94" s="114" t="s">
        <v>153</v>
      </c>
      <c r="DB94" s="115" t="s">
        <v>153</v>
      </c>
      <c r="DC94" s="116" t="s">
        <v>153</v>
      </c>
      <c r="DD94" s="117" t="s">
        <v>153</v>
      </c>
      <c r="DE94" s="118" t="s">
        <v>153</v>
      </c>
      <c r="DF94" s="119" t="s">
        <v>153</v>
      </c>
      <c r="DG94" s="120" t="s">
        <v>153</v>
      </c>
      <c r="DH94" s="121" t="s">
        <v>153</v>
      </c>
      <c r="DI94" s="122" t="s">
        <v>153</v>
      </c>
      <c r="DJ94" s="123" t="s">
        <v>153</v>
      </c>
      <c r="DK94" s="124" t="s">
        <v>153</v>
      </c>
      <c r="DL94" s="125" t="s">
        <v>153</v>
      </c>
      <c r="DM94" s="126" t="s">
        <v>153</v>
      </c>
      <c r="DN94" s="127" t="s">
        <v>153</v>
      </c>
      <c r="DO94" s="128" t="s">
        <v>153</v>
      </c>
      <c r="DP94" s="129" t="s">
        <v>153</v>
      </c>
      <c r="DQ94" s="130" t="s">
        <v>153</v>
      </c>
      <c r="DR94" s="131" t="s">
        <v>153</v>
      </c>
      <c r="DS94" s="132" t="s">
        <v>153</v>
      </c>
      <c r="DT94" s="133" t="s">
        <v>153</v>
      </c>
      <c r="DU94" s="134" t="s">
        <v>153</v>
      </c>
      <c r="DV94" s="135" t="s">
        <v>153</v>
      </c>
      <c r="DW94" s="136" t="s">
        <v>153</v>
      </c>
      <c r="DX94" s="137" t="s">
        <v>153</v>
      </c>
      <c r="DY94" s="138" t="s">
        <v>153</v>
      </c>
      <c r="DZ94" s="139" t="s">
        <v>191</v>
      </c>
      <c r="EA94" s="140">
        <v>44350</v>
      </c>
      <c r="EB94" s="141">
        <v>29100</v>
      </c>
      <c r="EC94" s="142">
        <v>41001</v>
      </c>
      <c r="ED94" s="143" t="s">
        <v>226</v>
      </c>
      <c r="EE94" s="278" t="str">
        <f>HYPERLINK("https://my.pitchbook.com?c=10557-37", "View company online")</f>
        <v>View company online</v>
      </c>
    </row>
    <row r="95" spans="1:135" x14ac:dyDescent="0.45">
      <c r="A95" s="144" t="s">
        <v>2216</v>
      </c>
      <c r="B95" s="145" t="s">
        <v>2217</v>
      </c>
      <c r="C95" s="146" t="s">
        <v>153</v>
      </c>
      <c r="D95" s="147" t="s">
        <v>153</v>
      </c>
      <c r="E95" s="148" t="s">
        <v>153</v>
      </c>
      <c r="F95" s="149" t="s">
        <v>153</v>
      </c>
      <c r="G95" s="150" t="s">
        <v>2218</v>
      </c>
      <c r="H95" s="151" t="s">
        <v>2219</v>
      </c>
      <c r="I95" s="152" t="s">
        <v>2216</v>
      </c>
      <c r="J95" s="153" t="s">
        <v>2220</v>
      </c>
      <c r="K95" s="154" t="s">
        <v>792</v>
      </c>
      <c r="L95" s="155" t="s">
        <v>793</v>
      </c>
      <c r="M95" s="156" t="s">
        <v>1211</v>
      </c>
      <c r="N95" s="157" t="s">
        <v>2221</v>
      </c>
      <c r="O95" s="158" t="s">
        <v>1119</v>
      </c>
      <c r="P95" s="159" t="s">
        <v>2222</v>
      </c>
      <c r="Q95" s="160" t="s">
        <v>204</v>
      </c>
      <c r="R95" s="161" t="s">
        <v>153</v>
      </c>
      <c r="S95" s="162" t="s">
        <v>290</v>
      </c>
      <c r="T95" s="163" t="s">
        <v>205</v>
      </c>
      <c r="U95" s="164" t="s">
        <v>237</v>
      </c>
      <c r="V95" s="165" t="s">
        <v>2223</v>
      </c>
      <c r="W95" s="166">
        <v>6000</v>
      </c>
      <c r="X95" s="167" t="s">
        <v>2224</v>
      </c>
      <c r="Y95" s="168" t="s">
        <v>153</v>
      </c>
      <c r="Z95" s="169" t="s">
        <v>153</v>
      </c>
      <c r="AA95" s="170">
        <v>2006</v>
      </c>
      <c r="AB95" s="171" t="s">
        <v>153</v>
      </c>
      <c r="AC95" s="172" t="s">
        <v>153</v>
      </c>
      <c r="AD95" s="173" t="s">
        <v>153</v>
      </c>
      <c r="AE95" s="174" t="s">
        <v>153</v>
      </c>
      <c r="AF95" s="175" t="s">
        <v>153</v>
      </c>
      <c r="AG95" s="176" t="s">
        <v>153</v>
      </c>
      <c r="AH95" s="177" t="s">
        <v>153</v>
      </c>
      <c r="AI95" s="178" t="s">
        <v>153</v>
      </c>
      <c r="AJ95" s="179" t="s">
        <v>153</v>
      </c>
      <c r="AK95" s="180" t="s">
        <v>153</v>
      </c>
      <c r="AL95" s="181" t="s">
        <v>153</v>
      </c>
      <c r="AM95" s="182" t="s">
        <v>153</v>
      </c>
      <c r="AN95" s="183" t="s">
        <v>2112</v>
      </c>
      <c r="AO95" s="184" t="s">
        <v>2225</v>
      </c>
      <c r="AP95" s="185" t="s">
        <v>2226</v>
      </c>
      <c r="AQ95" s="186" t="s">
        <v>2227</v>
      </c>
      <c r="AR95" s="187" t="s">
        <v>153</v>
      </c>
      <c r="AS95" s="188" t="s">
        <v>153</v>
      </c>
      <c r="AT95" s="189" t="s">
        <v>1124</v>
      </c>
      <c r="AU95" s="190" t="s">
        <v>2228</v>
      </c>
      <c r="AV95" s="191" t="s">
        <v>153</v>
      </c>
      <c r="AW95" s="192" t="s">
        <v>1127</v>
      </c>
      <c r="AX95" s="193" t="s">
        <v>1128</v>
      </c>
      <c r="AY95" s="194" t="s">
        <v>2229</v>
      </c>
      <c r="AZ95" s="195" t="s">
        <v>215</v>
      </c>
      <c r="BA95" s="196" t="s">
        <v>153</v>
      </c>
      <c r="BB95" s="197" t="s">
        <v>153</v>
      </c>
      <c r="BC95" s="198" t="s">
        <v>153</v>
      </c>
      <c r="BD95" s="199" t="s">
        <v>216</v>
      </c>
      <c r="BE95" s="200" t="s">
        <v>217</v>
      </c>
      <c r="BF95" s="201" t="s">
        <v>2230</v>
      </c>
      <c r="BG95" s="202" t="s">
        <v>153</v>
      </c>
      <c r="BH95" s="203" t="s">
        <v>153</v>
      </c>
      <c r="BI95" s="204" t="s">
        <v>2231</v>
      </c>
      <c r="BJ95" s="205" t="s">
        <v>2232</v>
      </c>
      <c r="BK95" s="206" t="s">
        <v>153</v>
      </c>
      <c r="BL95" s="207" t="s">
        <v>153</v>
      </c>
      <c r="BM95" s="208" t="s">
        <v>2233</v>
      </c>
      <c r="BN95" s="209" t="s">
        <v>153</v>
      </c>
      <c r="BO95" s="210" t="s">
        <v>2234</v>
      </c>
      <c r="BP95" s="211" t="s">
        <v>2235</v>
      </c>
      <c r="BQ95" s="212">
        <v>39065</v>
      </c>
      <c r="BR95" s="213">
        <v>17.64</v>
      </c>
      <c r="BS95" s="214" t="s">
        <v>186</v>
      </c>
      <c r="BT95" s="215" t="s">
        <v>153</v>
      </c>
      <c r="BU95" s="216" t="s">
        <v>153</v>
      </c>
      <c r="BV95" s="217" t="s">
        <v>251</v>
      </c>
      <c r="BW95" s="218" t="s">
        <v>524</v>
      </c>
      <c r="BX95" s="219" t="s">
        <v>153</v>
      </c>
      <c r="BY95" s="220" t="s">
        <v>252</v>
      </c>
      <c r="BZ95" s="221" t="s">
        <v>153</v>
      </c>
      <c r="CA95" s="222" t="s">
        <v>190</v>
      </c>
      <c r="CB95" s="223">
        <v>42793</v>
      </c>
      <c r="CC95" s="224">
        <v>28633.53</v>
      </c>
      <c r="CD95" s="225" t="s">
        <v>186</v>
      </c>
      <c r="CE95" s="226">
        <v>28633.53</v>
      </c>
      <c r="CF95" s="227" t="s">
        <v>186</v>
      </c>
      <c r="CG95" s="228" t="s">
        <v>226</v>
      </c>
      <c r="CH95" s="229" t="s">
        <v>153</v>
      </c>
      <c r="CI95" s="230" t="s">
        <v>153</v>
      </c>
      <c r="CJ95" s="231" t="s">
        <v>225</v>
      </c>
      <c r="CK95" s="232">
        <v>42793</v>
      </c>
      <c r="CL95" s="233" t="s">
        <v>153</v>
      </c>
      <c r="CM95" s="234" t="s">
        <v>153</v>
      </c>
      <c r="CN95" s="235" t="s">
        <v>190</v>
      </c>
      <c r="CO95" s="236" t="s">
        <v>153</v>
      </c>
      <c r="CP95" s="237" t="s">
        <v>153</v>
      </c>
      <c r="CQ95" s="238" t="s">
        <v>153</v>
      </c>
      <c r="CR95" s="239" t="s">
        <v>153</v>
      </c>
      <c r="CS95" s="240" t="s">
        <v>153</v>
      </c>
      <c r="CT95" s="241" t="s">
        <v>153</v>
      </c>
      <c r="CU95" s="242" t="s">
        <v>153</v>
      </c>
      <c r="CV95" s="243" t="s">
        <v>153</v>
      </c>
      <c r="CW95" s="244" t="s">
        <v>153</v>
      </c>
      <c r="CX95" s="245" t="s">
        <v>153</v>
      </c>
      <c r="CY95" s="246" t="s">
        <v>153</v>
      </c>
      <c r="CZ95" s="247" t="s">
        <v>153</v>
      </c>
      <c r="DA95" s="248" t="s">
        <v>153</v>
      </c>
      <c r="DB95" s="249" t="s">
        <v>153</v>
      </c>
      <c r="DC95" s="250" t="s">
        <v>153</v>
      </c>
      <c r="DD95" s="251" t="s">
        <v>153</v>
      </c>
      <c r="DE95" s="252" t="s">
        <v>153</v>
      </c>
      <c r="DF95" s="253" t="s">
        <v>153</v>
      </c>
      <c r="DG95" s="254" t="s">
        <v>153</v>
      </c>
      <c r="DH95" s="255" t="s">
        <v>153</v>
      </c>
      <c r="DI95" s="256" t="s">
        <v>153</v>
      </c>
      <c r="DJ95" s="257" t="s">
        <v>153</v>
      </c>
      <c r="DK95" s="258" t="s">
        <v>153</v>
      </c>
      <c r="DL95" s="259" t="s">
        <v>153</v>
      </c>
      <c r="DM95" s="260" t="s">
        <v>153</v>
      </c>
      <c r="DN95" s="261" t="s">
        <v>153</v>
      </c>
      <c r="DO95" s="262" t="s">
        <v>153</v>
      </c>
      <c r="DP95" s="263" t="s">
        <v>153</v>
      </c>
      <c r="DQ95" s="264" t="s">
        <v>153</v>
      </c>
      <c r="DR95" s="265" t="s">
        <v>153</v>
      </c>
      <c r="DS95" s="266" t="s">
        <v>153</v>
      </c>
      <c r="DT95" s="267" t="s">
        <v>153</v>
      </c>
      <c r="DU95" s="268" t="s">
        <v>153</v>
      </c>
      <c r="DV95" s="269" t="s">
        <v>153</v>
      </c>
      <c r="DW95" s="270" t="s">
        <v>153</v>
      </c>
      <c r="DX95" s="271" t="s">
        <v>153</v>
      </c>
      <c r="DY95" s="272" t="s">
        <v>153</v>
      </c>
      <c r="DZ95" s="273" t="s">
        <v>191</v>
      </c>
      <c r="EA95" s="274">
        <v>44372</v>
      </c>
      <c r="EB95" s="275">
        <v>28633.53</v>
      </c>
      <c r="EC95" s="276">
        <v>42793</v>
      </c>
      <c r="ED95" s="277" t="s">
        <v>226</v>
      </c>
      <c r="EE95" s="279" t="str">
        <f>HYPERLINK("https://my.pitchbook.com?c=41762-62", "View company online")</f>
        <v>View company online</v>
      </c>
    </row>
    <row r="96" spans="1:135" x14ac:dyDescent="0.45">
      <c r="A96" s="10" t="s">
        <v>2236</v>
      </c>
      <c r="B96" s="11" t="s">
        <v>2237</v>
      </c>
      <c r="C96" s="12" t="s">
        <v>153</v>
      </c>
      <c r="D96" s="13" t="s">
        <v>153</v>
      </c>
      <c r="E96" s="14" t="s">
        <v>2238</v>
      </c>
      <c r="F96" s="15" t="s">
        <v>2239</v>
      </c>
      <c r="G96" s="16" t="s">
        <v>2240</v>
      </c>
      <c r="H96" s="17" t="s">
        <v>2241</v>
      </c>
      <c r="I96" s="18" t="s">
        <v>2236</v>
      </c>
      <c r="J96" s="19" t="s">
        <v>2242</v>
      </c>
      <c r="K96" s="20" t="s">
        <v>882</v>
      </c>
      <c r="L96" s="21" t="s">
        <v>883</v>
      </c>
      <c r="M96" s="22" t="s">
        <v>2243</v>
      </c>
      <c r="N96" s="23" t="s">
        <v>2244</v>
      </c>
      <c r="O96" s="24" t="s">
        <v>261</v>
      </c>
      <c r="P96" s="25" t="s">
        <v>2245</v>
      </c>
      <c r="Q96" s="26" t="s">
        <v>204</v>
      </c>
      <c r="R96" s="27" t="s">
        <v>153</v>
      </c>
      <c r="S96" s="28" t="s">
        <v>290</v>
      </c>
      <c r="T96" s="29" t="s">
        <v>205</v>
      </c>
      <c r="U96" s="30" t="s">
        <v>237</v>
      </c>
      <c r="V96" s="31" t="s">
        <v>2246</v>
      </c>
      <c r="W96" s="32">
        <v>57000</v>
      </c>
      <c r="X96" s="33" t="s">
        <v>2247</v>
      </c>
      <c r="Y96" s="34" t="s">
        <v>153</v>
      </c>
      <c r="Z96" s="35" t="s">
        <v>153</v>
      </c>
      <c r="AA96" s="36">
        <v>1960</v>
      </c>
      <c r="AB96" s="37" t="s">
        <v>153</v>
      </c>
      <c r="AC96" s="38" t="s">
        <v>153</v>
      </c>
      <c r="AD96" s="39" t="s">
        <v>153</v>
      </c>
      <c r="AE96" s="40" t="s">
        <v>153</v>
      </c>
      <c r="AF96" s="41" t="s">
        <v>153</v>
      </c>
      <c r="AG96" s="42" t="s">
        <v>153</v>
      </c>
      <c r="AH96" s="43" t="s">
        <v>153</v>
      </c>
      <c r="AI96" s="44" t="s">
        <v>153</v>
      </c>
      <c r="AJ96" s="45" t="s">
        <v>153</v>
      </c>
      <c r="AK96" s="46" t="s">
        <v>153</v>
      </c>
      <c r="AL96" s="47" t="s">
        <v>153</v>
      </c>
      <c r="AM96" s="48" t="s">
        <v>153</v>
      </c>
      <c r="AN96" s="49" t="s">
        <v>1570</v>
      </c>
      <c r="AO96" s="50" t="s">
        <v>153</v>
      </c>
      <c r="AP96" s="51" t="s">
        <v>153</v>
      </c>
      <c r="AQ96" s="52" t="s">
        <v>153</v>
      </c>
      <c r="AR96" s="53" t="s">
        <v>153</v>
      </c>
      <c r="AS96" s="54" t="s">
        <v>153</v>
      </c>
      <c r="AT96" s="55" t="s">
        <v>2248</v>
      </c>
      <c r="AU96" s="56" t="s">
        <v>2249</v>
      </c>
      <c r="AV96" s="57" t="s">
        <v>153</v>
      </c>
      <c r="AW96" s="58" t="s">
        <v>2250</v>
      </c>
      <c r="AX96" s="59" t="s">
        <v>273</v>
      </c>
      <c r="AY96" s="60" t="s">
        <v>2251</v>
      </c>
      <c r="AZ96" s="61" t="s">
        <v>215</v>
      </c>
      <c r="BA96" s="62" t="s">
        <v>153</v>
      </c>
      <c r="BB96" s="63" t="s">
        <v>153</v>
      </c>
      <c r="BC96" s="64" t="s">
        <v>153</v>
      </c>
      <c r="BD96" s="65" t="s">
        <v>216</v>
      </c>
      <c r="BE96" s="66" t="s">
        <v>217</v>
      </c>
      <c r="BF96" s="67" t="s">
        <v>2252</v>
      </c>
      <c r="BG96" s="68" t="s">
        <v>153</v>
      </c>
      <c r="BH96" s="69" t="s">
        <v>153</v>
      </c>
      <c r="BI96" s="70" t="s">
        <v>2253</v>
      </c>
      <c r="BJ96" s="71" t="s">
        <v>153</v>
      </c>
      <c r="BK96" s="72" t="s">
        <v>153</v>
      </c>
      <c r="BL96" s="73" t="s">
        <v>153</v>
      </c>
      <c r="BM96" s="74" t="s">
        <v>153</v>
      </c>
      <c r="BN96" s="75" t="s">
        <v>153</v>
      </c>
      <c r="BO96" s="76" t="s">
        <v>2254</v>
      </c>
      <c r="BP96" s="77" t="s">
        <v>2255</v>
      </c>
      <c r="BQ96" s="78">
        <v>41961</v>
      </c>
      <c r="BR96" s="79" t="s">
        <v>153</v>
      </c>
      <c r="BS96" s="80" t="s">
        <v>153</v>
      </c>
      <c r="BT96" s="81" t="s">
        <v>153</v>
      </c>
      <c r="BU96" s="82" t="s">
        <v>153</v>
      </c>
      <c r="BV96" s="83" t="s">
        <v>251</v>
      </c>
      <c r="BW96" s="84" t="s">
        <v>153</v>
      </c>
      <c r="BX96" s="85" t="s">
        <v>153</v>
      </c>
      <c r="BY96" s="86" t="s">
        <v>252</v>
      </c>
      <c r="BZ96" s="87" t="s">
        <v>153</v>
      </c>
      <c r="CA96" s="88" t="s">
        <v>190</v>
      </c>
      <c r="CB96" s="89">
        <v>42615</v>
      </c>
      <c r="CC96" s="90">
        <v>28320</v>
      </c>
      <c r="CD96" s="91" t="s">
        <v>186</v>
      </c>
      <c r="CE96" s="92">
        <v>24320</v>
      </c>
      <c r="CF96" s="93" t="s">
        <v>187</v>
      </c>
      <c r="CG96" s="94" t="s">
        <v>226</v>
      </c>
      <c r="CH96" s="95" t="s">
        <v>153</v>
      </c>
      <c r="CI96" s="96" t="s">
        <v>153</v>
      </c>
      <c r="CJ96" s="97" t="s">
        <v>225</v>
      </c>
      <c r="CK96" s="98">
        <v>42615</v>
      </c>
      <c r="CL96" s="99">
        <v>4000</v>
      </c>
      <c r="CM96" s="100" t="s">
        <v>2256</v>
      </c>
      <c r="CN96" s="101" t="s">
        <v>190</v>
      </c>
      <c r="CO96" s="102" t="s">
        <v>153</v>
      </c>
      <c r="CP96" s="103" t="s">
        <v>153</v>
      </c>
      <c r="CQ96" s="104" t="s">
        <v>153</v>
      </c>
      <c r="CR96" s="105" t="s">
        <v>153</v>
      </c>
      <c r="CS96" s="106" t="s">
        <v>153</v>
      </c>
      <c r="CT96" s="107" t="s">
        <v>153</v>
      </c>
      <c r="CU96" s="108" t="s">
        <v>153</v>
      </c>
      <c r="CV96" s="109" t="s">
        <v>153</v>
      </c>
      <c r="CW96" s="110" t="s">
        <v>153</v>
      </c>
      <c r="CX96" s="111" t="s">
        <v>153</v>
      </c>
      <c r="CY96" s="112" t="s">
        <v>153</v>
      </c>
      <c r="CZ96" s="113" t="s">
        <v>153</v>
      </c>
      <c r="DA96" s="114" t="s">
        <v>153</v>
      </c>
      <c r="DB96" s="115" t="s">
        <v>153</v>
      </c>
      <c r="DC96" s="116" t="s">
        <v>153</v>
      </c>
      <c r="DD96" s="117" t="s">
        <v>153</v>
      </c>
      <c r="DE96" s="118" t="s">
        <v>153</v>
      </c>
      <c r="DF96" s="119" t="s">
        <v>153</v>
      </c>
      <c r="DG96" s="120" t="s">
        <v>153</v>
      </c>
      <c r="DH96" s="121" t="s">
        <v>153</v>
      </c>
      <c r="DI96" s="122" t="s">
        <v>153</v>
      </c>
      <c r="DJ96" s="123" t="s">
        <v>153</v>
      </c>
      <c r="DK96" s="124" t="s">
        <v>153</v>
      </c>
      <c r="DL96" s="125" t="s">
        <v>153</v>
      </c>
      <c r="DM96" s="126" t="s">
        <v>153</v>
      </c>
      <c r="DN96" s="127" t="s">
        <v>153</v>
      </c>
      <c r="DO96" s="128" t="s">
        <v>153</v>
      </c>
      <c r="DP96" s="129" t="s">
        <v>153</v>
      </c>
      <c r="DQ96" s="130" t="s">
        <v>153</v>
      </c>
      <c r="DR96" s="131" t="s">
        <v>153</v>
      </c>
      <c r="DS96" s="132" t="s">
        <v>153</v>
      </c>
      <c r="DT96" s="133" t="s">
        <v>153</v>
      </c>
      <c r="DU96" s="134" t="s">
        <v>153</v>
      </c>
      <c r="DV96" s="135" t="s">
        <v>153</v>
      </c>
      <c r="DW96" s="136" t="s">
        <v>153</v>
      </c>
      <c r="DX96" s="137" t="s">
        <v>153</v>
      </c>
      <c r="DY96" s="138" t="s">
        <v>153</v>
      </c>
      <c r="DZ96" s="139" t="s">
        <v>191</v>
      </c>
      <c r="EA96" s="140">
        <v>44350</v>
      </c>
      <c r="EB96" s="141">
        <v>24320</v>
      </c>
      <c r="EC96" s="142">
        <v>42615</v>
      </c>
      <c r="ED96" s="143" t="s">
        <v>226</v>
      </c>
      <c r="EE96" s="278" t="str">
        <f>HYPERLINK("https://my.pitchbook.com?c=13419-55", "View company online")</f>
        <v>View company online</v>
      </c>
    </row>
    <row r="97" spans="1:135" x14ac:dyDescent="0.45">
      <c r="A97" s="144" t="s">
        <v>2257</v>
      </c>
      <c r="B97" s="145" t="s">
        <v>2258</v>
      </c>
      <c r="C97" s="146" t="s">
        <v>153</v>
      </c>
      <c r="D97" s="147" t="s">
        <v>153</v>
      </c>
      <c r="E97" s="148" t="s">
        <v>153</v>
      </c>
      <c r="F97" s="149" t="s">
        <v>2259</v>
      </c>
      <c r="G97" s="150" t="s">
        <v>2260</v>
      </c>
      <c r="H97" s="151" t="s">
        <v>153</v>
      </c>
      <c r="I97" s="152" t="s">
        <v>2257</v>
      </c>
      <c r="J97" s="153" t="s">
        <v>2261</v>
      </c>
      <c r="K97" s="154" t="s">
        <v>257</v>
      </c>
      <c r="L97" s="155" t="s">
        <v>258</v>
      </c>
      <c r="M97" s="156" t="s">
        <v>259</v>
      </c>
      <c r="N97" s="157" t="s">
        <v>260</v>
      </c>
      <c r="O97" s="158" t="s">
        <v>261</v>
      </c>
      <c r="P97" s="159" t="s">
        <v>2262</v>
      </c>
      <c r="Q97" s="160" t="s">
        <v>204</v>
      </c>
      <c r="R97" s="161" t="s">
        <v>153</v>
      </c>
      <c r="S97" s="162" t="s">
        <v>290</v>
      </c>
      <c r="T97" s="163" t="s">
        <v>205</v>
      </c>
      <c r="U97" s="164" t="s">
        <v>237</v>
      </c>
      <c r="V97" s="165" t="s">
        <v>153</v>
      </c>
      <c r="W97" s="166">
        <v>6200</v>
      </c>
      <c r="X97" s="167" t="s">
        <v>2263</v>
      </c>
      <c r="Y97" s="168" t="s">
        <v>153</v>
      </c>
      <c r="Z97" s="169" t="s">
        <v>153</v>
      </c>
      <c r="AA97" s="170">
        <v>1954</v>
      </c>
      <c r="AB97" s="171" t="s">
        <v>490</v>
      </c>
      <c r="AC97" s="172" t="s">
        <v>153</v>
      </c>
      <c r="AD97" s="173" t="s">
        <v>153</v>
      </c>
      <c r="AE97" s="174" t="s">
        <v>153</v>
      </c>
      <c r="AF97" s="175" t="s">
        <v>153</v>
      </c>
      <c r="AG97" s="176" t="s">
        <v>153</v>
      </c>
      <c r="AH97" s="177" t="s">
        <v>153</v>
      </c>
      <c r="AI97" s="178" t="s">
        <v>153</v>
      </c>
      <c r="AJ97" s="179" t="s">
        <v>153</v>
      </c>
      <c r="AK97" s="180" t="s">
        <v>153</v>
      </c>
      <c r="AL97" s="181" t="s">
        <v>153</v>
      </c>
      <c r="AM97" s="182" t="s">
        <v>153</v>
      </c>
      <c r="AN97" s="183" t="s">
        <v>484</v>
      </c>
      <c r="AO97" s="184" t="s">
        <v>2264</v>
      </c>
      <c r="AP97" s="185" t="s">
        <v>2265</v>
      </c>
      <c r="AQ97" s="186" t="s">
        <v>2266</v>
      </c>
      <c r="AR97" s="187" t="s">
        <v>153</v>
      </c>
      <c r="AS97" s="188" t="s">
        <v>2267</v>
      </c>
      <c r="AT97" s="189" t="s">
        <v>433</v>
      </c>
      <c r="AU97" s="190" t="s">
        <v>2268</v>
      </c>
      <c r="AV97" s="191" t="s">
        <v>153</v>
      </c>
      <c r="AW97" s="192" t="s">
        <v>436</v>
      </c>
      <c r="AX97" s="193" t="s">
        <v>436</v>
      </c>
      <c r="AY97" s="194" t="s">
        <v>2269</v>
      </c>
      <c r="AZ97" s="195" t="s">
        <v>215</v>
      </c>
      <c r="BA97" s="196" t="s">
        <v>2267</v>
      </c>
      <c r="BB97" s="197" t="s">
        <v>153</v>
      </c>
      <c r="BC97" s="198" t="s">
        <v>153</v>
      </c>
      <c r="BD97" s="199" t="s">
        <v>216</v>
      </c>
      <c r="BE97" s="200" t="s">
        <v>217</v>
      </c>
      <c r="BF97" s="201" t="s">
        <v>2270</v>
      </c>
      <c r="BG97" s="202" t="s">
        <v>153</v>
      </c>
      <c r="BH97" s="203" t="s">
        <v>153</v>
      </c>
      <c r="BI97" s="204" t="s">
        <v>490</v>
      </c>
      <c r="BJ97" s="205" t="s">
        <v>1465</v>
      </c>
      <c r="BK97" s="206" t="s">
        <v>153</v>
      </c>
      <c r="BL97" s="207" t="s">
        <v>153</v>
      </c>
      <c r="BM97" s="208" t="s">
        <v>2271</v>
      </c>
      <c r="BN97" s="209" t="s">
        <v>153</v>
      </c>
      <c r="BO97" s="210" t="s">
        <v>2272</v>
      </c>
      <c r="BP97" s="211" t="s">
        <v>2273</v>
      </c>
      <c r="BQ97" s="212">
        <v>41821</v>
      </c>
      <c r="BR97" s="213">
        <v>28000</v>
      </c>
      <c r="BS97" s="214" t="s">
        <v>186</v>
      </c>
      <c r="BT97" s="215">
        <v>28000</v>
      </c>
      <c r="BU97" s="216" t="s">
        <v>187</v>
      </c>
      <c r="BV97" s="217" t="s">
        <v>226</v>
      </c>
      <c r="BW97" s="218" t="s">
        <v>153</v>
      </c>
      <c r="BX97" s="219" t="s">
        <v>153</v>
      </c>
      <c r="BY97" s="220" t="s">
        <v>225</v>
      </c>
      <c r="BZ97" s="221" t="s">
        <v>2274</v>
      </c>
      <c r="CA97" s="222" t="s">
        <v>190</v>
      </c>
      <c r="CB97" s="223">
        <v>41821</v>
      </c>
      <c r="CC97" s="224">
        <v>28000</v>
      </c>
      <c r="CD97" s="225" t="s">
        <v>186</v>
      </c>
      <c r="CE97" s="226">
        <v>28000</v>
      </c>
      <c r="CF97" s="227" t="s">
        <v>187</v>
      </c>
      <c r="CG97" s="228" t="s">
        <v>226</v>
      </c>
      <c r="CH97" s="229" t="s">
        <v>153</v>
      </c>
      <c r="CI97" s="230" t="s">
        <v>153</v>
      </c>
      <c r="CJ97" s="231" t="s">
        <v>225</v>
      </c>
      <c r="CK97" s="232">
        <v>41821</v>
      </c>
      <c r="CL97" s="233">
        <v>7000</v>
      </c>
      <c r="CM97" s="234" t="s">
        <v>2274</v>
      </c>
      <c r="CN97" s="235" t="s">
        <v>190</v>
      </c>
      <c r="CO97" s="236" t="s">
        <v>153</v>
      </c>
      <c r="CP97" s="237" t="s">
        <v>153</v>
      </c>
      <c r="CQ97" s="238" t="s">
        <v>153</v>
      </c>
      <c r="CR97" s="239" t="s">
        <v>153</v>
      </c>
      <c r="CS97" s="240" t="s">
        <v>153</v>
      </c>
      <c r="CT97" s="241" t="s">
        <v>153</v>
      </c>
      <c r="CU97" s="242" t="s">
        <v>153</v>
      </c>
      <c r="CV97" s="243" t="s">
        <v>153</v>
      </c>
      <c r="CW97" s="244" t="s">
        <v>153</v>
      </c>
      <c r="CX97" s="245" t="s">
        <v>153</v>
      </c>
      <c r="CY97" s="246" t="s">
        <v>153</v>
      </c>
      <c r="CZ97" s="247" t="s">
        <v>153</v>
      </c>
      <c r="DA97" s="248" t="s">
        <v>153</v>
      </c>
      <c r="DB97" s="249" t="s">
        <v>153</v>
      </c>
      <c r="DC97" s="250" t="s">
        <v>153</v>
      </c>
      <c r="DD97" s="251" t="s">
        <v>153</v>
      </c>
      <c r="DE97" s="252" t="s">
        <v>153</v>
      </c>
      <c r="DF97" s="253" t="s">
        <v>153</v>
      </c>
      <c r="DG97" s="254" t="s">
        <v>153</v>
      </c>
      <c r="DH97" s="255" t="s">
        <v>153</v>
      </c>
      <c r="DI97" s="256" t="s">
        <v>153</v>
      </c>
      <c r="DJ97" s="257" t="s">
        <v>153</v>
      </c>
      <c r="DK97" s="258" t="s">
        <v>153</v>
      </c>
      <c r="DL97" s="259" t="s">
        <v>153</v>
      </c>
      <c r="DM97" s="260" t="s">
        <v>153</v>
      </c>
      <c r="DN97" s="261" t="s">
        <v>153</v>
      </c>
      <c r="DO97" s="262" t="s">
        <v>153</v>
      </c>
      <c r="DP97" s="263" t="s">
        <v>153</v>
      </c>
      <c r="DQ97" s="264" t="s">
        <v>153</v>
      </c>
      <c r="DR97" s="265" t="s">
        <v>153</v>
      </c>
      <c r="DS97" s="266" t="s">
        <v>153</v>
      </c>
      <c r="DT97" s="267" t="s">
        <v>153</v>
      </c>
      <c r="DU97" s="268" t="s">
        <v>153</v>
      </c>
      <c r="DV97" s="269" t="s">
        <v>153</v>
      </c>
      <c r="DW97" s="270" t="s">
        <v>153</v>
      </c>
      <c r="DX97" s="271" t="s">
        <v>153</v>
      </c>
      <c r="DY97" s="272" t="s">
        <v>153</v>
      </c>
      <c r="DZ97" s="273" t="s">
        <v>191</v>
      </c>
      <c r="EA97" s="274">
        <v>44350</v>
      </c>
      <c r="EB97" s="275">
        <v>28000</v>
      </c>
      <c r="EC97" s="276">
        <v>41821</v>
      </c>
      <c r="ED97" s="277" t="s">
        <v>226</v>
      </c>
      <c r="EE97" s="279" t="str">
        <f>HYPERLINK("https://my.pitchbook.com?c=41031-37", "View company online")</f>
        <v>View company online</v>
      </c>
    </row>
    <row r="98" spans="1:135" x14ac:dyDescent="0.45">
      <c r="A98" s="10" t="s">
        <v>2275</v>
      </c>
      <c r="B98" s="11" t="s">
        <v>2276</v>
      </c>
      <c r="C98" s="12" t="s">
        <v>153</v>
      </c>
      <c r="D98" s="13" t="s">
        <v>153</v>
      </c>
      <c r="E98" s="14" t="s">
        <v>2277</v>
      </c>
      <c r="F98" s="15" t="s">
        <v>153</v>
      </c>
      <c r="G98" s="16" t="s">
        <v>2278</v>
      </c>
      <c r="H98" s="17" t="s">
        <v>2279</v>
      </c>
      <c r="I98" s="18" t="s">
        <v>2275</v>
      </c>
      <c r="J98" s="19" t="s">
        <v>2280</v>
      </c>
      <c r="K98" s="20" t="s">
        <v>198</v>
      </c>
      <c r="L98" s="21" t="s">
        <v>984</v>
      </c>
      <c r="M98" s="22" t="s">
        <v>2281</v>
      </c>
      <c r="N98" s="23" t="s">
        <v>2282</v>
      </c>
      <c r="O98" s="24" t="s">
        <v>1849</v>
      </c>
      <c r="P98" s="25" t="s">
        <v>2283</v>
      </c>
      <c r="Q98" s="26" t="s">
        <v>289</v>
      </c>
      <c r="R98" s="27">
        <v>1223.73</v>
      </c>
      <c r="S98" s="28" t="s">
        <v>368</v>
      </c>
      <c r="T98" s="29" t="s">
        <v>164</v>
      </c>
      <c r="U98" s="30" t="s">
        <v>941</v>
      </c>
      <c r="V98" s="31" t="s">
        <v>2284</v>
      </c>
      <c r="W98" s="32">
        <v>2597</v>
      </c>
      <c r="X98" s="33" t="s">
        <v>2285</v>
      </c>
      <c r="Y98" s="34" t="s">
        <v>153</v>
      </c>
      <c r="Z98" s="35" t="s">
        <v>153</v>
      </c>
      <c r="AA98" s="36">
        <v>2009</v>
      </c>
      <c r="AB98" s="37" t="s">
        <v>2286</v>
      </c>
      <c r="AC98" s="38" t="s">
        <v>622</v>
      </c>
      <c r="AD98" s="39" t="s">
        <v>2287</v>
      </c>
      <c r="AE98" s="40">
        <v>974.32</v>
      </c>
      <c r="AF98" s="41">
        <v>838.99</v>
      </c>
      <c r="AG98" s="42">
        <v>-253.16</v>
      </c>
      <c r="AH98" s="43">
        <v>24008.81</v>
      </c>
      <c r="AI98" s="44">
        <v>6803.72</v>
      </c>
      <c r="AJ98" s="45">
        <v>-202.08</v>
      </c>
      <c r="AK98" s="46" t="s">
        <v>153</v>
      </c>
      <c r="AL98" s="47">
        <v>-723.38</v>
      </c>
      <c r="AM98" s="48">
        <v>39.74</v>
      </c>
      <c r="AN98" s="49" t="s">
        <v>2288</v>
      </c>
      <c r="AO98" s="50" t="s">
        <v>2289</v>
      </c>
      <c r="AP98" s="51" t="s">
        <v>2290</v>
      </c>
      <c r="AQ98" s="52" t="s">
        <v>2291</v>
      </c>
      <c r="AR98" s="53" t="s">
        <v>2292</v>
      </c>
      <c r="AS98" s="54" t="s">
        <v>153</v>
      </c>
      <c r="AT98" s="55" t="s">
        <v>997</v>
      </c>
      <c r="AU98" s="56" t="s">
        <v>2293</v>
      </c>
      <c r="AV98" s="57" t="s">
        <v>153</v>
      </c>
      <c r="AW98" s="58" t="s">
        <v>999</v>
      </c>
      <c r="AX98" s="59" t="s">
        <v>308</v>
      </c>
      <c r="AY98" s="60" t="s">
        <v>2294</v>
      </c>
      <c r="AZ98" s="61" t="s">
        <v>215</v>
      </c>
      <c r="BA98" s="62" t="s">
        <v>153</v>
      </c>
      <c r="BB98" s="63" t="s">
        <v>153</v>
      </c>
      <c r="BC98" s="64" t="s">
        <v>2295</v>
      </c>
      <c r="BD98" s="65" t="s">
        <v>216</v>
      </c>
      <c r="BE98" s="66" t="s">
        <v>217</v>
      </c>
      <c r="BF98" s="67" t="s">
        <v>2296</v>
      </c>
      <c r="BG98" s="68" t="s">
        <v>153</v>
      </c>
      <c r="BH98" s="69" t="s">
        <v>153</v>
      </c>
      <c r="BI98" s="70" t="s">
        <v>2286</v>
      </c>
      <c r="BJ98" s="71" t="s">
        <v>2297</v>
      </c>
      <c r="BK98" s="72" t="s">
        <v>153</v>
      </c>
      <c r="BL98" s="73" t="s">
        <v>153</v>
      </c>
      <c r="BM98" s="74" t="s">
        <v>2298</v>
      </c>
      <c r="BN98" s="75" t="s">
        <v>153</v>
      </c>
      <c r="BO98" s="76" t="s">
        <v>2299</v>
      </c>
      <c r="BP98" s="77" t="s">
        <v>2300</v>
      </c>
      <c r="BQ98" s="78">
        <v>39814</v>
      </c>
      <c r="BR98" s="79">
        <v>1.5</v>
      </c>
      <c r="BS98" s="80" t="s">
        <v>186</v>
      </c>
      <c r="BT98" s="81" t="s">
        <v>153</v>
      </c>
      <c r="BU98" s="82" t="s">
        <v>153</v>
      </c>
      <c r="BV98" s="83" t="s">
        <v>1007</v>
      </c>
      <c r="BW98" s="84" t="s">
        <v>1007</v>
      </c>
      <c r="BX98" s="85" t="s">
        <v>153</v>
      </c>
      <c r="BY98" s="86" t="s">
        <v>472</v>
      </c>
      <c r="BZ98" s="87" t="s">
        <v>153</v>
      </c>
      <c r="CA98" s="88" t="s">
        <v>190</v>
      </c>
      <c r="CB98" s="89">
        <v>44398</v>
      </c>
      <c r="CC98" s="90">
        <v>27700</v>
      </c>
      <c r="CD98" s="91" t="s">
        <v>186</v>
      </c>
      <c r="CE98" s="92">
        <v>27700</v>
      </c>
      <c r="CF98" s="93" t="s">
        <v>187</v>
      </c>
      <c r="CG98" s="94" t="s">
        <v>226</v>
      </c>
      <c r="CH98" s="95" t="s">
        <v>153</v>
      </c>
      <c r="CI98" s="96" t="s">
        <v>153</v>
      </c>
      <c r="CJ98" s="97" t="s">
        <v>225</v>
      </c>
      <c r="CK98" s="98">
        <v>44398</v>
      </c>
      <c r="CL98" s="99" t="s">
        <v>153</v>
      </c>
      <c r="CM98" s="100" t="s">
        <v>153</v>
      </c>
      <c r="CN98" s="101" t="s">
        <v>190</v>
      </c>
      <c r="CO98" s="102">
        <v>0.6</v>
      </c>
      <c r="CP98" s="103">
        <v>94</v>
      </c>
      <c r="CQ98" s="104">
        <v>0.01</v>
      </c>
      <c r="CR98" s="105">
        <v>1.04</v>
      </c>
      <c r="CS98" s="106">
        <v>1.37</v>
      </c>
      <c r="CT98" s="107">
        <v>96</v>
      </c>
      <c r="CU98" s="108" t="s">
        <v>153</v>
      </c>
      <c r="CV98" s="109" t="s">
        <v>153</v>
      </c>
      <c r="CW98" s="110">
        <v>2.3199999999999998</v>
      </c>
      <c r="CX98" s="111">
        <v>87</v>
      </c>
      <c r="CY98" s="112">
        <v>0.41</v>
      </c>
      <c r="CZ98" s="113">
        <v>94</v>
      </c>
      <c r="DA98" s="114" t="s">
        <v>153</v>
      </c>
      <c r="DB98" s="115" t="s">
        <v>153</v>
      </c>
      <c r="DC98" s="116">
        <v>1576.58</v>
      </c>
      <c r="DD98" s="117">
        <v>100</v>
      </c>
      <c r="DE98" s="118">
        <v>1.05</v>
      </c>
      <c r="DF98" s="119">
        <v>7.0000000000000007E-2</v>
      </c>
      <c r="DG98" s="120">
        <v>4002.49</v>
      </c>
      <c r="DH98" s="121">
        <v>100</v>
      </c>
      <c r="DI98" s="122" t="s">
        <v>153</v>
      </c>
      <c r="DJ98" s="123" t="s">
        <v>153</v>
      </c>
      <c r="DK98" s="124">
        <v>7660.67</v>
      </c>
      <c r="DL98" s="125">
        <v>100</v>
      </c>
      <c r="DM98" s="126">
        <v>344.31</v>
      </c>
      <c r="DN98" s="127">
        <v>100</v>
      </c>
      <c r="DO98" s="128" t="s">
        <v>153</v>
      </c>
      <c r="DP98" s="129" t="s">
        <v>153</v>
      </c>
      <c r="DQ98" s="130">
        <v>4507258</v>
      </c>
      <c r="DR98" s="131">
        <v>130244</v>
      </c>
      <c r="DS98" s="132">
        <v>2.98</v>
      </c>
      <c r="DT98" s="133">
        <v>5486</v>
      </c>
      <c r="DU98" s="134">
        <v>57</v>
      </c>
      <c r="DV98" s="135">
        <v>1.05</v>
      </c>
      <c r="DW98" s="136">
        <v>450804</v>
      </c>
      <c r="DX98" s="137">
        <v>-68</v>
      </c>
      <c r="DY98" s="138">
        <v>-0.02</v>
      </c>
      <c r="DZ98" s="139" t="s">
        <v>191</v>
      </c>
      <c r="EA98" s="140">
        <v>44400</v>
      </c>
      <c r="EB98" s="141">
        <v>27700</v>
      </c>
      <c r="EC98" s="142">
        <v>44398</v>
      </c>
      <c r="ED98" s="143" t="s">
        <v>226</v>
      </c>
      <c r="EE98" s="278" t="str">
        <f>HYPERLINK("https://my.pitchbook.com?c=51777-73", "View company online")</f>
        <v>View company online</v>
      </c>
    </row>
    <row r="99" spans="1:135" x14ac:dyDescent="0.45">
      <c r="A99" s="144" t="s">
        <v>2301</v>
      </c>
      <c r="B99" s="145" t="s">
        <v>2302</v>
      </c>
      <c r="C99" s="146" t="s">
        <v>153</v>
      </c>
      <c r="D99" s="147" t="s">
        <v>153</v>
      </c>
      <c r="E99" s="148" t="s">
        <v>153</v>
      </c>
      <c r="F99" s="149" t="s">
        <v>2303</v>
      </c>
      <c r="G99" s="150" t="s">
        <v>2304</v>
      </c>
      <c r="H99" s="151" t="s">
        <v>153</v>
      </c>
      <c r="I99" s="152" t="s">
        <v>2301</v>
      </c>
      <c r="J99" s="153" t="s">
        <v>2305</v>
      </c>
      <c r="K99" s="154" t="s">
        <v>792</v>
      </c>
      <c r="L99" s="155" t="s">
        <v>793</v>
      </c>
      <c r="M99" s="156" t="s">
        <v>1534</v>
      </c>
      <c r="N99" s="157" t="s">
        <v>2306</v>
      </c>
      <c r="O99" s="158" t="s">
        <v>1119</v>
      </c>
      <c r="P99" s="159" t="s">
        <v>2307</v>
      </c>
      <c r="Q99" s="160" t="s">
        <v>204</v>
      </c>
      <c r="R99" s="161" t="s">
        <v>153</v>
      </c>
      <c r="S99" s="162" t="s">
        <v>163</v>
      </c>
      <c r="T99" s="163" t="s">
        <v>1392</v>
      </c>
      <c r="U99" s="164" t="s">
        <v>206</v>
      </c>
      <c r="V99" s="165" t="s">
        <v>2308</v>
      </c>
      <c r="W99" s="166" t="s">
        <v>153</v>
      </c>
      <c r="X99" s="167" t="s">
        <v>153</v>
      </c>
      <c r="Y99" s="168" t="s">
        <v>153</v>
      </c>
      <c r="Z99" s="169" t="s">
        <v>153</v>
      </c>
      <c r="AA99" s="170">
        <v>2014</v>
      </c>
      <c r="AB99" s="171" t="s">
        <v>153</v>
      </c>
      <c r="AC99" s="172" t="s">
        <v>153</v>
      </c>
      <c r="AD99" s="173" t="s">
        <v>153</v>
      </c>
      <c r="AE99" s="174" t="s">
        <v>153</v>
      </c>
      <c r="AF99" s="175" t="s">
        <v>153</v>
      </c>
      <c r="AG99" s="176" t="s">
        <v>153</v>
      </c>
      <c r="AH99" s="177" t="s">
        <v>153</v>
      </c>
      <c r="AI99" s="178" t="s">
        <v>153</v>
      </c>
      <c r="AJ99" s="179" t="s">
        <v>153</v>
      </c>
      <c r="AK99" s="180" t="s">
        <v>153</v>
      </c>
      <c r="AL99" s="181" t="s">
        <v>153</v>
      </c>
      <c r="AM99" s="182" t="s">
        <v>153</v>
      </c>
      <c r="AN99" s="183" t="s">
        <v>153</v>
      </c>
      <c r="AO99" s="184" t="s">
        <v>153</v>
      </c>
      <c r="AP99" s="185" t="s">
        <v>153</v>
      </c>
      <c r="AQ99" s="186" t="s">
        <v>153</v>
      </c>
      <c r="AR99" s="187" t="s">
        <v>153</v>
      </c>
      <c r="AS99" s="188" t="s">
        <v>153</v>
      </c>
      <c r="AT99" s="189" t="s">
        <v>2309</v>
      </c>
      <c r="AU99" s="190" t="s">
        <v>2310</v>
      </c>
      <c r="AV99" s="191" t="s">
        <v>153</v>
      </c>
      <c r="AW99" s="192" t="s">
        <v>2311</v>
      </c>
      <c r="AX99" s="193" t="s">
        <v>2312</v>
      </c>
      <c r="AY99" s="194" t="s">
        <v>153</v>
      </c>
      <c r="AZ99" s="195" t="s">
        <v>1358</v>
      </c>
      <c r="BA99" s="196" t="s">
        <v>2313</v>
      </c>
      <c r="BB99" s="197" t="s">
        <v>153</v>
      </c>
      <c r="BC99" s="198" t="s">
        <v>2314</v>
      </c>
      <c r="BD99" s="199" t="s">
        <v>216</v>
      </c>
      <c r="BE99" s="200" t="s">
        <v>217</v>
      </c>
      <c r="BF99" s="201" t="s">
        <v>2315</v>
      </c>
      <c r="BG99" s="202" t="s">
        <v>2316</v>
      </c>
      <c r="BH99" s="203">
        <v>4</v>
      </c>
      <c r="BI99" s="204" t="s">
        <v>153</v>
      </c>
      <c r="BJ99" s="205" t="s">
        <v>2317</v>
      </c>
      <c r="BK99" s="206" t="s">
        <v>153</v>
      </c>
      <c r="BL99" s="207" t="s">
        <v>2318</v>
      </c>
      <c r="BM99" s="208" t="s">
        <v>2319</v>
      </c>
      <c r="BN99" s="209" t="s">
        <v>153</v>
      </c>
      <c r="BO99" s="210" t="s">
        <v>153</v>
      </c>
      <c r="BP99" s="211" t="s">
        <v>153</v>
      </c>
      <c r="BQ99" s="212">
        <v>41759</v>
      </c>
      <c r="BR99" s="213" t="s">
        <v>153</v>
      </c>
      <c r="BS99" s="214" t="s">
        <v>153</v>
      </c>
      <c r="BT99" s="215" t="s">
        <v>153</v>
      </c>
      <c r="BU99" s="216" t="s">
        <v>153</v>
      </c>
      <c r="BV99" s="217" t="s">
        <v>224</v>
      </c>
      <c r="BW99" s="218" t="s">
        <v>153</v>
      </c>
      <c r="BX99" s="219" t="s">
        <v>153</v>
      </c>
      <c r="BY99" s="220" t="s">
        <v>321</v>
      </c>
      <c r="BZ99" s="221" t="s">
        <v>153</v>
      </c>
      <c r="CA99" s="222" t="s">
        <v>190</v>
      </c>
      <c r="CB99" s="223">
        <v>43305</v>
      </c>
      <c r="CC99" s="224">
        <v>27556.5</v>
      </c>
      <c r="CD99" s="225" t="s">
        <v>186</v>
      </c>
      <c r="CE99" s="226">
        <v>110226.01</v>
      </c>
      <c r="CF99" s="227" t="s">
        <v>186</v>
      </c>
      <c r="CG99" s="228" t="s">
        <v>906</v>
      </c>
      <c r="CH99" s="229" t="s">
        <v>153</v>
      </c>
      <c r="CI99" s="230" t="s">
        <v>153</v>
      </c>
      <c r="CJ99" s="231" t="s">
        <v>153</v>
      </c>
      <c r="CK99" s="232">
        <v>43305</v>
      </c>
      <c r="CL99" s="233" t="s">
        <v>153</v>
      </c>
      <c r="CM99" s="234" t="s">
        <v>153</v>
      </c>
      <c r="CN99" s="235" t="s">
        <v>190</v>
      </c>
      <c r="CO99" s="236">
        <v>0.11</v>
      </c>
      <c r="CP99" s="237">
        <v>89</v>
      </c>
      <c r="CQ99" s="238">
        <v>-0.03</v>
      </c>
      <c r="CR99" s="239">
        <v>-21.36</v>
      </c>
      <c r="CS99" s="240">
        <v>0.28999999999999998</v>
      </c>
      <c r="CT99" s="241">
        <v>91</v>
      </c>
      <c r="CU99" s="242">
        <v>-7.0000000000000007E-2</v>
      </c>
      <c r="CV99" s="243">
        <v>27</v>
      </c>
      <c r="CW99" s="244" t="s">
        <v>153</v>
      </c>
      <c r="CX99" s="245" t="s">
        <v>153</v>
      </c>
      <c r="CY99" s="246">
        <v>0.28999999999999998</v>
      </c>
      <c r="CZ99" s="247">
        <v>92</v>
      </c>
      <c r="DA99" s="248">
        <v>-7.0000000000000007E-2</v>
      </c>
      <c r="DB99" s="249">
        <v>27</v>
      </c>
      <c r="DC99" s="250">
        <v>34.299999999999997</v>
      </c>
      <c r="DD99" s="251">
        <v>98</v>
      </c>
      <c r="DE99" s="252">
        <v>0.23</v>
      </c>
      <c r="DF99" s="253">
        <v>0.67</v>
      </c>
      <c r="DG99" s="254">
        <v>24.69</v>
      </c>
      <c r="DH99" s="255">
        <v>96</v>
      </c>
      <c r="DI99" s="256">
        <v>43.9</v>
      </c>
      <c r="DJ99" s="257">
        <v>95</v>
      </c>
      <c r="DK99" s="258" t="s">
        <v>153</v>
      </c>
      <c r="DL99" s="259" t="s">
        <v>153</v>
      </c>
      <c r="DM99" s="260">
        <v>24.69</v>
      </c>
      <c r="DN99" s="261">
        <v>96</v>
      </c>
      <c r="DO99" s="262">
        <v>43.9</v>
      </c>
      <c r="DP99" s="263">
        <v>95</v>
      </c>
      <c r="DQ99" s="264" t="s">
        <v>153</v>
      </c>
      <c r="DR99" s="265" t="s">
        <v>153</v>
      </c>
      <c r="DS99" s="266" t="s">
        <v>153</v>
      </c>
      <c r="DT99" s="267">
        <v>393</v>
      </c>
      <c r="DU99" s="268">
        <v>2</v>
      </c>
      <c r="DV99" s="269">
        <v>0.51</v>
      </c>
      <c r="DW99" s="270">
        <v>13786</v>
      </c>
      <c r="DX99" s="271">
        <v>-8</v>
      </c>
      <c r="DY99" s="272">
        <v>-0.06</v>
      </c>
      <c r="DZ99" s="273" t="s">
        <v>191</v>
      </c>
      <c r="EA99" s="274">
        <v>44402</v>
      </c>
      <c r="EB99" s="275">
        <v>110226.01</v>
      </c>
      <c r="EC99" s="276">
        <v>43305</v>
      </c>
      <c r="ED99" s="277" t="s">
        <v>906</v>
      </c>
      <c r="EE99" s="279" t="str">
        <f>HYPERLINK("https://my.pitchbook.com?c=64740-07", "View company online")</f>
        <v>View company online</v>
      </c>
    </row>
    <row r="100" spans="1:135" x14ac:dyDescent="0.45">
      <c r="A100" s="10" t="s">
        <v>2320</v>
      </c>
      <c r="B100" s="11" t="s">
        <v>2321</v>
      </c>
      <c r="C100" s="12" t="s">
        <v>153</v>
      </c>
      <c r="D100" s="13" t="s">
        <v>153</v>
      </c>
      <c r="E100" s="14" t="s">
        <v>153</v>
      </c>
      <c r="F100" s="15" t="s">
        <v>2322</v>
      </c>
      <c r="G100" s="16" t="s">
        <v>2323</v>
      </c>
      <c r="H100" s="17" t="s">
        <v>2324</v>
      </c>
      <c r="I100" s="18" t="s">
        <v>2320</v>
      </c>
      <c r="J100" s="19" t="s">
        <v>2325</v>
      </c>
      <c r="K100" s="20" t="s">
        <v>792</v>
      </c>
      <c r="L100" s="21" t="s">
        <v>841</v>
      </c>
      <c r="M100" s="22" t="s">
        <v>2326</v>
      </c>
      <c r="N100" s="23" t="s">
        <v>2327</v>
      </c>
      <c r="O100" s="24" t="s">
        <v>796</v>
      </c>
      <c r="P100" s="25" t="s">
        <v>2328</v>
      </c>
      <c r="Q100" s="26" t="s">
        <v>204</v>
      </c>
      <c r="R100" s="27" t="s">
        <v>153</v>
      </c>
      <c r="S100" s="28" t="s">
        <v>368</v>
      </c>
      <c r="T100" s="29" t="s">
        <v>291</v>
      </c>
      <c r="U100" s="30" t="s">
        <v>237</v>
      </c>
      <c r="V100" s="31" t="s">
        <v>2329</v>
      </c>
      <c r="W100" s="32">
        <v>9964</v>
      </c>
      <c r="X100" s="33" t="s">
        <v>2330</v>
      </c>
      <c r="Y100" s="34" t="s">
        <v>372</v>
      </c>
      <c r="Z100" s="35" t="s">
        <v>2331</v>
      </c>
      <c r="AA100" s="36">
        <v>1980</v>
      </c>
      <c r="AB100" s="37" t="s">
        <v>153</v>
      </c>
      <c r="AC100" s="38" t="s">
        <v>428</v>
      </c>
      <c r="AD100" s="39" t="s">
        <v>622</v>
      </c>
      <c r="AE100" s="40">
        <v>63616</v>
      </c>
      <c r="AF100" s="41">
        <v>890</v>
      </c>
      <c r="AG100" s="42">
        <v>-274</v>
      </c>
      <c r="AH100" s="43">
        <v>42642.18</v>
      </c>
      <c r="AI100" s="44">
        <v>2524</v>
      </c>
      <c r="AJ100" s="45">
        <v>177</v>
      </c>
      <c r="AK100" s="46">
        <v>26042.11</v>
      </c>
      <c r="AL100" s="47">
        <v>12410</v>
      </c>
      <c r="AM100" s="48">
        <v>-40.08</v>
      </c>
      <c r="AN100" s="49" t="s">
        <v>376</v>
      </c>
      <c r="AO100" s="50" t="s">
        <v>2332</v>
      </c>
      <c r="AP100" s="51" t="s">
        <v>2333</v>
      </c>
      <c r="AQ100" s="52" t="s">
        <v>2334</v>
      </c>
      <c r="AR100" s="53" t="s">
        <v>2335</v>
      </c>
      <c r="AS100" s="54" t="s">
        <v>2336</v>
      </c>
      <c r="AT100" s="55" t="s">
        <v>2337</v>
      </c>
      <c r="AU100" s="56" t="s">
        <v>2338</v>
      </c>
      <c r="AV100" s="57" t="s">
        <v>153</v>
      </c>
      <c r="AW100" s="58" t="s">
        <v>2339</v>
      </c>
      <c r="AX100" s="59" t="s">
        <v>1128</v>
      </c>
      <c r="AY100" s="60" t="s">
        <v>2340</v>
      </c>
      <c r="AZ100" s="61" t="s">
        <v>215</v>
      </c>
      <c r="BA100" s="62" t="s">
        <v>2336</v>
      </c>
      <c r="BB100" s="63" t="s">
        <v>153</v>
      </c>
      <c r="BC100" s="64" t="s">
        <v>2341</v>
      </c>
      <c r="BD100" s="65" t="s">
        <v>216</v>
      </c>
      <c r="BE100" s="66" t="s">
        <v>217</v>
      </c>
      <c r="BF100" s="67" t="s">
        <v>2342</v>
      </c>
      <c r="BG100" s="68" t="s">
        <v>153</v>
      </c>
      <c r="BH100" s="69" t="s">
        <v>153</v>
      </c>
      <c r="BI100" s="70" t="s">
        <v>2343</v>
      </c>
      <c r="BJ100" s="71" t="s">
        <v>153</v>
      </c>
      <c r="BK100" s="72" t="s">
        <v>153</v>
      </c>
      <c r="BL100" s="73" t="s">
        <v>153</v>
      </c>
      <c r="BM100" s="74" t="s">
        <v>153</v>
      </c>
      <c r="BN100" s="75" t="s">
        <v>153</v>
      </c>
      <c r="BO100" s="76" t="s">
        <v>2344</v>
      </c>
      <c r="BP100" s="77" t="s">
        <v>153</v>
      </c>
      <c r="BQ100" s="78">
        <v>35643</v>
      </c>
      <c r="BR100" s="79" t="s">
        <v>153</v>
      </c>
      <c r="BS100" s="80" t="s">
        <v>153</v>
      </c>
      <c r="BT100" s="81" t="s">
        <v>153</v>
      </c>
      <c r="BU100" s="82" t="s">
        <v>153</v>
      </c>
      <c r="BV100" s="83" t="s">
        <v>251</v>
      </c>
      <c r="BW100" s="84" t="s">
        <v>153</v>
      </c>
      <c r="BX100" s="85" t="s">
        <v>153</v>
      </c>
      <c r="BY100" s="86" t="s">
        <v>252</v>
      </c>
      <c r="BZ100" s="87" t="s">
        <v>153</v>
      </c>
      <c r="CA100" s="88" t="s">
        <v>190</v>
      </c>
      <c r="CB100" s="89">
        <v>40846</v>
      </c>
      <c r="CC100" s="90">
        <v>27500</v>
      </c>
      <c r="CD100" s="91" t="s">
        <v>186</v>
      </c>
      <c r="CE100" s="92">
        <v>27500</v>
      </c>
      <c r="CF100" s="93" t="s">
        <v>186</v>
      </c>
      <c r="CG100" s="94" t="s">
        <v>226</v>
      </c>
      <c r="CH100" s="95" t="s">
        <v>153</v>
      </c>
      <c r="CI100" s="96" t="s">
        <v>153</v>
      </c>
      <c r="CJ100" s="97" t="s">
        <v>225</v>
      </c>
      <c r="CK100" s="98">
        <v>40846</v>
      </c>
      <c r="CL100" s="99" t="s">
        <v>153</v>
      </c>
      <c r="CM100" s="100" t="s">
        <v>153</v>
      </c>
      <c r="CN100" s="101" t="s">
        <v>394</v>
      </c>
      <c r="CO100" s="102">
        <v>0.4</v>
      </c>
      <c r="CP100" s="103">
        <v>92</v>
      </c>
      <c r="CQ100" s="104">
        <v>0</v>
      </c>
      <c r="CR100" s="105">
        <v>-0.38</v>
      </c>
      <c r="CS100" s="106">
        <v>0.77</v>
      </c>
      <c r="CT100" s="107">
        <v>94</v>
      </c>
      <c r="CU100" s="108">
        <v>0.04</v>
      </c>
      <c r="CV100" s="109">
        <v>80</v>
      </c>
      <c r="CW100" s="110">
        <v>1.38</v>
      </c>
      <c r="CX100" s="111">
        <v>83</v>
      </c>
      <c r="CY100" s="112">
        <v>0.15</v>
      </c>
      <c r="CZ100" s="113">
        <v>91</v>
      </c>
      <c r="DA100" s="114">
        <v>0.04</v>
      </c>
      <c r="DB100" s="115">
        <v>80</v>
      </c>
      <c r="DC100" s="116">
        <v>79.7</v>
      </c>
      <c r="DD100" s="117">
        <v>99</v>
      </c>
      <c r="DE100" s="118">
        <v>0.16</v>
      </c>
      <c r="DF100" s="119">
        <v>0.2</v>
      </c>
      <c r="DG100" s="120">
        <v>132.16999999999999</v>
      </c>
      <c r="DH100" s="121">
        <v>100</v>
      </c>
      <c r="DI100" s="122">
        <v>27.24</v>
      </c>
      <c r="DJ100" s="123">
        <v>93</v>
      </c>
      <c r="DK100" s="124">
        <v>70.52</v>
      </c>
      <c r="DL100" s="125">
        <v>96</v>
      </c>
      <c r="DM100" s="126">
        <v>193.81</v>
      </c>
      <c r="DN100" s="127">
        <v>100</v>
      </c>
      <c r="DO100" s="128">
        <v>27.24</v>
      </c>
      <c r="DP100" s="129">
        <v>93</v>
      </c>
      <c r="DQ100" s="130">
        <v>41772</v>
      </c>
      <c r="DR100" s="131">
        <v>176</v>
      </c>
      <c r="DS100" s="132">
        <v>0.42</v>
      </c>
      <c r="DT100" s="133">
        <v>3099</v>
      </c>
      <c r="DU100" s="134">
        <v>4</v>
      </c>
      <c r="DV100" s="135">
        <v>0.13</v>
      </c>
      <c r="DW100" s="136">
        <v>8550</v>
      </c>
      <c r="DX100" s="137">
        <v>10</v>
      </c>
      <c r="DY100" s="138">
        <v>0.12</v>
      </c>
      <c r="DZ100" s="139" t="s">
        <v>191</v>
      </c>
      <c r="EA100" s="140">
        <v>44400</v>
      </c>
      <c r="EB100" s="141">
        <v>27500</v>
      </c>
      <c r="EC100" s="142">
        <v>40846</v>
      </c>
      <c r="ED100" s="143" t="s">
        <v>226</v>
      </c>
      <c r="EE100" s="278" t="str">
        <f>HYPERLINK("https://my.pitchbook.com?c=11917-09", "View company online")</f>
        <v>View company online</v>
      </c>
    </row>
    <row r="101" spans="1:135" x14ac:dyDescent="0.45">
      <c r="A101" s="144" t="s">
        <v>2345</v>
      </c>
      <c r="B101" s="145" t="s">
        <v>2346</v>
      </c>
      <c r="C101" s="146" t="s">
        <v>153</v>
      </c>
      <c r="D101" s="147" t="s">
        <v>153</v>
      </c>
      <c r="E101" s="148" t="s">
        <v>153</v>
      </c>
      <c r="F101" s="149" t="s">
        <v>153</v>
      </c>
      <c r="G101" s="150" t="s">
        <v>2347</v>
      </c>
      <c r="H101" s="151" t="s">
        <v>2348</v>
      </c>
      <c r="I101" s="152" t="s">
        <v>2345</v>
      </c>
      <c r="J101" s="153" t="s">
        <v>2349</v>
      </c>
      <c r="K101" s="154" t="s">
        <v>157</v>
      </c>
      <c r="L101" s="155" t="s">
        <v>817</v>
      </c>
      <c r="M101" s="156" t="s">
        <v>2107</v>
      </c>
      <c r="N101" s="157" t="s">
        <v>2108</v>
      </c>
      <c r="O101" s="158" t="s">
        <v>261</v>
      </c>
      <c r="P101" s="159" t="s">
        <v>2350</v>
      </c>
      <c r="Q101" s="160" t="s">
        <v>204</v>
      </c>
      <c r="R101" s="161" t="s">
        <v>153</v>
      </c>
      <c r="S101" s="162" t="s">
        <v>290</v>
      </c>
      <c r="T101" s="163" t="s">
        <v>205</v>
      </c>
      <c r="U101" s="164" t="s">
        <v>237</v>
      </c>
      <c r="V101" s="165" t="s">
        <v>2351</v>
      </c>
      <c r="W101" s="166">
        <v>2900</v>
      </c>
      <c r="X101" s="167" t="s">
        <v>2352</v>
      </c>
      <c r="Y101" s="168" t="s">
        <v>153</v>
      </c>
      <c r="Z101" s="169" t="s">
        <v>153</v>
      </c>
      <c r="AA101" s="170" t="s">
        <v>153</v>
      </c>
      <c r="AB101" s="171" t="s">
        <v>2353</v>
      </c>
      <c r="AC101" s="172" t="s">
        <v>153</v>
      </c>
      <c r="AD101" s="173" t="s">
        <v>153</v>
      </c>
      <c r="AE101" s="174" t="s">
        <v>153</v>
      </c>
      <c r="AF101" s="175" t="s">
        <v>153</v>
      </c>
      <c r="AG101" s="176" t="s">
        <v>153</v>
      </c>
      <c r="AH101" s="177" t="s">
        <v>153</v>
      </c>
      <c r="AI101" s="178" t="s">
        <v>153</v>
      </c>
      <c r="AJ101" s="179" t="s">
        <v>153</v>
      </c>
      <c r="AK101" s="180" t="s">
        <v>153</v>
      </c>
      <c r="AL101" s="181" t="s">
        <v>153</v>
      </c>
      <c r="AM101" s="182" t="s">
        <v>153</v>
      </c>
      <c r="AN101" s="183" t="s">
        <v>1046</v>
      </c>
      <c r="AO101" s="184" t="s">
        <v>153</v>
      </c>
      <c r="AP101" s="185" t="s">
        <v>153</v>
      </c>
      <c r="AQ101" s="186" t="s">
        <v>153</v>
      </c>
      <c r="AR101" s="187" t="s">
        <v>153</v>
      </c>
      <c r="AS101" s="188" t="s">
        <v>153</v>
      </c>
      <c r="AT101" s="189" t="s">
        <v>2354</v>
      </c>
      <c r="AU101" s="190" t="s">
        <v>2355</v>
      </c>
      <c r="AV101" s="191" t="s">
        <v>153</v>
      </c>
      <c r="AW101" s="192" t="s">
        <v>2356</v>
      </c>
      <c r="AX101" s="193" t="s">
        <v>408</v>
      </c>
      <c r="AY101" s="194" t="s">
        <v>2357</v>
      </c>
      <c r="AZ101" s="195" t="s">
        <v>215</v>
      </c>
      <c r="BA101" s="196" t="s">
        <v>153</v>
      </c>
      <c r="BB101" s="197" t="s">
        <v>153</v>
      </c>
      <c r="BC101" s="198" t="s">
        <v>153</v>
      </c>
      <c r="BD101" s="199" t="s">
        <v>216</v>
      </c>
      <c r="BE101" s="200" t="s">
        <v>217</v>
      </c>
      <c r="BF101" s="201" t="s">
        <v>2358</v>
      </c>
      <c r="BG101" s="202" t="s">
        <v>153</v>
      </c>
      <c r="BH101" s="203" t="s">
        <v>153</v>
      </c>
      <c r="BI101" s="204" t="s">
        <v>2353</v>
      </c>
      <c r="BJ101" s="205" t="s">
        <v>153</v>
      </c>
      <c r="BK101" s="206" t="s">
        <v>2359</v>
      </c>
      <c r="BL101" s="207" t="s">
        <v>153</v>
      </c>
      <c r="BM101" s="208" t="s">
        <v>153</v>
      </c>
      <c r="BN101" s="209" t="s">
        <v>2360</v>
      </c>
      <c r="BO101" s="210" t="s">
        <v>2361</v>
      </c>
      <c r="BP101" s="211" t="s">
        <v>2362</v>
      </c>
      <c r="BQ101" s="212">
        <v>42167</v>
      </c>
      <c r="BR101" s="213">
        <v>27400</v>
      </c>
      <c r="BS101" s="214" t="s">
        <v>186</v>
      </c>
      <c r="BT101" s="215">
        <v>27400</v>
      </c>
      <c r="BU101" s="216" t="s">
        <v>186</v>
      </c>
      <c r="BV101" s="217" t="s">
        <v>226</v>
      </c>
      <c r="BW101" s="218" t="s">
        <v>153</v>
      </c>
      <c r="BX101" s="219" t="s">
        <v>153</v>
      </c>
      <c r="BY101" s="220" t="s">
        <v>225</v>
      </c>
      <c r="BZ101" s="221" t="s">
        <v>2363</v>
      </c>
      <c r="CA101" s="222" t="s">
        <v>190</v>
      </c>
      <c r="CB101" s="223">
        <v>42167</v>
      </c>
      <c r="CC101" s="224">
        <v>27400</v>
      </c>
      <c r="CD101" s="225" t="s">
        <v>186</v>
      </c>
      <c r="CE101" s="226">
        <v>27400</v>
      </c>
      <c r="CF101" s="227" t="s">
        <v>186</v>
      </c>
      <c r="CG101" s="228" t="s">
        <v>226</v>
      </c>
      <c r="CH101" s="229" t="s">
        <v>153</v>
      </c>
      <c r="CI101" s="230" t="s">
        <v>153</v>
      </c>
      <c r="CJ101" s="231" t="s">
        <v>225</v>
      </c>
      <c r="CK101" s="232">
        <v>42167</v>
      </c>
      <c r="CL101" s="233" t="s">
        <v>153</v>
      </c>
      <c r="CM101" s="234" t="s">
        <v>2363</v>
      </c>
      <c r="CN101" s="235" t="s">
        <v>190</v>
      </c>
      <c r="CO101" s="236" t="s">
        <v>153</v>
      </c>
      <c r="CP101" s="237" t="s">
        <v>153</v>
      </c>
      <c r="CQ101" s="238" t="s">
        <v>153</v>
      </c>
      <c r="CR101" s="239" t="s">
        <v>153</v>
      </c>
      <c r="CS101" s="240" t="s">
        <v>153</v>
      </c>
      <c r="CT101" s="241" t="s">
        <v>153</v>
      </c>
      <c r="CU101" s="242" t="s">
        <v>153</v>
      </c>
      <c r="CV101" s="243" t="s">
        <v>153</v>
      </c>
      <c r="CW101" s="244" t="s">
        <v>153</v>
      </c>
      <c r="CX101" s="245" t="s">
        <v>153</v>
      </c>
      <c r="CY101" s="246" t="s">
        <v>153</v>
      </c>
      <c r="CZ101" s="247" t="s">
        <v>153</v>
      </c>
      <c r="DA101" s="248" t="s">
        <v>153</v>
      </c>
      <c r="DB101" s="249" t="s">
        <v>153</v>
      </c>
      <c r="DC101" s="250" t="s">
        <v>153</v>
      </c>
      <c r="DD101" s="251" t="s">
        <v>153</v>
      </c>
      <c r="DE101" s="252" t="s">
        <v>153</v>
      </c>
      <c r="DF101" s="253" t="s">
        <v>153</v>
      </c>
      <c r="DG101" s="254" t="s">
        <v>153</v>
      </c>
      <c r="DH101" s="255" t="s">
        <v>153</v>
      </c>
      <c r="DI101" s="256" t="s">
        <v>153</v>
      </c>
      <c r="DJ101" s="257" t="s">
        <v>153</v>
      </c>
      <c r="DK101" s="258" t="s">
        <v>153</v>
      </c>
      <c r="DL101" s="259" t="s">
        <v>153</v>
      </c>
      <c r="DM101" s="260" t="s">
        <v>153</v>
      </c>
      <c r="DN101" s="261" t="s">
        <v>153</v>
      </c>
      <c r="DO101" s="262" t="s">
        <v>153</v>
      </c>
      <c r="DP101" s="263" t="s">
        <v>153</v>
      </c>
      <c r="DQ101" s="264" t="s">
        <v>153</v>
      </c>
      <c r="DR101" s="265" t="s">
        <v>153</v>
      </c>
      <c r="DS101" s="266" t="s">
        <v>153</v>
      </c>
      <c r="DT101" s="267" t="s">
        <v>153</v>
      </c>
      <c r="DU101" s="268" t="s">
        <v>153</v>
      </c>
      <c r="DV101" s="269" t="s">
        <v>153</v>
      </c>
      <c r="DW101" s="270" t="s">
        <v>153</v>
      </c>
      <c r="DX101" s="271" t="s">
        <v>153</v>
      </c>
      <c r="DY101" s="272" t="s">
        <v>153</v>
      </c>
      <c r="DZ101" s="273" t="s">
        <v>191</v>
      </c>
      <c r="EA101" s="274">
        <v>44349</v>
      </c>
      <c r="EB101" s="275">
        <v>27400</v>
      </c>
      <c r="EC101" s="276">
        <v>42167</v>
      </c>
      <c r="ED101" s="277" t="s">
        <v>226</v>
      </c>
      <c r="EE101" s="279" t="str">
        <f>HYPERLINK("https://my.pitchbook.com?c=42106-60", "View company online")</f>
        <v>View company online</v>
      </c>
    </row>
    <row r="102" spans="1:135" x14ac:dyDescent="0.45">
      <c r="A102" s="10" t="s">
        <v>2364</v>
      </c>
      <c r="B102" s="11" t="s">
        <v>2365</v>
      </c>
      <c r="C102" s="12" t="s">
        <v>153</v>
      </c>
      <c r="D102" s="13" t="s">
        <v>153</v>
      </c>
      <c r="E102" s="14" t="s">
        <v>153</v>
      </c>
      <c r="F102" s="15" t="s">
        <v>153</v>
      </c>
      <c r="G102" s="16" t="s">
        <v>2366</v>
      </c>
      <c r="H102" s="17" t="s">
        <v>2367</v>
      </c>
      <c r="I102" s="18" t="s">
        <v>2364</v>
      </c>
      <c r="J102" s="19" t="s">
        <v>2368</v>
      </c>
      <c r="K102" s="20" t="s">
        <v>198</v>
      </c>
      <c r="L102" s="21" t="s">
        <v>984</v>
      </c>
      <c r="M102" s="22" t="s">
        <v>985</v>
      </c>
      <c r="N102" s="23" t="s">
        <v>2369</v>
      </c>
      <c r="O102" s="24" t="s">
        <v>202</v>
      </c>
      <c r="P102" s="25" t="s">
        <v>2370</v>
      </c>
      <c r="Q102" s="26" t="s">
        <v>289</v>
      </c>
      <c r="R102" s="27">
        <v>1581.09</v>
      </c>
      <c r="S102" s="28" t="s">
        <v>290</v>
      </c>
      <c r="T102" s="29" t="s">
        <v>164</v>
      </c>
      <c r="U102" s="30" t="s">
        <v>452</v>
      </c>
      <c r="V102" s="31" t="s">
        <v>2371</v>
      </c>
      <c r="W102" s="32">
        <v>16000</v>
      </c>
      <c r="X102" s="33" t="s">
        <v>2372</v>
      </c>
      <c r="Y102" s="34" t="s">
        <v>153</v>
      </c>
      <c r="Z102" s="35" t="s">
        <v>153</v>
      </c>
      <c r="AA102" s="36">
        <v>2003</v>
      </c>
      <c r="AB102" s="37" t="s">
        <v>2373</v>
      </c>
      <c r="AC102" s="38" t="s">
        <v>153</v>
      </c>
      <c r="AD102" s="39" t="s">
        <v>537</v>
      </c>
      <c r="AE102" s="40" t="s">
        <v>153</v>
      </c>
      <c r="AF102" s="41" t="s">
        <v>153</v>
      </c>
      <c r="AG102" s="42" t="s">
        <v>153</v>
      </c>
      <c r="AH102" s="43" t="s">
        <v>153</v>
      </c>
      <c r="AI102" s="44" t="s">
        <v>153</v>
      </c>
      <c r="AJ102" s="45" t="s">
        <v>153</v>
      </c>
      <c r="AK102" s="46" t="s">
        <v>153</v>
      </c>
      <c r="AL102" s="47" t="s">
        <v>153</v>
      </c>
      <c r="AM102" s="48" t="s">
        <v>153</v>
      </c>
      <c r="AN102" s="49" t="s">
        <v>1570</v>
      </c>
      <c r="AO102" s="50" t="s">
        <v>2374</v>
      </c>
      <c r="AP102" s="51" t="s">
        <v>2375</v>
      </c>
      <c r="AQ102" s="52" t="s">
        <v>2376</v>
      </c>
      <c r="AR102" s="53" t="s">
        <v>2377</v>
      </c>
      <c r="AS102" s="54" t="s">
        <v>153</v>
      </c>
      <c r="AT102" s="55" t="s">
        <v>2378</v>
      </c>
      <c r="AU102" s="56" t="s">
        <v>2379</v>
      </c>
      <c r="AV102" s="57" t="s">
        <v>153</v>
      </c>
      <c r="AW102" s="58" t="s">
        <v>2380</v>
      </c>
      <c r="AX102" s="59" t="s">
        <v>308</v>
      </c>
      <c r="AY102" s="60" t="s">
        <v>2381</v>
      </c>
      <c r="AZ102" s="61" t="s">
        <v>215</v>
      </c>
      <c r="BA102" s="62" t="s">
        <v>153</v>
      </c>
      <c r="BB102" s="63" t="s">
        <v>153</v>
      </c>
      <c r="BC102" s="64" t="s">
        <v>153</v>
      </c>
      <c r="BD102" s="65" t="s">
        <v>216</v>
      </c>
      <c r="BE102" s="66" t="s">
        <v>217</v>
      </c>
      <c r="BF102" s="67" t="s">
        <v>2382</v>
      </c>
      <c r="BG102" s="68" t="s">
        <v>153</v>
      </c>
      <c r="BH102" s="69" t="s">
        <v>153</v>
      </c>
      <c r="BI102" s="70" t="s">
        <v>2373</v>
      </c>
      <c r="BJ102" s="71" t="s">
        <v>2383</v>
      </c>
      <c r="BK102" s="72" t="s">
        <v>153</v>
      </c>
      <c r="BL102" s="73" t="s">
        <v>153</v>
      </c>
      <c r="BM102" s="74" t="s">
        <v>2384</v>
      </c>
      <c r="BN102" s="75" t="s">
        <v>153</v>
      </c>
      <c r="BO102" s="76" t="s">
        <v>2385</v>
      </c>
      <c r="BP102" s="77" t="s">
        <v>2386</v>
      </c>
      <c r="BQ102" s="78">
        <v>37937</v>
      </c>
      <c r="BR102" s="79">
        <v>4.7</v>
      </c>
      <c r="BS102" s="80" t="s">
        <v>186</v>
      </c>
      <c r="BT102" s="81">
        <v>17.2</v>
      </c>
      <c r="BU102" s="82" t="s">
        <v>187</v>
      </c>
      <c r="BV102" s="83" t="s">
        <v>471</v>
      </c>
      <c r="BW102" s="84" t="s">
        <v>1811</v>
      </c>
      <c r="BX102" s="85" t="s">
        <v>153</v>
      </c>
      <c r="BY102" s="86" t="s">
        <v>472</v>
      </c>
      <c r="BZ102" s="87" t="s">
        <v>153</v>
      </c>
      <c r="CA102" s="88" t="s">
        <v>190</v>
      </c>
      <c r="CB102" s="89">
        <v>42712</v>
      </c>
      <c r="CC102" s="90">
        <v>27009</v>
      </c>
      <c r="CD102" s="91" t="s">
        <v>186</v>
      </c>
      <c r="CE102" s="92">
        <v>27009</v>
      </c>
      <c r="CF102" s="93" t="s">
        <v>187</v>
      </c>
      <c r="CG102" s="94" t="s">
        <v>226</v>
      </c>
      <c r="CH102" s="95" t="s">
        <v>153</v>
      </c>
      <c r="CI102" s="96" t="s">
        <v>153</v>
      </c>
      <c r="CJ102" s="97" t="s">
        <v>225</v>
      </c>
      <c r="CK102" s="98">
        <v>42712</v>
      </c>
      <c r="CL102" s="99" t="s">
        <v>153</v>
      </c>
      <c r="CM102" s="100" t="s">
        <v>1607</v>
      </c>
      <c r="CN102" s="101" t="s">
        <v>190</v>
      </c>
      <c r="CO102" s="102">
        <v>0.02</v>
      </c>
      <c r="CP102" s="103">
        <v>87</v>
      </c>
      <c r="CQ102" s="104">
        <v>0</v>
      </c>
      <c r="CR102" s="105">
        <v>0</v>
      </c>
      <c r="CS102" s="106" t="s">
        <v>153</v>
      </c>
      <c r="CT102" s="107" t="s">
        <v>153</v>
      </c>
      <c r="CU102" s="108" t="s">
        <v>153</v>
      </c>
      <c r="CV102" s="109" t="s">
        <v>153</v>
      </c>
      <c r="CW102" s="110" t="s">
        <v>153</v>
      </c>
      <c r="CX102" s="111" t="s">
        <v>153</v>
      </c>
      <c r="CY102" s="112" t="s">
        <v>153</v>
      </c>
      <c r="CZ102" s="113" t="s">
        <v>153</v>
      </c>
      <c r="DA102" s="114" t="s">
        <v>153</v>
      </c>
      <c r="DB102" s="115" t="s">
        <v>153</v>
      </c>
      <c r="DC102" s="116">
        <v>432.43</v>
      </c>
      <c r="DD102" s="117">
        <v>100</v>
      </c>
      <c r="DE102" s="118">
        <v>0</v>
      </c>
      <c r="DF102" s="119">
        <v>0</v>
      </c>
      <c r="DG102" s="120" t="s">
        <v>153</v>
      </c>
      <c r="DH102" s="121" t="s">
        <v>153</v>
      </c>
      <c r="DI102" s="122" t="s">
        <v>153</v>
      </c>
      <c r="DJ102" s="123" t="s">
        <v>153</v>
      </c>
      <c r="DK102" s="124" t="s">
        <v>153</v>
      </c>
      <c r="DL102" s="125" t="s">
        <v>153</v>
      </c>
      <c r="DM102" s="126" t="s">
        <v>153</v>
      </c>
      <c r="DN102" s="127" t="s">
        <v>153</v>
      </c>
      <c r="DO102" s="128" t="s">
        <v>153</v>
      </c>
      <c r="DP102" s="129" t="s">
        <v>153</v>
      </c>
      <c r="DQ102" s="130" t="s">
        <v>153</v>
      </c>
      <c r="DR102" s="131" t="s">
        <v>153</v>
      </c>
      <c r="DS102" s="132" t="s">
        <v>153</v>
      </c>
      <c r="DT102" s="133" t="s">
        <v>153</v>
      </c>
      <c r="DU102" s="134" t="s">
        <v>153</v>
      </c>
      <c r="DV102" s="135" t="s">
        <v>153</v>
      </c>
      <c r="DW102" s="136" t="s">
        <v>153</v>
      </c>
      <c r="DX102" s="137" t="s">
        <v>153</v>
      </c>
      <c r="DY102" s="138" t="s">
        <v>153</v>
      </c>
      <c r="DZ102" s="139" t="s">
        <v>191</v>
      </c>
      <c r="EA102" s="140">
        <v>44385</v>
      </c>
      <c r="EB102" s="141">
        <v>27009</v>
      </c>
      <c r="EC102" s="142">
        <v>42712</v>
      </c>
      <c r="ED102" s="143" t="s">
        <v>226</v>
      </c>
      <c r="EE102" s="278" t="str">
        <f>HYPERLINK("https://my.pitchbook.com?c=13329-01", "View company online")</f>
        <v>View company online</v>
      </c>
    </row>
    <row r="103" spans="1:135" x14ac:dyDescent="0.45">
      <c r="A103" s="144" t="s">
        <v>2387</v>
      </c>
      <c r="B103" s="145" t="s">
        <v>2388</v>
      </c>
      <c r="C103" s="146" t="s">
        <v>153</v>
      </c>
      <c r="D103" s="147" t="s">
        <v>153</v>
      </c>
      <c r="E103" s="148" t="s">
        <v>153</v>
      </c>
      <c r="F103" s="149" t="s">
        <v>153</v>
      </c>
      <c r="G103" s="150" t="s">
        <v>2389</v>
      </c>
      <c r="H103" s="151" t="s">
        <v>153</v>
      </c>
      <c r="I103" s="152" t="s">
        <v>2387</v>
      </c>
      <c r="J103" s="153" t="s">
        <v>2390</v>
      </c>
      <c r="K103" s="154" t="s">
        <v>257</v>
      </c>
      <c r="L103" s="155" t="s">
        <v>478</v>
      </c>
      <c r="M103" s="156" t="s">
        <v>2391</v>
      </c>
      <c r="N103" s="157" t="s">
        <v>2392</v>
      </c>
      <c r="O103" s="158" t="s">
        <v>261</v>
      </c>
      <c r="P103" s="159" t="s">
        <v>2393</v>
      </c>
      <c r="Q103" s="160" t="s">
        <v>204</v>
      </c>
      <c r="R103" s="161" t="s">
        <v>153</v>
      </c>
      <c r="S103" s="162" t="s">
        <v>290</v>
      </c>
      <c r="T103" s="163" t="s">
        <v>205</v>
      </c>
      <c r="U103" s="164" t="s">
        <v>237</v>
      </c>
      <c r="V103" s="165" t="s">
        <v>153</v>
      </c>
      <c r="W103" s="166">
        <v>518</v>
      </c>
      <c r="X103" s="167" t="s">
        <v>2394</v>
      </c>
      <c r="Y103" s="168" t="s">
        <v>153</v>
      </c>
      <c r="Z103" s="169" t="s">
        <v>153</v>
      </c>
      <c r="AA103" s="170">
        <v>1994</v>
      </c>
      <c r="AB103" s="171" t="s">
        <v>153</v>
      </c>
      <c r="AC103" s="172" t="s">
        <v>153</v>
      </c>
      <c r="AD103" s="173" t="s">
        <v>153</v>
      </c>
      <c r="AE103" s="174" t="s">
        <v>153</v>
      </c>
      <c r="AF103" s="175" t="s">
        <v>153</v>
      </c>
      <c r="AG103" s="176" t="s">
        <v>153</v>
      </c>
      <c r="AH103" s="177" t="s">
        <v>153</v>
      </c>
      <c r="AI103" s="178" t="s">
        <v>153</v>
      </c>
      <c r="AJ103" s="179" t="s">
        <v>153</v>
      </c>
      <c r="AK103" s="180" t="s">
        <v>153</v>
      </c>
      <c r="AL103" s="181" t="s">
        <v>153</v>
      </c>
      <c r="AM103" s="182" t="s">
        <v>153</v>
      </c>
      <c r="AN103" s="183" t="s">
        <v>2064</v>
      </c>
      <c r="AO103" s="184" t="s">
        <v>2395</v>
      </c>
      <c r="AP103" s="185" t="s">
        <v>2396</v>
      </c>
      <c r="AQ103" s="186" t="s">
        <v>2397</v>
      </c>
      <c r="AR103" s="187" t="s">
        <v>153</v>
      </c>
      <c r="AS103" s="188" t="s">
        <v>2398</v>
      </c>
      <c r="AT103" s="189" t="s">
        <v>2399</v>
      </c>
      <c r="AU103" s="190" t="s">
        <v>2400</v>
      </c>
      <c r="AV103" s="191" t="s">
        <v>2401</v>
      </c>
      <c r="AW103" s="192" t="s">
        <v>2402</v>
      </c>
      <c r="AX103" s="193" t="s">
        <v>2403</v>
      </c>
      <c r="AY103" s="194" t="s">
        <v>2404</v>
      </c>
      <c r="AZ103" s="195" t="s">
        <v>215</v>
      </c>
      <c r="BA103" s="196" t="s">
        <v>2398</v>
      </c>
      <c r="BB103" s="197" t="s">
        <v>2405</v>
      </c>
      <c r="BC103" s="198" t="s">
        <v>153</v>
      </c>
      <c r="BD103" s="199" t="s">
        <v>216</v>
      </c>
      <c r="BE103" s="200" t="s">
        <v>217</v>
      </c>
      <c r="BF103" s="201" t="s">
        <v>2406</v>
      </c>
      <c r="BG103" s="202" t="s">
        <v>153</v>
      </c>
      <c r="BH103" s="203" t="s">
        <v>153</v>
      </c>
      <c r="BI103" s="204" t="s">
        <v>2407</v>
      </c>
      <c r="BJ103" s="205" t="s">
        <v>2408</v>
      </c>
      <c r="BK103" s="206" t="s">
        <v>2138</v>
      </c>
      <c r="BL103" s="207" t="s">
        <v>153</v>
      </c>
      <c r="BM103" s="208" t="s">
        <v>2409</v>
      </c>
      <c r="BN103" s="209" t="s">
        <v>2410</v>
      </c>
      <c r="BO103" s="210" t="s">
        <v>153</v>
      </c>
      <c r="BP103" s="211" t="s">
        <v>2411</v>
      </c>
      <c r="BQ103" s="212">
        <v>34682</v>
      </c>
      <c r="BR103" s="213" t="s">
        <v>153</v>
      </c>
      <c r="BS103" s="214" t="s">
        <v>153</v>
      </c>
      <c r="BT103" s="215" t="s">
        <v>153</v>
      </c>
      <c r="BU103" s="216" t="s">
        <v>153</v>
      </c>
      <c r="BV103" s="217" t="s">
        <v>251</v>
      </c>
      <c r="BW103" s="218" t="s">
        <v>524</v>
      </c>
      <c r="BX103" s="219" t="s">
        <v>153</v>
      </c>
      <c r="BY103" s="220" t="s">
        <v>252</v>
      </c>
      <c r="BZ103" s="221" t="s">
        <v>153</v>
      </c>
      <c r="CA103" s="222" t="s">
        <v>190</v>
      </c>
      <c r="CB103" s="223">
        <v>38828</v>
      </c>
      <c r="CC103" s="224">
        <v>27000</v>
      </c>
      <c r="CD103" s="225" t="s">
        <v>186</v>
      </c>
      <c r="CE103" s="226">
        <v>27000</v>
      </c>
      <c r="CF103" s="227" t="s">
        <v>187</v>
      </c>
      <c r="CG103" s="228" t="s">
        <v>226</v>
      </c>
      <c r="CH103" s="229" t="s">
        <v>153</v>
      </c>
      <c r="CI103" s="230" t="s">
        <v>153</v>
      </c>
      <c r="CJ103" s="231" t="s">
        <v>225</v>
      </c>
      <c r="CK103" s="232">
        <v>38828</v>
      </c>
      <c r="CL103" s="233" t="s">
        <v>153</v>
      </c>
      <c r="CM103" s="234" t="s">
        <v>153</v>
      </c>
      <c r="CN103" s="235" t="s">
        <v>190</v>
      </c>
      <c r="CO103" s="236" t="s">
        <v>153</v>
      </c>
      <c r="CP103" s="237" t="s">
        <v>153</v>
      </c>
      <c r="CQ103" s="238" t="s">
        <v>153</v>
      </c>
      <c r="CR103" s="239" t="s">
        <v>153</v>
      </c>
      <c r="CS103" s="240" t="s">
        <v>153</v>
      </c>
      <c r="CT103" s="241" t="s">
        <v>153</v>
      </c>
      <c r="CU103" s="242" t="s">
        <v>153</v>
      </c>
      <c r="CV103" s="243" t="s">
        <v>153</v>
      </c>
      <c r="CW103" s="244" t="s">
        <v>153</v>
      </c>
      <c r="CX103" s="245" t="s">
        <v>153</v>
      </c>
      <c r="CY103" s="246" t="s">
        <v>153</v>
      </c>
      <c r="CZ103" s="247" t="s">
        <v>153</v>
      </c>
      <c r="DA103" s="248" t="s">
        <v>153</v>
      </c>
      <c r="DB103" s="249" t="s">
        <v>153</v>
      </c>
      <c r="DC103" s="250" t="s">
        <v>153</v>
      </c>
      <c r="DD103" s="251" t="s">
        <v>153</v>
      </c>
      <c r="DE103" s="252" t="s">
        <v>153</v>
      </c>
      <c r="DF103" s="253" t="s">
        <v>153</v>
      </c>
      <c r="DG103" s="254" t="s">
        <v>153</v>
      </c>
      <c r="DH103" s="255" t="s">
        <v>153</v>
      </c>
      <c r="DI103" s="256" t="s">
        <v>153</v>
      </c>
      <c r="DJ103" s="257" t="s">
        <v>153</v>
      </c>
      <c r="DK103" s="258" t="s">
        <v>153</v>
      </c>
      <c r="DL103" s="259" t="s">
        <v>153</v>
      </c>
      <c r="DM103" s="260" t="s">
        <v>153</v>
      </c>
      <c r="DN103" s="261" t="s">
        <v>153</v>
      </c>
      <c r="DO103" s="262" t="s">
        <v>153</v>
      </c>
      <c r="DP103" s="263" t="s">
        <v>153</v>
      </c>
      <c r="DQ103" s="264" t="s">
        <v>153</v>
      </c>
      <c r="DR103" s="265" t="s">
        <v>153</v>
      </c>
      <c r="DS103" s="266" t="s">
        <v>153</v>
      </c>
      <c r="DT103" s="267" t="s">
        <v>153</v>
      </c>
      <c r="DU103" s="268" t="s">
        <v>153</v>
      </c>
      <c r="DV103" s="269" t="s">
        <v>153</v>
      </c>
      <c r="DW103" s="270" t="s">
        <v>153</v>
      </c>
      <c r="DX103" s="271" t="s">
        <v>153</v>
      </c>
      <c r="DY103" s="272" t="s">
        <v>153</v>
      </c>
      <c r="DZ103" s="273" t="s">
        <v>191</v>
      </c>
      <c r="EA103" s="274">
        <v>44350</v>
      </c>
      <c r="EB103" s="275">
        <v>27000</v>
      </c>
      <c r="EC103" s="276">
        <v>38828</v>
      </c>
      <c r="ED103" s="277" t="s">
        <v>226</v>
      </c>
      <c r="EE103" s="279" t="str">
        <f>HYPERLINK("https://my.pitchbook.com?c=41311-72", "View company online")</f>
        <v>View company online</v>
      </c>
    </row>
    <row r="104" spans="1:135" x14ac:dyDescent="0.45">
      <c r="A104" s="10" t="s">
        <v>2412</v>
      </c>
      <c r="B104" s="11" t="s">
        <v>2413</v>
      </c>
      <c r="C104" s="12" t="s">
        <v>153</v>
      </c>
      <c r="D104" s="13" t="s">
        <v>153</v>
      </c>
      <c r="E104" s="14" t="s">
        <v>153</v>
      </c>
      <c r="F104" s="15" t="s">
        <v>153</v>
      </c>
      <c r="G104" s="16" t="s">
        <v>2414</v>
      </c>
      <c r="H104" s="17" t="s">
        <v>153</v>
      </c>
      <c r="I104" s="18" t="s">
        <v>2412</v>
      </c>
      <c r="J104" s="19" t="s">
        <v>2415</v>
      </c>
      <c r="K104" s="20" t="s">
        <v>232</v>
      </c>
      <c r="L104" s="21" t="s">
        <v>1016</v>
      </c>
      <c r="M104" s="22" t="s">
        <v>2416</v>
      </c>
      <c r="N104" s="23" t="s">
        <v>2417</v>
      </c>
      <c r="O104" s="24" t="s">
        <v>153</v>
      </c>
      <c r="P104" s="25" t="s">
        <v>2418</v>
      </c>
      <c r="Q104" s="26" t="s">
        <v>204</v>
      </c>
      <c r="R104" s="27" t="s">
        <v>153</v>
      </c>
      <c r="S104" s="28" t="s">
        <v>163</v>
      </c>
      <c r="T104" s="29" t="s">
        <v>205</v>
      </c>
      <c r="U104" s="30" t="s">
        <v>206</v>
      </c>
      <c r="V104" s="31" t="s">
        <v>153</v>
      </c>
      <c r="W104" s="32">
        <v>340</v>
      </c>
      <c r="X104" s="33" t="s">
        <v>2419</v>
      </c>
      <c r="Y104" s="34" t="s">
        <v>153</v>
      </c>
      <c r="Z104" s="35" t="s">
        <v>153</v>
      </c>
      <c r="AA104" s="36">
        <v>2006</v>
      </c>
      <c r="AB104" s="37" t="s">
        <v>153</v>
      </c>
      <c r="AC104" s="38" t="s">
        <v>153</v>
      </c>
      <c r="AD104" s="39" t="s">
        <v>153</v>
      </c>
      <c r="AE104" s="40" t="s">
        <v>153</v>
      </c>
      <c r="AF104" s="41" t="s">
        <v>153</v>
      </c>
      <c r="AG104" s="42" t="s">
        <v>153</v>
      </c>
      <c r="AH104" s="43" t="s">
        <v>153</v>
      </c>
      <c r="AI104" s="44" t="s">
        <v>153</v>
      </c>
      <c r="AJ104" s="45" t="s">
        <v>153</v>
      </c>
      <c r="AK104" s="46" t="s">
        <v>153</v>
      </c>
      <c r="AL104" s="47" t="s">
        <v>153</v>
      </c>
      <c r="AM104" s="48" t="s">
        <v>153</v>
      </c>
      <c r="AN104" s="49" t="s">
        <v>153</v>
      </c>
      <c r="AO104" s="50" t="s">
        <v>153</v>
      </c>
      <c r="AP104" s="51" t="s">
        <v>153</v>
      </c>
      <c r="AQ104" s="52" t="s">
        <v>153</v>
      </c>
      <c r="AR104" s="53" t="s">
        <v>153</v>
      </c>
      <c r="AS104" s="54" t="s">
        <v>153</v>
      </c>
      <c r="AT104" s="55" t="s">
        <v>2420</v>
      </c>
      <c r="AU104" s="56" t="s">
        <v>153</v>
      </c>
      <c r="AV104" s="57" t="s">
        <v>153</v>
      </c>
      <c r="AW104" s="58" t="s">
        <v>2421</v>
      </c>
      <c r="AX104" s="59" t="s">
        <v>2422</v>
      </c>
      <c r="AY104" s="60" t="s">
        <v>153</v>
      </c>
      <c r="AZ104" s="61" t="s">
        <v>215</v>
      </c>
      <c r="BA104" s="62" t="s">
        <v>153</v>
      </c>
      <c r="BB104" s="63" t="s">
        <v>153</v>
      </c>
      <c r="BC104" s="64" t="s">
        <v>153</v>
      </c>
      <c r="BD104" s="65" t="s">
        <v>216</v>
      </c>
      <c r="BE104" s="66" t="s">
        <v>217</v>
      </c>
      <c r="BF104" s="67" t="s">
        <v>2423</v>
      </c>
      <c r="BG104" s="68" t="s">
        <v>153</v>
      </c>
      <c r="BH104" s="69" t="s">
        <v>153</v>
      </c>
      <c r="BI104" s="70" t="s">
        <v>2424</v>
      </c>
      <c r="BJ104" s="71" t="s">
        <v>2425</v>
      </c>
      <c r="BK104" s="72" t="s">
        <v>153</v>
      </c>
      <c r="BL104" s="73" t="s">
        <v>153</v>
      </c>
      <c r="BM104" s="74" t="s">
        <v>153</v>
      </c>
      <c r="BN104" s="75" t="s">
        <v>153</v>
      </c>
      <c r="BO104" s="76" t="s">
        <v>153</v>
      </c>
      <c r="BP104" s="77" t="s">
        <v>2426</v>
      </c>
      <c r="BQ104" s="78">
        <v>42277</v>
      </c>
      <c r="BR104" s="79">
        <v>26000</v>
      </c>
      <c r="BS104" s="80" t="s">
        <v>186</v>
      </c>
      <c r="BT104" s="81">
        <v>26000</v>
      </c>
      <c r="BU104" s="82" t="s">
        <v>186</v>
      </c>
      <c r="BV104" s="83" t="s">
        <v>226</v>
      </c>
      <c r="BW104" s="84" t="s">
        <v>729</v>
      </c>
      <c r="BX104" s="85" t="s">
        <v>153</v>
      </c>
      <c r="BY104" s="86" t="s">
        <v>225</v>
      </c>
      <c r="BZ104" s="87" t="s">
        <v>153</v>
      </c>
      <c r="CA104" s="88" t="s">
        <v>190</v>
      </c>
      <c r="CB104" s="89">
        <v>42277</v>
      </c>
      <c r="CC104" s="90">
        <v>26000</v>
      </c>
      <c r="CD104" s="91" t="s">
        <v>186</v>
      </c>
      <c r="CE104" s="92">
        <v>26000</v>
      </c>
      <c r="CF104" s="93" t="s">
        <v>186</v>
      </c>
      <c r="CG104" s="94" t="s">
        <v>226</v>
      </c>
      <c r="CH104" s="95" t="s">
        <v>729</v>
      </c>
      <c r="CI104" s="96" t="s">
        <v>153</v>
      </c>
      <c r="CJ104" s="97" t="s">
        <v>225</v>
      </c>
      <c r="CK104" s="98">
        <v>42277</v>
      </c>
      <c r="CL104" s="99" t="s">
        <v>153</v>
      </c>
      <c r="CM104" s="100" t="s">
        <v>153</v>
      </c>
      <c r="CN104" s="101" t="s">
        <v>190</v>
      </c>
      <c r="CO104" s="102" t="s">
        <v>153</v>
      </c>
      <c r="CP104" s="103" t="s">
        <v>153</v>
      </c>
      <c r="CQ104" s="104" t="s">
        <v>153</v>
      </c>
      <c r="CR104" s="105" t="s">
        <v>153</v>
      </c>
      <c r="CS104" s="106" t="s">
        <v>153</v>
      </c>
      <c r="CT104" s="107" t="s">
        <v>153</v>
      </c>
      <c r="CU104" s="108" t="s">
        <v>153</v>
      </c>
      <c r="CV104" s="109" t="s">
        <v>153</v>
      </c>
      <c r="CW104" s="110" t="s">
        <v>153</v>
      </c>
      <c r="CX104" s="111" t="s">
        <v>153</v>
      </c>
      <c r="CY104" s="112" t="s">
        <v>153</v>
      </c>
      <c r="CZ104" s="113" t="s">
        <v>153</v>
      </c>
      <c r="DA104" s="114" t="s">
        <v>153</v>
      </c>
      <c r="DB104" s="115" t="s">
        <v>153</v>
      </c>
      <c r="DC104" s="116" t="s">
        <v>153</v>
      </c>
      <c r="DD104" s="117" t="s">
        <v>153</v>
      </c>
      <c r="DE104" s="118" t="s">
        <v>153</v>
      </c>
      <c r="DF104" s="119" t="s">
        <v>153</v>
      </c>
      <c r="DG104" s="120" t="s">
        <v>153</v>
      </c>
      <c r="DH104" s="121" t="s">
        <v>153</v>
      </c>
      <c r="DI104" s="122" t="s">
        <v>153</v>
      </c>
      <c r="DJ104" s="123" t="s">
        <v>153</v>
      </c>
      <c r="DK104" s="124" t="s">
        <v>153</v>
      </c>
      <c r="DL104" s="125" t="s">
        <v>153</v>
      </c>
      <c r="DM104" s="126" t="s">
        <v>153</v>
      </c>
      <c r="DN104" s="127" t="s">
        <v>153</v>
      </c>
      <c r="DO104" s="128" t="s">
        <v>153</v>
      </c>
      <c r="DP104" s="129" t="s">
        <v>153</v>
      </c>
      <c r="DQ104" s="130" t="s">
        <v>153</v>
      </c>
      <c r="DR104" s="131" t="s">
        <v>153</v>
      </c>
      <c r="DS104" s="132" t="s">
        <v>153</v>
      </c>
      <c r="DT104" s="133" t="s">
        <v>153</v>
      </c>
      <c r="DU104" s="134" t="s">
        <v>153</v>
      </c>
      <c r="DV104" s="135" t="s">
        <v>153</v>
      </c>
      <c r="DW104" s="136" t="s">
        <v>153</v>
      </c>
      <c r="DX104" s="137" t="s">
        <v>153</v>
      </c>
      <c r="DY104" s="138" t="s">
        <v>153</v>
      </c>
      <c r="DZ104" s="139" t="s">
        <v>191</v>
      </c>
      <c r="EA104" s="140">
        <v>44147</v>
      </c>
      <c r="EB104" s="141">
        <v>26000</v>
      </c>
      <c r="EC104" s="142">
        <v>42277</v>
      </c>
      <c r="ED104" s="143" t="s">
        <v>226</v>
      </c>
      <c r="EE104" s="278" t="str">
        <f>HYPERLINK("https://my.pitchbook.com?c=119032-21", "View company online")</f>
        <v>View company online</v>
      </c>
    </row>
    <row r="105" spans="1:135" x14ac:dyDescent="0.45">
      <c r="A105" s="144" t="s">
        <v>2427</v>
      </c>
      <c r="B105" s="145" t="s">
        <v>2428</v>
      </c>
      <c r="C105" s="146" t="s">
        <v>153</v>
      </c>
      <c r="D105" s="147" t="s">
        <v>153</v>
      </c>
      <c r="E105" s="148" t="s">
        <v>2429</v>
      </c>
      <c r="F105" s="149" t="s">
        <v>153</v>
      </c>
      <c r="G105" s="150" t="s">
        <v>2430</v>
      </c>
      <c r="H105" s="151" t="s">
        <v>2431</v>
      </c>
      <c r="I105" s="152" t="s">
        <v>2427</v>
      </c>
      <c r="J105" s="153" t="s">
        <v>2432</v>
      </c>
      <c r="K105" s="154" t="s">
        <v>257</v>
      </c>
      <c r="L105" s="155" t="s">
        <v>530</v>
      </c>
      <c r="M105" s="156" t="s">
        <v>960</v>
      </c>
      <c r="N105" s="157" t="s">
        <v>2433</v>
      </c>
      <c r="O105" s="158" t="s">
        <v>2434</v>
      </c>
      <c r="P105" s="159" t="s">
        <v>2435</v>
      </c>
      <c r="Q105" s="160" t="s">
        <v>289</v>
      </c>
      <c r="R105" s="161">
        <v>20</v>
      </c>
      <c r="S105" s="162" t="s">
        <v>290</v>
      </c>
      <c r="T105" s="163" t="s">
        <v>164</v>
      </c>
      <c r="U105" s="164" t="s">
        <v>941</v>
      </c>
      <c r="V105" s="165" t="s">
        <v>2436</v>
      </c>
      <c r="W105" s="166">
        <v>13360</v>
      </c>
      <c r="X105" s="167" t="s">
        <v>2437</v>
      </c>
      <c r="Y105" s="168" t="s">
        <v>153</v>
      </c>
      <c r="Z105" s="169" t="s">
        <v>153</v>
      </c>
      <c r="AA105" s="170">
        <v>1993</v>
      </c>
      <c r="AB105" s="171" t="s">
        <v>536</v>
      </c>
      <c r="AC105" s="172" t="s">
        <v>153</v>
      </c>
      <c r="AD105" s="173" t="s">
        <v>153</v>
      </c>
      <c r="AE105" s="174" t="s">
        <v>153</v>
      </c>
      <c r="AF105" s="175" t="s">
        <v>153</v>
      </c>
      <c r="AG105" s="176" t="s">
        <v>153</v>
      </c>
      <c r="AH105" s="177" t="s">
        <v>153</v>
      </c>
      <c r="AI105" s="178" t="s">
        <v>153</v>
      </c>
      <c r="AJ105" s="179" t="s">
        <v>153</v>
      </c>
      <c r="AK105" s="180" t="s">
        <v>153</v>
      </c>
      <c r="AL105" s="181" t="s">
        <v>153</v>
      </c>
      <c r="AM105" s="182" t="s">
        <v>153</v>
      </c>
      <c r="AN105" s="183" t="s">
        <v>2438</v>
      </c>
      <c r="AO105" s="184" t="s">
        <v>153</v>
      </c>
      <c r="AP105" s="185" t="s">
        <v>153</v>
      </c>
      <c r="AQ105" s="186" t="s">
        <v>153</v>
      </c>
      <c r="AR105" s="187" t="s">
        <v>153</v>
      </c>
      <c r="AS105" s="188" t="s">
        <v>153</v>
      </c>
      <c r="AT105" s="189" t="s">
        <v>2439</v>
      </c>
      <c r="AU105" s="190" t="s">
        <v>2440</v>
      </c>
      <c r="AV105" s="191" t="s">
        <v>153</v>
      </c>
      <c r="AW105" s="192" t="s">
        <v>2441</v>
      </c>
      <c r="AX105" s="193" t="s">
        <v>652</v>
      </c>
      <c r="AY105" s="194" t="s">
        <v>2442</v>
      </c>
      <c r="AZ105" s="195" t="s">
        <v>215</v>
      </c>
      <c r="BA105" s="196" t="s">
        <v>2443</v>
      </c>
      <c r="BB105" s="197" t="s">
        <v>153</v>
      </c>
      <c r="BC105" s="198" t="s">
        <v>153</v>
      </c>
      <c r="BD105" s="199" t="s">
        <v>216</v>
      </c>
      <c r="BE105" s="200" t="s">
        <v>217</v>
      </c>
      <c r="BF105" s="201" t="s">
        <v>2444</v>
      </c>
      <c r="BG105" s="202" t="s">
        <v>153</v>
      </c>
      <c r="BH105" s="203" t="s">
        <v>153</v>
      </c>
      <c r="BI105" s="204" t="s">
        <v>536</v>
      </c>
      <c r="BJ105" s="205" t="s">
        <v>2445</v>
      </c>
      <c r="BK105" s="206" t="s">
        <v>153</v>
      </c>
      <c r="BL105" s="207" t="s">
        <v>153</v>
      </c>
      <c r="BM105" s="208" t="s">
        <v>2446</v>
      </c>
      <c r="BN105" s="209" t="s">
        <v>153</v>
      </c>
      <c r="BO105" s="210" t="s">
        <v>2447</v>
      </c>
      <c r="BP105" s="211" t="s">
        <v>2448</v>
      </c>
      <c r="BQ105" s="212">
        <v>34366</v>
      </c>
      <c r="BR105" s="213">
        <v>8</v>
      </c>
      <c r="BS105" s="214" t="s">
        <v>186</v>
      </c>
      <c r="BT105" s="215" t="s">
        <v>153</v>
      </c>
      <c r="BU105" s="216" t="s">
        <v>153</v>
      </c>
      <c r="BV105" s="217" t="s">
        <v>471</v>
      </c>
      <c r="BW105" s="218" t="s">
        <v>1811</v>
      </c>
      <c r="BX105" s="219" t="s">
        <v>153</v>
      </c>
      <c r="BY105" s="220" t="s">
        <v>472</v>
      </c>
      <c r="BZ105" s="221" t="s">
        <v>153</v>
      </c>
      <c r="CA105" s="222" t="s">
        <v>190</v>
      </c>
      <c r="CB105" s="223">
        <v>39161</v>
      </c>
      <c r="CC105" s="224">
        <v>26000</v>
      </c>
      <c r="CD105" s="225" t="s">
        <v>153</v>
      </c>
      <c r="CE105" s="226">
        <v>26000</v>
      </c>
      <c r="CF105" s="227" t="s">
        <v>153</v>
      </c>
      <c r="CG105" s="228" t="s">
        <v>226</v>
      </c>
      <c r="CH105" s="229" t="s">
        <v>153</v>
      </c>
      <c r="CI105" s="230" t="s">
        <v>153</v>
      </c>
      <c r="CJ105" s="231" t="s">
        <v>225</v>
      </c>
      <c r="CK105" s="232">
        <v>39161</v>
      </c>
      <c r="CL105" s="233" t="s">
        <v>153</v>
      </c>
      <c r="CM105" s="234" t="s">
        <v>153</v>
      </c>
      <c r="CN105" s="235" t="s">
        <v>190</v>
      </c>
      <c r="CO105" s="236" t="s">
        <v>153</v>
      </c>
      <c r="CP105" s="237" t="s">
        <v>153</v>
      </c>
      <c r="CQ105" s="238" t="s">
        <v>153</v>
      </c>
      <c r="CR105" s="239" t="s">
        <v>153</v>
      </c>
      <c r="CS105" s="240" t="s">
        <v>153</v>
      </c>
      <c r="CT105" s="241" t="s">
        <v>153</v>
      </c>
      <c r="CU105" s="242" t="s">
        <v>153</v>
      </c>
      <c r="CV105" s="243" t="s">
        <v>153</v>
      </c>
      <c r="CW105" s="244" t="s">
        <v>153</v>
      </c>
      <c r="CX105" s="245" t="s">
        <v>153</v>
      </c>
      <c r="CY105" s="246" t="s">
        <v>153</v>
      </c>
      <c r="CZ105" s="247" t="s">
        <v>153</v>
      </c>
      <c r="DA105" s="248" t="s">
        <v>153</v>
      </c>
      <c r="DB105" s="249" t="s">
        <v>153</v>
      </c>
      <c r="DC105" s="250" t="s">
        <v>153</v>
      </c>
      <c r="DD105" s="251" t="s">
        <v>153</v>
      </c>
      <c r="DE105" s="252" t="s">
        <v>153</v>
      </c>
      <c r="DF105" s="253" t="s">
        <v>153</v>
      </c>
      <c r="DG105" s="254" t="s">
        <v>153</v>
      </c>
      <c r="DH105" s="255" t="s">
        <v>153</v>
      </c>
      <c r="DI105" s="256" t="s">
        <v>153</v>
      </c>
      <c r="DJ105" s="257" t="s">
        <v>153</v>
      </c>
      <c r="DK105" s="258" t="s">
        <v>153</v>
      </c>
      <c r="DL105" s="259" t="s">
        <v>153</v>
      </c>
      <c r="DM105" s="260" t="s">
        <v>153</v>
      </c>
      <c r="DN105" s="261" t="s">
        <v>153</v>
      </c>
      <c r="DO105" s="262" t="s">
        <v>153</v>
      </c>
      <c r="DP105" s="263" t="s">
        <v>153</v>
      </c>
      <c r="DQ105" s="264" t="s">
        <v>153</v>
      </c>
      <c r="DR105" s="265" t="s">
        <v>153</v>
      </c>
      <c r="DS105" s="266" t="s">
        <v>153</v>
      </c>
      <c r="DT105" s="267" t="s">
        <v>153</v>
      </c>
      <c r="DU105" s="268" t="s">
        <v>153</v>
      </c>
      <c r="DV105" s="269" t="s">
        <v>153</v>
      </c>
      <c r="DW105" s="270" t="s">
        <v>153</v>
      </c>
      <c r="DX105" s="271" t="s">
        <v>153</v>
      </c>
      <c r="DY105" s="272" t="s">
        <v>153</v>
      </c>
      <c r="DZ105" s="273" t="s">
        <v>191</v>
      </c>
      <c r="EA105" s="274">
        <v>44217</v>
      </c>
      <c r="EB105" s="275">
        <v>26000</v>
      </c>
      <c r="EC105" s="276">
        <v>39161</v>
      </c>
      <c r="ED105" s="277" t="s">
        <v>226</v>
      </c>
      <c r="EE105" s="279" t="str">
        <f>HYPERLINK("https://my.pitchbook.com?c=41321-80", "View company online")</f>
        <v>View company online</v>
      </c>
    </row>
    <row r="106" spans="1:135" x14ac:dyDescent="0.45">
      <c r="A106" s="10" t="s">
        <v>2449</v>
      </c>
      <c r="B106" s="11" t="s">
        <v>2450</v>
      </c>
      <c r="C106" s="12" t="s">
        <v>153</v>
      </c>
      <c r="D106" s="13" t="s">
        <v>153</v>
      </c>
      <c r="E106" s="14" t="s">
        <v>153</v>
      </c>
      <c r="F106" s="15" t="s">
        <v>153</v>
      </c>
      <c r="G106" s="16" t="s">
        <v>2451</v>
      </c>
      <c r="H106" s="17" t="s">
        <v>153</v>
      </c>
      <c r="I106" s="18" t="s">
        <v>2449</v>
      </c>
      <c r="J106" s="19" t="s">
        <v>2452</v>
      </c>
      <c r="K106" s="20" t="s">
        <v>232</v>
      </c>
      <c r="L106" s="21" t="s">
        <v>233</v>
      </c>
      <c r="M106" s="22" t="s">
        <v>234</v>
      </c>
      <c r="N106" s="23" t="s">
        <v>2453</v>
      </c>
      <c r="O106" s="24" t="s">
        <v>153</v>
      </c>
      <c r="P106" s="25" t="s">
        <v>2454</v>
      </c>
      <c r="Q106" s="26" t="s">
        <v>204</v>
      </c>
      <c r="R106" s="27" t="s">
        <v>153</v>
      </c>
      <c r="S106" s="28" t="s">
        <v>290</v>
      </c>
      <c r="T106" s="29" t="s">
        <v>164</v>
      </c>
      <c r="U106" s="30" t="s">
        <v>237</v>
      </c>
      <c r="V106" s="31" t="s">
        <v>2455</v>
      </c>
      <c r="W106" s="32">
        <v>11604</v>
      </c>
      <c r="X106" s="33" t="s">
        <v>2456</v>
      </c>
      <c r="Y106" s="34" t="s">
        <v>153</v>
      </c>
      <c r="Z106" s="35" t="s">
        <v>153</v>
      </c>
      <c r="AA106" s="36">
        <v>1963</v>
      </c>
      <c r="AB106" s="37" t="s">
        <v>2457</v>
      </c>
      <c r="AC106" s="38" t="s">
        <v>153</v>
      </c>
      <c r="AD106" s="39" t="s">
        <v>153</v>
      </c>
      <c r="AE106" s="40" t="s">
        <v>153</v>
      </c>
      <c r="AF106" s="41" t="s">
        <v>153</v>
      </c>
      <c r="AG106" s="42" t="s">
        <v>153</v>
      </c>
      <c r="AH106" s="43" t="s">
        <v>153</v>
      </c>
      <c r="AI106" s="44" t="s">
        <v>153</v>
      </c>
      <c r="AJ106" s="45" t="s">
        <v>153</v>
      </c>
      <c r="AK106" s="46" t="s">
        <v>153</v>
      </c>
      <c r="AL106" s="47" t="s">
        <v>153</v>
      </c>
      <c r="AM106" s="48" t="s">
        <v>153</v>
      </c>
      <c r="AN106" s="49" t="s">
        <v>2458</v>
      </c>
      <c r="AO106" s="50" t="s">
        <v>153</v>
      </c>
      <c r="AP106" s="51" t="s">
        <v>153</v>
      </c>
      <c r="AQ106" s="52" t="s">
        <v>153</v>
      </c>
      <c r="AR106" s="53" t="s">
        <v>153</v>
      </c>
      <c r="AS106" s="54" t="s">
        <v>153</v>
      </c>
      <c r="AT106" s="55" t="s">
        <v>2459</v>
      </c>
      <c r="AU106" s="56" t="s">
        <v>2460</v>
      </c>
      <c r="AV106" s="57" t="s">
        <v>153</v>
      </c>
      <c r="AW106" s="58" t="s">
        <v>2461</v>
      </c>
      <c r="AX106" s="59" t="s">
        <v>308</v>
      </c>
      <c r="AY106" s="60" t="s">
        <v>2462</v>
      </c>
      <c r="AZ106" s="61" t="s">
        <v>215</v>
      </c>
      <c r="BA106" s="62" t="s">
        <v>2463</v>
      </c>
      <c r="BB106" s="63" t="s">
        <v>153</v>
      </c>
      <c r="BC106" s="64" t="s">
        <v>153</v>
      </c>
      <c r="BD106" s="65" t="s">
        <v>216</v>
      </c>
      <c r="BE106" s="66" t="s">
        <v>217</v>
      </c>
      <c r="BF106" s="67" t="s">
        <v>2464</v>
      </c>
      <c r="BG106" s="68" t="s">
        <v>153</v>
      </c>
      <c r="BH106" s="69" t="s">
        <v>153</v>
      </c>
      <c r="BI106" s="70" t="s">
        <v>2457</v>
      </c>
      <c r="BJ106" s="71" t="s">
        <v>153</v>
      </c>
      <c r="BK106" s="72" t="s">
        <v>153</v>
      </c>
      <c r="BL106" s="73" t="s">
        <v>153</v>
      </c>
      <c r="BM106" s="74" t="s">
        <v>153</v>
      </c>
      <c r="BN106" s="75" t="s">
        <v>153</v>
      </c>
      <c r="BO106" s="76" t="s">
        <v>153</v>
      </c>
      <c r="BP106" s="77" t="s">
        <v>2465</v>
      </c>
      <c r="BQ106" s="78">
        <v>25173</v>
      </c>
      <c r="BR106" s="79" t="s">
        <v>153</v>
      </c>
      <c r="BS106" s="80" t="s">
        <v>153</v>
      </c>
      <c r="BT106" s="81" t="s">
        <v>153</v>
      </c>
      <c r="BU106" s="82" t="s">
        <v>153</v>
      </c>
      <c r="BV106" s="83" t="s">
        <v>251</v>
      </c>
      <c r="BW106" s="84" t="s">
        <v>153</v>
      </c>
      <c r="BX106" s="85" t="s">
        <v>153</v>
      </c>
      <c r="BY106" s="86" t="s">
        <v>252</v>
      </c>
      <c r="BZ106" s="87" t="s">
        <v>153</v>
      </c>
      <c r="CA106" s="88" t="s">
        <v>190</v>
      </c>
      <c r="CB106" s="89">
        <v>38992</v>
      </c>
      <c r="CC106" s="90">
        <v>26000</v>
      </c>
      <c r="CD106" s="91" t="s">
        <v>186</v>
      </c>
      <c r="CE106" s="92">
        <v>26000</v>
      </c>
      <c r="CF106" s="93" t="s">
        <v>186</v>
      </c>
      <c r="CG106" s="94" t="s">
        <v>226</v>
      </c>
      <c r="CH106" s="95" t="s">
        <v>930</v>
      </c>
      <c r="CI106" s="96" t="s">
        <v>153</v>
      </c>
      <c r="CJ106" s="97" t="s">
        <v>225</v>
      </c>
      <c r="CK106" s="98">
        <v>38992</v>
      </c>
      <c r="CL106" s="99" t="s">
        <v>153</v>
      </c>
      <c r="CM106" s="100" t="s">
        <v>153</v>
      </c>
      <c r="CN106" s="101" t="s">
        <v>190</v>
      </c>
      <c r="CO106" s="102">
        <v>0</v>
      </c>
      <c r="CP106" s="103">
        <v>11</v>
      </c>
      <c r="CQ106" s="104">
        <v>0</v>
      </c>
      <c r="CR106" s="105">
        <v>0</v>
      </c>
      <c r="CS106" s="106">
        <v>0</v>
      </c>
      <c r="CT106" s="107">
        <v>8</v>
      </c>
      <c r="CU106" s="108" t="s">
        <v>153</v>
      </c>
      <c r="CV106" s="109" t="s">
        <v>153</v>
      </c>
      <c r="CW106" s="110" t="s">
        <v>153</v>
      </c>
      <c r="CX106" s="111" t="s">
        <v>153</v>
      </c>
      <c r="CY106" s="112">
        <v>0</v>
      </c>
      <c r="CZ106" s="113">
        <v>5</v>
      </c>
      <c r="DA106" s="114" t="s">
        <v>153</v>
      </c>
      <c r="DB106" s="115" t="s">
        <v>153</v>
      </c>
      <c r="DC106" s="116">
        <v>2</v>
      </c>
      <c r="DD106" s="117">
        <v>68</v>
      </c>
      <c r="DE106" s="118">
        <v>0</v>
      </c>
      <c r="DF106" s="119">
        <v>0</v>
      </c>
      <c r="DG106" s="120">
        <v>2</v>
      </c>
      <c r="DH106" s="121">
        <v>68</v>
      </c>
      <c r="DI106" s="122" t="s">
        <v>153</v>
      </c>
      <c r="DJ106" s="123" t="s">
        <v>153</v>
      </c>
      <c r="DK106" s="124" t="s">
        <v>153</v>
      </c>
      <c r="DL106" s="125" t="s">
        <v>153</v>
      </c>
      <c r="DM106" s="126">
        <v>2</v>
      </c>
      <c r="DN106" s="127">
        <v>67</v>
      </c>
      <c r="DO106" s="128" t="s">
        <v>153</v>
      </c>
      <c r="DP106" s="129" t="s">
        <v>153</v>
      </c>
      <c r="DQ106" s="130" t="s">
        <v>153</v>
      </c>
      <c r="DR106" s="131" t="s">
        <v>153</v>
      </c>
      <c r="DS106" s="132" t="s">
        <v>153</v>
      </c>
      <c r="DT106" s="133">
        <v>32</v>
      </c>
      <c r="DU106" s="134">
        <v>1</v>
      </c>
      <c r="DV106" s="135">
        <v>3.23</v>
      </c>
      <c r="DW106" s="136" t="s">
        <v>153</v>
      </c>
      <c r="DX106" s="137" t="s">
        <v>153</v>
      </c>
      <c r="DY106" s="138" t="s">
        <v>153</v>
      </c>
      <c r="DZ106" s="139" t="s">
        <v>191</v>
      </c>
      <c r="EA106" s="140">
        <v>43940</v>
      </c>
      <c r="EB106" s="141">
        <v>26000</v>
      </c>
      <c r="EC106" s="142">
        <v>38992</v>
      </c>
      <c r="ED106" s="143" t="s">
        <v>226</v>
      </c>
      <c r="EE106" s="278" t="str">
        <f>HYPERLINK("https://my.pitchbook.com?c=10857-61", "View company online")</f>
        <v>View company online</v>
      </c>
    </row>
    <row r="107" spans="1:135" x14ac:dyDescent="0.45">
      <c r="A107" s="144" t="s">
        <v>2466</v>
      </c>
      <c r="B107" s="145" t="s">
        <v>2467</v>
      </c>
      <c r="C107" s="146" t="s">
        <v>153</v>
      </c>
      <c r="D107" s="147" t="s">
        <v>153</v>
      </c>
      <c r="E107" s="148" t="s">
        <v>153</v>
      </c>
      <c r="F107" s="149" t="s">
        <v>153</v>
      </c>
      <c r="G107" s="150" t="s">
        <v>2468</v>
      </c>
      <c r="H107" s="151" t="s">
        <v>153</v>
      </c>
      <c r="I107" s="152" t="s">
        <v>2466</v>
      </c>
      <c r="J107" s="153" t="s">
        <v>2469</v>
      </c>
      <c r="K107" s="154" t="s">
        <v>559</v>
      </c>
      <c r="L107" s="155" t="s">
        <v>1345</v>
      </c>
      <c r="M107" s="156" t="s">
        <v>2470</v>
      </c>
      <c r="N107" s="157" t="s">
        <v>2471</v>
      </c>
      <c r="O107" s="158" t="s">
        <v>261</v>
      </c>
      <c r="P107" s="159" t="s">
        <v>2472</v>
      </c>
      <c r="Q107" s="160" t="s">
        <v>204</v>
      </c>
      <c r="R107" s="161" t="s">
        <v>153</v>
      </c>
      <c r="S107" s="162" t="s">
        <v>290</v>
      </c>
      <c r="T107" s="163" t="s">
        <v>205</v>
      </c>
      <c r="U107" s="164" t="s">
        <v>237</v>
      </c>
      <c r="V107" s="165" t="s">
        <v>153</v>
      </c>
      <c r="W107" s="166">
        <v>11</v>
      </c>
      <c r="X107" s="167" t="s">
        <v>2473</v>
      </c>
      <c r="Y107" s="168" t="s">
        <v>153</v>
      </c>
      <c r="Z107" s="169" t="s">
        <v>153</v>
      </c>
      <c r="AA107" s="170">
        <v>1834</v>
      </c>
      <c r="AB107" s="171" t="s">
        <v>153</v>
      </c>
      <c r="AC107" s="172" t="s">
        <v>153</v>
      </c>
      <c r="AD107" s="173" t="s">
        <v>153</v>
      </c>
      <c r="AE107" s="174" t="s">
        <v>153</v>
      </c>
      <c r="AF107" s="175" t="s">
        <v>153</v>
      </c>
      <c r="AG107" s="176" t="s">
        <v>153</v>
      </c>
      <c r="AH107" s="177" t="s">
        <v>153</v>
      </c>
      <c r="AI107" s="178" t="s">
        <v>153</v>
      </c>
      <c r="AJ107" s="179" t="s">
        <v>153</v>
      </c>
      <c r="AK107" s="180" t="s">
        <v>153</v>
      </c>
      <c r="AL107" s="181" t="s">
        <v>153</v>
      </c>
      <c r="AM107" s="182" t="s">
        <v>153</v>
      </c>
      <c r="AN107" s="183" t="s">
        <v>2438</v>
      </c>
      <c r="AO107" s="184" t="s">
        <v>2474</v>
      </c>
      <c r="AP107" s="185" t="s">
        <v>2475</v>
      </c>
      <c r="AQ107" s="186" t="s">
        <v>2476</v>
      </c>
      <c r="AR107" s="187" t="s">
        <v>2477</v>
      </c>
      <c r="AS107" s="188" t="s">
        <v>2478</v>
      </c>
      <c r="AT107" s="189" t="s">
        <v>2479</v>
      </c>
      <c r="AU107" s="190" t="s">
        <v>2480</v>
      </c>
      <c r="AV107" s="191" t="s">
        <v>153</v>
      </c>
      <c r="AW107" s="192" t="s">
        <v>2481</v>
      </c>
      <c r="AX107" s="193" t="s">
        <v>2482</v>
      </c>
      <c r="AY107" s="194" t="s">
        <v>2483</v>
      </c>
      <c r="AZ107" s="195" t="s">
        <v>215</v>
      </c>
      <c r="BA107" s="196" t="s">
        <v>153</v>
      </c>
      <c r="BB107" s="197" t="s">
        <v>153</v>
      </c>
      <c r="BC107" s="198" t="s">
        <v>153</v>
      </c>
      <c r="BD107" s="199" t="s">
        <v>216</v>
      </c>
      <c r="BE107" s="200" t="s">
        <v>217</v>
      </c>
      <c r="BF107" s="201" t="s">
        <v>2484</v>
      </c>
      <c r="BG107" s="202" t="s">
        <v>153</v>
      </c>
      <c r="BH107" s="203" t="s">
        <v>153</v>
      </c>
      <c r="BI107" s="204" t="s">
        <v>2485</v>
      </c>
      <c r="BJ107" s="205" t="s">
        <v>153</v>
      </c>
      <c r="BK107" s="206" t="s">
        <v>153</v>
      </c>
      <c r="BL107" s="207" t="s">
        <v>153</v>
      </c>
      <c r="BM107" s="208" t="s">
        <v>153</v>
      </c>
      <c r="BN107" s="209" t="s">
        <v>153</v>
      </c>
      <c r="BO107" s="210" t="s">
        <v>2486</v>
      </c>
      <c r="BP107" s="211" t="s">
        <v>2487</v>
      </c>
      <c r="BQ107" s="212">
        <v>26451</v>
      </c>
      <c r="BR107" s="213" t="s">
        <v>153</v>
      </c>
      <c r="BS107" s="214" t="s">
        <v>153</v>
      </c>
      <c r="BT107" s="215" t="s">
        <v>153</v>
      </c>
      <c r="BU107" s="216" t="s">
        <v>153</v>
      </c>
      <c r="BV107" s="217" t="s">
        <v>251</v>
      </c>
      <c r="BW107" s="218" t="s">
        <v>153</v>
      </c>
      <c r="BX107" s="219" t="s">
        <v>153</v>
      </c>
      <c r="BY107" s="220" t="s">
        <v>252</v>
      </c>
      <c r="BZ107" s="221" t="s">
        <v>153</v>
      </c>
      <c r="CA107" s="222" t="s">
        <v>190</v>
      </c>
      <c r="CB107" s="223">
        <v>39160</v>
      </c>
      <c r="CC107" s="224">
        <v>25805</v>
      </c>
      <c r="CD107" s="225" t="s">
        <v>186</v>
      </c>
      <c r="CE107" s="226">
        <v>25805</v>
      </c>
      <c r="CF107" s="227" t="s">
        <v>187</v>
      </c>
      <c r="CG107" s="228" t="s">
        <v>226</v>
      </c>
      <c r="CH107" s="229" t="s">
        <v>153</v>
      </c>
      <c r="CI107" s="230" t="s">
        <v>153</v>
      </c>
      <c r="CJ107" s="231" t="s">
        <v>225</v>
      </c>
      <c r="CK107" s="232">
        <v>39160</v>
      </c>
      <c r="CL107" s="233" t="s">
        <v>153</v>
      </c>
      <c r="CM107" s="234" t="s">
        <v>153</v>
      </c>
      <c r="CN107" s="235" t="s">
        <v>190</v>
      </c>
      <c r="CO107" s="236" t="s">
        <v>153</v>
      </c>
      <c r="CP107" s="237" t="s">
        <v>153</v>
      </c>
      <c r="CQ107" s="238" t="s">
        <v>153</v>
      </c>
      <c r="CR107" s="239" t="s">
        <v>153</v>
      </c>
      <c r="CS107" s="240" t="s">
        <v>153</v>
      </c>
      <c r="CT107" s="241" t="s">
        <v>153</v>
      </c>
      <c r="CU107" s="242" t="s">
        <v>153</v>
      </c>
      <c r="CV107" s="243" t="s">
        <v>153</v>
      </c>
      <c r="CW107" s="244" t="s">
        <v>153</v>
      </c>
      <c r="CX107" s="245" t="s">
        <v>153</v>
      </c>
      <c r="CY107" s="246" t="s">
        <v>153</v>
      </c>
      <c r="CZ107" s="247" t="s">
        <v>153</v>
      </c>
      <c r="DA107" s="248" t="s">
        <v>153</v>
      </c>
      <c r="DB107" s="249" t="s">
        <v>153</v>
      </c>
      <c r="DC107" s="250" t="s">
        <v>153</v>
      </c>
      <c r="DD107" s="251" t="s">
        <v>153</v>
      </c>
      <c r="DE107" s="252" t="s">
        <v>153</v>
      </c>
      <c r="DF107" s="253" t="s">
        <v>153</v>
      </c>
      <c r="DG107" s="254" t="s">
        <v>153</v>
      </c>
      <c r="DH107" s="255" t="s">
        <v>153</v>
      </c>
      <c r="DI107" s="256" t="s">
        <v>153</v>
      </c>
      <c r="DJ107" s="257" t="s">
        <v>153</v>
      </c>
      <c r="DK107" s="258" t="s">
        <v>153</v>
      </c>
      <c r="DL107" s="259" t="s">
        <v>153</v>
      </c>
      <c r="DM107" s="260" t="s">
        <v>153</v>
      </c>
      <c r="DN107" s="261" t="s">
        <v>153</v>
      </c>
      <c r="DO107" s="262" t="s">
        <v>153</v>
      </c>
      <c r="DP107" s="263" t="s">
        <v>153</v>
      </c>
      <c r="DQ107" s="264" t="s">
        <v>153</v>
      </c>
      <c r="DR107" s="265" t="s">
        <v>153</v>
      </c>
      <c r="DS107" s="266" t="s">
        <v>153</v>
      </c>
      <c r="DT107" s="267" t="s">
        <v>153</v>
      </c>
      <c r="DU107" s="268" t="s">
        <v>153</v>
      </c>
      <c r="DV107" s="269" t="s">
        <v>153</v>
      </c>
      <c r="DW107" s="270" t="s">
        <v>153</v>
      </c>
      <c r="DX107" s="271" t="s">
        <v>153</v>
      </c>
      <c r="DY107" s="272" t="s">
        <v>153</v>
      </c>
      <c r="DZ107" s="273" t="s">
        <v>191</v>
      </c>
      <c r="EA107" s="274">
        <v>44341</v>
      </c>
      <c r="EB107" s="275">
        <v>25805</v>
      </c>
      <c r="EC107" s="276">
        <v>39160</v>
      </c>
      <c r="ED107" s="277" t="s">
        <v>226</v>
      </c>
      <c r="EE107" s="279" t="str">
        <f>HYPERLINK("https://my.pitchbook.com?c=10406-08", "View company online")</f>
        <v>View company online</v>
      </c>
    </row>
    <row r="108" spans="1:135" x14ac:dyDescent="0.45">
      <c r="A108" s="10" t="s">
        <v>2488</v>
      </c>
      <c r="B108" s="11" t="s">
        <v>2489</v>
      </c>
      <c r="C108" s="12" t="s">
        <v>153</v>
      </c>
      <c r="D108" s="13" t="s">
        <v>153</v>
      </c>
      <c r="E108" s="14" t="s">
        <v>2490</v>
      </c>
      <c r="F108" s="15" t="s">
        <v>2491</v>
      </c>
      <c r="G108" s="16" t="s">
        <v>2492</v>
      </c>
      <c r="H108" s="17" t="s">
        <v>153</v>
      </c>
      <c r="I108" s="18" t="s">
        <v>2488</v>
      </c>
      <c r="J108" s="19" t="s">
        <v>2493</v>
      </c>
      <c r="K108" s="20" t="s">
        <v>157</v>
      </c>
      <c r="L108" s="21" t="s">
        <v>817</v>
      </c>
      <c r="M108" s="22" t="s">
        <v>863</v>
      </c>
      <c r="N108" s="23" t="s">
        <v>2494</v>
      </c>
      <c r="O108" s="24" t="s">
        <v>153</v>
      </c>
      <c r="P108" s="25" t="s">
        <v>2495</v>
      </c>
      <c r="Q108" s="26" t="s">
        <v>204</v>
      </c>
      <c r="R108" s="27" t="s">
        <v>153</v>
      </c>
      <c r="S108" s="28" t="s">
        <v>163</v>
      </c>
      <c r="T108" s="29" t="s">
        <v>164</v>
      </c>
      <c r="U108" s="30" t="s">
        <v>237</v>
      </c>
      <c r="V108" s="31" t="s">
        <v>2496</v>
      </c>
      <c r="W108" s="32">
        <v>44000</v>
      </c>
      <c r="X108" s="33" t="s">
        <v>2497</v>
      </c>
      <c r="Y108" s="34" t="s">
        <v>153</v>
      </c>
      <c r="Z108" s="35" t="s">
        <v>153</v>
      </c>
      <c r="AA108" s="36">
        <v>1913</v>
      </c>
      <c r="AB108" s="37" t="s">
        <v>2498</v>
      </c>
      <c r="AC108" s="38" t="s">
        <v>153</v>
      </c>
      <c r="AD108" s="39" t="s">
        <v>153</v>
      </c>
      <c r="AE108" s="40" t="s">
        <v>153</v>
      </c>
      <c r="AF108" s="41" t="s">
        <v>153</v>
      </c>
      <c r="AG108" s="42" t="s">
        <v>153</v>
      </c>
      <c r="AH108" s="43" t="s">
        <v>153</v>
      </c>
      <c r="AI108" s="44" t="s">
        <v>153</v>
      </c>
      <c r="AJ108" s="45" t="s">
        <v>153</v>
      </c>
      <c r="AK108" s="46" t="s">
        <v>153</v>
      </c>
      <c r="AL108" s="47" t="s">
        <v>153</v>
      </c>
      <c r="AM108" s="48" t="s">
        <v>153</v>
      </c>
      <c r="AN108" s="49" t="s">
        <v>2499</v>
      </c>
      <c r="AO108" s="50" t="s">
        <v>153</v>
      </c>
      <c r="AP108" s="51" t="s">
        <v>153</v>
      </c>
      <c r="AQ108" s="52" t="s">
        <v>153</v>
      </c>
      <c r="AR108" s="53" t="s">
        <v>153</v>
      </c>
      <c r="AS108" s="54" t="s">
        <v>153</v>
      </c>
      <c r="AT108" s="55" t="s">
        <v>2500</v>
      </c>
      <c r="AU108" s="56" t="s">
        <v>2501</v>
      </c>
      <c r="AV108" s="57" t="s">
        <v>2502</v>
      </c>
      <c r="AW108" s="58" t="s">
        <v>2503</v>
      </c>
      <c r="AX108" s="59" t="s">
        <v>273</v>
      </c>
      <c r="AY108" s="60" t="s">
        <v>2504</v>
      </c>
      <c r="AZ108" s="61" t="s">
        <v>215</v>
      </c>
      <c r="BA108" s="62" t="s">
        <v>153</v>
      </c>
      <c r="BB108" s="63" t="s">
        <v>153</v>
      </c>
      <c r="BC108" s="64" t="s">
        <v>153</v>
      </c>
      <c r="BD108" s="65" t="s">
        <v>216</v>
      </c>
      <c r="BE108" s="66" t="s">
        <v>217</v>
      </c>
      <c r="BF108" s="67" t="s">
        <v>2505</v>
      </c>
      <c r="BG108" s="68" t="s">
        <v>153</v>
      </c>
      <c r="BH108" s="69" t="s">
        <v>153</v>
      </c>
      <c r="BI108" s="70" t="s">
        <v>153</v>
      </c>
      <c r="BJ108" s="71" t="s">
        <v>2498</v>
      </c>
      <c r="BK108" s="72" t="s">
        <v>153</v>
      </c>
      <c r="BL108" s="73" t="s">
        <v>153</v>
      </c>
      <c r="BM108" s="74" t="s">
        <v>2506</v>
      </c>
      <c r="BN108" s="75" t="s">
        <v>153</v>
      </c>
      <c r="BO108" s="76" t="s">
        <v>153</v>
      </c>
      <c r="BP108" s="77" t="s">
        <v>2507</v>
      </c>
      <c r="BQ108" s="78">
        <v>36802</v>
      </c>
      <c r="BR108" s="79">
        <v>25000</v>
      </c>
      <c r="BS108" s="80" t="s">
        <v>186</v>
      </c>
      <c r="BT108" s="81">
        <v>25000</v>
      </c>
      <c r="BU108" s="82" t="s">
        <v>186</v>
      </c>
      <c r="BV108" s="83" t="s">
        <v>226</v>
      </c>
      <c r="BW108" s="84" t="s">
        <v>153</v>
      </c>
      <c r="BX108" s="85" t="s">
        <v>153</v>
      </c>
      <c r="BY108" s="86" t="s">
        <v>225</v>
      </c>
      <c r="BZ108" s="87" t="s">
        <v>153</v>
      </c>
      <c r="CA108" s="88" t="s">
        <v>190</v>
      </c>
      <c r="CB108" s="89">
        <v>36802</v>
      </c>
      <c r="CC108" s="90">
        <v>25000</v>
      </c>
      <c r="CD108" s="91" t="s">
        <v>186</v>
      </c>
      <c r="CE108" s="92">
        <v>25000</v>
      </c>
      <c r="CF108" s="93" t="s">
        <v>186</v>
      </c>
      <c r="CG108" s="94" t="s">
        <v>226</v>
      </c>
      <c r="CH108" s="95" t="s">
        <v>153</v>
      </c>
      <c r="CI108" s="96" t="s">
        <v>153</v>
      </c>
      <c r="CJ108" s="97" t="s">
        <v>225</v>
      </c>
      <c r="CK108" s="98">
        <v>36802</v>
      </c>
      <c r="CL108" s="99">
        <v>4000</v>
      </c>
      <c r="CM108" s="100" t="s">
        <v>153</v>
      </c>
      <c r="CN108" s="101" t="s">
        <v>190</v>
      </c>
      <c r="CO108" s="102">
        <v>1.71</v>
      </c>
      <c r="CP108" s="103">
        <v>98</v>
      </c>
      <c r="CQ108" s="104">
        <v>-0.04</v>
      </c>
      <c r="CR108" s="105">
        <v>-2.5499999999999998</v>
      </c>
      <c r="CS108" s="106">
        <v>3.47</v>
      </c>
      <c r="CT108" s="107">
        <v>99</v>
      </c>
      <c r="CU108" s="108">
        <v>-0.04</v>
      </c>
      <c r="CV108" s="109">
        <v>34</v>
      </c>
      <c r="CW108" s="110">
        <v>6.42</v>
      </c>
      <c r="CX108" s="111">
        <v>96</v>
      </c>
      <c r="CY108" s="112">
        <v>0.51</v>
      </c>
      <c r="CZ108" s="113">
        <v>94</v>
      </c>
      <c r="DA108" s="114">
        <v>-0.04</v>
      </c>
      <c r="DB108" s="115">
        <v>34</v>
      </c>
      <c r="DC108" s="116">
        <v>29.78</v>
      </c>
      <c r="DD108" s="117">
        <v>97</v>
      </c>
      <c r="DE108" s="118">
        <v>0.09</v>
      </c>
      <c r="DF108" s="119">
        <v>0.28999999999999998</v>
      </c>
      <c r="DG108" s="120">
        <v>28.24</v>
      </c>
      <c r="DH108" s="121">
        <v>97</v>
      </c>
      <c r="DI108" s="122">
        <v>31.33</v>
      </c>
      <c r="DJ108" s="123">
        <v>94</v>
      </c>
      <c r="DK108" s="124">
        <v>17.350000000000001</v>
      </c>
      <c r="DL108" s="125">
        <v>90</v>
      </c>
      <c r="DM108" s="126">
        <v>39.130000000000003</v>
      </c>
      <c r="DN108" s="127">
        <v>98</v>
      </c>
      <c r="DO108" s="128">
        <v>31.33</v>
      </c>
      <c r="DP108" s="129">
        <v>94</v>
      </c>
      <c r="DQ108" s="130">
        <v>10151</v>
      </c>
      <c r="DR108" s="131">
        <v>494</v>
      </c>
      <c r="DS108" s="132">
        <v>5.12</v>
      </c>
      <c r="DT108" s="133">
        <v>626</v>
      </c>
      <c r="DU108" s="134">
        <v>2</v>
      </c>
      <c r="DV108" s="135">
        <v>0.32</v>
      </c>
      <c r="DW108" s="136">
        <v>9838</v>
      </c>
      <c r="DX108" s="137">
        <v>3</v>
      </c>
      <c r="DY108" s="138">
        <v>0.03</v>
      </c>
      <c r="DZ108" s="139" t="s">
        <v>191</v>
      </c>
      <c r="EA108" s="140">
        <v>44350</v>
      </c>
      <c r="EB108" s="141">
        <v>25000</v>
      </c>
      <c r="EC108" s="142">
        <v>36802</v>
      </c>
      <c r="ED108" s="143" t="s">
        <v>226</v>
      </c>
      <c r="EE108" s="278" t="str">
        <f>HYPERLINK("https://my.pitchbook.com?c=126509-59", "View company online")</f>
        <v>View company online</v>
      </c>
    </row>
    <row r="109" spans="1:135" x14ac:dyDescent="0.45">
      <c r="A109" s="144" t="s">
        <v>2508</v>
      </c>
      <c r="B109" s="145" t="s">
        <v>2509</v>
      </c>
      <c r="C109" s="146" t="s">
        <v>153</v>
      </c>
      <c r="D109" s="147" t="s">
        <v>153</v>
      </c>
      <c r="E109" s="148" t="s">
        <v>153</v>
      </c>
      <c r="F109" s="149" t="s">
        <v>2510</v>
      </c>
      <c r="G109" s="150" t="s">
        <v>2511</v>
      </c>
      <c r="H109" s="151" t="s">
        <v>2512</v>
      </c>
      <c r="I109" s="152" t="s">
        <v>2508</v>
      </c>
      <c r="J109" s="153" t="s">
        <v>2513</v>
      </c>
      <c r="K109" s="154" t="s">
        <v>198</v>
      </c>
      <c r="L109" s="155" t="s">
        <v>284</v>
      </c>
      <c r="M109" s="156" t="s">
        <v>285</v>
      </c>
      <c r="N109" s="157" t="s">
        <v>2514</v>
      </c>
      <c r="O109" s="158" t="s">
        <v>1592</v>
      </c>
      <c r="P109" s="159" t="s">
        <v>2515</v>
      </c>
      <c r="Q109" s="160" t="s">
        <v>204</v>
      </c>
      <c r="R109" s="161" t="s">
        <v>153</v>
      </c>
      <c r="S109" s="162" t="s">
        <v>163</v>
      </c>
      <c r="T109" s="163" t="s">
        <v>205</v>
      </c>
      <c r="U109" s="164" t="s">
        <v>482</v>
      </c>
      <c r="V109" s="165" t="s">
        <v>2516</v>
      </c>
      <c r="W109" s="166">
        <v>78200</v>
      </c>
      <c r="X109" s="167" t="s">
        <v>2517</v>
      </c>
      <c r="Y109" s="168" t="s">
        <v>153</v>
      </c>
      <c r="Z109" s="169" t="s">
        <v>153</v>
      </c>
      <c r="AA109" s="170">
        <v>1982</v>
      </c>
      <c r="AB109" s="171" t="s">
        <v>153</v>
      </c>
      <c r="AC109" s="172" t="s">
        <v>153</v>
      </c>
      <c r="AD109" s="173" t="s">
        <v>153</v>
      </c>
      <c r="AE109" s="174" t="s">
        <v>153</v>
      </c>
      <c r="AF109" s="175" t="s">
        <v>153</v>
      </c>
      <c r="AG109" s="176" t="s">
        <v>153</v>
      </c>
      <c r="AH109" s="177" t="s">
        <v>153</v>
      </c>
      <c r="AI109" s="178" t="s">
        <v>153</v>
      </c>
      <c r="AJ109" s="179" t="s">
        <v>153</v>
      </c>
      <c r="AK109" s="180" t="s">
        <v>153</v>
      </c>
      <c r="AL109" s="181" t="s">
        <v>153</v>
      </c>
      <c r="AM109" s="182" t="s">
        <v>153</v>
      </c>
      <c r="AN109" s="183" t="s">
        <v>2518</v>
      </c>
      <c r="AO109" s="184" t="s">
        <v>153</v>
      </c>
      <c r="AP109" s="185" t="s">
        <v>153</v>
      </c>
      <c r="AQ109" s="186" t="s">
        <v>153</v>
      </c>
      <c r="AR109" s="187" t="s">
        <v>153</v>
      </c>
      <c r="AS109" s="188" t="s">
        <v>153</v>
      </c>
      <c r="AT109" s="189" t="s">
        <v>1124</v>
      </c>
      <c r="AU109" s="190" t="s">
        <v>2519</v>
      </c>
      <c r="AV109" s="191" t="s">
        <v>153</v>
      </c>
      <c r="AW109" s="192" t="s">
        <v>1127</v>
      </c>
      <c r="AX109" s="193" t="s">
        <v>1128</v>
      </c>
      <c r="AY109" s="194" t="s">
        <v>2520</v>
      </c>
      <c r="AZ109" s="195" t="s">
        <v>215</v>
      </c>
      <c r="BA109" s="196" t="s">
        <v>153</v>
      </c>
      <c r="BB109" s="197" t="s">
        <v>153</v>
      </c>
      <c r="BC109" s="198" t="s">
        <v>153</v>
      </c>
      <c r="BD109" s="199" t="s">
        <v>216</v>
      </c>
      <c r="BE109" s="200" t="s">
        <v>217</v>
      </c>
      <c r="BF109" s="201" t="s">
        <v>2521</v>
      </c>
      <c r="BG109" s="202" t="s">
        <v>153</v>
      </c>
      <c r="BH109" s="203" t="s">
        <v>153</v>
      </c>
      <c r="BI109" s="204" t="s">
        <v>2522</v>
      </c>
      <c r="BJ109" s="205" t="s">
        <v>2523</v>
      </c>
      <c r="BK109" s="206" t="s">
        <v>153</v>
      </c>
      <c r="BL109" s="207" t="s">
        <v>153</v>
      </c>
      <c r="BM109" s="208" t="s">
        <v>2524</v>
      </c>
      <c r="BN109" s="209" t="s">
        <v>153</v>
      </c>
      <c r="BO109" s="210" t="s">
        <v>2525</v>
      </c>
      <c r="BP109" s="211" t="s">
        <v>2526</v>
      </c>
      <c r="BQ109" s="212" t="s">
        <v>153</v>
      </c>
      <c r="BR109" s="213" t="s">
        <v>153</v>
      </c>
      <c r="BS109" s="214" t="s">
        <v>153</v>
      </c>
      <c r="BT109" s="215" t="s">
        <v>153</v>
      </c>
      <c r="BU109" s="216" t="s">
        <v>153</v>
      </c>
      <c r="BV109" s="217" t="s">
        <v>471</v>
      </c>
      <c r="BW109" s="218" t="s">
        <v>153</v>
      </c>
      <c r="BX109" s="219" t="s">
        <v>153</v>
      </c>
      <c r="BY109" s="220" t="s">
        <v>472</v>
      </c>
      <c r="BZ109" s="221" t="s">
        <v>153</v>
      </c>
      <c r="CA109" s="222" t="s">
        <v>190</v>
      </c>
      <c r="CB109" s="223">
        <v>37379</v>
      </c>
      <c r="CC109" s="224">
        <v>25000</v>
      </c>
      <c r="CD109" s="225" t="s">
        <v>187</v>
      </c>
      <c r="CE109" s="226">
        <v>25000</v>
      </c>
      <c r="CF109" s="227" t="s">
        <v>187</v>
      </c>
      <c r="CG109" s="228" t="s">
        <v>226</v>
      </c>
      <c r="CH109" s="229" t="s">
        <v>153</v>
      </c>
      <c r="CI109" s="230" t="s">
        <v>153</v>
      </c>
      <c r="CJ109" s="231" t="s">
        <v>225</v>
      </c>
      <c r="CK109" s="232">
        <v>37379</v>
      </c>
      <c r="CL109" s="233" t="s">
        <v>153</v>
      </c>
      <c r="CM109" s="234" t="s">
        <v>153</v>
      </c>
      <c r="CN109" s="235" t="s">
        <v>190</v>
      </c>
      <c r="CO109" s="236" t="s">
        <v>153</v>
      </c>
      <c r="CP109" s="237" t="s">
        <v>153</v>
      </c>
      <c r="CQ109" s="238" t="s">
        <v>153</v>
      </c>
      <c r="CR109" s="239" t="s">
        <v>153</v>
      </c>
      <c r="CS109" s="240" t="s">
        <v>153</v>
      </c>
      <c r="CT109" s="241" t="s">
        <v>153</v>
      </c>
      <c r="CU109" s="242" t="s">
        <v>153</v>
      </c>
      <c r="CV109" s="243" t="s">
        <v>153</v>
      </c>
      <c r="CW109" s="244" t="s">
        <v>153</v>
      </c>
      <c r="CX109" s="245" t="s">
        <v>153</v>
      </c>
      <c r="CY109" s="246" t="s">
        <v>153</v>
      </c>
      <c r="CZ109" s="247" t="s">
        <v>153</v>
      </c>
      <c r="DA109" s="248" t="s">
        <v>153</v>
      </c>
      <c r="DB109" s="249" t="s">
        <v>153</v>
      </c>
      <c r="DC109" s="250" t="s">
        <v>153</v>
      </c>
      <c r="DD109" s="251" t="s">
        <v>153</v>
      </c>
      <c r="DE109" s="252" t="s">
        <v>153</v>
      </c>
      <c r="DF109" s="253" t="s">
        <v>153</v>
      </c>
      <c r="DG109" s="254" t="s">
        <v>153</v>
      </c>
      <c r="DH109" s="255" t="s">
        <v>153</v>
      </c>
      <c r="DI109" s="256" t="s">
        <v>153</v>
      </c>
      <c r="DJ109" s="257" t="s">
        <v>153</v>
      </c>
      <c r="DK109" s="258" t="s">
        <v>153</v>
      </c>
      <c r="DL109" s="259" t="s">
        <v>153</v>
      </c>
      <c r="DM109" s="260" t="s">
        <v>153</v>
      </c>
      <c r="DN109" s="261" t="s">
        <v>153</v>
      </c>
      <c r="DO109" s="262" t="s">
        <v>153</v>
      </c>
      <c r="DP109" s="263" t="s">
        <v>153</v>
      </c>
      <c r="DQ109" s="264" t="s">
        <v>153</v>
      </c>
      <c r="DR109" s="265" t="s">
        <v>153</v>
      </c>
      <c r="DS109" s="266" t="s">
        <v>153</v>
      </c>
      <c r="DT109" s="267" t="s">
        <v>153</v>
      </c>
      <c r="DU109" s="268" t="s">
        <v>153</v>
      </c>
      <c r="DV109" s="269" t="s">
        <v>153</v>
      </c>
      <c r="DW109" s="270" t="s">
        <v>153</v>
      </c>
      <c r="DX109" s="271" t="s">
        <v>153</v>
      </c>
      <c r="DY109" s="272" t="s">
        <v>153</v>
      </c>
      <c r="DZ109" s="273" t="s">
        <v>191</v>
      </c>
      <c r="EA109" s="274">
        <v>44350</v>
      </c>
      <c r="EB109" s="275">
        <v>25000</v>
      </c>
      <c r="EC109" s="276">
        <v>37379</v>
      </c>
      <c r="ED109" s="277" t="s">
        <v>226</v>
      </c>
      <c r="EE109" s="279" t="str">
        <f>HYPERLINK("https://my.pitchbook.com?c=12814-12", "View company online")</f>
        <v>View company online</v>
      </c>
    </row>
    <row r="110" spans="1:135" x14ac:dyDescent="0.45">
      <c r="A110" s="10" t="s">
        <v>2527</v>
      </c>
      <c r="B110" s="11" t="s">
        <v>2528</v>
      </c>
      <c r="C110" s="12" t="s">
        <v>153</v>
      </c>
      <c r="D110" s="13" t="s">
        <v>153</v>
      </c>
      <c r="E110" s="14" t="s">
        <v>2529</v>
      </c>
      <c r="F110" s="15" t="s">
        <v>153</v>
      </c>
      <c r="G110" s="16" t="s">
        <v>2530</v>
      </c>
      <c r="H110" s="17" t="s">
        <v>153</v>
      </c>
      <c r="I110" s="18" t="s">
        <v>2527</v>
      </c>
      <c r="J110" s="19" t="s">
        <v>2531</v>
      </c>
      <c r="K110" s="20" t="s">
        <v>232</v>
      </c>
      <c r="L110" s="21" t="s">
        <v>1016</v>
      </c>
      <c r="M110" s="22" t="s">
        <v>2416</v>
      </c>
      <c r="N110" s="23" t="s">
        <v>2532</v>
      </c>
      <c r="O110" s="24" t="s">
        <v>153</v>
      </c>
      <c r="P110" s="25" t="s">
        <v>2533</v>
      </c>
      <c r="Q110" s="26" t="s">
        <v>204</v>
      </c>
      <c r="R110" s="27">
        <v>22000.01</v>
      </c>
      <c r="S110" s="28" t="s">
        <v>290</v>
      </c>
      <c r="T110" s="29" t="s">
        <v>205</v>
      </c>
      <c r="U110" s="30" t="s">
        <v>2534</v>
      </c>
      <c r="V110" s="31" t="s">
        <v>2535</v>
      </c>
      <c r="W110" s="32">
        <v>2000</v>
      </c>
      <c r="X110" s="33" t="s">
        <v>2536</v>
      </c>
      <c r="Y110" s="34" t="s">
        <v>153</v>
      </c>
      <c r="Z110" s="35" t="s">
        <v>153</v>
      </c>
      <c r="AA110" s="36">
        <v>1959</v>
      </c>
      <c r="AB110" s="37" t="s">
        <v>153</v>
      </c>
      <c r="AC110" s="38" t="s">
        <v>153</v>
      </c>
      <c r="AD110" s="39" t="s">
        <v>570</v>
      </c>
      <c r="AE110" s="40" t="s">
        <v>153</v>
      </c>
      <c r="AF110" s="41" t="s">
        <v>153</v>
      </c>
      <c r="AG110" s="42" t="s">
        <v>153</v>
      </c>
      <c r="AH110" s="43" t="s">
        <v>153</v>
      </c>
      <c r="AI110" s="44" t="s">
        <v>153</v>
      </c>
      <c r="AJ110" s="45" t="s">
        <v>153</v>
      </c>
      <c r="AK110" s="46" t="s">
        <v>153</v>
      </c>
      <c r="AL110" s="47" t="s">
        <v>153</v>
      </c>
      <c r="AM110" s="48" t="s">
        <v>153</v>
      </c>
      <c r="AN110" s="49" t="s">
        <v>868</v>
      </c>
      <c r="AO110" s="50" t="s">
        <v>2537</v>
      </c>
      <c r="AP110" s="51" t="s">
        <v>2538</v>
      </c>
      <c r="AQ110" s="52" t="s">
        <v>2539</v>
      </c>
      <c r="AR110" s="53" t="s">
        <v>153</v>
      </c>
      <c r="AS110" s="54" t="s">
        <v>153</v>
      </c>
      <c r="AT110" s="55" t="s">
        <v>2540</v>
      </c>
      <c r="AU110" s="56" t="s">
        <v>2541</v>
      </c>
      <c r="AV110" s="57" t="s">
        <v>2542</v>
      </c>
      <c r="AW110" s="58" t="s">
        <v>2543</v>
      </c>
      <c r="AX110" s="59" t="s">
        <v>2544</v>
      </c>
      <c r="AY110" s="60" t="s">
        <v>2545</v>
      </c>
      <c r="AZ110" s="61" t="s">
        <v>2546</v>
      </c>
      <c r="BA110" s="62" t="s">
        <v>153</v>
      </c>
      <c r="BB110" s="63" t="s">
        <v>153</v>
      </c>
      <c r="BC110" s="64" t="s">
        <v>153</v>
      </c>
      <c r="BD110" s="65" t="s">
        <v>2547</v>
      </c>
      <c r="BE110" s="66" t="s">
        <v>2547</v>
      </c>
      <c r="BF110" s="67" t="s">
        <v>2548</v>
      </c>
      <c r="BG110" s="68" t="s">
        <v>153</v>
      </c>
      <c r="BH110" s="69" t="s">
        <v>153</v>
      </c>
      <c r="BI110" s="70" t="s">
        <v>2549</v>
      </c>
      <c r="BJ110" s="71" t="s">
        <v>2550</v>
      </c>
      <c r="BK110" s="72" t="s">
        <v>2551</v>
      </c>
      <c r="BL110" s="73" t="s">
        <v>153</v>
      </c>
      <c r="BM110" s="74" t="s">
        <v>2552</v>
      </c>
      <c r="BN110" s="75" t="s">
        <v>153</v>
      </c>
      <c r="BO110" s="76" t="s">
        <v>2553</v>
      </c>
      <c r="BP110" s="77" t="s">
        <v>2554</v>
      </c>
      <c r="BQ110" s="78">
        <v>22160</v>
      </c>
      <c r="BR110" s="79">
        <v>0.01</v>
      </c>
      <c r="BS110" s="80" t="s">
        <v>186</v>
      </c>
      <c r="BT110" s="81" t="s">
        <v>153</v>
      </c>
      <c r="BU110" s="82" t="s">
        <v>153</v>
      </c>
      <c r="BV110" s="83" t="s">
        <v>251</v>
      </c>
      <c r="BW110" s="84" t="s">
        <v>153</v>
      </c>
      <c r="BX110" s="85" t="s">
        <v>153</v>
      </c>
      <c r="BY110" s="86" t="s">
        <v>252</v>
      </c>
      <c r="BZ110" s="87" t="s">
        <v>153</v>
      </c>
      <c r="CA110" s="88" t="s">
        <v>190</v>
      </c>
      <c r="CB110" s="89">
        <v>43213</v>
      </c>
      <c r="CC110" s="90">
        <v>25000</v>
      </c>
      <c r="CD110" s="91" t="s">
        <v>186</v>
      </c>
      <c r="CE110" s="92">
        <v>34305.550000000003</v>
      </c>
      <c r="CF110" s="93" t="s">
        <v>187</v>
      </c>
      <c r="CG110" s="94" t="s">
        <v>226</v>
      </c>
      <c r="CH110" s="95" t="s">
        <v>153</v>
      </c>
      <c r="CI110" s="96" t="s">
        <v>153</v>
      </c>
      <c r="CJ110" s="97" t="s">
        <v>225</v>
      </c>
      <c r="CK110" s="98">
        <v>43213</v>
      </c>
      <c r="CL110" s="99" t="s">
        <v>153</v>
      </c>
      <c r="CM110" s="100" t="s">
        <v>153</v>
      </c>
      <c r="CN110" s="101" t="s">
        <v>190</v>
      </c>
      <c r="CO110" s="102" t="s">
        <v>153</v>
      </c>
      <c r="CP110" s="103" t="s">
        <v>153</v>
      </c>
      <c r="CQ110" s="104" t="s">
        <v>153</v>
      </c>
      <c r="CR110" s="105" t="s">
        <v>153</v>
      </c>
      <c r="CS110" s="106" t="s">
        <v>153</v>
      </c>
      <c r="CT110" s="107" t="s">
        <v>153</v>
      </c>
      <c r="CU110" s="108" t="s">
        <v>153</v>
      </c>
      <c r="CV110" s="109" t="s">
        <v>153</v>
      </c>
      <c r="CW110" s="110" t="s">
        <v>153</v>
      </c>
      <c r="CX110" s="111" t="s">
        <v>153</v>
      </c>
      <c r="CY110" s="112" t="s">
        <v>153</v>
      </c>
      <c r="CZ110" s="113" t="s">
        <v>153</v>
      </c>
      <c r="DA110" s="114" t="s">
        <v>153</v>
      </c>
      <c r="DB110" s="115" t="s">
        <v>153</v>
      </c>
      <c r="DC110" s="116" t="s">
        <v>153</v>
      </c>
      <c r="DD110" s="117" t="s">
        <v>153</v>
      </c>
      <c r="DE110" s="118" t="s">
        <v>153</v>
      </c>
      <c r="DF110" s="119" t="s">
        <v>153</v>
      </c>
      <c r="DG110" s="120" t="s">
        <v>153</v>
      </c>
      <c r="DH110" s="121" t="s">
        <v>153</v>
      </c>
      <c r="DI110" s="122" t="s">
        <v>153</v>
      </c>
      <c r="DJ110" s="123" t="s">
        <v>153</v>
      </c>
      <c r="DK110" s="124" t="s">
        <v>153</v>
      </c>
      <c r="DL110" s="125" t="s">
        <v>153</v>
      </c>
      <c r="DM110" s="126" t="s">
        <v>153</v>
      </c>
      <c r="DN110" s="127" t="s">
        <v>153</v>
      </c>
      <c r="DO110" s="128" t="s">
        <v>153</v>
      </c>
      <c r="DP110" s="129" t="s">
        <v>153</v>
      </c>
      <c r="DQ110" s="130" t="s">
        <v>153</v>
      </c>
      <c r="DR110" s="131" t="s">
        <v>153</v>
      </c>
      <c r="DS110" s="132" t="s">
        <v>153</v>
      </c>
      <c r="DT110" s="133" t="s">
        <v>153</v>
      </c>
      <c r="DU110" s="134" t="s">
        <v>153</v>
      </c>
      <c r="DV110" s="135" t="s">
        <v>153</v>
      </c>
      <c r="DW110" s="136" t="s">
        <v>153</v>
      </c>
      <c r="DX110" s="137" t="s">
        <v>153</v>
      </c>
      <c r="DY110" s="138" t="s">
        <v>153</v>
      </c>
      <c r="DZ110" s="139" t="s">
        <v>191</v>
      </c>
      <c r="EA110" s="140">
        <v>44280</v>
      </c>
      <c r="EB110" s="141">
        <v>34305.550000000003</v>
      </c>
      <c r="EC110" s="142">
        <v>43213</v>
      </c>
      <c r="ED110" s="143" t="s">
        <v>226</v>
      </c>
      <c r="EE110" s="278" t="str">
        <f>HYPERLINK("https://my.pitchbook.com?c=42739-93", "View company online")</f>
        <v>View company online</v>
      </c>
    </row>
    <row r="111" spans="1:135" x14ac:dyDescent="0.45">
      <c r="A111" s="144" t="s">
        <v>2555</v>
      </c>
      <c r="B111" s="145" t="s">
        <v>2556</v>
      </c>
      <c r="C111" s="146" t="s">
        <v>153</v>
      </c>
      <c r="D111" s="147" t="s">
        <v>153</v>
      </c>
      <c r="E111" s="148" t="s">
        <v>153</v>
      </c>
      <c r="F111" s="149" t="s">
        <v>2557</v>
      </c>
      <c r="G111" s="150" t="s">
        <v>2558</v>
      </c>
      <c r="H111" s="151" t="s">
        <v>2559</v>
      </c>
      <c r="I111" s="152" t="s">
        <v>2555</v>
      </c>
      <c r="J111" s="153" t="s">
        <v>2560</v>
      </c>
      <c r="K111" s="154" t="s">
        <v>882</v>
      </c>
      <c r="L111" s="155" t="s">
        <v>1257</v>
      </c>
      <c r="M111" s="156" t="s">
        <v>2561</v>
      </c>
      <c r="N111" s="157" t="s">
        <v>2562</v>
      </c>
      <c r="O111" s="158" t="s">
        <v>153</v>
      </c>
      <c r="P111" s="159" t="s">
        <v>2563</v>
      </c>
      <c r="Q111" s="160" t="s">
        <v>204</v>
      </c>
      <c r="R111" s="161" t="s">
        <v>153</v>
      </c>
      <c r="S111" s="162" t="s">
        <v>290</v>
      </c>
      <c r="T111" s="163" t="s">
        <v>164</v>
      </c>
      <c r="U111" s="164" t="s">
        <v>206</v>
      </c>
      <c r="V111" s="165" t="s">
        <v>2564</v>
      </c>
      <c r="W111" s="166">
        <v>5000</v>
      </c>
      <c r="X111" s="167" t="s">
        <v>2565</v>
      </c>
      <c r="Y111" s="168" t="s">
        <v>153</v>
      </c>
      <c r="Z111" s="169" t="s">
        <v>153</v>
      </c>
      <c r="AA111" s="170">
        <v>1972</v>
      </c>
      <c r="AB111" s="171" t="s">
        <v>2566</v>
      </c>
      <c r="AC111" s="172" t="s">
        <v>153</v>
      </c>
      <c r="AD111" s="173" t="s">
        <v>153</v>
      </c>
      <c r="AE111" s="174">
        <v>290.83</v>
      </c>
      <c r="AF111" s="175" t="s">
        <v>153</v>
      </c>
      <c r="AG111" s="176" t="s">
        <v>153</v>
      </c>
      <c r="AH111" s="177" t="s">
        <v>153</v>
      </c>
      <c r="AI111" s="178">
        <v>-1.45</v>
      </c>
      <c r="AJ111" s="179">
        <v>-4.9000000000000004</v>
      </c>
      <c r="AK111" s="180" t="s">
        <v>153</v>
      </c>
      <c r="AL111" s="181">
        <v>0</v>
      </c>
      <c r="AM111" s="182">
        <v>7.54</v>
      </c>
      <c r="AN111" s="183" t="s">
        <v>168</v>
      </c>
      <c r="AO111" s="184" t="s">
        <v>2567</v>
      </c>
      <c r="AP111" s="185" t="s">
        <v>2568</v>
      </c>
      <c r="AQ111" s="186" t="s">
        <v>2569</v>
      </c>
      <c r="AR111" s="187" t="s">
        <v>2570</v>
      </c>
      <c r="AS111" s="188" t="s">
        <v>2571</v>
      </c>
      <c r="AT111" s="189" t="s">
        <v>2572</v>
      </c>
      <c r="AU111" s="190" t="s">
        <v>2573</v>
      </c>
      <c r="AV111" s="191" t="s">
        <v>2574</v>
      </c>
      <c r="AW111" s="192" t="s">
        <v>2575</v>
      </c>
      <c r="AX111" s="193" t="s">
        <v>153</v>
      </c>
      <c r="AY111" s="194" t="s">
        <v>2576</v>
      </c>
      <c r="AZ111" s="195" t="s">
        <v>2577</v>
      </c>
      <c r="BA111" s="196" t="s">
        <v>2571</v>
      </c>
      <c r="BB111" s="197" t="s">
        <v>153</v>
      </c>
      <c r="BC111" s="198" t="s">
        <v>153</v>
      </c>
      <c r="BD111" s="199" t="s">
        <v>180</v>
      </c>
      <c r="BE111" s="200" t="s">
        <v>181</v>
      </c>
      <c r="BF111" s="201" t="s">
        <v>2578</v>
      </c>
      <c r="BG111" s="202" t="s">
        <v>153</v>
      </c>
      <c r="BH111" s="203" t="s">
        <v>153</v>
      </c>
      <c r="BI111" s="204" t="s">
        <v>2566</v>
      </c>
      <c r="BJ111" s="205" t="s">
        <v>153</v>
      </c>
      <c r="BK111" s="206" t="s">
        <v>153</v>
      </c>
      <c r="BL111" s="207" t="s">
        <v>153</v>
      </c>
      <c r="BM111" s="208" t="s">
        <v>153</v>
      </c>
      <c r="BN111" s="209" t="s">
        <v>153</v>
      </c>
      <c r="BO111" s="210" t="s">
        <v>2579</v>
      </c>
      <c r="BP111" s="211" t="s">
        <v>153</v>
      </c>
      <c r="BQ111" s="212">
        <v>39283</v>
      </c>
      <c r="BR111" s="213">
        <v>24823.99</v>
      </c>
      <c r="BS111" s="214" t="s">
        <v>186</v>
      </c>
      <c r="BT111" s="215">
        <v>24823.99</v>
      </c>
      <c r="BU111" s="216" t="s">
        <v>186</v>
      </c>
      <c r="BV111" s="217" t="s">
        <v>226</v>
      </c>
      <c r="BW111" s="218" t="s">
        <v>153</v>
      </c>
      <c r="BX111" s="219" t="s">
        <v>153</v>
      </c>
      <c r="BY111" s="220" t="s">
        <v>225</v>
      </c>
      <c r="BZ111" s="221" t="s">
        <v>153</v>
      </c>
      <c r="CA111" s="222" t="s">
        <v>190</v>
      </c>
      <c r="CB111" s="223">
        <v>39283</v>
      </c>
      <c r="CC111" s="224">
        <v>24823.99</v>
      </c>
      <c r="CD111" s="225" t="s">
        <v>186</v>
      </c>
      <c r="CE111" s="226">
        <v>24823.99</v>
      </c>
      <c r="CF111" s="227" t="s">
        <v>186</v>
      </c>
      <c r="CG111" s="228" t="s">
        <v>226</v>
      </c>
      <c r="CH111" s="229" t="s">
        <v>153</v>
      </c>
      <c r="CI111" s="230" t="s">
        <v>153</v>
      </c>
      <c r="CJ111" s="231" t="s">
        <v>225</v>
      </c>
      <c r="CK111" s="232">
        <v>39283</v>
      </c>
      <c r="CL111" s="233" t="s">
        <v>153</v>
      </c>
      <c r="CM111" s="234" t="s">
        <v>153</v>
      </c>
      <c r="CN111" s="235" t="s">
        <v>190</v>
      </c>
      <c r="CO111" s="236">
        <v>0.08</v>
      </c>
      <c r="CP111" s="237">
        <v>88</v>
      </c>
      <c r="CQ111" s="238">
        <v>-0.03</v>
      </c>
      <c r="CR111" s="239">
        <v>-25.61</v>
      </c>
      <c r="CS111" s="240">
        <v>0.08</v>
      </c>
      <c r="CT111" s="241">
        <v>89</v>
      </c>
      <c r="CU111" s="242">
        <v>0.08</v>
      </c>
      <c r="CV111" s="243">
        <v>84</v>
      </c>
      <c r="CW111" s="244" t="s">
        <v>153</v>
      </c>
      <c r="CX111" s="245" t="s">
        <v>153</v>
      </c>
      <c r="CY111" s="246">
        <v>0.08</v>
      </c>
      <c r="CZ111" s="247">
        <v>90</v>
      </c>
      <c r="DA111" s="248">
        <v>0.08</v>
      </c>
      <c r="DB111" s="249">
        <v>84</v>
      </c>
      <c r="DC111" s="250">
        <v>9.1199999999999992</v>
      </c>
      <c r="DD111" s="251">
        <v>91</v>
      </c>
      <c r="DE111" s="252">
        <v>0.03</v>
      </c>
      <c r="DF111" s="253">
        <v>0.31</v>
      </c>
      <c r="DG111" s="254">
        <v>9.75</v>
      </c>
      <c r="DH111" s="255">
        <v>91</v>
      </c>
      <c r="DI111" s="256">
        <v>8.49</v>
      </c>
      <c r="DJ111" s="257">
        <v>85</v>
      </c>
      <c r="DK111" s="258" t="s">
        <v>153</v>
      </c>
      <c r="DL111" s="259" t="s">
        <v>153</v>
      </c>
      <c r="DM111" s="260">
        <v>9.75</v>
      </c>
      <c r="DN111" s="261">
        <v>90</v>
      </c>
      <c r="DO111" s="262">
        <v>8.49</v>
      </c>
      <c r="DP111" s="263">
        <v>85</v>
      </c>
      <c r="DQ111" s="264" t="s">
        <v>153</v>
      </c>
      <c r="DR111" s="265" t="s">
        <v>153</v>
      </c>
      <c r="DS111" s="266" t="s">
        <v>153</v>
      </c>
      <c r="DT111" s="267">
        <v>156</v>
      </c>
      <c r="DU111" s="268">
        <v>0</v>
      </c>
      <c r="DV111" s="269">
        <v>0</v>
      </c>
      <c r="DW111" s="270">
        <v>2666</v>
      </c>
      <c r="DX111" s="271">
        <v>2</v>
      </c>
      <c r="DY111" s="272">
        <v>0.08</v>
      </c>
      <c r="DZ111" s="273" t="s">
        <v>191</v>
      </c>
      <c r="EA111" s="274">
        <v>44390</v>
      </c>
      <c r="EB111" s="275">
        <v>24823.99</v>
      </c>
      <c r="EC111" s="276">
        <v>39283</v>
      </c>
      <c r="ED111" s="277" t="s">
        <v>226</v>
      </c>
      <c r="EE111" s="279" t="str">
        <f>HYPERLINK("https://my.pitchbook.com?c=115600-87", "View company online")</f>
        <v>View company online</v>
      </c>
    </row>
    <row r="112" spans="1:135" x14ac:dyDescent="0.45">
      <c r="A112" s="10" t="s">
        <v>2580</v>
      </c>
      <c r="B112" s="11" t="s">
        <v>2581</v>
      </c>
      <c r="C112" s="12" t="s">
        <v>153</v>
      </c>
      <c r="D112" s="13" t="s">
        <v>153</v>
      </c>
      <c r="E112" s="14" t="s">
        <v>153</v>
      </c>
      <c r="F112" s="15" t="s">
        <v>2582</v>
      </c>
      <c r="G112" s="16" t="s">
        <v>2583</v>
      </c>
      <c r="H112" s="17" t="s">
        <v>2584</v>
      </c>
      <c r="I112" s="18" t="s">
        <v>2580</v>
      </c>
      <c r="J112" s="19" t="s">
        <v>2585</v>
      </c>
      <c r="K112" s="20" t="s">
        <v>792</v>
      </c>
      <c r="L112" s="21" t="s">
        <v>2586</v>
      </c>
      <c r="M112" s="22" t="s">
        <v>2587</v>
      </c>
      <c r="N112" s="23" t="s">
        <v>2588</v>
      </c>
      <c r="O112" s="24" t="s">
        <v>796</v>
      </c>
      <c r="P112" s="25" t="s">
        <v>2589</v>
      </c>
      <c r="Q112" s="26" t="s">
        <v>367</v>
      </c>
      <c r="R112" s="27" t="s">
        <v>153</v>
      </c>
      <c r="S112" s="28" t="s">
        <v>368</v>
      </c>
      <c r="T112" s="29" t="s">
        <v>291</v>
      </c>
      <c r="U112" s="30" t="s">
        <v>237</v>
      </c>
      <c r="V112" s="31" t="s">
        <v>2590</v>
      </c>
      <c r="W112" s="32">
        <v>54000</v>
      </c>
      <c r="X112" s="33" t="s">
        <v>2591</v>
      </c>
      <c r="Y112" s="34" t="s">
        <v>372</v>
      </c>
      <c r="Z112" s="35" t="s">
        <v>2592</v>
      </c>
      <c r="AA112" s="36" t="s">
        <v>153</v>
      </c>
      <c r="AB112" s="37" t="s">
        <v>153</v>
      </c>
      <c r="AC112" s="38" t="s">
        <v>622</v>
      </c>
      <c r="AD112" s="39" t="s">
        <v>2593</v>
      </c>
      <c r="AE112" s="40">
        <v>20468</v>
      </c>
      <c r="AF112" s="41">
        <v>3600</v>
      </c>
      <c r="AG112" s="42">
        <v>-38</v>
      </c>
      <c r="AH112" s="43">
        <v>25316.799999999999</v>
      </c>
      <c r="AI112" s="44">
        <v>2253</v>
      </c>
      <c r="AJ112" s="45">
        <v>1060</v>
      </c>
      <c r="AK112" s="46">
        <v>21069.21</v>
      </c>
      <c r="AL112" s="47">
        <v>2860</v>
      </c>
      <c r="AM112" s="48">
        <v>-8.58</v>
      </c>
      <c r="AN112" s="49" t="s">
        <v>299</v>
      </c>
      <c r="AO112" s="50" t="s">
        <v>2594</v>
      </c>
      <c r="AP112" s="51" t="s">
        <v>2595</v>
      </c>
      <c r="AQ112" s="52" t="s">
        <v>994</v>
      </c>
      <c r="AR112" s="53" t="s">
        <v>2596</v>
      </c>
      <c r="AS112" s="54" t="s">
        <v>2597</v>
      </c>
      <c r="AT112" s="55" t="s">
        <v>1124</v>
      </c>
      <c r="AU112" s="56" t="s">
        <v>2598</v>
      </c>
      <c r="AV112" s="57" t="s">
        <v>153</v>
      </c>
      <c r="AW112" s="58" t="s">
        <v>1127</v>
      </c>
      <c r="AX112" s="59" t="s">
        <v>1128</v>
      </c>
      <c r="AY112" s="60" t="s">
        <v>2599</v>
      </c>
      <c r="AZ112" s="61" t="s">
        <v>215</v>
      </c>
      <c r="BA112" s="62" t="s">
        <v>2597</v>
      </c>
      <c r="BB112" s="63" t="s">
        <v>153</v>
      </c>
      <c r="BC112" s="64" t="s">
        <v>2600</v>
      </c>
      <c r="BD112" s="65" t="s">
        <v>216</v>
      </c>
      <c r="BE112" s="66" t="s">
        <v>217</v>
      </c>
      <c r="BF112" s="67" t="s">
        <v>2601</v>
      </c>
      <c r="BG112" s="68" t="s">
        <v>153</v>
      </c>
      <c r="BH112" s="69" t="s">
        <v>153</v>
      </c>
      <c r="BI112" s="70" t="s">
        <v>1971</v>
      </c>
      <c r="BJ112" s="71" t="s">
        <v>153</v>
      </c>
      <c r="BK112" s="72" t="s">
        <v>2602</v>
      </c>
      <c r="BL112" s="73" t="s">
        <v>153</v>
      </c>
      <c r="BM112" s="74" t="s">
        <v>153</v>
      </c>
      <c r="BN112" s="75" t="s">
        <v>153</v>
      </c>
      <c r="BO112" s="76" t="s">
        <v>2603</v>
      </c>
      <c r="BP112" s="77" t="s">
        <v>2604</v>
      </c>
      <c r="BQ112" s="78">
        <v>24568</v>
      </c>
      <c r="BR112" s="79" t="s">
        <v>153</v>
      </c>
      <c r="BS112" s="80" t="s">
        <v>153</v>
      </c>
      <c r="BT112" s="81" t="s">
        <v>153</v>
      </c>
      <c r="BU112" s="82" t="s">
        <v>153</v>
      </c>
      <c r="BV112" s="83" t="s">
        <v>251</v>
      </c>
      <c r="BW112" s="84" t="s">
        <v>153</v>
      </c>
      <c r="BX112" s="85" t="s">
        <v>153</v>
      </c>
      <c r="BY112" s="86" t="s">
        <v>252</v>
      </c>
      <c r="BZ112" s="87" t="s">
        <v>153</v>
      </c>
      <c r="CA112" s="88" t="s">
        <v>190</v>
      </c>
      <c r="CB112" s="89">
        <v>42919</v>
      </c>
      <c r="CC112" s="90">
        <v>24798</v>
      </c>
      <c r="CD112" s="91" t="s">
        <v>186</v>
      </c>
      <c r="CE112" s="92">
        <v>39676.800000000003</v>
      </c>
      <c r="CF112" s="93" t="s">
        <v>187</v>
      </c>
      <c r="CG112" s="94" t="s">
        <v>226</v>
      </c>
      <c r="CH112" s="95" t="s">
        <v>153</v>
      </c>
      <c r="CI112" s="96" t="s">
        <v>153</v>
      </c>
      <c r="CJ112" s="97" t="s">
        <v>225</v>
      </c>
      <c r="CK112" s="98">
        <v>42919</v>
      </c>
      <c r="CL112" s="99" t="s">
        <v>153</v>
      </c>
      <c r="CM112" s="100" t="s">
        <v>153</v>
      </c>
      <c r="CN112" s="101" t="s">
        <v>190</v>
      </c>
      <c r="CO112" s="102">
        <v>0.49</v>
      </c>
      <c r="CP112" s="103">
        <v>93</v>
      </c>
      <c r="CQ112" s="104">
        <v>-0.02</v>
      </c>
      <c r="CR112" s="105">
        <v>-4.5</v>
      </c>
      <c r="CS112" s="106">
        <v>0.33</v>
      </c>
      <c r="CT112" s="107">
        <v>92</v>
      </c>
      <c r="CU112" s="108">
        <v>-0.01</v>
      </c>
      <c r="CV112" s="109">
        <v>40</v>
      </c>
      <c r="CW112" s="110">
        <v>0.53</v>
      </c>
      <c r="CX112" s="111">
        <v>79</v>
      </c>
      <c r="CY112" s="112">
        <v>0.13</v>
      </c>
      <c r="CZ112" s="113">
        <v>91</v>
      </c>
      <c r="DA112" s="114">
        <v>-0.01</v>
      </c>
      <c r="DB112" s="115">
        <v>40</v>
      </c>
      <c r="DC112" s="116">
        <v>463.2</v>
      </c>
      <c r="DD112" s="117">
        <v>100</v>
      </c>
      <c r="DE112" s="118">
        <v>-0.12</v>
      </c>
      <c r="DF112" s="119">
        <v>-0.03</v>
      </c>
      <c r="DG112" s="120">
        <v>179.35</v>
      </c>
      <c r="DH112" s="121">
        <v>100</v>
      </c>
      <c r="DI112" s="122">
        <v>213.61</v>
      </c>
      <c r="DJ112" s="123">
        <v>99</v>
      </c>
      <c r="DK112" s="124">
        <v>76.44</v>
      </c>
      <c r="DL112" s="125">
        <v>96</v>
      </c>
      <c r="DM112" s="126">
        <v>282.25</v>
      </c>
      <c r="DN112" s="127">
        <v>100</v>
      </c>
      <c r="DO112" s="128">
        <v>213.61</v>
      </c>
      <c r="DP112" s="129">
        <v>99</v>
      </c>
      <c r="DQ112" s="130">
        <v>45158</v>
      </c>
      <c r="DR112" s="131">
        <v>624</v>
      </c>
      <c r="DS112" s="132">
        <v>1.4</v>
      </c>
      <c r="DT112" s="133">
        <v>4541</v>
      </c>
      <c r="DU112" s="134">
        <v>-67</v>
      </c>
      <c r="DV112" s="135">
        <v>-1.45</v>
      </c>
      <c r="DW112" s="136">
        <v>67062</v>
      </c>
      <c r="DX112" s="137">
        <v>31</v>
      </c>
      <c r="DY112" s="138">
        <v>0.05</v>
      </c>
      <c r="DZ112" s="139" t="s">
        <v>191</v>
      </c>
      <c r="EA112" s="140">
        <v>44401</v>
      </c>
      <c r="EB112" s="141">
        <v>39676.800000000003</v>
      </c>
      <c r="EC112" s="142">
        <v>42919</v>
      </c>
      <c r="ED112" s="143" t="s">
        <v>226</v>
      </c>
      <c r="EE112" s="278" t="str">
        <f>HYPERLINK("https://my.pitchbook.com?c=11742-76", "View company online")</f>
        <v>View company online</v>
      </c>
    </row>
    <row r="113" spans="1:135" x14ac:dyDescent="0.45">
      <c r="A113" s="144" t="s">
        <v>2605</v>
      </c>
      <c r="B113" s="145" t="s">
        <v>2606</v>
      </c>
      <c r="C113" s="146" t="s">
        <v>153</v>
      </c>
      <c r="D113" s="147" t="s">
        <v>153</v>
      </c>
      <c r="E113" s="148" t="s">
        <v>2607</v>
      </c>
      <c r="F113" s="149" t="s">
        <v>153</v>
      </c>
      <c r="G113" s="150" t="s">
        <v>2608</v>
      </c>
      <c r="H113" s="151" t="s">
        <v>2609</v>
      </c>
      <c r="I113" s="152" t="s">
        <v>2605</v>
      </c>
      <c r="J113" s="153" t="s">
        <v>2610</v>
      </c>
      <c r="K113" s="154" t="s">
        <v>792</v>
      </c>
      <c r="L113" s="155" t="s">
        <v>841</v>
      </c>
      <c r="M113" s="156" t="s">
        <v>842</v>
      </c>
      <c r="N113" s="157" t="s">
        <v>843</v>
      </c>
      <c r="O113" s="158" t="s">
        <v>796</v>
      </c>
      <c r="P113" s="159" t="s">
        <v>2611</v>
      </c>
      <c r="Q113" s="160" t="s">
        <v>204</v>
      </c>
      <c r="R113" s="161" t="s">
        <v>153</v>
      </c>
      <c r="S113" s="162" t="s">
        <v>290</v>
      </c>
      <c r="T113" s="163" t="s">
        <v>164</v>
      </c>
      <c r="U113" s="164" t="s">
        <v>237</v>
      </c>
      <c r="V113" s="165" t="s">
        <v>2612</v>
      </c>
      <c r="W113" s="166">
        <v>3335</v>
      </c>
      <c r="X113" s="167" t="s">
        <v>2613</v>
      </c>
      <c r="Y113" s="168" t="s">
        <v>153</v>
      </c>
      <c r="Z113" s="169" t="s">
        <v>153</v>
      </c>
      <c r="AA113" s="170">
        <v>1986</v>
      </c>
      <c r="AB113" s="171" t="s">
        <v>2614</v>
      </c>
      <c r="AC113" s="172" t="s">
        <v>153</v>
      </c>
      <c r="AD113" s="173" t="s">
        <v>153</v>
      </c>
      <c r="AE113" s="174" t="s">
        <v>153</v>
      </c>
      <c r="AF113" s="175" t="s">
        <v>153</v>
      </c>
      <c r="AG113" s="176" t="s">
        <v>153</v>
      </c>
      <c r="AH113" s="177" t="s">
        <v>153</v>
      </c>
      <c r="AI113" s="178" t="s">
        <v>153</v>
      </c>
      <c r="AJ113" s="179" t="s">
        <v>153</v>
      </c>
      <c r="AK113" s="180" t="s">
        <v>153</v>
      </c>
      <c r="AL113" s="181" t="s">
        <v>153</v>
      </c>
      <c r="AM113" s="182" t="s">
        <v>153</v>
      </c>
      <c r="AN113" s="183" t="s">
        <v>1195</v>
      </c>
      <c r="AO113" s="184" t="s">
        <v>2615</v>
      </c>
      <c r="AP113" s="185" t="s">
        <v>2616</v>
      </c>
      <c r="AQ113" s="186" t="s">
        <v>171</v>
      </c>
      <c r="AR113" s="187" t="s">
        <v>153</v>
      </c>
      <c r="AS113" s="188" t="s">
        <v>2617</v>
      </c>
      <c r="AT113" s="189" t="s">
        <v>2618</v>
      </c>
      <c r="AU113" s="190" t="s">
        <v>2619</v>
      </c>
      <c r="AV113" s="191" t="s">
        <v>153</v>
      </c>
      <c r="AW113" s="192" t="s">
        <v>2620</v>
      </c>
      <c r="AX113" s="193" t="s">
        <v>1128</v>
      </c>
      <c r="AY113" s="194" t="s">
        <v>2621</v>
      </c>
      <c r="AZ113" s="195" t="s">
        <v>215</v>
      </c>
      <c r="BA113" s="196" t="s">
        <v>2617</v>
      </c>
      <c r="BB113" s="197" t="s">
        <v>153</v>
      </c>
      <c r="BC113" s="198" t="s">
        <v>153</v>
      </c>
      <c r="BD113" s="199" t="s">
        <v>216</v>
      </c>
      <c r="BE113" s="200" t="s">
        <v>217</v>
      </c>
      <c r="BF113" s="201" t="s">
        <v>2622</v>
      </c>
      <c r="BG113" s="202" t="s">
        <v>153</v>
      </c>
      <c r="BH113" s="203" t="s">
        <v>153</v>
      </c>
      <c r="BI113" s="204" t="s">
        <v>2614</v>
      </c>
      <c r="BJ113" s="205" t="s">
        <v>153</v>
      </c>
      <c r="BK113" s="206" t="s">
        <v>153</v>
      </c>
      <c r="BL113" s="207" t="s">
        <v>153</v>
      </c>
      <c r="BM113" s="208" t="s">
        <v>153</v>
      </c>
      <c r="BN113" s="209" t="s">
        <v>153</v>
      </c>
      <c r="BO113" s="210" t="s">
        <v>2623</v>
      </c>
      <c r="BP113" s="211" t="s">
        <v>2624</v>
      </c>
      <c r="BQ113" s="212">
        <v>34100</v>
      </c>
      <c r="BR113" s="213" t="s">
        <v>153</v>
      </c>
      <c r="BS113" s="214" t="s">
        <v>153</v>
      </c>
      <c r="BT113" s="215" t="s">
        <v>153</v>
      </c>
      <c r="BU113" s="216" t="s">
        <v>153</v>
      </c>
      <c r="BV113" s="217" t="s">
        <v>251</v>
      </c>
      <c r="BW113" s="218" t="s">
        <v>153</v>
      </c>
      <c r="BX113" s="219" t="s">
        <v>153</v>
      </c>
      <c r="BY113" s="220" t="s">
        <v>252</v>
      </c>
      <c r="BZ113" s="221" t="s">
        <v>153</v>
      </c>
      <c r="CA113" s="222" t="s">
        <v>190</v>
      </c>
      <c r="CB113" s="223">
        <v>40354</v>
      </c>
      <c r="CC113" s="224">
        <v>24659</v>
      </c>
      <c r="CD113" s="225" t="s">
        <v>186</v>
      </c>
      <c r="CE113" s="226">
        <v>24659</v>
      </c>
      <c r="CF113" s="227" t="s">
        <v>187</v>
      </c>
      <c r="CG113" s="228" t="s">
        <v>226</v>
      </c>
      <c r="CH113" s="229" t="s">
        <v>153</v>
      </c>
      <c r="CI113" s="230" t="s">
        <v>153</v>
      </c>
      <c r="CJ113" s="231" t="s">
        <v>225</v>
      </c>
      <c r="CK113" s="232">
        <v>40354</v>
      </c>
      <c r="CL113" s="233" t="s">
        <v>153</v>
      </c>
      <c r="CM113" s="234" t="s">
        <v>153</v>
      </c>
      <c r="CN113" s="235" t="s">
        <v>190</v>
      </c>
      <c r="CO113" s="236">
        <v>1.94</v>
      </c>
      <c r="CP113" s="237">
        <v>98</v>
      </c>
      <c r="CQ113" s="238">
        <v>0</v>
      </c>
      <c r="CR113" s="239">
        <v>-0.06</v>
      </c>
      <c r="CS113" s="240">
        <v>1.94</v>
      </c>
      <c r="CT113" s="241">
        <v>98</v>
      </c>
      <c r="CU113" s="242" t="s">
        <v>153</v>
      </c>
      <c r="CV113" s="243" t="s">
        <v>153</v>
      </c>
      <c r="CW113" s="244">
        <v>3.39</v>
      </c>
      <c r="CX113" s="245">
        <v>90</v>
      </c>
      <c r="CY113" s="246">
        <v>0.48</v>
      </c>
      <c r="CZ113" s="247">
        <v>94</v>
      </c>
      <c r="DA113" s="248" t="s">
        <v>153</v>
      </c>
      <c r="DB113" s="249" t="s">
        <v>153</v>
      </c>
      <c r="DC113" s="250">
        <v>20.88</v>
      </c>
      <c r="DD113" s="251">
        <v>96</v>
      </c>
      <c r="DE113" s="252">
        <v>0.09</v>
      </c>
      <c r="DF113" s="253">
        <v>0.45</v>
      </c>
      <c r="DG113" s="254">
        <v>20.88</v>
      </c>
      <c r="DH113" s="255">
        <v>96</v>
      </c>
      <c r="DI113" s="256" t="s">
        <v>153</v>
      </c>
      <c r="DJ113" s="257" t="s">
        <v>153</v>
      </c>
      <c r="DK113" s="258">
        <v>4.7699999999999996</v>
      </c>
      <c r="DL113" s="259">
        <v>78</v>
      </c>
      <c r="DM113" s="260">
        <v>37</v>
      </c>
      <c r="DN113" s="261">
        <v>97</v>
      </c>
      <c r="DO113" s="262" t="s">
        <v>153</v>
      </c>
      <c r="DP113" s="263" t="s">
        <v>153</v>
      </c>
      <c r="DQ113" s="264">
        <v>2794</v>
      </c>
      <c r="DR113" s="265">
        <v>115</v>
      </c>
      <c r="DS113" s="266">
        <v>4.29</v>
      </c>
      <c r="DT113" s="267">
        <v>590</v>
      </c>
      <c r="DU113" s="268">
        <v>3</v>
      </c>
      <c r="DV113" s="269">
        <v>0.51</v>
      </c>
      <c r="DW113" s="270" t="s">
        <v>153</v>
      </c>
      <c r="DX113" s="271" t="s">
        <v>153</v>
      </c>
      <c r="DY113" s="272" t="s">
        <v>153</v>
      </c>
      <c r="DZ113" s="273" t="s">
        <v>191</v>
      </c>
      <c r="EA113" s="274">
        <v>44379</v>
      </c>
      <c r="EB113" s="275">
        <v>24659</v>
      </c>
      <c r="EC113" s="276">
        <v>40354</v>
      </c>
      <c r="ED113" s="277" t="s">
        <v>226</v>
      </c>
      <c r="EE113" s="279" t="str">
        <f>HYPERLINK("https://my.pitchbook.com?c=10418-95", "View company online")</f>
        <v>View company online</v>
      </c>
    </row>
    <row r="114" spans="1:135" x14ac:dyDescent="0.45">
      <c r="A114" s="10" t="s">
        <v>2625</v>
      </c>
      <c r="B114" s="11" t="s">
        <v>2626</v>
      </c>
      <c r="C114" s="12" t="s">
        <v>153</v>
      </c>
      <c r="D114" s="13" t="s">
        <v>153</v>
      </c>
      <c r="E114" s="14" t="s">
        <v>2627</v>
      </c>
      <c r="F114" s="15" t="s">
        <v>2628</v>
      </c>
      <c r="G114" s="16" t="s">
        <v>2629</v>
      </c>
      <c r="H114" s="17" t="s">
        <v>153</v>
      </c>
      <c r="I114" s="18" t="s">
        <v>2625</v>
      </c>
      <c r="J114" s="19" t="s">
        <v>2630</v>
      </c>
      <c r="K114" s="20" t="s">
        <v>232</v>
      </c>
      <c r="L114" s="21" t="s">
        <v>362</v>
      </c>
      <c r="M114" s="22" t="s">
        <v>362</v>
      </c>
      <c r="N114" s="23" t="s">
        <v>2631</v>
      </c>
      <c r="O114" s="24" t="s">
        <v>153</v>
      </c>
      <c r="P114" s="25" t="s">
        <v>2632</v>
      </c>
      <c r="Q114" s="26" t="s">
        <v>204</v>
      </c>
      <c r="R114" s="27" t="s">
        <v>153</v>
      </c>
      <c r="S114" s="28" t="s">
        <v>290</v>
      </c>
      <c r="T114" s="29" t="s">
        <v>205</v>
      </c>
      <c r="U114" s="30" t="s">
        <v>237</v>
      </c>
      <c r="V114" s="31" t="s">
        <v>2633</v>
      </c>
      <c r="W114" s="32">
        <v>7900</v>
      </c>
      <c r="X114" s="33" t="s">
        <v>2634</v>
      </c>
      <c r="Y114" s="34" t="s">
        <v>153</v>
      </c>
      <c r="Z114" s="35" t="s">
        <v>153</v>
      </c>
      <c r="AA114" s="36">
        <v>1926</v>
      </c>
      <c r="AB114" s="37" t="s">
        <v>153</v>
      </c>
      <c r="AC114" s="38" t="s">
        <v>153</v>
      </c>
      <c r="AD114" s="39" t="s">
        <v>153</v>
      </c>
      <c r="AE114" s="40" t="s">
        <v>153</v>
      </c>
      <c r="AF114" s="41" t="s">
        <v>153</v>
      </c>
      <c r="AG114" s="42" t="s">
        <v>153</v>
      </c>
      <c r="AH114" s="43" t="s">
        <v>153</v>
      </c>
      <c r="AI114" s="44" t="s">
        <v>153</v>
      </c>
      <c r="AJ114" s="45" t="s">
        <v>153</v>
      </c>
      <c r="AK114" s="46" t="s">
        <v>153</v>
      </c>
      <c r="AL114" s="47" t="s">
        <v>153</v>
      </c>
      <c r="AM114" s="48" t="s">
        <v>153</v>
      </c>
      <c r="AN114" s="49" t="s">
        <v>1217</v>
      </c>
      <c r="AO114" s="50" t="s">
        <v>2635</v>
      </c>
      <c r="AP114" s="51" t="s">
        <v>2636</v>
      </c>
      <c r="AQ114" s="52" t="s">
        <v>269</v>
      </c>
      <c r="AR114" s="53" t="s">
        <v>153</v>
      </c>
      <c r="AS114" s="54" t="s">
        <v>153</v>
      </c>
      <c r="AT114" s="55" t="s">
        <v>1124</v>
      </c>
      <c r="AU114" s="56" t="s">
        <v>2637</v>
      </c>
      <c r="AV114" s="57" t="s">
        <v>153</v>
      </c>
      <c r="AW114" s="58" t="s">
        <v>1127</v>
      </c>
      <c r="AX114" s="59" t="s">
        <v>1128</v>
      </c>
      <c r="AY114" s="60" t="s">
        <v>2638</v>
      </c>
      <c r="AZ114" s="61" t="s">
        <v>215</v>
      </c>
      <c r="BA114" s="62" t="s">
        <v>153</v>
      </c>
      <c r="BB114" s="63" t="s">
        <v>153</v>
      </c>
      <c r="BC114" s="64" t="s">
        <v>153</v>
      </c>
      <c r="BD114" s="65" t="s">
        <v>216</v>
      </c>
      <c r="BE114" s="66" t="s">
        <v>217</v>
      </c>
      <c r="BF114" s="67" t="s">
        <v>2639</v>
      </c>
      <c r="BG114" s="68" t="s">
        <v>153</v>
      </c>
      <c r="BH114" s="69" t="s">
        <v>153</v>
      </c>
      <c r="BI114" s="70" t="s">
        <v>2640</v>
      </c>
      <c r="BJ114" s="71" t="s">
        <v>153</v>
      </c>
      <c r="BK114" s="72" t="s">
        <v>2641</v>
      </c>
      <c r="BL114" s="73" t="s">
        <v>153</v>
      </c>
      <c r="BM114" s="74" t="s">
        <v>153</v>
      </c>
      <c r="BN114" s="75" t="s">
        <v>2642</v>
      </c>
      <c r="BO114" s="76" t="s">
        <v>153</v>
      </c>
      <c r="BP114" s="77" t="s">
        <v>153</v>
      </c>
      <c r="BQ114" s="78">
        <v>26451</v>
      </c>
      <c r="BR114" s="79" t="s">
        <v>153</v>
      </c>
      <c r="BS114" s="80" t="s">
        <v>153</v>
      </c>
      <c r="BT114" s="81" t="s">
        <v>153</v>
      </c>
      <c r="BU114" s="82" t="s">
        <v>153</v>
      </c>
      <c r="BV114" s="83" t="s">
        <v>251</v>
      </c>
      <c r="BW114" s="84" t="s">
        <v>153</v>
      </c>
      <c r="BX114" s="85" t="s">
        <v>153</v>
      </c>
      <c r="BY114" s="86" t="s">
        <v>252</v>
      </c>
      <c r="BZ114" s="87" t="s">
        <v>153</v>
      </c>
      <c r="CA114" s="88" t="s">
        <v>190</v>
      </c>
      <c r="CB114" s="89">
        <v>37132</v>
      </c>
      <c r="CC114" s="90">
        <v>24600</v>
      </c>
      <c r="CD114" s="91" t="s">
        <v>186</v>
      </c>
      <c r="CE114" s="92">
        <v>24600</v>
      </c>
      <c r="CF114" s="93" t="s">
        <v>186</v>
      </c>
      <c r="CG114" s="94" t="s">
        <v>226</v>
      </c>
      <c r="CH114" s="95" t="s">
        <v>153</v>
      </c>
      <c r="CI114" s="96" t="s">
        <v>153</v>
      </c>
      <c r="CJ114" s="97" t="s">
        <v>225</v>
      </c>
      <c r="CK114" s="98">
        <v>37132</v>
      </c>
      <c r="CL114" s="99" t="s">
        <v>153</v>
      </c>
      <c r="CM114" s="100" t="s">
        <v>153</v>
      </c>
      <c r="CN114" s="101" t="s">
        <v>190</v>
      </c>
      <c r="CO114" s="102" t="s">
        <v>153</v>
      </c>
      <c r="CP114" s="103" t="s">
        <v>153</v>
      </c>
      <c r="CQ114" s="104" t="s">
        <v>153</v>
      </c>
      <c r="CR114" s="105" t="s">
        <v>153</v>
      </c>
      <c r="CS114" s="106" t="s">
        <v>153</v>
      </c>
      <c r="CT114" s="107" t="s">
        <v>153</v>
      </c>
      <c r="CU114" s="108" t="s">
        <v>153</v>
      </c>
      <c r="CV114" s="109" t="s">
        <v>153</v>
      </c>
      <c r="CW114" s="110" t="s">
        <v>153</v>
      </c>
      <c r="CX114" s="111" t="s">
        <v>153</v>
      </c>
      <c r="CY114" s="112" t="s">
        <v>153</v>
      </c>
      <c r="CZ114" s="113" t="s">
        <v>153</v>
      </c>
      <c r="DA114" s="114" t="s">
        <v>153</v>
      </c>
      <c r="DB114" s="115" t="s">
        <v>153</v>
      </c>
      <c r="DC114" s="116" t="s">
        <v>153</v>
      </c>
      <c r="DD114" s="117" t="s">
        <v>153</v>
      </c>
      <c r="DE114" s="118" t="s">
        <v>153</v>
      </c>
      <c r="DF114" s="119" t="s">
        <v>153</v>
      </c>
      <c r="DG114" s="120" t="s">
        <v>153</v>
      </c>
      <c r="DH114" s="121" t="s">
        <v>153</v>
      </c>
      <c r="DI114" s="122" t="s">
        <v>153</v>
      </c>
      <c r="DJ114" s="123" t="s">
        <v>153</v>
      </c>
      <c r="DK114" s="124" t="s">
        <v>153</v>
      </c>
      <c r="DL114" s="125" t="s">
        <v>153</v>
      </c>
      <c r="DM114" s="126" t="s">
        <v>153</v>
      </c>
      <c r="DN114" s="127" t="s">
        <v>153</v>
      </c>
      <c r="DO114" s="128" t="s">
        <v>153</v>
      </c>
      <c r="DP114" s="129" t="s">
        <v>153</v>
      </c>
      <c r="DQ114" s="130" t="s">
        <v>153</v>
      </c>
      <c r="DR114" s="131" t="s">
        <v>153</v>
      </c>
      <c r="DS114" s="132" t="s">
        <v>153</v>
      </c>
      <c r="DT114" s="133" t="s">
        <v>153</v>
      </c>
      <c r="DU114" s="134" t="s">
        <v>153</v>
      </c>
      <c r="DV114" s="135" t="s">
        <v>153</v>
      </c>
      <c r="DW114" s="136" t="s">
        <v>153</v>
      </c>
      <c r="DX114" s="137" t="s">
        <v>153</v>
      </c>
      <c r="DY114" s="138" t="s">
        <v>153</v>
      </c>
      <c r="DZ114" s="139" t="s">
        <v>191</v>
      </c>
      <c r="EA114" s="140">
        <v>43948</v>
      </c>
      <c r="EB114" s="141">
        <v>24600</v>
      </c>
      <c r="EC114" s="142">
        <v>37132</v>
      </c>
      <c r="ED114" s="143" t="s">
        <v>226</v>
      </c>
      <c r="EE114" s="278" t="str">
        <f>HYPERLINK("https://my.pitchbook.com?c=128096-11", "View company online")</f>
        <v>View company online</v>
      </c>
    </row>
    <row r="115" spans="1:135" x14ac:dyDescent="0.45">
      <c r="A115" s="144" t="s">
        <v>2643</v>
      </c>
      <c r="B115" s="145" t="s">
        <v>2644</v>
      </c>
      <c r="C115" s="146" t="s">
        <v>153</v>
      </c>
      <c r="D115" s="147" t="s">
        <v>153</v>
      </c>
      <c r="E115" s="148" t="s">
        <v>153</v>
      </c>
      <c r="F115" s="149" t="s">
        <v>2645</v>
      </c>
      <c r="G115" s="150" t="s">
        <v>2646</v>
      </c>
      <c r="H115" s="151" t="s">
        <v>2647</v>
      </c>
      <c r="I115" s="152" t="s">
        <v>2643</v>
      </c>
      <c r="J115" s="153" t="s">
        <v>2648</v>
      </c>
      <c r="K115" s="154" t="s">
        <v>198</v>
      </c>
      <c r="L115" s="155" t="s">
        <v>984</v>
      </c>
      <c r="M115" s="156" t="s">
        <v>1165</v>
      </c>
      <c r="N115" s="157" t="s">
        <v>2649</v>
      </c>
      <c r="O115" s="158" t="s">
        <v>1061</v>
      </c>
      <c r="P115" s="159" t="s">
        <v>2650</v>
      </c>
      <c r="Q115" s="160" t="s">
        <v>204</v>
      </c>
      <c r="R115" s="161" t="s">
        <v>153</v>
      </c>
      <c r="S115" s="162" t="s">
        <v>290</v>
      </c>
      <c r="T115" s="163" t="s">
        <v>205</v>
      </c>
      <c r="U115" s="164" t="s">
        <v>237</v>
      </c>
      <c r="V115" s="165" t="s">
        <v>2651</v>
      </c>
      <c r="W115" s="166">
        <v>12820</v>
      </c>
      <c r="X115" s="167" t="s">
        <v>2652</v>
      </c>
      <c r="Y115" s="168" t="s">
        <v>153</v>
      </c>
      <c r="Z115" s="169" t="s">
        <v>153</v>
      </c>
      <c r="AA115" s="170">
        <v>1983</v>
      </c>
      <c r="AB115" s="171" t="s">
        <v>153</v>
      </c>
      <c r="AC115" s="172" t="s">
        <v>153</v>
      </c>
      <c r="AD115" s="173" t="s">
        <v>153</v>
      </c>
      <c r="AE115" s="174" t="s">
        <v>153</v>
      </c>
      <c r="AF115" s="175" t="s">
        <v>153</v>
      </c>
      <c r="AG115" s="176" t="s">
        <v>153</v>
      </c>
      <c r="AH115" s="177" t="s">
        <v>153</v>
      </c>
      <c r="AI115" s="178" t="s">
        <v>153</v>
      </c>
      <c r="AJ115" s="179" t="s">
        <v>153</v>
      </c>
      <c r="AK115" s="180" t="s">
        <v>153</v>
      </c>
      <c r="AL115" s="181" t="s">
        <v>153</v>
      </c>
      <c r="AM115" s="182" t="s">
        <v>153</v>
      </c>
      <c r="AN115" s="183" t="s">
        <v>509</v>
      </c>
      <c r="AO115" s="184" t="s">
        <v>2653</v>
      </c>
      <c r="AP115" s="185" t="s">
        <v>2654</v>
      </c>
      <c r="AQ115" s="186" t="s">
        <v>2655</v>
      </c>
      <c r="AR115" s="187" t="s">
        <v>153</v>
      </c>
      <c r="AS115" s="188" t="s">
        <v>153</v>
      </c>
      <c r="AT115" s="189" t="s">
        <v>2656</v>
      </c>
      <c r="AU115" s="190" t="s">
        <v>2657</v>
      </c>
      <c r="AV115" s="191" t="s">
        <v>153</v>
      </c>
      <c r="AW115" s="192" t="s">
        <v>2658</v>
      </c>
      <c r="AX115" s="193" t="s">
        <v>408</v>
      </c>
      <c r="AY115" s="194" t="s">
        <v>2659</v>
      </c>
      <c r="AZ115" s="195" t="s">
        <v>215</v>
      </c>
      <c r="BA115" s="196" t="s">
        <v>153</v>
      </c>
      <c r="BB115" s="197" t="s">
        <v>153</v>
      </c>
      <c r="BC115" s="198" t="s">
        <v>153</v>
      </c>
      <c r="BD115" s="199" t="s">
        <v>216</v>
      </c>
      <c r="BE115" s="200" t="s">
        <v>217</v>
      </c>
      <c r="BF115" s="201" t="s">
        <v>2660</v>
      </c>
      <c r="BG115" s="202" t="s">
        <v>153</v>
      </c>
      <c r="BH115" s="203" t="s">
        <v>153</v>
      </c>
      <c r="BI115" s="204" t="s">
        <v>2661</v>
      </c>
      <c r="BJ115" s="205" t="s">
        <v>153</v>
      </c>
      <c r="BK115" s="206" t="s">
        <v>153</v>
      </c>
      <c r="BL115" s="207" t="s">
        <v>153</v>
      </c>
      <c r="BM115" s="208" t="s">
        <v>153</v>
      </c>
      <c r="BN115" s="209" t="s">
        <v>153</v>
      </c>
      <c r="BO115" s="210" t="s">
        <v>2662</v>
      </c>
      <c r="BP115" s="211" t="s">
        <v>2663</v>
      </c>
      <c r="BQ115" s="212">
        <v>30317</v>
      </c>
      <c r="BR115" s="213" t="s">
        <v>153</v>
      </c>
      <c r="BS115" s="214" t="s">
        <v>153</v>
      </c>
      <c r="BT115" s="215" t="s">
        <v>153</v>
      </c>
      <c r="BU115" s="216" t="s">
        <v>153</v>
      </c>
      <c r="BV115" s="217" t="s">
        <v>251</v>
      </c>
      <c r="BW115" s="218" t="s">
        <v>153</v>
      </c>
      <c r="BX115" s="219" t="s">
        <v>153</v>
      </c>
      <c r="BY115" s="220" t="s">
        <v>252</v>
      </c>
      <c r="BZ115" s="221" t="s">
        <v>153</v>
      </c>
      <c r="CA115" s="222" t="s">
        <v>190</v>
      </c>
      <c r="CB115" s="223">
        <v>43726</v>
      </c>
      <c r="CC115" s="224">
        <v>24500</v>
      </c>
      <c r="CD115" s="225" t="s">
        <v>186</v>
      </c>
      <c r="CE115" s="226">
        <v>24500</v>
      </c>
      <c r="CF115" s="227" t="s">
        <v>187</v>
      </c>
      <c r="CG115" s="228" t="s">
        <v>226</v>
      </c>
      <c r="CH115" s="229" t="s">
        <v>153</v>
      </c>
      <c r="CI115" s="230" t="s">
        <v>153</v>
      </c>
      <c r="CJ115" s="231" t="s">
        <v>225</v>
      </c>
      <c r="CK115" s="232">
        <v>43726</v>
      </c>
      <c r="CL115" s="233" t="s">
        <v>153</v>
      </c>
      <c r="CM115" s="234" t="s">
        <v>153</v>
      </c>
      <c r="CN115" s="235" t="s">
        <v>190</v>
      </c>
      <c r="CO115" s="236" t="s">
        <v>153</v>
      </c>
      <c r="CP115" s="237" t="s">
        <v>153</v>
      </c>
      <c r="CQ115" s="238" t="s">
        <v>153</v>
      </c>
      <c r="CR115" s="239" t="s">
        <v>153</v>
      </c>
      <c r="CS115" s="240" t="s">
        <v>153</v>
      </c>
      <c r="CT115" s="241" t="s">
        <v>153</v>
      </c>
      <c r="CU115" s="242" t="s">
        <v>153</v>
      </c>
      <c r="CV115" s="243" t="s">
        <v>153</v>
      </c>
      <c r="CW115" s="244" t="s">
        <v>153</v>
      </c>
      <c r="CX115" s="245" t="s">
        <v>153</v>
      </c>
      <c r="CY115" s="246" t="s">
        <v>153</v>
      </c>
      <c r="CZ115" s="247" t="s">
        <v>153</v>
      </c>
      <c r="DA115" s="248" t="s">
        <v>153</v>
      </c>
      <c r="DB115" s="249" t="s">
        <v>153</v>
      </c>
      <c r="DC115" s="250" t="s">
        <v>153</v>
      </c>
      <c r="DD115" s="251" t="s">
        <v>153</v>
      </c>
      <c r="DE115" s="252" t="s">
        <v>153</v>
      </c>
      <c r="DF115" s="253" t="s">
        <v>153</v>
      </c>
      <c r="DG115" s="254" t="s">
        <v>153</v>
      </c>
      <c r="DH115" s="255" t="s">
        <v>153</v>
      </c>
      <c r="DI115" s="256" t="s">
        <v>153</v>
      </c>
      <c r="DJ115" s="257" t="s">
        <v>153</v>
      </c>
      <c r="DK115" s="258" t="s">
        <v>153</v>
      </c>
      <c r="DL115" s="259" t="s">
        <v>153</v>
      </c>
      <c r="DM115" s="260" t="s">
        <v>153</v>
      </c>
      <c r="DN115" s="261" t="s">
        <v>153</v>
      </c>
      <c r="DO115" s="262" t="s">
        <v>153</v>
      </c>
      <c r="DP115" s="263" t="s">
        <v>153</v>
      </c>
      <c r="DQ115" s="264" t="s">
        <v>153</v>
      </c>
      <c r="DR115" s="265" t="s">
        <v>153</v>
      </c>
      <c r="DS115" s="266" t="s">
        <v>153</v>
      </c>
      <c r="DT115" s="267" t="s">
        <v>153</v>
      </c>
      <c r="DU115" s="268" t="s">
        <v>153</v>
      </c>
      <c r="DV115" s="269" t="s">
        <v>153</v>
      </c>
      <c r="DW115" s="270" t="s">
        <v>153</v>
      </c>
      <c r="DX115" s="271" t="s">
        <v>153</v>
      </c>
      <c r="DY115" s="272" t="s">
        <v>153</v>
      </c>
      <c r="DZ115" s="273" t="s">
        <v>191</v>
      </c>
      <c r="EA115" s="274">
        <v>44279</v>
      </c>
      <c r="EB115" s="275">
        <v>24500</v>
      </c>
      <c r="EC115" s="276">
        <v>43726</v>
      </c>
      <c r="ED115" s="277" t="s">
        <v>226</v>
      </c>
      <c r="EE115" s="279" t="str">
        <f>HYPERLINK("https://my.pitchbook.com?c=52931-08", "View company online")</f>
        <v>View company online</v>
      </c>
    </row>
    <row r="116" spans="1:135" x14ac:dyDescent="0.45">
      <c r="A116" s="10" t="s">
        <v>2664</v>
      </c>
      <c r="B116" s="11" t="s">
        <v>2665</v>
      </c>
      <c r="C116" s="12" t="s">
        <v>153</v>
      </c>
      <c r="D116" s="13" t="s">
        <v>153</v>
      </c>
      <c r="E116" s="14" t="s">
        <v>153</v>
      </c>
      <c r="F116" s="15" t="s">
        <v>2666</v>
      </c>
      <c r="G116" s="16" t="s">
        <v>2667</v>
      </c>
      <c r="H116" s="17" t="s">
        <v>2668</v>
      </c>
      <c r="I116" s="18" t="s">
        <v>2664</v>
      </c>
      <c r="J116" s="19" t="s">
        <v>2669</v>
      </c>
      <c r="K116" s="20" t="s">
        <v>257</v>
      </c>
      <c r="L116" s="21" t="s">
        <v>478</v>
      </c>
      <c r="M116" s="22" t="s">
        <v>2670</v>
      </c>
      <c r="N116" s="23" t="s">
        <v>2671</v>
      </c>
      <c r="O116" s="24" t="s">
        <v>261</v>
      </c>
      <c r="P116" s="25" t="s">
        <v>2672</v>
      </c>
      <c r="Q116" s="26" t="s">
        <v>564</v>
      </c>
      <c r="R116" s="27" t="s">
        <v>153</v>
      </c>
      <c r="S116" s="28" t="s">
        <v>290</v>
      </c>
      <c r="T116" s="29" t="s">
        <v>205</v>
      </c>
      <c r="U116" s="30" t="s">
        <v>369</v>
      </c>
      <c r="V116" s="31" t="s">
        <v>2673</v>
      </c>
      <c r="W116" s="32">
        <v>16300</v>
      </c>
      <c r="X116" s="33" t="s">
        <v>2674</v>
      </c>
      <c r="Y116" s="34" t="s">
        <v>153</v>
      </c>
      <c r="Z116" s="35" t="s">
        <v>153</v>
      </c>
      <c r="AA116" s="36">
        <v>1907</v>
      </c>
      <c r="AB116" s="37" t="s">
        <v>153</v>
      </c>
      <c r="AC116" s="38" t="s">
        <v>428</v>
      </c>
      <c r="AD116" s="39" t="s">
        <v>570</v>
      </c>
      <c r="AE116" s="40" t="s">
        <v>153</v>
      </c>
      <c r="AF116" s="41" t="s">
        <v>153</v>
      </c>
      <c r="AG116" s="42" t="s">
        <v>153</v>
      </c>
      <c r="AH116" s="43" t="s">
        <v>153</v>
      </c>
      <c r="AI116" s="44" t="s">
        <v>153</v>
      </c>
      <c r="AJ116" s="45" t="s">
        <v>153</v>
      </c>
      <c r="AK116" s="46" t="s">
        <v>153</v>
      </c>
      <c r="AL116" s="47" t="s">
        <v>153</v>
      </c>
      <c r="AM116" s="48" t="s">
        <v>153</v>
      </c>
      <c r="AN116" s="49" t="s">
        <v>2675</v>
      </c>
      <c r="AO116" s="50" t="s">
        <v>153</v>
      </c>
      <c r="AP116" s="51" t="s">
        <v>153</v>
      </c>
      <c r="AQ116" s="52" t="s">
        <v>153</v>
      </c>
      <c r="AR116" s="53" t="s">
        <v>153</v>
      </c>
      <c r="AS116" s="54" t="s">
        <v>153</v>
      </c>
      <c r="AT116" s="55" t="s">
        <v>2208</v>
      </c>
      <c r="AU116" s="56" t="s">
        <v>2676</v>
      </c>
      <c r="AV116" s="57" t="s">
        <v>153</v>
      </c>
      <c r="AW116" s="58" t="s">
        <v>2210</v>
      </c>
      <c r="AX116" s="59" t="s">
        <v>273</v>
      </c>
      <c r="AY116" s="60" t="s">
        <v>2211</v>
      </c>
      <c r="AZ116" s="61" t="s">
        <v>215</v>
      </c>
      <c r="BA116" s="62" t="s">
        <v>153</v>
      </c>
      <c r="BB116" s="63" t="s">
        <v>153</v>
      </c>
      <c r="BC116" s="64" t="s">
        <v>153</v>
      </c>
      <c r="BD116" s="65" t="s">
        <v>216</v>
      </c>
      <c r="BE116" s="66" t="s">
        <v>217</v>
      </c>
      <c r="BF116" s="67" t="s">
        <v>2677</v>
      </c>
      <c r="BG116" s="68" t="s">
        <v>153</v>
      </c>
      <c r="BH116" s="69" t="s">
        <v>153</v>
      </c>
      <c r="BI116" s="70" t="s">
        <v>2678</v>
      </c>
      <c r="BJ116" s="71" t="s">
        <v>2679</v>
      </c>
      <c r="BK116" s="72" t="s">
        <v>2237</v>
      </c>
      <c r="BL116" s="73" t="s">
        <v>153</v>
      </c>
      <c r="BM116" s="74" t="s">
        <v>2680</v>
      </c>
      <c r="BN116" s="75" t="s">
        <v>2681</v>
      </c>
      <c r="BO116" s="76" t="s">
        <v>2682</v>
      </c>
      <c r="BP116" s="77" t="s">
        <v>2683</v>
      </c>
      <c r="BQ116" s="78">
        <v>9498</v>
      </c>
      <c r="BR116" s="79">
        <v>0.02</v>
      </c>
      <c r="BS116" s="80" t="s">
        <v>186</v>
      </c>
      <c r="BT116" s="81">
        <v>0.02</v>
      </c>
      <c r="BU116" s="82" t="s">
        <v>186</v>
      </c>
      <c r="BV116" s="83" t="s">
        <v>226</v>
      </c>
      <c r="BW116" s="84" t="s">
        <v>153</v>
      </c>
      <c r="BX116" s="85" t="s">
        <v>153</v>
      </c>
      <c r="BY116" s="86" t="s">
        <v>225</v>
      </c>
      <c r="BZ116" s="87" t="s">
        <v>153</v>
      </c>
      <c r="CA116" s="88" t="s">
        <v>190</v>
      </c>
      <c r="CB116" s="89">
        <v>43098</v>
      </c>
      <c r="CC116" s="90">
        <v>24000</v>
      </c>
      <c r="CD116" s="91" t="s">
        <v>186</v>
      </c>
      <c r="CE116" s="92">
        <v>24000</v>
      </c>
      <c r="CF116" s="93" t="s">
        <v>186</v>
      </c>
      <c r="CG116" s="94" t="s">
        <v>226</v>
      </c>
      <c r="CH116" s="95" t="s">
        <v>153</v>
      </c>
      <c r="CI116" s="96" t="s">
        <v>153</v>
      </c>
      <c r="CJ116" s="97" t="s">
        <v>225</v>
      </c>
      <c r="CK116" s="98">
        <v>43098</v>
      </c>
      <c r="CL116" s="99" t="s">
        <v>153</v>
      </c>
      <c r="CM116" s="100" t="s">
        <v>153</v>
      </c>
      <c r="CN116" s="101" t="s">
        <v>190</v>
      </c>
      <c r="CO116" s="102" t="s">
        <v>153</v>
      </c>
      <c r="CP116" s="103" t="s">
        <v>153</v>
      </c>
      <c r="CQ116" s="104" t="s">
        <v>153</v>
      </c>
      <c r="CR116" s="105" t="s">
        <v>153</v>
      </c>
      <c r="CS116" s="106" t="s">
        <v>153</v>
      </c>
      <c r="CT116" s="107" t="s">
        <v>153</v>
      </c>
      <c r="CU116" s="108" t="s">
        <v>153</v>
      </c>
      <c r="CV116" s="109" t="s">
        <v>153</v>
      </c>
      <c r="CW116" s="110" t="s">
        <v>153</v>
      </c>
      <c r="CX116" s="111" t="s">
        <v>153</v>
      </c>
      <c r="CY116" s="112" t="s">
        <v>153</v>
      </c>
      <c r="CZ116" s="113" t="s">
        <v>153</v>
      </c>
      <c r="DA116" s="114" t="s">
        <v>153</v>
      </c>
      <c r="DB116" s="115" t="s">
        <v>153</v>
      </c>
      <c r="DC116" s="116" t="s">
        <v>153</v>
      </c>
      <c r="DD116" s="117" t="s">
        <v>153</v>
      </c>
      <c r="DE116" s="118" t="s">
        <v>153</v>
      </c>
      <c r="DF116" s="119" t="s">
        <v>153</v>
      </c>
      <c r="DG116" s="120" t="s">
        <v>153</v>
      </c>
      <c r="DH116" s="121" t="s">
        <v>153</v>
      </c>
      <c r="DI116" s="122" t="s">
        <v>153</v>
      </c>
      <c r="DJ116" s="123" t="s">
        <v>153</v>
      </c>
      <c r="DK116" s="124" t="s">
        <v>153</v>
      </c>
      <c r="DL116" s="125" t="s">
        <v>153</v>
      </c>
      <c r="DM116" s="126" t="s">
        <v>153</v>
      </c>
      <c r="DN116" s="127" t="s">
        <v>153</v>
      </c>
      <c r="DO116" s="128" t="s">
        <v>153</v>
      </c>
      <c r="DP116" s="129" t="s">
        <v>153</v>
      </c>
      <c r="DQ116" s="130" t="s">
        <v>153</v>
      </c>
      <c r="DR116" s="131" t="s">
        <v>153</v>
      </c>
      <c r="DS116" s="132" t="s">
        <v>153</v>
      </c>
      <c r="DT116" s="133" t="s">
        <v>153</v>
      </c>
      <c r="DU116" s="134" t="s">
        <v>153</v>
      </c>
      <c r="DV116" s="135" t="s">
        <v>153</v>
      </c>
      <c r="DW116" s="136" t="s">
        <v>153</v>
      </c>
      <c r="DX116" s="137" t="s">
        <v>153</v>
      </c>
      <c r="DY116" s="138" t="s">
        <v>153</v>
      </c>
      <c r="DZ116" s="139" t="s">
        <v>191</v>
      </c>
      <c r="EA116" s="140">
        <v>44217</v>
      </c>
      <c r="EB116" s="141">
        <v>24000</v>
      </c>
      <c r="EC116" s="142">
        <v>43098</v>
      </c>
      <c r="ED116" s="143" t="s">
        <v>226</v>
      </c>
      <c r="EE116" s="278" t="str">
        <f>HYPERLINK("https://my.pitchbook.com?c=12618-46", "View company online")</f>
        <v>View company online</v>
      </c>
    </row>
    <row r="117" spans="1:135" x14ac:dyDescent="0.45">
      <c r="A117" s="144" t="s">
        <v>2684</v>
      </c>
      <c r="B117" s="145" t="s">
        <v>2685</v>
      </c>
      <c r="C117" s="146" t="s">
        <v>153</v>
      </c>
      <c r="D117" s="147" t="s">
        <v>153</v>
      </c>
      <c r="E117" s="148" t="s">
        <v>153</v>
      </c>
      <c r="F117" s="149" t="s">
        <v>153</v>
      </c>
      <c r="G117" s="150" t="s">
        <v>153</v>
      </c>
      <c r="H117" s="151" t="s">
        <v>2686</v>
      </c>
      <c r="I117" s="152" t="s">
        <v>2684</v>
      </c>
      <c r="J117" s="153" t="s">
        <v>2687</v>
      </c>
      <c r="K117" s="154" t="s">
        <v>232</v>
      </c>
      <c r="L117" s="155" t="s">
        <v>362</v>
      </c>
      <c r="M117" s="156" t="s">
        <v>363</v>
      </c>
      <c r="N117" s="157" t="s">
        <v>2688</v>
      </c>
      <c r="O117" s="158" t="s">
        <v>2689</v>
      </c>
      <c r="P117" s="159" t="s">
        <v>2690</v>
      </c>
      <c r="Q117" s="160" t="s">
        <v>204</v>
      </c>
      <c r="R117" s="161" t="s">
        <v>153</v>
      </c>
      <c r="S117" s="162" t="s">
        <v>290</v>
      </c>
      <c r="T117" s="163" t="s">
        <v>205</v>
      </c>
      <c r="U117" s="164" t="s">
        <v>292</v>
      </c>
      <c r="V117" s="165" t="s">
        <v>153</v>
      </c>
      <c r="W117" s="166">
        <v>22000</v>
      </c>
      <c r="X117" s="167" t="s">
        <v>2691</v>
      </c>
      <c r="Y117" s="168" t="s">
        <v>153</v>
      </c>
      <c r="Z117" s="169" t="s">
        <v>153</v>
      </c>
      <c r="AA117" s="170">
        <v>2013</v>
      </c>
      <c r="AB117" s="171" t="s">
        <v>153</v>
      </c>
      <c r="AC117" s="172" t="s">
        <v>153</v>
      </c>
      <c r="AD117" s="173" t="s">
        <v>153</v>
      </c>
      <c r="AE117" s="174" t="s">
        <v>153</v>
      </c>
      <c r="AF117" s="175" t="s">
        <v>153</v>
      </c>
      <c r="AG117" s="176" t="s">
        <v>153</v>
      </c>
      <c r="AH117" s="177" t="s">
        <v>153</v>
      </c>
      <c r="AI117" s="178" t="s">
        <v>153</v>
      </c>
      <c r="AJ117" s="179" t="s">
        <v>153</v>
      </c>
      <c r="AK117" s="180" t="s">
        <v>153</v>
      </c>
      <c r="AL117" s="181" t="s">
        <v>153</v>
      </c>
      <c r="AM117" s="182" t="s">
        <v>153</v>
      </c>
      <c r="AN117" s="183" t="s">
        <v>1908</v>
      </c>
      <c r="AO117" s="184" t="s">
        <v>2692</v>
      </c>
      <c r="AP117" s="185" t="s">
        <v>2693</v>
      </c>
      <c r="AQ117" s="186" t="s">
        <v>2694</v>
      </c>
      <c r="AR117" s="187" t="s">
        <v>2695</v>
      </c>
      <c r="AS117" s="188" t="s">
        <v>2696</v>
      </c>
      <c r="AT117" s="189" t="s">
        <v>2697</v>
      </c>
      <c r="AU117" s="190" t="s">
        <v>2698</v>
      </c>
      <c r="AV117" s="191" t="s">
        <v>153</v>
      </c>
      <c r="AW117" s="192" t="s">
        <v>2699</v>
      </c>
      <c r="AX117" s="193" t="s">
        <v>1128</v>
      </c>
      <c r="AY117" s="194" t="s">
        <v>2700</v>
      </c>
      <c r="AZ117" s="195" t="s">
        <v>215</v>
      </c>
      <c r="BA117" s="196" t="s">
        <v>153</v>
      </c>
      <c r="BB117" s="197" t="s">
        <v>153</v>
      </c>
      <c r="BC117" s="198" t="s">
        <v>153</v>
      </c>
      <c r="BD117" s="199" t="s">
        <v>216</v>
      </c>
      <c r="BE117" s="200" t="s">
        <v>217</v>
      </c>
      <c r="BF117" s="201" t="s">
        <v>2701</v>
      </c>
      <c r="BG117" s="202" t="s">
        <v>153</v>
      </c>
      <c r="BH117" s="203" t="s">
        <v>153</v>
      </c>
      <c r="BI117" s="204" t="s">
        <v>2702</v>
      </c>
      <c r="BJ117" s="205" t="s">
        <v>2703</v>
      </c>
      <c r="BK117" s="206" t="s">
        <v>153</v>
      </c>
      <c r="BL117" s="207" t="s">
        <v>153</v>
      </c>
      <c r="BM117" s="208" t="s">
        <v>2704</v>
      </c>
      <c r="BN117" s="209" t="s">
        <v>153</v>
      </c>
      <c r="BO117" s="210" t="s">
        <v>2705</v>
      </c>
      <c r="BP117" s="211" t="s">
        <v>2706</v>
      </c>
      <c r="BQ117" s="212">
        <v>42600</v>
      </c>
      <c r="BR117" s="213" t="s">
        <v>153</v>
      </c>
      <c r="BS117" s="214" t="s">
        <v>153</v>
      </c>
      <c r="BT117" s="215" t="s">
        <v>153</v>
      </c>
      <c r="BU117" s="216" t="s">
        <v>153</v>
      </c>
      <c r="BV117" s="217" t="s">
        <v>251</v>
      </c>
      <c r="BW117" s="218" t="s">
        <v>153</v>
      </c>
      <c r="BX117" s="219" t="s">
        <v>153</v>
      </c>
      <c r="BY117" s="220" t="s">
        <v>252</v>
      </c>
      <c r="BZ117" s="221" t="s">
        <v>153</v>
      </c>
      <c r="CA117" s="222" t="s">
        <v>190</v>
      </c>
      <c r="CB117" s="223">
        <v>43462</v>
      </c>
      <c r="CC117" s="224">
        <v>24000</v>
      </c>
      <c r="CD117" s="225" t="s">
        <v>186</v>
      </c>
      <c r="CE117" s="226">
        <v>24000</v>
      </c>
      <c r="CF117" s="227" t="s">
        <v>187</v>
      </c>
      <c r="CG117" s="228" t="s">
        <v>226</v>
      </c>
      <c r="CH117" s="229" t="s">
        <v>153</v>
      </c>
      <c r="CI117" s="230" t="s">
        <v>153</v>
      </c>
      <c r="CJ117" s="231" t="s">
        <v>225</v>
      </c>
      <c r="CK117" s="232">
        <v>43462</v>
      </c>
      <c r="CL117" s="233" t="s">
        <v>153</v>
      </c>
      <c r="CM117" s="234" t="s">
        <v>153</v>
      </c>
      <c r="CN117" s="235" t="s">
        <v>190</v>
      </c>
      <c r="CO117" s="236" t="s">
        <v>153</v>
      </c>
      <c r="CP117" s="237" t="s">
        <v>153</v>
      </c>
      <c r="CQ117" s="238" t="s">
        <v>153</v>
      </c>
      <c r="CR117" s="239" t="s">
        <v>153</v>
      </c>
      <c r="CS117" s="240" t="s">
        <v>153</v>
      </c>
      <c r="CT117" s="241" t="s">
        <v>153</v>
      </c>
      <c r="CU117" s="242" t="s">
        <v>153</v>
      </c>
      <c r="CV117" s="243" t="s">
        <v>153</v>
      </c>
      <c r="CW117" s="244" t="s">
        <v>153</v>
      </c>
      <c r="CX117" s="245" t="s">
        <v>153</v>
      </c>
      <c r="CY117" s="246" t="s">
        <v>153</v>
      </c>
      <c r="CZ117" s="247" t="s">
        <v>153</v>
      </c>
      <c r="DA117" s="248" t="s">
        <v>153</v>
      </c>
      <c r="DB117" s="249" t="s">
        <v>153</v>
      </c>
      <c r="DC117" s="250" t="s">
        <v>153</v>
      </c>
      <c r="DD117" s="251" t="s">
        <v>153</v>
      </c>
      <c r="DE117" s="252" t="s">
        <v>153</v>
      </c>
      <c r="DF117" s="253" t="s">
        <v>153</v>
      </c>
      <c r="DG117" s="254" t="s">
        <v>153</v>
      </c>
      <c r="DH117" s="255" t="s">
        <v>153</v>
      </c>
      <c r="DI117" s="256" t="s">
        <v>153</v>
      </c>
      <c r="DJ117" s="257" t="s">
        <v>153</v>
      </c>
      <c r="DK117" s="258" t="s">
        <v>153</v>
      </c>
      <c r="DL117" s="259" t="s">
        <v>153</v>
      </c>
      <c r="DM117" s="260" t="s">
        <v>153</v>
      </c>
      <c r="DN117" s="261" t="s">
        <v>153</v>
      </c>
      <c r="DO117" s="262" t="s">
        <v>153</v>
      </c>
      <c r="DP117" s="263" t="s">
        <v>153</v>
      </c>
      <c r="DQ117" s="264" t="s">
        <v>153</v>
      </c>
      <c r="DR117" s="265" t="s">
        <v>153</v>
      </c>
      <c r="DS117" s="266" t="s">
        <v>153</v>
      </c>
      <c r="DT117" s="267" t="s">
        <v>153</v>
      </c>
      <c r="DU117" s="268" t="s">
        <v>153</v>
      </c>
      <c r="DV117" s="269" t="s">
        <v>153</v>
      </c>
      <c r="DW117" s="270" t="s">
        <v>153</v>
      </c>
      <c r="DX117" s="271" t="s">
        <v>153</v>
      </c>
      <c r="DY117" s="272" t="s">
        <v>153</v>
      </c>
      <c r="DZ117" s="273" t="s">
        <v>191</v>
      </c>
      <c r="EA117" s="274">
        <v>44259</v>
      </c>
      <c r="EB117" s="275">
        <v>24000</v>
      </c>
      <c r="EC117" s="276">
        <v>43462</v>
      </c>
      <c r="ED117" s="277" t="s">
        <v>226</v>
      </c>
      <c r="EE117" s="279" t="str">
        <f>HYPERLINK("https://my.pitchbook.com?c=167281-93", "View company online")</f>
        <v>View company online</v>
      </c>
    </row>
    <row r="118" spans="1:135" x14ac:dyDescent="0.45">
      <c r="A118" s="10" t="s">
        <v>2707</v>
      </c>
      <c r="B118" s="11" t="s">
        <v>2708</v>
      </c>
      <c r="C118" s="12" t="s">
        <v>153</v>
      </c>
      <c r="D118" s="13" t="s">
        <v>153</v>
      </c>
      <c r="E118" s="14" t="s">
        <v>2709</v>
      </c>
      <c r="F118" s="15" t="s">
        <v>153</v>
      </c>
      <c r="G118" s="16" t="s">
        <v>2710</v>
      </c>
      <c r="H118" s="17" t="s">
        <v>2711</v>
      </c>
      <c r="I118" s="18" t="s">
        <v>2707</v>
      </c>
      <c r="J118" s="19" t="s">
        <v>2712</v>
      </c>
      <c r="K118" s="20" t="s">
        <v>157</v>
      </c>
      <c r="L118" s="21" t="s">
        <v>2713</v>
      </c>
      <c r="M118" s="22" t="s">
        <v>2714</v>
      </c>
      <c r="N118" s="23" t="s">
        <v>2715</v>
      </c>
      <c r="O118" s="24" t="s">
        <v>153</v>
      </c>
      <c r="P118" s="25" t="s">
        <v>2716</v>
      </c>
      <c r="Q118" s="26" t="s">
        <v>367</v>
      </c>
      <c r="R118" s="27">
        <v>2125.3000000000002</v>
      </c>
      <c r="S118" s="28" t="s">
        <v>368</v>
      </c>
      <c r="T118" s="29" t="s">
        <v>291</v>
      </c>
      <c r="U118" s="30" t="s">
        <v>2534</v>
      </c>
      <c r="V118" s="31" t="s">
        <v>153</v>
      </c>
      <c r="W118" s="32">
        <v>50000</v>
      </c>
      <c r="X118" s="33" t="s">
        <v>2717</v>
      </c>
      <c r="Y118" s="34" t="s">
        <v>372</v>
      </c>
      <c r="Z118" s="35" t="s">
        <v>2718</v>
      </c>
      <c r="AA118" s="36">
        <v>1962</v>
      </c>
      <c r="AB118" s="37" t="s">
        <v>153</v>
      </c>
      <c r="AC118" s="38" t="s">
        <v>428</v>
      </c>
      <c r="AD118" s="39" t="s">
        <v>1540</v>
      </c>
      <c r="AE118" s="40">
        <v>24176.85</v>
      </c>
      <c r="AF118" s="41">
        <v>4790.88</v>
      </c>
      <c r="AG118" s="42">
        <v>-40.42</v>
      </c>
      <c r="AH118" s="43">
        <v>7278.1</v>
      </c>
      <c r="AI118" s="44">
        <v>472.06</v>
      </c>
      <c r="AJ118" s="45">
        <v>148.18</v>
      </c>
      <c r="AK118" s="46">
        <v>804.82</v>
      </c>
      <c r="AL118" s="47">
        <v>6208.86</v>
      </c>
      <c r="AM118" s="48">
        <v>7.06</v>
      </c>
      <c r="AN118" s="49" t="s">
        <v>2288</v>
      </c>
      <c r="AO118" s="50" t="s">
        <v>2719</v>
      </c>
      <c r="AP118" s="51" t="s">
        <v>2720</v>
      </c>
      <c r="AQ118" s="52" t="s">
        <v>2721</v>
      </c>
      <c r="AR118" s="53" t="s">
        <v>2722</v>
      </c>
      <c r="AS118" s="54" t="s">
        <v>2723</v>
      </c>
      <c r="AT118" s="55" t="s">
        <v>2724</v>
      </c>
      <c r="AU118" s="56" t="s">
        <v>2725</v>
      </c>
      <c r="AV118" s="57" t="s">
        <v>153</v>
      </c>
      <c r="AW118" s="58" t="s">
        <v>2726</v>
      </c>
      <c r="AX118" s="59" t="s">
        <v>2727</v>
      </c>
      <c r="AY118" s="60" t="s">
        <v>2728</v>
      </c>
      <c r="AZ118" s="61" t="s">
        <v>215</v>
      </c>
      <c r="BA118" s="62" t="s">
        <v>2723</v>
      </c>
      <c r="BB118" s="63" t="s">
        <v>153</v>
      </c>
      <c r="BC118" s="64" t="s">
        <v>2729</v>
      </c>
      <c r="BD118" s="65" t="s">
        <v>216</v>
      </c>
      <c r="BE118" s="66" t="s">
        <v>217</v>
      </c>
      <c r="BF118" s="67" t="s">
        <v>2730</v>
      </c>
      <c r="BG118" s="68" t="s">
        <v>153</v>
      </c>
      <c r="BH118" s="69" t="s">
        <v>153</v>
      </c>
      <c r="BI118" s="70" t="s">
        <v>153</v>
      </c>
      <c r="BJ118" s="71" t="s">
        <v>2731</v>
      </c>
      <c r="BK118" s="72" t="s">
        <v>2732</v>
      </c>
      <c r="BL118" s="73" t="s">
        <v>153</v>
      </c>
      <c r="BM118" s="74" t="s">
        <v>2733</v>
      </c>
      <c r="BN118" s="75" t="s">
        <v>2734</v>
      </c>
      <c r="BO118" s="76" t="s">
        <v>2735</v>
      </c>
      <c r="BP118" s="77" t="s">
        <v>2736</v>
      </c>
      <c r="BQ118" s="78">
        <v>24838</v>
      </c>
      <c r="BR118" s="79" t="s">
        <v>153</v>
      </c>
      <c r="BS118" s="80" t="s">
        <v>153</v>
      </c>
      <c r="BT118" s="81" t="s">
        <v>153</v>
      </c>
      <c r="BU118" s="82" t="s">
        <v>153</v>
      </c>
      <c r="BV118" s="83" t="s">
        <v>251</v>
      </c>
      <c r="BW118" s="84" t="s">
        <v>153</v>
      </c>
      <c r="BX118" s="85" t="s">
        <v>153</v>
      </c>
      <c r="BY118" s="86" t="s">
        <v>252</v>
      </c>
      <c r="BZ118" s="87" t="s">
        <v>153</v>
      </c>
      <c r="CA118" s="88" t="s">
        <v>190</v>
      </c>
      <c r="CB118" s="89">
        <v>43320</v>
      </c>
      <c r="CC118" s="90">
        <v>24000</v>
      </c>
      <c r="CD118" s="91" t="s">
        <v>186</v>
      </c>
      <c r="CE118" s="92">
        <v>24000</v>
      </c>
      <c r="CF118" s="93" t="s">
        <v>186</v>
      </c>
      <c r="CG118" s="94" t="s">
        <v>188</v>
      </c>
      <c r="CH118" s="95" t="s">
        <v>189</v>
      </c>
      <c r="CI118" s="96" t="s">
        <v>153</v>
      </c>
      <c r="CJ118" s="97" t="s">
        <v>165</v>
      </c>
      <c r="CK118" s="98">
        <v>43320</v>
      </c>
      <c r="CL118" s="99" t="s">
        <v>153</v>
      </c>
      <c r="CM118" s="100" t="s">
        <v>153</v>
      </c>
      <c r="CN118" s="101" t="s">
        <v>394</v>
      </c>
      <c r="CO118" s="102">
        <v>-2.64</v>
      </c>
      <c r="CP118" s="103">
        <v>1</v>
      </c>
      <c r="CQ118" s="104">
        <v>0.01</v>
      </c>
      <c r="CR118" s="105">
        <v>0.36</v>
      </c>
      <c r="CS118" s="106">
        <v>-10.6</v>
      </c>
      <c r="CT118" s="107">
        <v>1</v>
      </c>
      <c r="CU118" s="108">
        <v>-0.11</v>
      </c>
      <c r="CV118" s="109">
        <v>17</v>
      </c>
      <c r="CW118" s="110">
        <v>-10.6</v>
      </c>
      <c r="CX118" s="111">
        <v>1</v>
      </c>
      <c r="CY118" s="112" t="s">
        <v>153</v>
      </c>
      <c r="CZ118" s="113" t="s">
        <v>153</v>
      </c>
      <c r="DA118" s="114">
        <v>-0.11</v>
      </c>
      <c r="DB118" s="115">
        <v>17</v>
      </c>
      <c r="DC118" s="116">
        <v>1649.73</v>
      </c>
      <c r="DD118" s="117">
        <v>100</v>
      </c>
      <c r="DE118" s="118">
        <v>2.0699999999999998</v>
      </c>
      <c r="DF118" s="119">
        <v>0.13</v>
      </c>
      <c r="DG118" s="120">
        <v>2454.17</v>
      </c>
      <c r="DH118" s="121">
        <v>100</v>
      </c>
      <c r="DI118" s="122">
        <v>265.79000000000002</v>
      </c>
      <c r="DJ118" s="123">
        <v>99</v>
      </c>
      <c r="DK118" s="124">
        <v>2454.17</v>
      </c>
      <c r="DL118" s="125">
        <v>100</v>
      </c>
      <c r="DM118" s="126" t="s">
        <v>153</v>
      </c>
      <c r="DN118" s="127" t="s">
        <v>153</v>
      </c>
      <c r="DO118" s="128">
        <v>265.79000000000002</v>
      </c>
      <c r="DP118" s="129">
        <v>99</v>
      </c>
      <c r="DQ118" s="130">
        <v>1473457</v>
      </c>
      <c r="DR118" s="131">
        <v>-66485</v>
      </c>
      <c r="DS118" s="132">
        <v>-4.32</v>
      </c>
      <c r="DT118" s="133" t="s">
        <v>153</v>
      </c>
      <c r="DU118" s="134" t="s">
        <v>153</v>
      </c>
      <c r="DV118" s="135" t="s">
        <v>153</v>
      </c>
      <c r="DW118" s="136">
        <v>83459</v>
      </c>
      <c r="DX118" s="137">
        <v>-8</v>
      </c>
      <c r="DY118" s="138">
        <v>-0.01</v>
      </c>
      <c r="DZ118" s="139" t="s">
        <v>191</v>
      </c>
      <c r="EA118" s="140">
        <v>44391</v>
      </c>
      <c r="EB118" s="141">
        <v>24000</v>
      </c>
      <c r="EC118" s="142">
        <v>43320</v>
      </c>
      <c r="ED118" s="143" t="s">
        <v>188</v>
      </c>
      <c r="EE118" s="278" t="str">
        <f>HYPERLINK("https://my.pitchbook.com?c=11989-90", "View company online")</f>
        <v>View company online</v>
      </c>
    </row>
    <row r="119" spans="1:135" x14ac:dyDescent="0.45">
      <c r="A119" s="144" t="s">
        <v>2737</v>
      </c>
      <c r="B119" s="145" t="s">
        <v>2738</v>
      </c>
      <c r="C119" s="146" t="s">
        <v>153</v>
      </c>
      <c r="D119" s="147" t="s">
        <v>153</v>
      </c>
      <c r="E119" s="148" t="s">
        <v>153</v>
      </c>
      <c r="F119" s="149" t="s">
        <v>153</v>
      </c>
      <c r="G119" s="150" t="s">
        <v>153</v>
      </c>
      <c r="H119" s="151" t="s">
        <v>153</v>
      </c>
      <c r="I119" s="152" t="s">
        <v>2737</v>
      </c>
      <c r="J119" s="153" t="s">
        <v>2739</v>
      </c>
      <c r="K119" s="154" t="s">
        <v>792</v>
      </c>
      <c r="L119" s="155" t="s">
        <v>841</v>
      </c>
      <c r="M119" s="156" t="s">
        <v>842</v>
      </c>
      <c r="N119" s="157" t="s">
        <v>843</v>
      </c>
      <c r="O119" s="158" t="s">
        <v>796</v>
      </c>
      <c r="P119" s="159" t="s">
        <v>2740</v>
      </c>
      <c r="Q119" s="160" t="s">
        <v>204</v>
      </c>
      <c r="R119" s="161" t="s">
        <v>153</v>
      </c>
      <c r="S119" s="162" t="s">
        <v>163</v>
      </c>
      <c r="T119" s="163" t="s">
        <v>205</v>
      </c>
      <c r="U119" s="164" t="s">
        <v>237</v>
      </c>
      <c r="V119" s="165" t="s">
        <v>2741</v>
      </c>
      <c r="W119" s="166" t="s">
        <v>153</v>
      </c>
      <c r="X119" s="167" t="s">
        <v>153</v>
      </c>
      <c r="Y119" s="168" t="s">
        <v>153</v>
      </c>
      <c r="Z119" s="169" t="s">
        <v>153</v>
      </c>
      <c r="AA119" s="170" t="s">
        <v>153</v>
      </c>
      <c r="AB119" s="171" t="s">
        <v>153</v>
      </c>
      <c r="AC119" s="172" t="s">
        <v>153</v>
      </c>
      <c r="AD119" s="173" t="s">
        <v>153</v>
      </c>
      <c r="AE119" s="174" t="s">
        <v>153</v>
      </c>
      <c r="AF119" s="175" t="s">
        <v>153</v>
      </c>
      <c r="AG119" s="176" t="s">
        <v>153</v>
      </c>
      <c r="AH119" s="177" t="s">
        <v>153</v>
      </c>
      <c r="AI119" s="178" t="s">
        <v>153</v>
      </c>
      <c r="AJ119" s="179" t="s">
        <v>153</v>
      </c>
      <c r="AK119" s="180" t="s">
        <v>153</v>
      </c>
      <c r="AL119" s="181" t="s">
        <v>153</v>
      </c>
      <c r="AM119" s="182" t="s">
        <v>153</v>
      </c>
      <c r="AN119" s="183" t="s">
        <v>1442</v>
      </c>
      <c r="AO119" s="184" t="s">
        <v>2742</v>
      </c>
      <c r="AP119" s="185" t="s">
        <v>2743</v>
      </c>
      <c r="AQ119" s="186" t="s">
        <v>2744</v>
      </c>
      <c r="AR119" s="187" t="s">
        <v>153</v>
      </c>
      <c r="AS119" s="188" t="s">
        <v>153</v>
      </c>
      <c r="AT119" s="189" t="s">
        <v>1124</v>
      </c>
      <c r="AU119" s="190" t="s">
        <v>153</v>
      </c>
      <c r="AV119" s="191" t="s">
        <v>153</v>
      </c>
      <c r="AW119" s="192" t="s">
        <v>1127</v>
      </c>
      <c r="AX119" s="193" t="s">
        <v>1128</v>
      </c>
      <c r="AY119" s="194" t="s">
        <v>153</v>
      </c>
      <c r="AZ119" s="195" t="s">
        <v>215</v>
      </c>
      <c r="BA119" s="196" t="s">
        <v>153</v>
      </c>
      <c r="BB119" s="197" t="s">
        <v>153</v>
      </c>
      <c r="BC119" s="198" t="s">
        <v>153</v>
      </c>
      <c r="BD119" s="199" t="s">
        <v>216</v>
      </c>
      <c r="BE119" s="200" t="s">
        <v>217</v>
      </c>
      <c r="BF119" s="201" t="s">
        <v>2745</v>
      </c>
      <c r="BG119" s="202" t="s">
        <v>153</v>
      </c>
      <c r="BH119" s="203" t="s">
        <v>153</v>
      </c>
      <c r="BI119" s="204" t="s">
        <v>2746</v>
      </c>
      <c r="BJ119" s="205" t="s">
        <v>153</v>
      </c>
      <c r="BK119" s="206" t="s">
        <v>153</v>
      </c>
      <c r="BL119" s="207" t="s">
        <v>153</v>
      </c>
      <c r="BM119" s="208" t="s">
        <v>153</v>
      </c>
      <c r="BN119" s="209" t="s">
        <v>153</v>
      </c>
      <c r="BO119" s="210" t="s">
        <v>153</v>
      </c>
      <c r="BP119" s="211" t="s">
        <v>2747</v>
      </c>
      <c r="BQ119" s="212">
        <v>29955</v>
      </c>
      <c r="BR119" s="213" t="s">
        <v>153</v>
      </c>
      <c r="BS119" s="214" t="s">
        <v>153</v>
      </c>
      <c r="BT119" s="215" t="s">
        <v>153</v>
      </c>
      <c r="BU119" s="216" t="s">
        <v>153</v>
      </c>
      <c r="BV119" s="217" t="s">
        <v>251</v>
      </c>
      <c r="BW119" s="218" t="s">
        <v>153</v>
      </c>
      <c r="BX119" s="219" t="s">
        <v>153</v>
      </c>
      <c r="BY119" s="220" t="s">
        <v>252</v>
      </c>
      <c r="BZ119" s="221" t="s">
        <v>153</v>
      </c>
      <c r="CA119" s="222" t="s">
        <v>190</v>
      </c>
      <c r="CB119" s="223">
        <v>36920</v>
      </c>
      <c r="CC119" s="224">
        <v>24000</v>
      </c>
      <c r="CD119" s="225" t="s">
        <v>186</v>
      </c>
      <c r="CE119" s="226">
        <v>24000</v>
      </c>
      <c r="CF119" s="227" t="s">
        <v>187</v>
      </c>
      <c r="CG119" s="228" t="s">
        <v>226</v>
      </c>
      <c r="CH119" s="229" t="s">
        <v>153</v>
      </c>
      <c r="CI119" s="230" t="s">
        <v>153</v>
      </c>
      <c r="CJ119" s="231" t="s">
        <v>225</v>
      </c>
      <c r="CK119" s="232">
        <v>36920</v>
      </c>
      <c r="CL119" s="233" t="s">
        <v>153</v>
      </c>
      <c r="CM119" s="234" t="s">
        <v>153</v>
      </c>
      <c r="CN119" s="235" t="s">
        <v>190</v>
      </c>
      <c r="CO119" s="236" t="s">
        <v>153</v>
      </c>
      <c r="CP119" s="237" t="s">
        <v>153</v>
      </c>
      <c r="CQ119" s="238" t="s">
        <v>153</v>
      </c>
      <c r="CR119" s="239" t="s">
        <v>153</v>
      </c>
      <c r="CS119" s="240" t="s">
        <v>153</v>
      </c>
      <c r="CT119" s="241" t="s">
        <v>153</v>
      </c>
      <c r="CU119" s="242" t="s">
        <v>153</v>
      </c>
      <c r="CV119" s="243" t="s">
        <v>153</v>
      </c>
      <c r="CW119" s="244" t="s">
        <v>153</v>
      </c>
      <c r="CX119" s="245" t="s">
        <v>153</v>
      </c>
      <c r="CY119" s="246" t="s">
        <v>153</v>
      </c>
      <c r="CZ119" s="247" t="s">
        <v>153</v>
      </c>
      <c r="DA119" s="248" t="s">
        <v>153</v>
      </c>
      <c r="DB119" s="249" t="s">
        <v>153</v>
      </c>
      <c r="DC119" s="250" t="s">
        <v>153</v>
      </c>
      <c r="DD119" s="251" t="s">
        <v>153</v>
      </c>
      <c r="DE119" s="252" t="s">
        <v>153</v>
      </c>
      <c r="DF119" s="253" t="s">
        <v>153</v>
      </c>
      <c r="DG119" s="254" t="s">
        <v>153</v>
      </c>
      <c r="DH119" s="255" t="s">
        <v>153</v>
      </c>
      <c r="DI119" s="256" t="s">
        <v>153</v>
      </c>
      <c r="DJ119" s="257" t="s">
        <v>153</v>
      </c>
      <c r="DK119" s="258" t="s">
        <v>153</v>
      </c>
      <c r="DL119" s="259" t="s">
        <v>153</v>
      </c>
      <c r="DM119" s="260" t="s">
        <v>153</v>
      </c>
      <c r="DN119" s="261" t="s">
        <v>153</v>
      </c>
      <c r="DO119" s="262" t="s">
        <v>153</v>
      </c>
      <c r="DP119" s="263" t="s">
        <v>153</v>
      </c>
      <c r="DQ119" s="264" t="s">
        <v>153</v>
      </c>
      <c r="DR119" s="265" t="s">
        <v>153</v>
      </c>
      <c r="DS119" s="266" t="s">
        <v>153</v>
      </c>
      <c r="DT119" s="267" t="s">
        <v>153</v>
      </c>
      <c r="DU119" s="268" t="s">
        <v>153</v>
      </c>
      <c r="DV119" s="269" t="s">
        <v>153</v>
      </c>
      <c r="DW119" s="270" t="s">
        <v>153</v>
      </c>
      <c r="DX119" s="271" t="s">
        <v>153</v>
      </c>
      <c r="DY119" s="272" t="s">
        <v>153</v>
      </c>
      <c r="DZ119" s="273" t="s">
        <v>191</v>
      </c>
      <c r="EA119" s="274">
        <v>43755</v>
      </c>
      <c r="EB119" s="275">
        <v>24000</v>
      </c>
      <c r="EC119" s="276">
        <v>36920</v>
      </c>
      <c r="ED119" s="277" t="s">
        <v>226</v>
      </c>
      <c r="EE119" s="279" t="str">
        <f>HYPERLINK("https://my.pitchbook.com?c=280686-16", "View company online")</f>
        <v>View company online</v>
      </c>
    </row>
    <row r="120" spans="1:135" x14ac:dyDescent="0.45">
      <c r="A120" s="10" t="s">
        <v>2748</v>
      </c>
      <c r="B120" s="11" t="s">
        <v>2749</v>
      </c>
      <c r="C120" s="12" t="s">
        <v>153</v>
      </c>
      <c r="D120" s="13" t="s">
        <v>153</v>
      </c>
      <c r="E120" s="14" t="s">
        <v>153</v>
      </c>
      <c r="F120" s="15" t="s">
        <v>153</v>
      </c>
      <c r="G120" s="16" t="s">
        <v>2750</v>
      </c>
      <c r="H120" s="17" t="s">
        <v>2407</v>
      </c>
      <c r="I120" s="18" t="s">
        <v>2748</v>
      </c>
      <c r="J120" s="19" t="s">
        <v>2751</v>
      </c>
      <c r="K120" s="20" t="s">
        <v>257</v>
      </c>
      <c r="L120" s="21" t="s">
        <v>478</v>
      </c>
      <c r="M120" s="22" t="s">
        <v>2752</v>
      </c>
      <c r="N120" s="23" t="s">
        <v>2753</v>
      </c>
      <c r="O120" s="24" t="s">
        <v>261</v>
      </c>
      <c r="P120" s="25" t="s">
        <v>2754</v>
      </c>
      <c r="Q120" s="26" t="s">
        <v>564</v>
      </c>
      <c r="R120" s="27">
        <v>11.5</v>
      </c>
      <c r="S120" s="28" t="s">
        <v>290</v>
      </c>
      <c r="T120" s="29" t="s">
        <v>205</v>
      </c>
      <c r="U120" s="30" t="s">
        <v>452</v>
      </c>
      <c r="V120" s="31" t="s">
        <v>2755</v>
      </c>
      <c r="W120" s="32">
        <v>18000</v>
      </c>
      <c r="X120" s="33" t="s">
        <v>2756</v>
      </c>
      <c r="Y120" s="34" t="s">
        <v>153</v>
      </c>
      <c r="Z120" s="35" t="s">
        <v>153</v>
      </c>
      <c r="AA120" s="36">
        <v>1976</v>
      </c>
      <c r="AB120" s="37" t="s">
        <v>153</v>
      </c>
      <c r="AC120" s="38" t="s">
        <v>153</v>
      </c>
      <c r="AD120" s="39" t="s">
        <v>153</v>
      </c>
      <c r="AE120" s="40" t="s">
        <v>153</v>
      </c>
      <c r="AF120" s="41" t="s">
        <v>153</v>
      </c>
      <c r="AG120" s="42" t="s">
        <v>153</v>
      </c>
      <c r="AH120" s="43" t="s">
        <v>153</v>
      </c>
      <c r="AI120" s="44" t="s">
        <v>153</v>
      </c>
      <c r="AJ120" s="45" t="s">
        <v>153</v>
      </c>
      <c r="AK120" s="46" t="s">
        <v>153</v>
      </c>
      <c r="AL120" s="47" t="s">
        <v>153</v>
      </c>
      <c r="AM120" s="48" t="s">
        <v>153</v>
      </c>
      <c r="AN120" s="49" t="s">
        <v>1570</v>
      </c>
      <c r="AO120" s="50" t="s">
        <v>153</v>
      </c>
      <c r="AP120" s="51" t="s">
        <v>153</v>
      </c>
      <c r="AQ120" s="52" t="s">
        <v>153</v>
      </c>
      <c r="AR120" s="53" t="s">
        <v>153</v>
      </c>
      <c r="AS120" s="54" t="s">
        <v>153</v>
      </c>
      <c r="AT120" s="55" t="s">
        <v>2757</v>
      </c>
      <c r="AU120" s="56" t="s">
        <v>2758</v>
      </c>
      <c r="AV120" s="57" t="s">
        <v>153</v>
      </c>
      <c r="AW120" s="58" t="s">
        <v>2759</v>
      </c>
      <c r="AX120" s="59" t="s">
        <v>2760</v>
      </c>
      <c r="AY120" s="60" t="s">
        <v>2761</v>
      </c>
      <c r="AZ120" s="61" t="s">
        <v>215</v>
      </c>
      <c r="BA120" s="62" t="s">
        <v>153</v>
      </c>
      <c r="BB120" s="63" t="s">
        <v>153</v>
      </c>
      <c r="BC120" s="64" t="s">
        <v>153</v>
      </c>
      <c r="BD120" s="65" t="s">
        <v>216</v>
      </c>
      <c r="BE120" s="66" t="s">
        <v>217</v>
      </c>
      <c r="BF120" s="67" t="s">
        <v>2762</v>
      </c>
      <c r="BG120" s="68" t="s">
        <v>153</v>
      </c>
      <c r="BH120" s="69" t="s">
        <v>153</v>
      </c>
      <c r="BI120" s="70" t="s">
        <v>593</v>
      </c>
      <c r="BJ120" s="71" t="s">
        <v>2763</v>
      </c>
      <c r="BK120" s="72" t="s">
        <v>153</v>
      </c>
      <c r="BL120" s="73" t="s">
        <v>153</v>
      </c>
      <c r="BM120" s="74" t="s">
        <v>2764</v>
      </c>
      <c r="BN120" s="75" t="s">
        <v>153</v>
      </c>
      <c r="BO120" s="76" t="s">
        <v>2765</v>
      </c>
      <c r="BP120" s="77" t="s">
        <v>2766</v>
      </c>
      <c r="BQ120" s="78">
        <v>28165</v>
      </c>
      <c r="BR120" s="79" t="s">
        <v>153</v>
      </c>
      <c r="BS120" s="80" t="s">
        <v>153</v>
      </c>
      <c r="BT120" s="81" t="s">
        <v>153</v>
      </c>
      <c r="BU120" s="82" t="s">
        <v>153</v>
      </c>
      <c r="BV120" s="83" t="s">
        <v>251</v>
      </c>
      <c r="BW120" s="84" t="s">
        <v>153</v>
      </c>
      <c r="BX120" s="85" t="s">
        <v>153</v>
      </c>
      <c r="BY120" s="86" t="s">
        <v>252</v>
      </c>
      <c r="BZ120" s="87" t="s">
        <v>153</v>
      </c>
      <c r="CA120" s="88" t="s">
        <v>190</v>
      </c>
      <c r="CB120" s="89">
        <v>42739</v>
      </c>
      <c r="CC120" s="90">
        <v>23600</v>
      </c>
      <c r="CD120" s="91" t="s">
        <v>186</v>
      </c>
      <c r="CE120" s="92">
        <v>23600</v>
      </c>
      <c r="CF120" s="93" t="s">
        <v>187</v>
      </c>
      <c r="CG120" s="94" t="s">
        <v>226</v>
      </c>
      <c r="CH120" s="95" t="s">
        <v>153</v>
      </c>
      <c r="CI120" s="96" t="s">
        <v>153</v>
      </c>
      <c r="CJ120" s="97" t="s">
        <v>225</v>
      </c>
      <c r="CK120" s="98">
        <v>42739</v>
      </c>
      <c r="CL120" s="99" t="s">
        <v>153</v>
      </c>
      <c r="CM120" s="100" t="s">
        <v>1607</v>
      </c>
      <c r="CN120" s="101" t="s">
        <v>190</v>
      </c>
      <c r="CO120" s="102" t="s">
        <v>153</v>
      </c>
      <c r="CP120" s="103" t="s">
        <v>153</v>
      </c>
      <c r="CQ120" s="104" t="s">
        <v>153</v>
      </c>
      <c r="CR120" s="105" t="s">
        <v>153</v>
      </c>
      <c r="CS120" s="106" t="s">
        <v>153</v>
      </c>
      <c r="CT120" s="107" t="s">
        <v>153</v>
      </c>
      <c r="CU120" s="108" t="s">
        <v>153</v>
      </c>
      <c r="CV120" s="109" t="s">
        <v>153</v>
      </c>
      <c r="CW120" s="110" t="s">
        <v>153</v>
      </c>
      <c r="CX120" s="111" t="s">
        <v>153</v>
      </c>
      <c r="CY120" s="112" t="s">
        <v>153</v>
      </c>
      <c r="CZ120" s="113" t="s">
        <v>153</v>
      </c>
      <c r="DA120" s="114" t="s">
        <v>153</v>
      </c>
      <c r="DB120" s="115" t="s">
        <v>153</v>
      </c>
      <c r="DC120" s="116" t="s">
        <v>153</v>
      </c>
      <c r="DD120" s="117" t="s">
        <v>153</v>
      </c>
      <c r="DE120" s="118" t="s">
        <v>153</v>
      </c>
      <c r="DF120" s="119" t="s">
        <v>153</v>
      </c>
      <c r="DG120" s="120" t="s">
        <v>153</v>
      </c>
      <c r="DH120" s="121" t="s">
        <v>153</v>
      </c>
      <c r="DI120" s="122" t="s">
        <v>153</v>
      </c>
      <c r="DJ120" s="123" t="s">
        <v>153</v>
      </c>
      <c r="DK120" s="124" t="s">
        <v>153</v>
      </c>
      <c r="DL120" s="125" t="s">
        <v>153</v>
      </c>
      <c r="DM120" s="126" t="s">
        <v>153</v>
      </c>
      <c r="DN120" s="127" t="s">
        <v>153</v>
      </c>
      <c r="DO120" s="128" t="s">
        <v>153</v>
      </c>
      <c r="DP120" s="129" t="s">
        <v>153</v>
      </c>
      <c r="DQ120" s="130" t="s">
        <v>153</v>
      </c>
      <c r="DR120" s="131" t="s">
        <v>153</v>
      </c>
      <c r="DS120" s="132" t="s">
        <v>153</v>
      </c>
      <c r="DT120" s="133" t="s">
        <v>153</v>
      </c>
      <c r="DU120" s="134" t="s">
        <v>153</v>
      </c>
      <c r="DV120" s="135" t="s">
        <v>153</v>
      </c>
      <c r="DW120" s="136" t="s">
        <v>153</v>
      </c>
      <c r="DX120" s="137" t="s">
        <v>153</v>
      </c>
      <c r="DY120" s="138" t="s">
        <v>153</v>
      </c>
      <c r="DZ120" s="139" t="s">
        <v>191</v>
      </c>
      <c r="EA120" s="140">
        <v>44315</v>
      </c>
      <c r="EB120" s="141">
        <v>23600</v>
      </c>
      <c r="EC120" s="142">
        <v>42739</v>
      </c>
      <c r="ED120" s="143" t="s">
        <v>226</v>
      </c>
      <c r="EE120" s="278" t="str">
        <f>HYPERLINK("https://my.pitchbook.com?c=41326-03", "View company online")</f>
        <v>View company online</v>
      </c>
    </row>
    <row r="121" spans="1:135" x14ac:dyDescent="0.45">
      <c r="A121" s="144" t="s">
        <v>2767</v>
      </c>
      <c r="B121" s="145" t="s">
        <v>2768</v>
      </c>
      <c r="C121" s="146" t="s">
        <v>153</v>
      </c>
      <c r="D121" s="147" t="s">
        <v>153</v>
      </c>
      <c r="E121" s="148" t="s">
        <v>153</v>
      </c>
      <c r="F121" s="149" t="s">
        <v>2769</v>
      </c>
      <c r="G121" s="150" t="s">
        <v>2770</v>
      </c>
      <c r="H121" s="151" t="s">
        <v>2771</v>
      </c>
      <c r="I121" s="152" t="s">
        <v>2767</v>
      </c>
      <c r="J121" s="153" t="s">
        <v>2772</v>
      </c>
      <c r="K121" s="154" t="s">
        <v>232</v>
      </c>
      <c r="L121" s="155" t="s">
        <v>2162</v>
      </c>
      <c r="M121" s="156" t="s">
        <v>2773</v>
      </c>
      <c r="N121" s="157" t="s">
        <v>2774</v>
      </c>
      <c r="O121" s="158" t="s">
        <v>153</v>
      </c>
      <c r="P121" s="159" t="s">
        <v>2775</v>
      </c>
      <c r="Q121" s="160" t="s">
        <v>367</v>
      </c>
      <c r="R121" s="161">
        <v>24.71</v>
      </c>
      <c r="S121" s="162" t="s">
        <v>290</v>
      </c>
      <c r="T121" s="163" t="s">
        <v>291</v>
      </c>
      <c r="U121" s="164" t="s">
        <v>237</v>
      </c>
      <c r="V121" s="165" t="s">
        <v>2776</v>
      </c>
      <c r="W121" s="166">
        <v>2000</v>
      </c>
      <c r="X121" s="167" t="s">
        <v>2777</v>
      </c>
      <c r="Y121" s="168" t="s">
        <v>295</v>
      </c>
      <c r="Z121" s="169" t="s">
        <v>2778</v>
      </c>
      <c r="AA121" s="170">
        <v>1921</v>
      </c>
      <c r="AB121" s="171" t="s">
        <v>153</v>
      </c>
      <c r="AC121" s="172" t="s">
        <v>570</v>
      </c>
      <c r="AD121" s="173" t="s">
        <v>1540</v>
      </c>
      <c r="AE121" s="174">
        <v>1677.8</v>
      </c>
      <c r="AF121" s="175" t="s">
        <v>153</v>
      </c>
      <c r="AG121" s="176">
        <v>131.30000000000001</v>
      </c>
      <c r="AH121" s="177">
        <v>899.66</v>
      </c>
      <c r="AI121" s="178">
        <v>179.4</v>
      </c>
      <c r="AJ121" s="179">
        <v>168.6</v>
      </c>
      <c r="AK121" s="180">
        <v>2243.35</v>
      </c>
      <c r="AL121" s="181">
        <v>63</v>
      </c>
      <c r="AM121" s="182">
        <v>34.01</v>
      </c>
      <c r="AN121" s="183" t="s">
        <v>376</v>
      </c>
      <c r="AO121" s="184" t="s">
        <v>2779</v>
      </c>
      <c r="AP121" s="185" t="s">
        <v>2780</v>
      </c>
      <c r="AQ121" s="186" t="s">
        <v>2781</v>
      </c>
      <c r="AR121" s="187" t="s">
        <v>2782</v>
      </c>
      <c r="AS121" s="188" t="s">
        <v>2783</v>
      </c>
      <c r="AT121" s="189" t="s">
        <v>2784</v>
      </c>
      <c r="AU121" s="190" t="s">
        <v>2785</v>
      </c>
      <c r="AV121" s="191" t="s">
        <v>153</v>
      </c>
      <c r="AW121" s="192" t="s">
        <v>2658</v>
      </c>
      <c r="AX121" s="193" t="s">
        <v>724</v>
      </c>
      <c r="AY121" s="194" t="s">
        <v>2786</v>
      </c>
      <c r="AZ121" s="195" t="s">
        <v>215</v>
      </c>
      <c r="BA121" s="196" t="s">
        <v>2783</v>
      </c>
      <c r="BB121" s="197" t="s">
        <v>153</v>
      </c>
      <c r="BC121" s="198" t="s">
        <v>153</v>
      </c>
      <c r="BD121" s="199" t="s">
        <v>216</v>
      </c>
      <c r="BE121" s="200" t="s">
        <v>217</v>
      </c>
      <c r="BF121" s="201" t="s">
        <v>2787</v>
      </c>
      <c r="BG121" s="202" t="s">
        <v>153</v>
      </c>
      <c r="BH121" s="203" t="s">
        <v>153</v>
      </c>
      <c r="BI121" s="204" t="s">
        <v>153</v>
      </c>
      <c r="BJ121" s="205" t="s">
        <v>153</v>
      </c>
      <c r="BK121" s="206" t="s">
        <v>2788</v>
      </c>
      <c r="BL121" s="207" t="s">
        <v>153</v>
      </c>
      <c r="BM121" s="208" t="s">
        <v>153</v>
      </c>
      <c r="BN121" s="209" t="s">
        <v>2789</v>
      </c>
      <c r="BO121" s="210" t="s">
        <v>2790</v>
      </c>
      <c r="BP121" s="211" t="s">
        <v>2791</v>
      </c>
      <c r="BQ121" s="212">
        <v>33417</v>
      </c>
      <c r="BR121" s="213">
        <v>24.71</v>
      </c>
      <c r="BS121" s="214" t="s">
        <v>187</v>
      </c>
      <c r="BT121" s="215" t="s">
        <v>153</v>
      </c>
      <c r="BU121" s="216" t="s">
        <v>153</v>
      </c>
      <c r="BV121" s="217" t="s">
        <v>251</v>
      </c>
      <c r="BW121" s="218" t="s">
        <v>153</v>
      </c>
      <c r="BX121" s="219" t="s">
        <v>153</v>
      </c>
      <c r="BY121" s="220" t="s">
        <v>252</v>
      </c>
      <c r="BZ121" s="221" t="s">
        <v>153</v>
      </c>
      <c r="CA121" s="222" t="s">
        <v>190</v>
      </c>
      <c r="CB121" s="223">
        <v>44389</v>
      </c>
      <c r="CC121" s="224">
        <v>23600</v>
      </c>
      <c r="CD121" s="225" t="s">
        <v>187</v>
      </c>
      <c r="CE121" s="226">
        <v>23600</v>
      </c>
      <c r="CF121" s="227" t="s">
        <v>187</v>
      </c>
      <c r="CG121" s="228" t="s">
        <v>226</v>
      </c>
      <c r="CH121" s="229" t="s">
        <v>153</v>
      </c>
      <c r="CI121" s="230" t="s">
        <v>153</v>
      </c>
      <c r="CJ121" s="231" t="s">
        <v>225</v>
      </c>
      <c r="CK121" s="232">
        <v>44389</v>
      </c>
      <c r="CL121" s="233" t="s">
        <v>153</v>
      </c>
      <c r="CM121" s="234" t="s">
        <v>153</v>
      </c>
      <c r="CN121" s="235" t="s">
        <v>1278</v>
      </c>
      <c r="CO121" s="236">
        <v>1.29</v>
      </c>
      <c r="CP121" s="237">
        <v>97</v>
      </c>
      <c r="CQ121" s="238">
        <v>0.01</v>
      </c>
      <c r="CR121" s="239">
        <v>0.93</v>
      </c>
      <c r="CS121" s="240">
        <v>4.0199999999999996</v>
      </c>
      <c r="CT121" s="241">
        <v>100</v>
      </c>
      <c r="CU121" s="242">
        <v>-0.1</v>
      </c>
      <c r="CV121" s="243">
        <v>19</v>
      </c>
      <c r="CW121" s="244">
        <v>4.0199999999999996</v>
      </c>
      <c r="CX121" s="245">
        <v>92</v>
      </c>
      <c r="CY121" s="246" t="s">
        <v>153</v>
      </c>
      <c r="CZ121" s="247" t="s">
        <v>153</v>
      </c>
      <c r="DA121" s="248">
        <v>-0.1</v>
      </c>
      <c r="DB121" s="249">
        <v>19</v>
      </c>
      <c r="DC121" s="250">
        <v>56.87</v>
      </c>
      <c r="DD121" s="251">
        <v>99</v>
      </c>
      <c r="DE121" s="252">
        <v>0.04</v>
      </c>
      <c r="DF121" s="253">
        <v>0.06</v>
      </c>
      <c r="DG121" s="254">
        <v>101.76</v>
      </c>
      <c r="DH121" s="255">
        <v>99</v>
      </c>
      <c r="DI121" s="256">
        <v>14.8</v>
      </c>
      <c r="DJ121" s="257">
        <v>90</v>
      </c>
      <c r="DK121" s="258">
        <v>101.76</v>
      </c>
      <c r="DL121" s="259">
        <v>97</v>
      </c>
      <c r="DM121" s="260" t="s">
        <v>153</v>
      </c>
      <c r="DN121" s="261" t="s">
        <v>153</v>
      </c>
      <c r="DO121" s="262">
        <v>14.8</v>
      </c>
      <c r="DP121" s="263">
        <v>90</v>
      </c>
      <c r="DQ121" s="264">
        <v>59927</v>
      </c>
      <c r="DR121" s="265">
        <v>1516</v>
      </c>
      <c r="DS121" s="266">
        <v>2.6</v>
      </c>
      <c r="DT121" s="267" t="s">
        <v>153</v>
      </c>
      <c r="DU121" s="268" t="s">
        <v>153</v>
      </c>
      <c r="DV121" s="269" t="s">
        <v>153</v>
      </c>
      <c r="DW121" s="270">
        <v>4645</v>
      </c>
      <c r="DX121" s="271">
        <v>3</v>
      </c>
      <c r="DY121" s="272">
        <v>0.06</v>
      </c>
      <c r="DZ121" s="273" t="s">
        <v>191</v>
      </c>
      <c r="EA121" s="274">
        <v>44400</v>
      </c>
      <c r="EB121" s="275">
        <v>23600</v>
      </c>
      <c r="EC121" s="276">
        <v>44389</v>
      </c>
      <c r="ED121" s="277" t="s">
        <v>226</v>
      </c>
      <c r="EE121" s="279" t="str">
        <f>HYPERLINK("https://my.pitchbook.com?c=41215-60", "View company online")</f>
        <v>View company online</v>
      </c>
    </row>
    <row r="122" spans="1:135" x14ac:dyDescent="0.45">
      <c r="A122" s="10" t="s">
        <v>2792</v>
      </c>
      <c r="B122" s="11" t="s">
        <v>2793</v>
      </c>
      <c r="C122" s="12" t="s">
        <v>153</v>
      </c>
      <c r="D122" s="13" t="s">
        <v>153</v>
      </c>
      <c r="E122" s="14" t="s">
        <v>2794</v>
      </c>
      <c r="F122" s="15" t="s">
        <v>153</v>
      </c>
      <c r="G122" s="16" t="s">
        <v>2795</v>
      </c>
      <c r="H122" s="17" t="s">
        <v>2796</v>
      </c>
      <c r="I122" s="18" t="s">
        <v>2792</v>
      </c>
      <c r="J122" s="19" t="s">
        <v>2797</v>
      </c>
      <c r="K122" s="20" t="s">
        <v>882</v>
      </c>
      <c r="L122" s="21" t="s">
        <v>883</v>
      </c>
      <c r="M122" s="22" t="s">
        <v>1615</v>
      </c>
      <c r="N122" s="23" t="s">
        <v>2798</v>
      </c>
      <c r="O122" s="24" t="s">
        <v>365</v>
      </c>
      <c r="P122" s="25" t="s">
        <v>2799</v>
      </c>
      <c r="Q122" s="26" t="s">
        <v>204</v>
      </c>
      <c r="R122" s="27" t="s">
        <v>153</v>
      </c>
      <c r="S122" s="28" t="s">
        <v>163</v>
      </c>
      <c r="T122" s="29" t="s">
        <v>164</v>
      </c>
      <c r="U122" s="30" t="s">
        <v>237</v>
      </c>
      <c r="V122" s="31" t="s">
        <v>2800</v>
      </c>
      <c r="W122" s="32">
        <v>200000</v>
      </c>
      <c r="X122" s="33" t="s">
        <v>2801</v>
      </c>
      <c r="Y122" s="34" t="s">
        <v>153</v>
      </c>
      <c r="Z122" s="35" t="s">
        <v>153</v>
      </c>
      <c r="AA122" s="36">
        <v>1933</v>
      </c>
      <c r="AB122" s="37" t="s">
        <v>1934</v>
      </c>
      <c r="AC122" s="38" t="s">
        <v>428</v>
      </c>
      <c r="AD122" s="39" t="s">
        <v>622</v>
      </c>
      <c r="AE122" s="40" t="s">
        <v>153</v>
      </c>
      <c r="AF122" s="41" t="s">
        <v>153</v>
      </c>
      <c r="AG122" s="42" t="s">
        <v>153</v>
      </c>
      <c r="AH122" s="43" t="s">
        <v>153</v>
      </c>
      <c r="AI122" s="44" t="s">
        <v>153</v>
      </c>
      <c r="AJ122" s="45" t="s">
        <v>153</v>
      </c>
      <c r="AK122" s="46" t="s">
        <v>153</v>
      </c>
      <c r="AL122" s="47" t="s">
        <v>153</v>
      </c>
      <c r="AM122" s="48" t="s">
        <v>153</v>
      </c>
      <c r="AN122" s="49" t="s">
        <v>1442</v>
      </c>
      <c r="AO122" s="50" t="s">
        <v>2802</v>
      </c>
      <c r="AP122" s="51" t="s">
        <v>2803</v>
      </c>
      <c r="AQ122" s="52" t="s">
        <v>512</v>
      </c>
      <c r="AR122" s="53" t="s">
        <v>2804</v>
      </c>
      <c r="AS122" s="54" t="s">
        <v>2805</v>
      </c>
      <c r="AT122" s="55" t="s">
        <v>2806</v>
      </c>
      <c r="AU122" s="56" t="s">
        <v>2807</v>
      </c>
      <c r="AV122" s="57" t="s">
        <v>2808</v>
      </c>
      <c r="AW122" s="58" t="s">
        <v>2809</v>
      </c>
      <c r="AX122" s="59" t="s">
        <v>1862</v>
      </c>
      <c r="AY122" s="60" t="s">
        <v>2810</v>
      </c>
      <c r="AZ122" s="61" t="s">
        <v>215</v>
      </c>
      <c r="BA122" s="62" t="s">
        <v>2805</v>
      </c>
      <c r="BB122" s="63" t="s">
        <v>2811</v>
      </c>
      <c r="BC122" s="64" t="s">
        <v>153</v>
      </c>
      <c r="BD122" s="65" t="s">
        <v>216</v>
      </c>
      <c r="BE122" s="66" t="s">
        <v>217</v>
      </c>
      <c r="BF122" s="67" t="s">
        <v>2812</v>
      </c>
      <c r="BG122" s="68" t="s">
        <v>153</v>
      </c>
      <c r="BH122" s="69" t="s">
        <v>153</v>
      </c>
      <c r="BI122" s="70" t="s">
        <v>1934</v>
      </c>
      <c r="BJ122" s="71" t="s">
        <v>2813</v>
      </c>
      <c r="BK122" s="72" t="s">
        <v>153</v>
      </c>
      <c r="BL122" s="73" t="s">
        <v>153</v>
      </c>
      <c r="BM122" s="74" t="s">
        <v>2814</v>
      </c>
      <c r="BN122" s="75" t="s">
        <v>153</v>
      </c>
      <c r="BO122" s="76" t="s">
        <v>2815</v>
      </c>
      <c r="BP122" s="77" t="s">
        <v>2816</v>
      </c>
      <c r="BQ122" s="78">
        <v>37057</v>
      </c>
      <c r="BR122" s="79" t="s">
        <v>153</v>
      </c>
      <c r="BS122" s="80" t="s">
        <v>153</v>
      </c>
      <c r="BT122" s="81" t="s">
        <v>153</v>
      </c>
      <c r="BU122" s="82" t="s">
        <v>153</v>
      </c>
      <c r="BV122" s="83" t="s">
        <v>251</v>
      </c>
      <c r="BW122" s="84" t="s">
        <v>524</v>
      </c>
      <c r="BX122" s="85" t="s">
        <v>153</v>
      </c>
      <c r="BY122" s="86" t="s">
        <v>252</v>
      </c>
      <c r="BZ122" s="87" t="s">
        <v>153</v>
      </c>
      <c r="CA122" s="88" t="s">
        <v>190</v>
      </c>
      <c r="CB122" s="89">
        <v>43430</v>
      </c>
      <c r="CC122" s="90">
        <v>23493</v>
      </c>
      <c r="CD122" s="91" t="s">
        <v>186</v>
      </c>
      <c r="CE122" s="92">
        <v>23493</v>
      </c>
      <c r="CF122" s="93" t="s">
        <v>153</v>
      </c>
      <c r="CG122" s="94" t="s">
        <v>226</v>
      </c>
      <c r="CH122" s="95" t="s">
        <v>153</v>
      </c>
      <c r="CI122" s="96" t="s">
        <v>153</v>
      </c>
      <c r="CJ122" s="97" t="s">
        <v>225</v>
      </c>
      <c r="CK122" s="98">
        <v>43430</v>
      </c>
      <c r="CL122" s="99" t="s">
        <v>153</v>
      </c>
      <c r="CM122" s="100" t="s">
        <v>153</v>
      </c>
      <c r="CN122" s="101" t="s">
        <v>190</v>
      </c>
      <c r="CO122" s="102">
        <v>2.98</v>
      </c>
      <c r="CP122" s="103">
        <v>99</v>
      </c>
      <c r="CQ122" s="104">
        <v>0</v>
      </c>
      <c r="CR122" s="105">
        <v>-0.05</v>
      </c>
      <c r="CS122" s="106">
        <v>0.77</v>
      </c>
      <c r="CT122" s="107">
        <v>94</v>
      </c>
      <c r="CU122" s="108" t="s">
        <v>153</v>
      </c>
      <c r="CV122" s="109" t="s">
        <v>153</v>
      </c>
      <c r="CW122" s="110">
        <v>1.23</v>
      </c>
      <c r="CX122" s="111">
        <v>83</v>
      </c>
      <c r="CY122" s="112">
        <v>0.31</v>
      </c>
      <c r="CZ122" s="113">
        <v>93</v>
      </c>
      <c r="DA122" s="114" t="s">
        <v>153</v>
      </c>
      <c r="DB122" s="115" t="s">
        <v>153</v>
      </c>
      <c r="DC122" s="116">
        <v>2757.04</v>
      </c>
      <c r="DD122" s="117">
        <v>100</v>
      </c>
      <c r="DE122" s="118">
        <v>0.09</v>
      </c>
      <c r="DF122" s="119">
        <v>0</v>
      </c>
      <c r="DG122" s="120">
        <v>108.67</v>
      </c>
      <c r="DH122" s="121">
        <v>99</v>
      </c>
      <c r="DI122" s="122" t="s">
        <v>153</v>
      </c>
      <c r="DJ122" s="123" t="s">
        <v>153</v>
      </c>
      <c r="DK122" s="124">
        <v>71.97</v>
      </c>
      <c r="DL122" s="125">
        <v>96</v>
      </c>
      <c r="DM122" s="126">
        <v>145.38</v>
      </c>
      <c r="DN122" s="127">
        <v>100</v>
      </c>
      <c r="DO122" s="128" t="s">
        <v>153</v>
      </c>
      <c r="DP122" s="129" t="s">
        <v>153</v>
      </c>
      <c r="DQ122" s="130">
        <v>42378</v>
      </c>
      <c r="DR122" s="131">
        <v>1105</v>
      </c>
      <c r="DS122" s="132">
        <v>2.68</v>
      </c>
      <c r="DT122" s="133">
        <v>2323</v>
      </c>
      <c r="DU122" s="134">
        <v>6</v>
      </c>
      <c r="DV122" s="135">
        <v>0.26</v>
      </c>
      <c r="DW122" s="136" t="s">
        <v>153</v>
      </c>
      <c r="DX122" s="137" t="s">
        <v>153</v>
      </c>
      <c r="DY122" s="138" t="s">
        <v>153</v>
      </c>
      <c r="DZ122" s="139" t="s">
        <v>191</v>
      </c>
      <c r="EA122" s="140">
        <v>44399</v>
      </c>
      <c r="EB122" s="141">
        <v>23493</v>
      </c>
      <c r="EC122" s="142">
        <v>43430</v>
      </c>
      <c r="ED122" s="143" t="s">
        <v>226</v>
      </c>
      <c r="EE122" s="278" t="str">
        <f>HYPERLINK("https://my.pitchbook.com?c=10262-62", "View company online")</f>
        <v>View company online</v>
      </c>
    </row>
    <row r="123" spans="1:135" x14ac:dyDescent="0.45">
      <c r="A123" s="144" t="s">
        <v>2817</v>
      </c>
      <c r="B123" s="145" t="s">
        <v>2818</v>
      </c>
      <c r="C123" s="146" t="s">
        <v>153</v>
      </c>
      <c r="D123" s="147" t="s">
        <v>153</v>
      </c>
      <c r="E123" s="148" t="s">
        <v>2819</v>
      </c>
      <c r="F123" s="149" t="s">
        <v>153</v>
      </c>
      <c r="G123" s="150" t="s">
        <v>153</v>
      </c>
      <c r="H123" s="151" t="s">
        <v>2820</v>
      </c>
      <c r="I123" s="152" t="s">
        <v>2817</v>
      </c>
      <c r="J123" s="153" t="s">
        <v>2821</v>
      </c>
      <c r="K123" s="154" t="s">
        <v>792</v>
      </c>
      <c r="L123" s="155" t="s">
        <v>841</v>
      </c>
      <c r="M123" s="156" t="s">
        <v>2326</v>
      </c>
      <c r="N123" s="157" t="s">
        <v>2822</v>
      </c>
      <c r="O123" s="158" t="s">
        <v>796</v>
      </c>
      <c r="P123" s="159" t="s">
        <v>2823</v>
      </c>
      <c r="Q123" s="160" t="s">
        <v>204</v>
      </c>
      <c r="R123" s="161" t="s">
        <v>153</v>
      </c>
      <c r="S123" s="162" t="s">
        <v>290</v>
      </c>
      <c r="T123" s="163" t="s">
        <v>164</v>
      </c>
      <c r="U123" s="164" t="s">
        <v>237</v>
      </c>
      <c r="V123" s="165" t="s">
        <v>2824</v>
      </c>
      <c r="W123" s="166">
        <v>13000</v>
      </c>
      <c r="X123" s="167" t="s">
        <v>2825</v>
      </c>
      <c r="Y123" s="168" t="s">
        <v>153</v>
      </c>
      <c r="Z123" s="169" t="s">
        <v>153</v>
      </c>
      <c r="AA123" s="170">
        <v>1968</v>
      </c>
      <c r="AB123" s="171" t="s">
        <v>2826</v>
      </c>
      <c r="AC123" s="172" t="s">
        <v>153</v>
      </c>
      <c r="AD123" s="173" t="s">
        <v>428</v>
      </c>
      <c r="AE123" s="174" t="s">
        <v>153</v>
      </c>
      <c r="AF123" s="175" t="s">
        <v>153</v>
      </c>
      <c r="AG123" s="176" t="s">
        <v>153</v>
      </c>
      <c r="AH123" s="177" t="s">
        <v>153</v>
      </c>
      <c r="AI123" s="178" t="s">
        <v>153</v>
      </c>
      <c r="AJ123" s="179" t="s">
        <v>153</v>
      </c>
      <c r="AK123" s="180" t="s">
        <v>153</v>
      </c>
      <c r="AL123" s="181" t="s">
        <v>153</v>
      </c>
      <c r="AM123" s="182" t="s">
        <v>153</v>
      </c>
      <c r="AN123" s="183" t="s">
        <v>648</v>
      </c>
      <c r="AO123" s="184" t="s">
        <v>153</v>
      </c>
      <c r="AP123" s="185" t="s">
        <v>153</v>
      </c>
      <c r="AQ123" s="186" t="s">
        <v>153</v>
      </c>
      <c r="AR123" s="187" t="s">
        <v>153</v>
      </c>
      <c r="AS123" s="188" t="s">
        <v>153</v>
      </c>
      <c r="AT123" s="189" t="s">
        <v>2337</v>
      </c>
      <c r="AU123" s="190" t="s">
        <v>2827</v>
      </c>
      <c r="AV123" s="191" t="s">
        <v>153</v>
      </c>
      <c r="AW123" s="192" t="s">
        <v>2339</v>
      </c>
      <c r="AX123" s="193" t="s">
        <v>1128</v>
      </c>
      <c r="AY123" s="194" t="s">
        <v>2828</v>
      </c>
      <c r="AZ123" s="195" t="s">
        <v>215</v>
      </c>
      <c r="BA123" s="196" t="s">
        <v>153</v>
      </c>
      <c r="BB123" s="197" t="s">
        <v>153</v>
      </c>
      <c r="BC123" s="198" t="s">
        <v>153</v>
      </c>
      <c r="BD123" s="199" t="s">
        <v>216</v>
      </c>
      <c r="BE123" s="200" t="s">
        <v>217</v>
      </c>
      <c r="BF123" s="201" t="s">
        <v>2829</v>
      </c>
      <c r="BG123" s="202" t="s">
        <v>153</v>
      </c>
      <c r="BH123" s="203" t="s">
        <v>153</v>
      </c>
      <c r="BI123" s="204" t="s">
        <v>2826</v>
      </c>
      <c r="BJ123" s="205" t="s">
        <v>153</v>
      </c>
      <c r="BK123" s="206" t="s">
        <v>153</v>
      </c>
      <c r="BL123" s="207" t="s">
        <v>153</v>
      </c>
      <c r="BM123" s="208" t="s">
        <v>153</v>
      </c>
      <c r="BN123" s="209" t="s">
        <v>153</v>
      </c>
      <c r="BO123" s="210" t="s">
        <v>2830</v>
      </c>
      <c r="BP123" s="211" t="s">
        <v>2831</v>
      </c>
      <c r="BQ123" s="212">
        <v>26235</v>
      </c>
      <c r="BR123" s="213" t="s">
        <v>153</v>
      </c>
      <c r="BS123" s="214" t="s">
        <v>153</v>
      </c>
      <c r="BT123" s="215" t="s">
        <v>153</v>
      </c>
      <c r="BU123" s="216" t="s">
        <v>153</v>
      </c>
      <c r="BV123" s="217" t="s">
        <v>251</v>
      </c>
      <c r="BW123" s="218" t="s">
        <v>153</v>
      </c>
      <c r="BX123" s="219" t="s">
        <v>153</v>
      </c>
      <c r="BY123" s="220" t="s">
        <v>252</v>
      </c>
      <c r="BZ123" s="221" t="s">
        <v>153</v>
      </c>
      <c r="CA123" s="222" t="s">
        <v>190</v>
      </c>
      <c r="CB123" s="223">
        <v>43374</v>
      </c>
      <c r="CC123" s="224">
        <v>23462</v>
      </c>
      <c r="CD123" s="225" t="s">
        <v>186</v>
      </c>
      <c r="CE123" s="226">
        <v>23462</v>
      </c>
      <c r="CF123" s="227" t="s">
        <v>187</v>
      </c>
      <c r="CG123" s="228" t="s">
        <v>226</v>
      </c>
      <c r="CH123" s="229" t="s">
        <v>153</v>
      </c>
      <c r="CI123" s="230" t="s">
        <v>153</v>
      </c>
      <c r="CJ123" s="231" t="s">
        <v>225</v>
      </c>
      <c r="CK123" s="232">
        <v>43374</v>
      </c>
      <c r="CL123" s="233" t="s">
        <v>153</v>
      </c>
      <c r="CM123" s="234" t="s">
        <v>153</v>
      </c>
      <c r="CN123" s="235" t="s">
        <v>190</v>
      </c>
      <c r="CO123" s="236">
        <v>-0.16</v>
      </c>
      <c r="CP123" s="237">
        <v>7</v>
      </c>
      <c r="CQ123" s="238">
        <v>-0.02</v>
      </c>
      <c r="CR123" s="239">
        <v>-16.86</v>
      </c>
      <c r="CS123" s="240">
        <v>-0.26</v>
      </c>
      <c r="CT123" s="241">
        <v>6</v>
      </c>
      <c r="CU123" s="242">
        <v>-0.06</v>
      </c>
      <c r="CV123" s="243">
        <v>29</v>
      </c>
      <c r="CW123" s="244">
        <v>0</v>
      </c>
      <c r="CX123" s="245">
        <v>21</v>
      </c>
      <c r="CY123" s="246">
        <v>-0.53</v>
      </c>
      <c r="CZ123" s="247">
        <v>2</v>
      </c>
      <c r="DA123" s="248">
        <v>-0.06</v>
      </c>
      <c r="DB123" s="249">
        <v>29</v>
      </c>
      <c r="DC123" s="250">
        <v>10.38</v>
      </c>
      <c r="DD123" s="251">
        <v>92</v>
      </c>
      <c r="DE123" s="252">
        <v>0.03</v>
      </c>
      <c r="DF123" s="253">
        <v>0.31</v>
      </c>
      <c r="DG123" s="254">
        <v>9.6300000000000008</v>
      </c>
      <c r="DH123" s="255">
        <v>91</v>
      </c>
      <c r="DI123" s="256">
        <v>11.12</v>
      </c>
      <c r="DJ123" s="257">
        <v>87</v>
      </c>
      <c r="DK123" s="258">
        <v>0.51</v>
      </c>
      <c r="DL123" s="259">
        <v>38</v>
      </c>
      <c r="DM123" s="260">
        <v>18.75</v>
      </c>
      <c r="DN123" s="261">
        <v>95</v>
      </c>
      <c r="DO123" s="262">
        <v>11.12</v>
      </c>
      <c r="DP123" s="263">
        <v>87</v>
      </c>
      <c r="DQ123" s="264">
        <v>305</v>
      </c>
      <c r="DR123" s="265">
        <v>-11</v>
      </c>
      <c r="DS123" s="266">
        <v>-3.48</v>
      </c>
      <c r="DT123" s="267">
        <v>300</v>
      </c>
      <c r="DU123" s="268">
        <v>0</v>
      </c>
      <c r="DV123" s="269">
        <v>0</v>
      </c>
      <c r="DW123" s="270">
        <v>3494</v>
      </c>
      <c r="DX123" s="271">
        <v>-1</v>
      </c>
      <c r="DY123" s="272">
        <v>-0.03</v>
      </c>
      <c r="DZ123" s="273" t="s">
        <v>191</v>
      </c>
      <c r="EA123" s="274">
        <v>44223</v>
      </c>
      <c r="EB123" s="275">
        <v>23462</v>
      </c>
      <c r="EC123" s="276">
        <v>43374</v>
      </c>
      <c r="ED123" s="277" t="s">
        <v>226</v>
      </c>
      <c r="EE123" s="279" t="str">
        <f>HYPERLINK("https://my.pitchbook.com?c=40714-84", "View company online")</f>
        <v>View company online</v>
      </c>
    </row>
    <row r="124" spans="1:135" x14ac:dyDescent="0.45">
      <c r="A124" s="10" t="s">
        <v>2832</v>
      </c>
      <c r="B124" s="11" t="s">
        <v>2833</v>
      </c>
      <c r="C124" s="12" t="s">
        <v>153</v>
      </c>
      <c r="D124" s="13" t="s">
        <v>153</v>
      </c>
      <c r="E124" s="14" t="s">
        <v>153</v>
      </c>
      <c r="F124" s="15" t="s">
        <v>2834</v>
      </c>
      <c r="G124" s="16" t="s">
        <v>2835</v>
      </c>
      <c r="H124" s="17" t="s">
        <v>2836</v>
      </c>
      <c r="I124" s="18" t="s">
        <v>2832</v>
      </c>
      <c r="J124" s="19" t="s">
        <v>2837</v>
      </c>
      <c r="K124" s="20" t="s">
        <v>198</v>
      </c>
      <c r="L124" s="21" t="s">
        <v>199</v>
      </c>
      <c r="M124" s="22" t="s">
        <v>344</v>
      </c>
      <c r="N124" s="23" t="s">
        <v>2838</v>
      </c>
      <c r="O124" s="24" t="s">
        <v>2839</v>
      </c>
      <c r="P124" s="25" t="s">
        <v>2840</v>
      </c>
      <c r="Q124" s="26" t="s">
        <v>367</v>
      </c>
      <c r="R124" s="27" t="s">
        <v>153</v>
      </c>
      <c r="S124" s="28" t="s">
        <v>290</v>
      </c>
      <c r="T124" s="29" t="s">
        <v>291</v>
      </c>
      <c r="U124" s="30" t="s">
        <v>292</v>
      </c>
      <c r="V124" s="31" t="s">
        <v>2841</v>
      </c>
      <c r="W124" s="32">
        <v>78825</v>
      </c>
      <c r="X124" s="33" t="s">
        <v>2842</v>
      </c>
      <c r="Y124" s="34" t="s">
        <v>2843</v>
      </c>
      <c r="Z124" s="35" t="s">
        <v>2844</v>
      </c>
      <c r="AA124" s="36">
        <v>1981</v>
      </c>
      <c r="AB124" s="37" t="s">
        <v>153</v>
      </c>
      <c r="AC124" s="38" t="s">
        <v>1676</v>
      </c>
      <c r="AD124" s="39" t="s">
        <v>2845</v>
      </c>
      <c r="AE124" s="40">
        <v>53076.14</v>
      </c>
      <c r="AF124" s="41">
        <v>27111.87</v>
      </c>
      <c r="AG124" s="42">
        <v>47038.720000000001</v>
      </c>
      <c r="AH124" s="43">
        <v>258942.24</v>
      </c>
      <c r="AI124" s="44">
        <v>64400.74</v>
      </c>
      <c r="AJ124" s="45">
        <v>56372.45</v>
      </c>
      <c r="AK124" s="46">
        <v>112922.94</v>
      </c>
      <c r="AL124" s="47">
        <v>106462.86</v>
      </c>
      <c r="AM124" s="48">
        <v>7.43</v>
      </c>
      <c r="AN124" s="49" t="s">
        <v>1765</v>
      </c>
      <c r="AO124" s="50" t="s">
        <v>2846</v>
      </c>
      <c r="AP124" s="51" t="s">
        <v>2847</v>
      </c>
      <c r="AQ124" s="52" t="s">
        <v>2848</v>
      </c>
      <c r="AR124" s="53" t="s">
        <v>2849</v>
      </c>
      <c r="AS124" s="54" t="s">
        <v>2850</v>
      </c>
      <c r="AT124" s="55" t="s">
        <v>1399</v>
      </c>
      <c r="AU124" s="56" t="s">
        <v>2851</v>
      </c>
      <c r="AV124" s="57" t="s">
        <v>2852</v>
      </c>
      <c r="AW124" s="58" t="s">
        <v>1402</v>
      </c>
      <c r="AX124" s="59" t="s">
        <v>153</v>
      </c>
      <c r="AY124" s="60" t="s">
        <v>2853</v>
      </c>
      <c r="AZ124" s="61" t="s">
        <v>1404</v>
      </c>
      <c r="BA124" s="62" t="s">
        <v>2854</v>
      </c>
      <c r="BB124" s="63" t="s">
        <v>153</v>
      </c>
      <c r="BC124" s="64" t="s">
        <v>153</v>
      </c>
      <c r="BD124" s="65" t="s">
        <v>1406</v>
      </c>
      <c r="BE124" s="66" t="s">
        <v>1407</v>
      </c>
      <c r="BF124" s="67" t="s">
        <v>2855</v>
      </c>
      <c r="BG124" s="68" t="s">
        <v>2856</v>
      </c>
      <c r="BH124" s="69">
        <v>3</v>
      </c>
      <c r="BI124" s="70" t="s">
        <v>153</v>
      </c>
      <c r="BJ124" s="71" t="s">
        <v>153</v>
      </c>
      <c r="BK124" s="72" t="s">
        <v>153</v>
      </c>
      <c r="BL124" s="73" t="s">
        <v>2857</v>
      </c>
      <c r="BM124" s="74" t="s">
        <v>153</v>
      </c>
      <c r="BN124" s="75" t="s">
        <v>153</v>
      </c>
      <c r="BO124" s="76" t="s">
        <v>2858</v>
      </c>
      <c r="BP124" s="77" t="s">
        <v>153</v>
      </c>
      <c r="BQ124" s="78">
        <v>35811</v>
      </c>
      <c r="BR124" s="79" t="s">
        <v>153</v>
      </c>
      <c r="BS124" s="80" t="s">
        <v>153</v>
      </c>
      <c r="BT124" s="81" t="s">
        <v>153</v>
      </c>
      <c r="BU124" s="82" t="s">
        <v>153</v>
      </c>
      <c r="BV124" s="83" t="s">
        <v>251</v>
      </c>
      <c r="BW124" s="84" t="s">
        <v>153</v>
      </c>
      <c r="BX124" s="85" t="s">
        <v>153</v>
      </c>
      <c r="BY124" s="86" t="s">
        <v>252</v>
      </c>
      <c r="BZ124" s="87" t="s">
        <v>153</v>
      </c>
      <c r="CA124" s="88" t="s">
        <v>190</v>
      </c>
      <c r="CB124" s="89">
        <v>43903</v>
      </c>
      <c r="CC124" s="90">
        <v>23051.18</v>
      </c>
      <c r="CD124" s="91" t="s">
        <v>186</v>
      </c>
      <c r="CE124" s="92" t="s">
        <v>153</v>
      </c>
      <c r="CF124" s="93" t="s">
        <v>153</v>
      </c>
      <c r="CG124" s="94" t="s">
        <v>320</v>
      </c>
      <c r="CH124" s="95" t="s">
        <v>153</v>
      </c>
      <c r="CI124" s="96" t="s">
        <v>153</v>
      </c>
      <c r="CJ124" s="97" t="s">
        <v>321</v>
      </c>
      <c r="CK124" s="98">
        <v>43903</v>
      </c>
      <c r="CL124" s="99" t="s">
        <v>153</v>
      </c>
      <c r="CM124" s="100" t="s">
        <v>153</v>
      </c>
      <c r="CN124" s="101" t="s">
        <v>1278</v>
      </c>
      <c r="CO124" s="102">
        <v>-0.49</v>
      </c>
      <c r="CP124" s="103">
        <v>5</v>
      </c>
      <c r="CQ124" s="104">
        <v>0</v>
      </c>
      <c r="CR124" s="105">
        <v>0</v>
      </c>
      <c r="CS124" s="106">
        <v>-0.98</v>
      </c>
      <c r="CT124" s="107">
        <v>4</v>
      </c>
      <c r="CU124" s="108">
        <v>-0.06</v>
      </c>
      <c r="CV124" s="109">
        <v>29</v>
      </c>
      <c r="CW124" s="110">
        <v>-0.98</v>
      </c>
      <c r="CX124" s="111">
        <v>17</v>
      </c>
      <c r="CY124" s="112" t="s">
        <v>153</v>
      </c>
      <c r="CZ124" s="113" t="s">
        <v>153</v>
      </c>
      <c r="DA124" s="114">
        <v>-0.06</v>
      </c>
      <c r="DB124" s="115">
        <v>29</v>
      </c>
      <c r="DC124" s="116">
        <v>2482.5100000000002</v>
      </c>
      <c r="DD124" s="117">
        <v>100</v>
      </c>
      <c r="DE124" s="118">
        <v>4.63</v>
      </c>
      <c r="DF124" s="119">
        <v>0.19</v>
      </c>
      <c r="DG124" s="120">
        <v>3122.06</v>
      </c>
      <c r="DH124" s="121">
        <v>100</v>
      </c>
      <c r="DI124" s="122">
        <v>2195.0700000000002</v>
      </c>
      <c r="DJ124" s="123">
        <v>100</v>
      </c>
      <c r="DK124" s="124">
        <v>3122.06</v>
      </c>
      <c r="DL124" s="125">
        <v>100</v>
      </c>
      <c r="DM124" s="126" t="s">
        <v>153</v>
      </c>
      <c r="DN124" s="127" t="s">
        <v>153</v>
      </c>
      <c r="DO124" s="128">
        <v>2195.0700000000002</v>
      </c>
      <c r="DP124" s="129">
        <v>100</v>
      </c>
      <c r="DQ124" s="130">
        <v>1860080</v>
      </c>
      <c r="DR124" s="131">
        <v>-31898</v>
      </c>
      <c r="DS124" s="132">
        <v>-1.69</v>
      </c>
      <c r="DT124" s="133" t="s">
        <v>153</v>
      </c>
      <c r="DU124" s="134" t="s">
        <v>153</v>
      </c>
      <c r="DV124" s="135" t="s">
        <v>153</v>
      </c>
      <c r="DW124" s="136">
        <v>689253</v>
      </c>
      <c r="DX124" s="137">
        <v>-149</v>
      </c>
      <c r="DY124" s="138">
        <v>-0.02</v>
      </c>
      <c r="DZ124" s="139" t="s">
        <v>191</v>
      </c>
      <c r="EA124" s="140">
        <v>44397</v>
      </c>
      <c r="EB124" s="141">
        <v>53327.96</v>
      </c>
      <c r="EC124" s="142">
        <v>43502</v>
      </c>
      <c r="ED124" s="143" t="s">
        <v>320</v>
      </c>
      <c r="EE124" s="278" t="str">
        <f>HYPERLINK("https://my.pitchbook.com?c=40692-61", "View company online")</f>
        <v>View company online</v>
      </c>
    </row>
    <row r="125" spans="1:135" x14ac:dyDescent="0.45">
      <c r="A125" s="144" t="s">
        <v>2859</v>
      </c>
      <c r="B125" s="145" t="s">
        <v>2860</v>
      </c>
      <c r="C125" s="146" t="s">
        <v>153</v>
      </c>
      <c r="D125" s="147" t="s">
        <v>153</v>
      </c>
      <c r="E125" s="148" t="s">
        <v>2861</v>
      </c>
      <c r="F125" s="149" t="s">
        <v>2862</v>
      </c>
      <c r="G125" s="150" t="s">
        <v>2863</v>
      </c>
      <c r="H125" s="151" t="s">
        <v>153</v>
      </c>
      <c r="I125" s="152" t="s">
        <v>2859</v>
      </c>
      <c r="J125" s="153" t="s">
        <v>2864</v>
      </c>
      <c r="K125" s="154" t="s">
        <v>882</v>
      </c>
      <c r="L125" s="155" t="s">
        <v>1257</v>
      </c>
      <c r="M125" s="156" t="s">
        <v>2561</v>
      </c>
      <c r="N125" s="157" t="s">
        <v>2865</v>
      </c>
      <c r="O125" s="158" t="s">
        <v>153</v>
      </c>
      <c r="P125" s="159" t="s">
        <v>2866</v>
      </c>
      <c r="Q125" s="160" t="s">
        <v>162</v>
      </c>
      <c r="R125" s="161" t="s">
        <v>153</v>
      </c>
      <c r="S125" s="162" t="s">
        <v>290</v>
      </c>
      <c r="T125" s="163" t="s">
        <v>1392</v>
      </c>
      <c r="U125" s="164" t="s">
        <v>565</v>
      </c>
      <c r="V125" s="165" t="s">
        <v>2867</v>
      </c>
      <c r="W125" s="166">
        <v>200</v>
      </c>
      <c r="X125" s="167" t="s">
        <v>2868</v>
      </c>
      <c r="Y125" s="168" t="s">
        <v>153</v>
      </c>
      <c r="Z125" s="169" t="s">
        <v>153</v>
      </c>
      <c r="AA125" s="170">
        <v>1976</v>
      </c>
      <c r="AB125" s="171" t="s">
        <v>153</v>
      </c>
      <c r="AC125" s="172" t="s">
        <v>153</v>
      </c>
      <c r="AD125" s="173" t="s">
        <v>153</v>
      </c>
      <c r="AE125" s="174" t="s">
        <v>153</v>
      </c>
      <c r="AF125" s="175" t="s">
        <v>153</v>
      </c>
      <c r="AG125" s="176" t="s">
        <v>153</v>
      </c>
      <c r="AH125" s="177" t="s">
        <v>153</v>
      </c>
      <c r="AI125" s="178" t="s">
        <v>153</v>
      </c>
      <c r="AJ125" s="179" t="s">
        <v>153</v>
      </c>
      <c r="AK125" s="180" t="s">
        <v>153</v>
      </c>
      <c r="AL125" s="181" t="s">
        <v>153</v>
      </c>
      <c r="AM125" s="182" t="s">
        <v>153</v>
      </c>
      <c r="AN125" s="183" t="s">
        <v>2438</v>
      </c>
      <c r="AO125" s="184" t="s">
        <v>2869</v>
      </c>
      <c r="AP125" s="185" t="s">
        <v>2870</v>
      </c>
      <c r="AQ125" s="186" t="s">
        <v>2871</v>
      </c>
      <c r="AR125" s="187" t="s">
        <v>2872</v>
      </c>
      <c r="AS125" s="188" t="s">
        <v>2873</v>
      </c>
      <c r="AT125" s="189" t="s">
        <v>780</v>
      </c>
      <c r="AU125" s="190" t="s">
        <v>2874</v>
      </c>
      <c r="AV125" s="191" t="s">
        <v>2875</v>
      </c>
      <c r="AW125" s="192" t="s">
        <v>782</v>
      </c>
      <c r="AX125" s="193" t="s">
        <v>783</v>
      </c>
      <c r="AY125" s="194" t="s">
        <v>2876</v>
      </c>
      <c r="AZ125" s="195" t="s">
        <v>215</v>
      </c>
      <c r="BA125" s="196" t="s">
        <v>2873</v>
      </c>
      <c r="BB125" s="197" t="s">
        <v>153</v>
      </c>
      <c r="BC125" s="198" t="s">
        <v>2877</v>
      </c>
      <c r="BD125" s="199" t="s">
        <v>216</v>
      </c>
      <c r="BE125" s="200" t="s">
        <v>217</v>
      </c>
      <c r="BF125" s="201" t="s">
        <v>2878</v>
      </c>
      <c r="BG125" s="202" t="s">
        <v>2879</v>
      </c>
      <c r="BH125" s="203">
        <v>1</v>
      </c>
      <c r="BI125" s="204" t="s">
        <v>153</v>
      </c>
      <c r="BJ125" s="205" t="s">
        <v>2880</v>
      </c>
      <c r="BK125" s="206" t="s">
        <v>153</v>
      </c>
      <c r="BL125" s="207" t="s">
        <v>2881</v>
      </c>
      <c r="BM125" s="208" t="s">
        <v>2882</v>
      </c>
      <c r="BN125" s="209" t="s">
        <v>153</v>
      </c>
      <c r="BO125" s="210" t="s">
        <v>2883</v>
      </c>
      <c r="BP125" s="211" t="s">
        <v>2884</v>
      </c>
      <c r="BQ125" s="212">
        <v>35619</v>
      </c>
      <c r="BR125" s="213" t="s">
        <v>153</v>
      </c>
      <c r="BS125" s="214" t="s">
        <v>153</v>
      </c>
      <c r="BT125" s="215" t="s">
        <v>153</v>
      </c>
      <c r="BU125" s="216" t="s">
        <v>153</v>
      </c>
      <c r="BV125" s="217" t="s">
        <v>251</v>
      </c>
      <c r="BW125" s="218" t="s">
        <v>153</v>
      </c>
      <c r="BX125" s="219" t="s">
        <v>153</v>
      </c>
      <c r="BY125" s="220" t="s">
        <v>252</v>
      </c>
      <c r="BZ125" s="221" t="s">
        <v>153</v>
      </c>
      <c r="CA125" s="222" t="s">
        <v>190</v>
      </c>
      <c r="CB125" s="223">
        <v>39122</v>
      </c>
      <c r="CC125" s="224">
        <v>23000</v>
      </c>
      <c r="CD125" s="225" t="s">
        <v>186</v>
      </c>
      <c r="CE125" s="226">
        <v>23000</v>
      </c>
      <c r="CF125" s="227" t="s">
        <v>187</v>
      </c>
      <c r="CG125" s="228" t="s">
        <v>188</v>
      </c>
      <c r="CH125" s="229" t="s">
        <v>930</v>
      </c>
      <c r="CI125" s="230" t="s">
        <v>153</v>
      </c>
      <c r="CJ125" s="231" t="s">
        <v>165</v>
      </c>
      <c r="CK125" s="232">
        <v>39122</v>
      </c>
      <c r="CL125" s="233" t="s">
        <v>153</v>
      </c>
      <c r="CM125" s="234" t="s">
        <v>1607</v>
      </c>
      <c r="CN125" s="235" t="s">
        <v>190</v>
      </c>
      <c r="CO125" s="236">
        <v>1.17</v>
      </c>
      <c r="CP125" s="237">
        <v>96</v>
      </c>
      <c r="CQ125" s="238">
        <v>0</v>
      </c>
      <c r="CR125" s="239">
        <v>0</v>
      </c>
      <c r="CS125" s="240">
        <v>2.4300000000000002</v>
      </c>
      <c r="CT125" s="241">
        <v>98</v>
      </c>
      <c r="CU125" s="242">
        <v>-0.09</v>
      </c>
      <c r="CV125" s="243">
        <v>21</v>
      </c>
      <c r="CW125" s="244">
        <v>2.4300000000000002</v>
      </c>
      <c r="CX125" s="245">
        <v>87</v>
      </c>
      <c r="CY125" s="246" t="s">
        <v>153</v>
      </c>
      <c r="CZ125" s="247" t="s">
        <v>153</v>
      </c>
      <c r="DA125" s="248">
        <v>-0.09</v>
      </c>
      <c r="DB125" s="249">
        <v>21</v>
      </c>
      <c r="DC125" s="250">
        <v>2.63</v>
      </c>
      <c r="DD125" s="251">
        <v>74</v>
      </c>
      <c r="DE125" s="252">
        <v>0</v>
      </c>
      <c r="DF125" s="253">
        <v>0.1</v>
      </c>
      <c r="DG125" s="254">
        <v>4.3899999999999997</v>
      </c>
      <c r="DH125" s="255">
        <v>82</v>
      </c>
      <c r="DI125" s="256">
        <v>0.87</v>
      </c>
      <c r="DJ125" s="257">
        <v>48</v>
      </c>
      <c r="DK125" s="258">
        <v>4.3899999999999997</v>
      </c>
      <c r="DL125" s="259">
        <v>76</v>
      </c>
      <c r="DM125" s="260" t="s">
        <v>153</v>
      </c>
      <c r="DN125" s="261" t="s">
        <v>153</v>
      </c>
      <c r="DO125" s="262">
        <v>0.87</v>
      </c>
      <c r="DP125" s="263">
        <v>48</v>
      </c>
      <c r="DQ125" s="264">
        <v>2585</v>
      </c>
      <c r="DR125" s="265">
        <v>77</v>
      </c>
      <c r="DS125" s="266">
        <v>3.07</v>
      </c>
      <c r="DT125" s="267" t="s">
        <v>153</v>
      </c>
      <c r="DU125" s="268" t="s">
        <v>153</v>
      </c>
      <c r="DV125" s="269" t="s">
        <v>153</v>
      </c>
      <c r="DW125" s="270">
        <v>273</v>
      </c>
      <c r="DX125" s="271">
        <v>0</v>
      </c>
      <c r="DY125" s="272">
        <v>0</v>
      </c>
      <c r="DZ125" s="273" t="s">
        <v>191</v>
      </c>
      <c r="EA125" s="274">
        <v>44327</v>
      </c>
      <c r="EB125" s="275">
        <v>23000</v>
      </c>
      <c r="EC125" s="276">
        <v>39122</v>
      </c>
      <c r="ED125" s="277" t="s">
        <v>188</v>
      </c>
      <c r="EE125" s="279" t="str">
        <f>HYPERLINK("https://my.pitchbook.com?c=10441-63", "View company online")</f>
        <v>View company online</v>
      </c>
    </row>
    <row r="126" spans="1:135" x14ac:dyDescent="0.45">
      <c r="A126" s="10" t="s">
        <v>2885</v>
      </c>
      <c r="B126" s="11" t="s">
        <v>2886</v>
      </c>
      <c r="C126" s="12" t="s">
        <v>153</v>
      </c>
      <c r="D126" s="13" t="s">
        <v>153</v>
      </c>
      <c r="E126" s="14" t="s">
        <v>153</v>
      </c>
      <c r="F126" s="15" t="s">
        <v>153</v>
      </c>
      <c r="G126" s="16" t="s">
        <v>153</v>
      </c>
      <c r="H126" s="17" t="s">
        <v>153</v>
      </c>
      <c r="I126" s="18" t="s">
        <v>2885</v>
      </c>
      <c r="J126" s="19" t="s">
        <v>2887</v>
      </c>
      <c r="K126" s="20" t="s">
        <v>882</v>
      </c>
      <c r="L126" s="21" t="s">
        <v>2888</v>
      </c>
      <c r="M126" s="22" t="s">
        <v>2889</v>
      </c>
      <c r="N126" s="23" t="s">
        <v>2890</v>
      </c>
      <c r="O126" s="24" t="s">
        <v>153</v>
      </c>
      <c r="P126" s="25" t="s">
        <v>2891</v>
      </c>
      <c r="Q126" s="26" t="s">
        <v>162</v>
      </c>
      <c r="R126" s="27" t="s">
        <v>153</v>
      </c>
      <c r="S126" s="28" t="s">
        <v>163</v>
      </c>
      <c r="T126" s="29" t="s">
        <v>1392</v>
      </c>
      <c r="U126" s="30" t="s">
        <v>165</v>
      </c>
      <c r="V126" s="31" t="s">
        <v>153</v>
      </c>
      <c r="W126" s="32" t="s">
        <v>153</v>
      </c>
      <c r="X126" s="33" t="s">
        <v>153</v>
      </c>
      <c r="Y126" s="34" t="s">
        <v>153</v>
      </c>
      <c r="Z126" s="35" t="s">
        <v>153</v>
      </c>
      <c r="AA126" s="36" t="s">
        <v>153</v>
      </c>
      <c r="AB126" s="37" t="s">
        <v>153</v>
      </c>
      <c r="AC126" s="38" t="s">
        <v>153</v>
      </c>
      <c r="AD126" s="39" t="s">
        <v>153</v>
      </c>
      <c r="AE126" s="40" t="s">
        <v>153</v>
      </c>
      <c r="AF126" s="41" t="s">
        <v>153</v>
      </c>
      <c r="AG126" s="42" t="s">
        <v>153</v>
      </c>
      <c r="AH126" s="43" t="s">
        <v>153</v>
      </c>
      <c r="AI126" s="44" t="s">
        <v>153</v>
      </c>
      <c r="AJ126" s="45" t="s">
        <v>153</v>
      </c>
      <c r="AK126" s="46" t="s">
        <v>153</v>
      </c>
      <c r="AL126" s="47" t="s">
        <v>153</v>
      </c>
      <c r="AM126" s="48" t="s">
        <v>153</v>
      </c>
      <c r="AN126" s="49" t="s">
        <v>153</v>
      </c>
      <c r="AO126" s="50" t="s">
        <v>153</v>
      </c>
      <c r="AP126" s="51" t="s">
        <v>153</v>
      </c>
      <c r="AQ126" s="52" t="s">
        <v>153</v>
      </c>
      <c r="AR126" s="53" t="s">
        <v>153</v>
      </c>
      <c r="AS126" s="54" t="s">
        <v>153</v>
      </c>
      <c r="AT126" s="55" t="s">
        <v>433</v>
      </c>
      <c r="AU126" s="56" t="s">
        <v>2892</v>
      </c>
      <c r="AV126" s="57" t="s">
        <v>153</v>
      </c>
      <c r="AW126" s="58" t="s">
        <v>436</v>
      </c>
      <c r="AX126" s="59" t="s">
        <v>436</v>
      </c>
      <c r="AY126" s="60" t="s">
        <v>2893</v>
      </c>
      <c r="AZ126" s="61" t="s">
        <v>215</v>
      </c>
      <c r="BA126" s="62" t="s">
        <v>153</v>
      </c>
      <c r="BB126" s="63" t="s">
        <v>153</v>
      </c>
      <c r="BC126" s="64" t="s">
        <v>153</v>
      </c>
      <c r="BD126" s="65" t="s">
        <v>216</v>
      </c>
      <c r="BE126" s="66" t="s">
        <v>217</v>
      </c>
      <c r="BF126" s="67" t="s">
        <v>2894</v>
      </c>
      <c r="BG126" s="68" t="s">
        <v>2895</v>
      </c>
      <c r="BH126" s="69">
        <v>2</v>
      </c>
      <c r="BI126" s="70" t="s">
        <v>153</v>
      </c>
      <c r="BJ126" s="71" t="s">
        <v>2896</v>
      </c>
      <c r="BK126" s="72" t="s">
        <v>153</v>
      </c>
      <c r="BL126" s="73" t="s">
        <v>2897</v>
      </c>
      <c r="BM126" s="74" t="s">
        <v>2898</v>
      </c>
      <c r="BN126" s="75" t="s">
        <v>153</v>
      </c>
      <c r="BO126" s="76" t="s">
        <v>153</v>
      </c>
      <c r="BP126" s="77" t="s">
        <v>2899</v>
      </c>
      <c r="BQ126" s="78">
        <v>42172</v>
      </c>
      <c r="BR126" s="79">
        <v>23000</v>
      </c>
      <c r="BS126" s="80" t="s">
        <v>186</v>
      </c>
      <c r="BT126" s="81">
        <v>23000</v>
      </c>
      <c r="BU126" s="82" t="s">
        <v>187</v>
      </c>
      <c r="BV126" s="83" t="s">
        <v>188</v>
      </c>
      <c r="BW126" s="84" t="s">
        <v>1525</v>
      </c>
      <c r="BX126" s="85" t="s">
        <v>153</v>
      </c>
      <c r="BY126" s="86" t="s">
        <v>165</v>
      </c>
      <c r="BZ126" s="87" t="s">
        <v>1607</v>
      </c>
      <c r="CA126" s="88" t="s">
        <v>190</v>
      </c>
      <c r="CB126" s="89">
        <v>42172</v>
      </c>
      <c r="CC126" s="90">
        <v>23000</v>
      </c>
      <c r="CD126" s="91" t="s">
        <v>186</v>
      </c>
      <c r="CE126" s="92">
        <v>23000</v>
      </c>
      <c r="CF126" s="93" t="s">
        <v>187</v>
      </c>
      <c r="CG126" s="94" t="s">
        <v>188</v>
      </c>
      <c r="CH126" s="95" t="s">
        <v>1525</v>
      </c>
      <c r="CI126" s="96" t="s">
        <v>153</v>
      </c>
      <c r="CJ126" s="97" t="s">
        <v>165</v>
      </c>
      <c r="CK126" s="98">
        <v>42172</v>
      </c>
      <c r="CL126" s="99" t="s">
        <v>153</v>
      </c>
      <c r="CM126" s="100" t="s">
        <v>1607</v>
      </c>
      <c r="CN126" s="101" t="s">
        <v>190</v>
      </c>
      <c r="CO126" s="102" t="s">
        <v>153</v>
      </c>
      <c r="CP126" s="103" t="s">
        <v>153</v>
      </c>
      <c r="CQ126" s="104" t="s">
        <v>153</v>
      </c>
      <c r="CR126" s="105" t="s">
        <v>153</v>
      </c>
      <c r="CS126" s="106" t="s">
        <v>153</v>
      </c>
      <c r="CT126" s="107" t="s">
        <v>153</v>
      </c>
      <c r="CU126" s="108" t="s">
        <v>153</v>
      </c>
      <c r="CV126" s="109" t="s">
        <v>153</v>
      </c>
      <c r="CW126" s="110" t="s">
        <v>153</v>
      </c>
      <c r="CX126" s="111" t="s">
        <v>153</v>
      </c>
      <c r="CY126" s="112" t="s">
        <v>153</v>
      </c>
      <c r="CZ126" s="113" t="s">
        <v>153</v>
      </c>
      <c r="DA126" s="114" t="s">
        <v>153</v>
      </c>
      <c r="DB126" s="115" t="s">
        <v>153</v>
      </c>
      <c r="DC126" s="116" t="s">
        <v>153</v>
      </c>
      <c r="DD126" s="117" t="s">
        <v>153</v>
      </c>
      <c r="DE126" s="118" t="s">
        <v>153</v>
      </c>
      <c r="DF126" s="119" t="s">
        <v>153</v>
      </c>
      <c r="DG126" s="120" t="s">
        <v>153</v>
      </c>
      <c r="DH126" s="121" t="s">
        <v>153</v>
      </c>
      <c r="DI126" s="122" t="s">
        <v>153</v>
      </c>
      <c r="DJ126" s="123" t="s">
        <v>153</v>
      </c>
      <c r="DK126" s="124" t="s">
        <v>153</v>
      </c>
      <c r="DL126" s="125" t="s">
        <v>153</v>
      </c>
      <c r="DM126" s="126" t="s">
        <v>153</v>
      </c>
      <c r="DN126" s="127" t="s">
        <v>153</v>
      </c>
      <c r="DO126" s="128" t="s">
        <v>153</v>
      </c>
      <c r="DP126" s="129" t="s">
        <v>153</v>
      </c>
      <c r="DQ126" s="130" t="s">
        <v>153</v>
      </c>
      <c r="DR126" s="131" t="s">
        <v>153</v>
      </c>
      <c r="DS126" s="132" t="s">
        <v>153</v>
      </c>
      <c r="DT126" s="133" t="s">
        <v>153</v>
      </c>
      <c r="DU126" s="134" t="s">
        <v>153</v>
      </c>
      <c r="DV126" s="135" t="s">
        <v>153</v>
      </c>
      <c r="DW126" s="136" t="s">
        <v>153</v>
      </c>
      <c r="DX126" s="137" t="s">
        <v>153</v>
      </c>
      <c r="DY126" s="138" t="s">
        <v>153</v>
      </c>
      <c r="DZ126" s="139" t="s">
        <v>191</v>
      </c>
      <c r="EA126" s="140">
        <v>44147</v>
      </c>
      <c r="EB126" s="141">
        <v>23000</v>
      </c>
      <c r="EC126" s="142">
        <v>42172</v>
      </c>
      <c r="ED126" s="143" t="s">
        <v>188</v>
      </c>
      <c r="EE126" s="278" t="str">
        <f>HYPERLINK("https://my.pitchbook.com?c=111605-95", "View company online")</f>
        <v>View company online</v>
      </c>
    </row>
    <row r="127" spans="1:135" x14ac:dyDescent="0.45">
      <c r="A127" s="144" t="s">
        <v>2900</v>
      </c>
      <c r="B127" s="145" t="s">
        <v>2746</v>
      </c>
      <c r="C127" s="146" t="s">
        <v>153</v>
      </c>
      <c r="D127" s="147" t="s">
        <v>153</v>
      </c>
      <c r="E127" s="148" t="s">
        <v>2901</v>
      </c>
      <c r="F127" s="149" t="s">
        <v>153</v>
      </c>
      <c r="G127" s="150" t="s">
        <v>2902</v>
      </c>
      <c r="H127" s="151" t="s">
        <v>153</v>
      </c>
      <c r="I127" s="152" t="s">
        <v>2900</v>
      </c>
      <c r="J127" s="153" t="s">
        <v>2903</v>
      </c>
      <c r="K127" s="154" t="s">
        <v>792</v>
      </c>
      <c r="L127" s="155" t="s">
        <v>793</v>
      </c>
      <c r="M127" s="156" t="s">
        <v>1117</v>
      </c>
      <c r="N127" s="157" t="s">
        <v>1118</v>
      </c>
      <c r="O127" s="158" t="s">
        <v>1119</v>
      </c>
      <c r="P127" s="159" t="s">
        <v>2904</v>
      </c>
      <c r="Q127" s="160" t="s">
        <v>564</v>
      </c>
      <c r="R127" s="161" t="s">
        <v>153</v>
      </c>
      <c r="S127" s="162" t="s">
        <v>163</v>
      </c>
      <c r="T127" s="163" t="s">
        <v>205</v>
      </c>
      <c r="U127" s="164" t="s">
        <v>369</v>
      </c>
      <c r="V127" s="165" t="s">
        <v>153</v>
      </c>
      <c r="W127" s="166">
        <v>4858</v>
      </c>
      <c r="X127" s="167" t="s">
        <v>2905</v>
      </c>
      <c r="Y127" s="168" t="s">
        <v>153</v>
      </c>
      <c r="Z127" s="169" t="s">
        <v>153</v>
      </c>
      <c r="AA127" s="170">
        <v>1928</v>
      </c>
      <c r="AB127" s="171" t="s">
        <v>153</v>
      </c>
      <c r="AC127" s="172" t="s">
        <v>153</v>
      </c>
      <c r="AD127" s="173" t="s">
        <v>153</v>
      </c>
      <c r="AE127" s="174" t="s">
        <v>153</v>
      </c>
      <c r="AF127" s="175" t="s">
        <v>153</v>
      </c>
      <c r="AG127" s="176" t="s">
        <v>153</v>
      </c>
      <c r="AH127" s="177" t="s">
        <v>153</v>
      </c>
      <c r="AI127" s="178" t="s">
        <v>153</v>
      </c>
      <c r="AJ127" s="179" t="s">
        <v>153</v>
      </c>
      <c r="AK127" s="180" t="s">
        <v>153</v>
      </c>
      <c r="AL127" s="181" t="s">
        <v>153</v>
      </c>
      <c r="AM127" s="182" t="s">
        <v>153</v>
      </c>
      <c r="AN127" s="183" t="s">
        <v>2906</v>
      </c>
      <c r="AO127" s="184" t="s">
        <v>2907</v>
      </c>
      <c r="AP127" s="185" t="s">
        <v>2908</v>
      </c>
      <c r="AQ127" s="186" t="s">
        <v>2909</v>
      </c>
      <c r="AR127" s="187" t="s">
        <v>2910</v>
      </c>
      <c r="AS127" s="188" t="s">
        <v>2911</v>
      </c>
      <c r="AT127" s="189" t="s">
        <v>1124</v>
      </c>
      <c r="AU127" s="190" t="s">
        <v>2912</v>
      </c>
      <c r="AV127" s="191" t="s">
        <v>1125</v>
      </c>
      <c r="AW127" s="192" t="s">
        <v>1127</v>
      </c>
      <c r="AX127" s="193" t="s">
        <v>1128</v>
      </c>
      <c r="AY127" s="194" t="s">
        <v>1129</v>
      </c>
      <c r="AZ127" s="195" t="s">
        <v>215</v>
      </c>
      <c r="BA127" s="196" t="s">
        <v>153</v>
      </c>
      <c r="BB127" s="197" t="s">
        <v>153</v>
      </c>
      <c r="BC127" s="198" t="s">
        <v>153</v>
      </c>
      <c r="BD127" s="199" t="s">
        <v>216</v>
      </c>
      <c r="BE127" s="200" t="s">
        <v>217</v>
      </c>
      <c r="BF127" s="201" t="s">
        <v>2913</v>
      </c>
      <c r="BG127" s="202" t="s">
        <v>153</v>
      </c>
      <c r="BH127" s="203" t="s">
        <v>153</v>
      </c>
      <c r="BI127" s="204" t="s">
        <v>1122</v>
      </c>
      <c r="BJ127" s="205" t="s">
        <v>153</v>
      </c>
      <c r="BK127" s="206" t="s">
        <v>153</v>
      </c>
      <c r="BL127" s="207" t="s">
        <v>153</v>
      </c>
      <c r="BM127" s="208" t="s">
        <v>153</v>
      </c>
      <c r="BN127" s="209" t="s">
        <v>153</v>
      </c>
      <c r="BO127" s="210" t="s">
        <v>2914</v>
      </c>
      <c r="BP127" s="211" t="s">
        <v>2915</v>
      </c>
      <c r="BQ127" s="212">
        <v>41054</v>
      </c>
      <c r="BR127" s="213">
        <v>22928</v>
      </c>
      <c r="BS127" s="214" t="s">
        <v>186</v>
      </c>
      <c r="BT127" s="215">
        <v>22928</v>
      </c>
      <c r="BU127" s="216" t="s">
        <v>186</v>
      </c>
      <c r="BV127" s="217" t="s">
        <v>226</v>
      </c>
      <c r="BW127" s="218" t="s">
        <v>153</v>
      </c>
      <c r="BX127" s="219" t="s">
        <v>153</v>
      </c>
      <c r="BY127" s="220" t="s">
        <v>225</v>
      </c>
      <c r="BZ127" s="221" t="s">
        <v>2916</v>
      </c>
      <c r="CA127" s="222" t="s">
        <v>190</v>
      </c>
      <c r="CB127" s="223">
        <v>41054</v>
      </c>
      <c r="CC127" s="224">
        <v>22928</v>
      </c>
      <c r="CD127" s="225" t="s">
        <v>186</v>
      </c>
      <c r="CE127" s="226">
        <v>22928</v>
      </c>
      <c r="CF127" s="227" t="s">
        <v>186</v>
      </c>
      <c r="CG127" s="228" t="s">
        <v>226</v>
      </c>
      <c r="CH127" s="229" t="s">
        <v>153</v>
      </c>
      <c r="CI127" s="230" t="s">
        <v>153</v>
      </c>
      <c r="CJ127" s="231" t="s">
        <v>225</v>
      </c>
      <c r="CK127" s="232">
        <v>41054</v>
      </c>
      <c r="CL127" s="233" t="s">
        <v>153</v>
      </c>
      <c r="CM127" s="234" t="s">
        <v>2916</v>
      </c>
      <c r="CN127" s="235" t="s">
        <v>190</v>
      </c>
      <c r="CO127" s="236" t="s">
        <v>153</v>
      </c>
      <c r="CP127" s="237" t="s">
        <v>153</v>
      </c>
      <c r="CQ127" s="238" t="s">
        <v>153</v>
      </c>
      <c r="CR127" s="239" t="s">
        <v>153</v>
      </c>
      <c r="CS127" s="240" t="s">
        <v>153</v>
      </c>
      <c r="CT127" s="241" t="s">
        <v>153</v>
      </c>
      <c r="CU127" s="242" t="s">
        <v>153</v>
      </c>
      <c r="CV127" s="243" t="s">
        <v>153</v>
      </c>
      <c r="CW127" s="244" t="s">
        <v>153</v>
      </c>
      <c r="CX127" s="245" t="s">
        <v>153</v>
      </c>
      <c r="CY127" s="246" t="s">
        <v>153</v>
      </c>
      <c r="CZ127" s="247" t="s">
        <v>153</v>
      </c>
      <c r="DA127" s="248" t="s">
        <v>153</v>
      </c>
      <c r="DB127" s="249" t="s">
        <v>153</v>
      </c>
      <c r="DC127" s="250" t="s">
        <v>153</v>
      </c>
      <c r="DD127" s="251" t="s">
        <v>153</v>
      </c>
      <c r="DE127" s="252" t="s">
        <v>153</v>
      </c>
      <c r="DF127" s="253" t="s">
        <v>153</v>
      </c>
      <c r="DG127" s="254" t="s">
        <v>153</v>
      </c>
      <c r="DH127" s="255" t="s">
        <v>153</v>
      </c>
      <c r="DI127" s="256" t="s">
        <v>153</v>
      </c>
      <c r="DJ127" s="257" t="s">
        <v>153</v>
      </c>
      <c r="DK127" s="258" t="s">
        <v>153</v>
      </c>
      <c r="DL127" s="259" t="s">
        <v>153</v>
      </c>
      <c r="DM127" s="260" t="s">
        <v>153</v>
      </c>
      <c r="DN127" s="261" t="s">
        <v>153</v>
      </c>
      <c r="DO127" s="262" t="s">
        <v>153</v>
      </c>
      <c r="DP127" s="263" t="s">
        <v>153</v>
      </c>
      <c r="DQ127" s="264" t="s">
        <v>153</v>
      </c>
      <c r="DR127" s="265" t="s">
        <v>153</v>
      </c>
      <c r="DS127" s="266" t="s">
        <v>153</v>
      </c>
      <c r="DT127" s="267" t="s">
        <v>153</v>
      </c>
      <c r="DU127" s="268" t="s">
        <v>153</v>
      </c>
      <c r="DV127" s="269" t="s">
        <v>153</v>
      </c>
      <c r="DW127" s="270" t="s">
        <v>153</v>
      </c>
      <c r="DX127" s="271" t="s">
        <v>153</v>
      </c>
      <c r="DY127" s="272" t="s">
        <v>153</v>
      </c>
      <c r="DZ127" s="273" t="s">
        <v>191</v>
      </c>
      <c r="EA127" s="274">
        <v>44291</v>
      </c>
      <c r="EB127" s="275">
        <v>22928</v>
      </c>
      <c r="EC127" s="276">
        <v>41054</v>
      </c>
      <c r="ED127" s="277" t="s">
        <v>226</v>
      </c>
      <c r="EE127" s="279" t="str">
        <f>HYPERLINK("https://my.pitchbook.com?c=12053-08", "View company online")</f>
        <v>View company online</v>
      </c>
    </row>
    <row r="128" spans="1:135" x14ac:dyDescent="0.45">
      <c r="A128" s="10" t="s">
        <v>2917</v>
      </c>
      <c r="B128" s="11" t="s">
        <v>2918</v>
      </c>
      <c r="C128" s="12" t="s">
        <v>153</v>
      </c>
      <c r="D128" s="13" t="s">
        <v>153</v>
      </c>
      <c r="E128" s="14" t="s">
        <v>2919</v>
      </c>
      <c r="F128" s="15" t="s">
        <v>153</v>
      </c>
      <c r="G128" s="16" t="s">
        <v>2920</v>
      </c>
      <c r="H128" s="17" t="s">
        <v>153</v>
      </c>
      <c r="I128" s="18" t="s">
        <v>2917</v>
      </c>
      <c r="J128" s="19" t="s">
        <v>2921</v>
      </c>
      <c r="K128" s="20" t="s">
        <v>157</v>
      </c>
      <c r="L128" s="21" t="s">
        <v>2713</v>
      </c>
      <c r="M128" s="22" t="s">
        <v>2922</v>
      </c>
      <c r="N128" s="23" t="s">
        <v>2923</v>
      </c>
      <c r="O128" s="24" t="s">
        <v>153</v>
      </c>
      <c r="P128" s="25" t="s">
        <v>2924</v>
      </c>
      <c r="Q128" s="26" t="s">
        <v>204</v>
      </c>
      <c r="R128" s="27" t="s">
        <v>153</v>
      </c>
      <c r="S128" s="28" t="s">
        <v>163</v>
      </c>
      <c r="T128" s="29" t="s">
        <v>205</v>
      </c>
      <c r="U128" s="30" t="s">
        <v>206</v>
      </c>
      <c r="V128" s="31" t="s">
        <v>2925</v>
      </c>
      <c r="W128" s="32" t="s">
        <v>153</v>
      </c>
      <c r="X128" s="33" t="s">
        <v>153</v>
      </c>
      <c r="Y128" s="34" t="s">
        <v>153</v>
      </c>
      <c r="Z128" s="35" t="s">
        <v>153</v>
      </c>
      <c r="AA128" s="36">
        <v>1993</v>
      </c>
      <c r="AB128" s="37" t="s">
        <v>153</v>
      </c>
      <c r="AC128" s="38" t="s">
        <v>153</v>
      </c>
      <c r="AD128" s="39" t="s">
        <v>153</v>
      </c>
      <c r="AE128" s="40" t="s">
        <v>153</v>
      </c>
      <c r="AF128" s="41" t="s">
        <v>153</v>
      </c>
      <c r="AG128" s="42" t="s">
        <v>153</v>
      </c>
      <c r="AH128" s="43" t="s">
        <v>153</v>
      </c>
      <c r="AI128" s="44" t="s">
        <v>153</v>
      </c>
      <c r="AJ128" s="45" t="s">
        <v>153</v>
      </c>
      <c r="AK128" s="46" t="s">
        <v>153</v>
      </c>
      <c r="AL128" s="47" t="s">
        <v>153</v>
      </c>
      <c r="AM128" s="48" t="s">
        <v>153</v>
      </c>
      <c r="AN128" s="49" t="s">
        <v>456</v>
      </c>
      <c r="AO128" s="50" t="s">
        <v>2926</v>
      </c>
      <c r="AP128" s="51" t="s">
        <v>2927</v>
      </c>
      <c r="AQ128" s="52" t="s">
        <v>2928</v>
      </c>
      <c r="AR128" s="53" t="s">
        <v>153</v>
      </c>
      <c r="AS128" s="54" t="s">
        <v>2929</v>
      </c>
      <c r="AT128" s="55" t="s">
        <v>2930</v>
      </c>
      <c r="AU128" s="56" t="s">
        <v>2931</v>
      </c>
      <c r="AV128" s="57" t="s">
        <v>153</v>
      </c>
      <c r="AW128" s="58" t="s">
        <v>2932</v>
      </c>
      <c r="AX128" s="59" t="s">
        <v>153</v>
      </c>
      <c r="AY128" s="60" t="s">
        <v>2933</v>
      </c>
      <c r="AZ128" s="61" t="s">
        <v>352</v>
      </c>
      <c r="BA128" s="62" t="s">
        <v>153</v>
      </c>
      <c r="BB128" s="63" t="s">
        <v>153</v>
      </c>
      <c r="BC128" s="64" t="s">
        <v>153</v>
      </c>
      <c r="BD128" s="65" t="s">
        <v>180</v>
      </c>
      <c r="BE128" s="66" t="s">
        <v>181</v>
      </c>
      <c r="BF128" s="67" t="s">
        <v>2934</v>
      </c>
      <c r="BG128" s="68" t="s">
        <v>153</v>
      </c>
      <c r="BH128" s="69" t="s">
        <v>153</v>
      </c>
      <c r="BI128" s="70" t="s">
        <v>2935</v>
      </c>
      <c r="BJ128" s="71" t="s">
        <v>2936</v>
      </c>
      <c r="BK128" s="72" t="s">
        <v>153</v>
      </c>
      <c r="BL128" s="73" t="s">
        <v>153</v>
      </c>
      <c r="BM128" s="74" t="s">
        <v>2937</v>
      </c>
      <c r="BN128" s="75" t="s">
        <v>153</v>
      </c>
      <c r="BO128" s="76" t="s">
        <v>153</v>
      </c>
      <c r="BP128" s="77" t="s">
        <v>153</v>
      </c>
      <c r="BQ128" s="78">
        <v>37987</v>
      </c>
      <c r="BR128" s="79" t="s">
        <v>153</v>
      </c>
      <c r="BS128" s="80" t="s">
        <v>153</v>
      </c>
      <c r="BT128" s="81" t="s">
        <v>153</v>
      </c>
      <c r="BU128" s="82" t="s">
        <v>153</v>
      </c>
      <c r="BV128" s="83" t="s">
        <v>226</v>
      </c>
      <c r="BW128" s="84" t="s">
        <v>153</v>
      </c>
      <c r="BX128" s="85" t="s">
        <v>153</v>
      </c>
      <c r="BY128" s="86" t="s">
        <v>225</v>
      </c>
      <c r="BZ128" s="87" t="s">
        <v>153</v>
      </c>
      <c r="CA128" s="88" t="s">
        <v>190</v>
      </c>
      <c r="CB128" s="89">
        <v>39339</v>
      </c>
      <c r="CC128" s="90">
        <v>22824.3</v>
      </c>
      <c r="CD128" s="91" t="s">
        <v>186</v>
      </c>
      <c r="CE128" s="92">
        <v>22824.3</v>
      </c>
      <c r="CF128" s="93" t="s">
        <v>186</v>
      </c>
      <c r="CG128" s="94" t="s">
        <v>226</v>
      </c>
      <c r="CH128" s="95" t="s">
        <v>729</v>
      </c>
      <c r="CI128" s="96" t="s">
        <v>153</v>
      </c>
      <c r="CJ128" s="97" t="s">
        <v>225</v>
      </c>
      <c r="CK128" s="98">
        <v>39339</v>
      </c>
      <c r="CL128" s="99" t="s">
        <v>153</v>
      </c>
      <c r="CM128" s="100" t="s">
        <v>153</v>
      </c>
      <c r="CN128" s="101" t="s">
        <v>190</v>
      </c>
      <c r="CO128" s="102" t="s">
        <v>153</v>
      </c>
      <c r="CP128" s="103" t="s">
        <v>153</v>
      </c>
      <c r="CQ128" s="104" t="s">
        <v>153</v>
      </c>
      <c r="CR128" s="105" t="s">
        <v>153</v>
      </c>
      <c r="CS128" s="106" t="s">
        <v>153</v>
      </c>
      <c r="CT128" s="107" t="s">
        <v>153</v>
      </c>
      <c r="CU128" s="108" t="s">
        <v>153</v>
      </c>
      <c r="CV128" s="109" t="s">
        <v>153</v>
      </c>
      <c r="CW128" s="110" t="s">
        <v>153</v>
      </c>
      <c r="CX128" s="111" t="s">
        <v>153</v>
      </c>
      <c r="CY128" s="112" t="s">
        <v>153</v>
      </c>
      <c r="CZ128" s="113" t="s">
        <v>153</v>
      </c>
      <c r="DA128" s="114" t="s">
        <v>153</v>
      </c>
      <c r="DB128" s="115" t="s">
        <v>153</v>
      </c>
      <c r="DC128" s="116" t="s">
        <v>153</v>
      </c>
      <c r="DD128" s="117" t="s">
        <v>153</v>
      </c>
      <c r="DE128" s="118" t="s">
        <v>153</v>
      </c>
      <c r="DF128" s="119" t="s">
        <v>153</v>
      </c>
      <c r="DG128" s="120" t="s">
        <v>153</v>
      </c>
      <c r="DH128" s="121" t="s">
        <v>153</v>
      </c>
      <c r="DI128" s="122" t="s">
        <v>153</v>
      </c>
      <c r="DJ128" s="123" t="s">
        <v>153</v>
      </c>
      <c r="DK128" s="124" t="s">
        <v>153</v>
      </c>
      <c r="DL128" s="125" t="s">
        <v>153</v>
      </c>
      <c r="DM128" s="126" t="s">
        <v>153</v>
      </c>
      <c r="DN128" s="127" t="s">
        <v>153</v>
      </c>
      <c r="DO128" s="128" t="s">
        <v>153</v>
      </c>
      <c r="DP128" s="129" t="s">
        <v>153</v>
      </c>
      <c r="DQ128" s="130" t="s">
        <v>153</v>
      </c>
      <c r="DR128" s="131" t="s">
        <v>153</v>
      </c>
      <c r="DS128" s="132" t="s">
        <v>153</v>
      </c>
      <c r="DT128" s="133" t="s">
        <v>153</v>
      </c>
      <c r="DU128" s="134" t="s">
        <v>153</v>
      </c>
      <c r="DV128" s="135" t="s">
        <v>153</v>
      </c>
      <c r="DW128" s="136" t="s">
        <v>153</v>
      </c>
      <c r="DX128" s="137" t="s">
        <v>153</v>
      </c>
      <c r="DY128" s="138" t="s">
        <v>153</v>
      </c>
      <c r="DZ128" s="139" t="s">
        <v>191</v>
      </c>
      <c r="EA128" s="140">
        <v>43755</v>
      </c>
      <c r="EB128" s="141">
        <v>22824.3</v>
      </c>
      <c r="EC128" s="142">
        <v>39339</v>
      </c>
      <c r="ED128" s="143" t="s">
        <v>226</v>
      </c>
      <c r="EE128" s="278" t="str">
        <f>HYPERLINK("https://my.pitchbook.com?c=231105-25", "View company online")</f>
        <v>View company online</v>
      </c>
    </row>
    <row r="129" spans="1:135" x14ac:dyDescent="0.45">
      <c r="A129" s="144" t="s">
        <v>2938</v>
      </c>
      <c r="B129" s="145" t="s">
        <v>2939</v>
      </c>
      <c r="C129" s="146" t="s">
        <v>153</v>
      </c>
      <c r="D129" s="147" t="s">
        <v>153</v>
      </c>
      <c r="E129" s="148" t="s">
        <v>153</v>
      </c>
      <c r="F129" s="149" t="s">
        <v>2940</v>
      </c>
      <c r="G129" s="150" t="s">
        <v>2941</v>
      </c>
      <c r="H129" s="151" t="s">
        <v>2942</v>
      </c>
      <c r="I129" s="152" t="s">
        <v>2938</v>
      </c>
      <c r="J129" s="153" t="s">
        <v>2943</v>
      </c>
      <c r="K129" s="154" t="s">
        <v>157</v>
      </c>
      <c r="L129" s="155" t="s">
        <v>817</v>
      </c>
      <c r="M129" s="156" t="s">
        <v>1499</v>
      </c>
      <c r="N129" s="157" t="s">
        <v>2944</v>
      </c>
      <c r="O129" s="158" t="s">
        <v>261</v>
      </c>
      <c r="P129" s="159" t="s">
        <v>2945</v>
      </c>
      <c r="Q129" s="160" t="s">
        <v>564</v>
      </c>
      <c r="R129" s="161" t="s">
        <v>153</v>
      </c>
      <c r="S129" s="162" t="s">
        <v>290</v>
      </c>
      <c r="T129" s="163" t="s">
        <v>205</v>
      </c>
      <c r="U129" s="164" t="s">
        <v>565</v>
      </c>
      <c r="V129" s="165" t="s">
        <v>2946</v>
      </c>
      <c r="W129" s="166" t="s">
        <v>153</v>
      </c>
      <c r="X129" s="167" t="s">
        <v>153</v>
      </c>
      <c r="Y129" s="168" t="s">
        <v>153</v>
      </c>
      <c r="Z129" s="169" t="s">
        <v>153</v>
      </c>
      <c r="AA129" s="170">
        <v>2008</v>
      </c>
      <c r="AB129" s="171" t="s">
        <v>153</v>
      </c>
      <c r="AC129" s="172" t="s">
        <v>153</v>
      </c>
      <c r="AD129" s="173" t="s">
        <v>153</v>
      </c>
      <c r="AE129" s="174" t="s">
        <v>153</v>
      </c>
      <c r="AF129" s="175" t="s">
        <v>153</v>
      </c>
      <c r="AG129" s="176" t="s">
        <v>153</v>
      </c>
      <c r="AH129" s="177" t="s">
        <v>153</v>
      </c>
      <c r="AI129" s="178" t="s">
        <v>153</v>
      </c>
      <c r="AJ129" s="179" t="s">
        <v>153</v>
      </c>
      <c r="AK129" s="180" t="s">
        <v>153</v>
      </c>
      <c r="AL129" s="181" t="s">
        <v>153</v>
      </c>
      <c r="AM129" s="182" t="s">
        <v>153</v>
      </c>
      <c r="AN129" s="183" t="s">
        <v>2675</v>
      </c>
      <c r="AO129" s="184" t="s">
        <v>153</v>
      </c>
      <c r="AP129" s="185" t="s">
        <v>153</v>
      </c>
      <c r="AQ129" s="186" t="s">
        <v>153</v>
      </c>
      <c r="AR129" s="187" t="s">
        <v>153</v>
      </c>
      <c r="AS129" s="188" t="s">
        <v>153</v>
      </c>
      <c r="AT129" s="189" t="s">
        <v>2947</v>
      </c>
      <c r="AU129" s="190" t="s">
        <v>2948</v>
      </c>
      <c r="AV129" s="191" t="s">
        <v>153</v>
      </c>
      <c r="AW129" s="192" t="s">
        <v>2949</v>
      </c>
      <c r="AX129" s="193" t="s">
        <v>1128</v>
      </c>
      <c r="AY129" s="194" t="s">
        <v>2950</v>
      </c>
      <c r="AZ129" s="195" t="s">
        <v>215</v>
      </c>
      <c r="BA129" s="196" t="s">
        <v>2951</v>
      </c>
      <c r="BB129" s="197" t="s">
        <v>153</v>
      </c>
      <c r="BC129" s="198" t="s">
        <v>153</v>
      </c>
      <c r="BD129" s="199" t="s">
        <v>216</v>
      </c>
      <c r="BE129" s="200" t="s">
        <v>217</v>
      </c>
      <c r="BF129" s="201" t="s">
        <v>2952</v>
      </c>
      <c r="BG129" s="202" t="s">
        <v>153</v>
      </c>
      <c r="BH129" s="203" t="s">
        <v>153</v>
      </c>
      <c r="BI129" s="204" t="s">
        <v>2953</v>
      </c>
      <c r="BJ129" s="205" t="s">
        <v>2954</v>
      </c>
      <c r="BK129" s="206" t="s">
        <v>2955</v>
      </c>
      <c r="BL129" s="207" t="s">
        <v>153</v>
      </c>
      <c r="BM129" s="208" t="s">
        <v>2956</v>
      </c>
      <c r="BN129" s="209" t="s">
        <v>2957</v>
      </c>
      <c r="BO129" s="210" t="s">
        <v>2958</v>
      </c>
      <c r="BP129" s="211" t="s">
        <v>2959</v>
      </c>
      <c r="BQ129" s="212">
        <v>39575</v>
      </c>
      <c r="BR129" s="213" t="s">
        <v>153</v>
      </c>
      <c r="BS129" s="214" t="s">
        <v>153</v>
      </c>
      <c r="BT129" s="215" t="s">
        <v>153</v>
      </c>
      <c r="BU129" s="216" t="s">
        <v>153</v>
      </c>
      <c r="BV129" s="217" t="s">
        <v>251</v>
      </c>
      <c r="BW129" s="218" t="s">
        <v>524</v>
      </c>
      <c r="BX129" s="219" t="s">
        <v>153</v>
      </c>
      <c r="BY129" s="220" t="s">
        <v>252</v>
      </c>
      <c r="BZ129" s="221" t="s">
        <v>153</v>
      </c>
      <c r="CA129" s="222" t="s">
        <v>190</v>
      </c>
      <c r="CB129" s="223">
        <v>43290</v>
      </c>
      <c r="CC129" s="224">
        <v>22480</v>
      </c>
      <c r="CD129" s="225" t="s">
        <v>186</v>
      </c>
      <c r="CE129" s="226">
        <v>25839</v>
      </c>
      <c r="CF129" s="227" t="s">
        <v>187</v>
      </c>
      <c r="CG129" s="228" t="s">
        <v>188</v>
      </c>
      <c r="CH129" s="229" t="s">
        <v>189</v>
      </c>
      <c r="CI129" s="230" t="s">
        <v>930</v>
      </c>
      <c r="CJ129" s="231" t="s">
        <v>165</v>
      </c>
      <c r="CK129" s="232">
        <v>43290</v>
      </c>
      <c r="CL129" s="233" t="s">
        <v>153</v>
      </c>
      <c r="CM129" s="234" t="s">
        <v>153</v>
      </c>
      <c r="CN129" s="235" t="s">
        <v>190</v>
      </c>
      <c r="CO129" s="236" t="s">
        <v>153</v>
      </c>
      <c r="CP129" s="237" t="s">
        <v>153</v>
      </c>
      <c r="CQ129" s="238" t="s">
        <v>153</v>
      </c>
      <c r="CR129" s="239" t="s">
        <v>153</v>
      </c>
      <c r="CS129" s="240" t="s">
        <v>153</v>
      </c>
      <c r="CT129" s="241" t="s">
        <v>153</v>
      </c>
      <c r="CU129" s="242" t="s">
        <v>153</v>
      </c>
      <c r="CV129" s="243" t="s">
        <v>153</v>
      </c>
      <c r="CW129" s="244" t="s">
        <v>153</v>
      </c>
      <c r="CX129" s="245" t="s">
        <v>153</v>
      </c>
      <c r="CY129" s="246" t="s">
        <v>153</v>
      </c>
      <c r="CZ129" s="247" t="s">
        <v>153</v>
      </c>
      <c r="DA129" s="248" t="s">
        <v>153</v>
      </c>
      <c r="DB129" s="249" t="s">
        <v>153</v>
      </c>
      <c r="DC129" s="250" t="s">
        <v>153</v>
      </c>
      <c r="DD129" s="251" t="s">
        <v>153</v>
      </c>
      <c r="DE129" s="252" t="s">
        <v>153</v>
      </c>
      <c r="DF129" s="253" t="s">
        <v>153</v>
      </c>
      <c r="DG129" s="254" t="s">
        <v>153</v>
      </c>
      <c r="DH129" s="255" t="s">
        <v>153</v>
      </c>
      <c r="DI129" s="256" t="s">
        <v>153</v>
      </c>
      <c r="DJ129" s="257" t="s">
        <v>153</v>
      </c>
      <c r="DK129" s="258" t="s">
        <v>153</v>
      </c>
      <c r="DL129" s="259" t="s">
        <v>153</v>
      </c>
      <c r="DM129" s="260" t="s">
        <v>153</v>
      </c>
      <c r="DN129" s="261" t="s">
        <v>153</v>
      </c>
      <c r="DO129" s="262" t="s">
        <v>153</v>
      </c>
      <c r="DP129" s="263" t="s">
        <v>153</v>
      </c>
      <c r="DQ129" s="264" t="s">
        <v>153</v>
      </c>
      <c r="DR129" s="265" t="s">
        <v>153</v>
      </c>
      <c r="DS129" s="266" t="s">
        <v>153</v>
      </c>
      <c r="DT129" s="267" t="s">
        <v>153</v>
      </c>
      <c r="DU129" s="268" t="s">
        <v>153</v>
      </c>
      <c r="DV129" s="269" t="s">
        <v>153</v>
      </c>
      <c r="DW129" s="270" t="s">
        <v>153</v>
      </c>
      <c r="DX129" s="271" t="s">
        <v>153</v>
      </c>
      <c r="DY129" s="272" t="s">
        <v>153</v>
      </c>
      <c r="DZ129" s="273" t="s">
        <v>191</v>
      </c>
      <c r="EA129" s="274">
        <v>44364</v>
      </c>
      <c r="EB129" s="275">
        <v>25839</v>
      </c>
      <c r="EC129" s="276">
        <v>43290</v>
      </c>
      <c r="ED129" s="277" t="s">
        <v>188</v>
      </c>
      <c r="EE129" s="279" t="str">
        <f>HYPERLINK("https://my.pitchbook.com?c=14198-32", "View company online")</f>
        <v>View company online</v>
      </c>
    </row>
    <row r="130" spans="1:135" x14ac:dyDescent="0.45">
      <c r="A130" s="10" t="s">
        <v>2960</v>
      </c>
      <c r="B130" s="11" t="s">
        <v>2961</v>
      </c>
      <c r="C130" s="12" t="s">
        <v>153</v>
      </c>
      <c r="D130" s="13" t="s">
        <v>153</v>
      </c>
      <c r="E130" s="14" t="s">
        <v>2962</v>
      </c>
      <c r="F130" s="15" t="s">
        <v>2963</v>
      </c>
      <c r="G130" s="16" t="s">
        <v>2964</v>
      </c>
      <c r="H130" s="17" t="s">
        <v>2965</v>
      </c>
      <c r="I130" s="18" t="s">
        <v>2960</v>
      </c>
      <c r="J130" s="19" t="s">
        <v>2966</v>
      </c>
      <c r="K130" s="20" t="s">
        <v>198</v>
      </c>
      <c r="L130" s="21" t="s">
        <v>199</v>
      </c>
      <c r="M130" s="22" t="s">
        <v>2967</v>
      </c>
      <c r="N130" s="23" t="s">
        <v>2968</v>
      </c>
      <c r="O130" s="24" t="s">
        <v>399</v>
      </c>
      <c r="P130" s="25" t="s">
        <v>2969</v>
      </c>
      <c r="Q130" s="26" t="s">
        <v>204</v>
      </c>
      <c r="R130" s="27" t="s">
        <v>153</v>
      </c>
      <c r="S130" s="28" t="s">
        <v>163</v>
      </c>
      <c r="T130" s="29" t="s">
        <v>164</v>
      </c>
      <c r="U130" s="30" t="s">
        <v>206</v>
      </c>
      <c r="V130" s="31" t="s">
        <v>2970</v>
      </c>
      <c r="W130" s="32" t="s">
        <v>153</v>
      </c>
      <c r="X130" s="33" t="s">
        <v>153</v>
      </c>
      <c r="Y130" s="34" t="s">
        <v>153</v>
      </c>
      <c r="Z130" s="35" t="s">
        <v>153</v>
      </c>
      <c r="AA130" s="36">
        <v>1991</v>
      </c>
      <c r="AB130" s="37" t="s">
        <v>220</v>
      </c>
      <c r="AC130" s="38" t="s">
        <v>153</v>
      </c>
      <c r="AD130" s="39" t="s">
        <v>153</v>
      </c>
      <c r="AE130" s="40" t="s">
        <v>153</v>
      </c>
      <c r="AF130" s="41" t="s">
        <v>153</v>
      </c>
      <c r="AG130" s="42" t="s">
        <v>153</v>
      </c>
      <c r="AH130" s="43" t="s">
        <v>153</v>
      </c>
      <c r="AI130" s="44" t="s">
        <v>153</v>
      </c>
      <c r="AJ130" s="45" t="s">
        <v>153</v>
      </c>
      <c r="AK130" s="46" t="s">
        <v>153</v>
      </c>
      <c r="AL130" s="47" t="s">
        <v>153</v>
      </c>
      <c r="AM130" s="48" t="s">
        <v>153</v>
      </c>
      <c r="AN130" s="49" t="s">
        <v>1442</v>
      </c>
      <c r="AO130" s="50" t="s">
        <v>2971</v>
      </c>
      <c r="AP130" s="51" t="s">
        <v>2972</v>
      </c>
      <c r="AQ130" s="52" t="s">
        <v>171</v>
      </c>
      <c r="AR130" s="53" t="s">
        <v>153</v>
      </c>
      <c r="AS130" s="54" t="s">
        <v>153</v>
      </c>
      <c r="AT130" s="55" t="s">
        <v>2973</v>
      </c>
      <c r="AU130" s="56" t="s">
        <v>2974</v>
      </c>
      <c r="AV130" s="57" t="s">
        <v>153</v>
      </c>
      <c r="AW130" s="58" t="s">
        <v>2975</v>
      </c>
      <c r="AX130" s="59" t="s">
        <v>153</v>
      </c>
      <c r="AY130" s="60" t="s">
        <v>2976</v>
      </c>
      <c r="AZ130" s="61" t="s">
        <v>2977</v>
      </c>
      <c r="BA130" s="62" t="s">
        <v>153</v>
      </c>
      <c r="BB130" s="63" t="s">
        <v>2978</v>
      </c>
      <c r="BC130" s="64" t="s">
        <v>153</v>
      </c>
      <c r="BD130" s="65" t="s">
        <v>180</v>
      </c>
      <c r="BE130" s="66" t="s">
        <v>809</v>
      </c>
      <c r="BF130" s="67" t="s">
        <v>2979</v>
      </c>
      <c r="BG130" s="68" t="s">
        <v>153</v>
      </c>
      <c r="BH130" s="69" t="s">
        <v>153</v>
      </c>
      <c r="BI130" s="70" t="s">
        <v>220</v>
      </c>
      <c r="BJ130" s="71" t="s">
        <v>2980</v>
      </c>
      <c r="BK130" s="72" t="s">
        <v>153</v>
      </c>
      <c r="BL130" s="73" t="s">
        <v>153</v>
      </c>
      <c r="BM130" s="74" t="s">
        <v>2981</v>
      </c>
      <c r="BN130" s="75" t="s">
        <v>153</v>
      </c>
      <c r="BO130" s="76" t="s">
        <v>153</v>
      </c>
      <c r="BP130" s="77" t="s">
        <v>153</v>
      </c>
      <c r="BQ130" s="78">
        <v>43229</v>
      </c>
      <c r="BR130" s="79">
        <v>22392.31</v>
      </c>
      <c r="BS130" s="80" t="s">
        <v>186</v>
      </c>
      <c r="BT130" s="81">
        <v>22392.31</v>
      </c>
      <c r="BU130" s="82" t="s">
        <v>187</v>
      </c>
      <c r="BV130" s="83" t="s">
        <v>226</v>
      </c>
      <c r="BW130" s="84" t="s">
        <v>729</v>
      </c>
      <c r="BX130" s="85" t="s">
        <v>153</v>
      </c>
      <c r="BY130" s="86" t="s">
        <v>225</v>
      </c>
      <c r="BZ130" s="87" t="s">
        <v>153</v>
      </c>
      <c r="CA130" s="88" t="s">
        <v>190</v>
      </c>
      <c r="CB130" s="89">
        <v>43229</v>
      </c>
      <c r="CC130" s="90">
        <v>22392.31</v>
      </c>
      <c r="CD130" s="91" t="s">
        <v>186</v>
      </c>
      <c r="CE130" s="92">
        <v>22392.31</v>
      </c>
      <c r="CF130" s="93" t="s">
        <v>187</v>
      </c>
      <c r="CG130" s="94" t="s">
        <v>226</v>
      </c>
      <c r="CH130" s="95" t="s">
        <v>729</v>
      </c>
      <c r="CI130" s="96" t="s">
        <v>153</v>
      </c>
      <c r="CJ130" s="97" t="s">
        <v>225</v>
      </c>
      <c r="CK130" s="98">
        <v>43229</v>
      </c>
      <c r="CL130" s="99" t="s">
        <v>153</v>
      </c>
      <c r="CM130" s="100" t="s">
        <v>153</v>
      </c>
      <c r="CN130" s="101" t="s">
        <v>190</v>
      </c>
      <c r="CO130" s="102">
        <v>0.9</v>
      </c>
      <c r="CP130" s="103">
        <v>95</v>
      </c>
      <c r="CQ130" s="104">
        <v>0.56999999999999995</v>
      </c>
      <c r="CR130" s="105">
        <v>169.18</v>
      </c>
      <c r="CS130" s="106">
        <v>2.0099999999999998</v>
      </c>
      <c r="CT130" s="107">
        <v>98</v>
      </c>
      <c r="CU130" s="108">
        <v>-0.2</v>
      </c>
      <c r="CV130" s="109">
        <v>5</v>
      </c>
      <c r="CW130" s="110" t="s">
        <v>153</v>
      </c>
      <c r="CX130" s="111" t="s">
        <v>153</v>
      </c>
      <c r="CY130" s="112">
        <v>2.0099999999999998</v>
      </c>
      <c r="CZ130" s="113">
        <v>100</v>
      </c>
      <c r="DA130" s="114">
        <v>-0.2</v>
      </c>
      <c r="DB130" s="115">
        <v>5</v>
      </c>
      <c r="DC130" s="116">
        <v>134.27000000000001</v>
      </c>
      <c r="DD130" s="117">
        <v>100</v>
      </c>
      <c r="DE130" s="118">
        <v>8.73</v>
      </c>
      <c r="DF130" s="119">
        <v>6.95</v>
      </c>
      <c r="DG130" s="120">
        <v>266.56</v>
      </c>
      <c r="DH130" s="121">
        <v>100</v>
      </c>
      <c r="DI130" s="122">
        <v>1.98</v>
      </c>
      <c r="DJ130" s="123">
        <v>63</v>
      </c>
      <c r="DK130" s="124" t="s">
        <v>153</v>
      </c>
      <c r="DL130" s="125" t="s">
        <v>153</v>
      </c>
      <c r="DM130" s="126">
        <v>266.56</v>
      </c>
      <c r="DN130" s="127">
        <v>100</v>
      </c>
      <c r="DO130" s="128">
        <v>1.98</v>
      </c>
      <c r="DP130" s="129">
        <v>63</v>
      </c>
      <c r="DQ130" s="130">
        <v>336</v>
      </c>
      <c r="DR130" s="131">
        <v>60</v>
      </c>
      <c r="DS130" s="132">
        <v>21.74</v>
      </c>
      <c r="DT130" s="133">
        <v>4149</v>
      </c>
      <c r="DU130" s="134">
        <v>303</v>
      </c>
      <c r="DV130" s="135">
        <v>7.88</v>
      </c>
      <c r="DW130" s="136">
        <v>622</v>
      </c>
      <c r="DX130" s="137">
        <v>0</v>
      </c>
      <c r="DY130" s="138">
        <v>0</v>
      </c>
      <c r="DZ130" s="139" t="s">
        <v>191</v>
      </c>
      <c r="EA130" s="140">
        <v>44215</v>
      </c>
      <c r="EB130" s="141">
        <v>22392.31</v>
      </c>
      <c r="EC130" s="142">
        <v>43229</v>
      </c>
      <c r="ED130" s="143" t="s">
        <v>226</v>
      </c>
      <c r="EE130" s="278" t="str">
        <f>HYPERLINK("https://my.pitchbook.com?c=225218-53", "View company online")</f>
        <v>View company online</v>
      </c>
    </row>
    <row r="131" spans="1:135" x14ac:dyDescent="0.45">
      <c r="A131" s="144" t="s">
        <v>2982</v>
      </c>
      <c r="B131" s="145" t="s">
        <v>2983</v>
      </c>
      <c r="C131" s="146" t="s">
        <v>153</v>
      </c>
      <c r="D131" s="147" t="s">
        <v>153</v>
      </c>
      <c r="E131" s="148" t="s">
        <v>153</v>
      </c>
      <c r="F131" s="149" t="s">
        <v>2984</v>
      </c>
      <c r="G131" s="150" t="s">
        <v>2985</v>
      </c>
      <c r="H131" s="151" t="s">
        <v>153</v>
      </c>
      <c r="I131" s="152" t="s">
        <v>2982</v>
      </c>
      <c r="J131" s="153" t="s">
        <v>2986</v>
      </c>
      <c r="K131" s="154" t="s">
        <v>257</v>
      </c>
      <c r="L131" s="155" t="s">
        <v>530</v>
      </c>
      <c r="M131" s="156" t="s">
        <v>2987</v>
      </c>
      <c r="N131" s="157" t="s">
        <v>2988</v>
      </c>
      <c r="O131" s="158" t="s">
        <v>153</v>
      </c>
      <c r="P131" s="159" t="s">
        <v>2989</v>
      </c>
      <c r="Q131" s="160" t="s">
        <v>564</v>
      </c>
      <c r="R131" s="161">
        <v>711.85</v>
      </c>
      <c r="S131" s="162" t="s">
        <v>290</v>
      </c>
      <c r="T131" s="163" t="s">
        <v>291</v>
      </c>
      <c r="U131" s="164" t="s">
        <v>369</v>
      </c>
      <c r="V131" s="165" t="s">
        <v>2990</v>
      </c>
      <c r="W131" s="166">
        <v>11032</v>
      </c>
      <c r="X131" s="167" t="s">
        <v>2991</v>
      </c>
      <c r="Y131" s="168" t="s">
        <v>2992</v>
      </c>
      <c r="Z131" s="169" t="s">
        <v>2993</v>
      </c>
      <c r="AA131" s="170">
        <v>1968</v>
      </c>
      <c r="AB131" s="171" t="s">
        <v>153</v>
      </c>
      <c r="AC131" s="172" t="s">
        <v>153</v>
      </c>
      <c r="AD131" s="173" t="s">
        <v>153</v>
      </c>
      <c r="AE131" s="174">
        <v>2038.31</v>
      </c>
      <c r="AF131" s="175">
        <v>539.79999999999995</v>
      </c>
      <c r="AG131" s="176">
        <v>101.34</v>
      </c>
      <c r="AH131" s="177">
        <v>8825.43</v>
      </c>
      <c r="AI131" s="178">
        <v>270.23</v>
      </c>
      <c r="AJ131" s="179">
        <v>202.87</v>
      </c>
      <c r="AK131" s="180">
        <v>9471.5</v>
      </c>
      <c r="AL131" s="181">
        <v>168.71</v>
      </c>
      <c r="AM131" s="182">
        <v>21.45</v>
      </c>
      <c r="AN131" s="183" t="s">
        <v>376</v>
      </c>
      <c r="AO131" s="184" t="s">
        <v>2994</v>
      </c>
      <c r="AP131" s="185" t="s">
        <v>2995</v>
      </c>
      <c r="AQ131" s="186" t="s">
        <v>1241</v>
      </c>
      <c r="AR131" s="187" t="s">
        <v>2996</v>
      </c>
      <c r="AS131" s="188" t="s">
        <v>2997</v>
      </c>
      <c r="AT131" s="189" t="s">
        <v>2998</v>
      </c>
      <c r="AU131" s="190" t="s">
        <v>2999</v>
      </c>
      <c r="AV131" s="191" t="s">
        <v>153</v>
      </c>
      <c r="AW131" s="192" t="s">
        <v>3000</v>
      </c>
      <c r="AX131" s="193" t="s">
        <v>153</v>
      </c>
      <c r="AY131" s="194" t="s">
        <v>3001</v>
      </c>
      <c r="AZ131" s="195" t="s">
        <v>3002</v>
      </c>
      <c r="BA131" s="196" t="s">
        <v>2997</v>
      </c>
      <c r="BB131" s="197" t="s">
        <v>153</v>
      </c>
      <c r="BC131" s="198" t="s">
        <v>3003</v>
      </c>
      <c r="BD131" s="199" t="s">
        <v>216</v>
      </c>
      <c r="BE131" s="200" t="s">
        <v>3004</v>
      </c>
      <c r="BF131" s="201" t="s">
        <v>3005</v>
      </c>
      <c r="BG131" s="202" t="s">
        <v>153</v>
      </c>
      <c r="BH131" s="203" t="s">
        <v>153</v>
      </c>
      <c r="BI131" s="204" t="s">
        <v>153</v>
      </c>
      <c r="BJ131" s="205" t="s">
        <v>3006</v>
      </c>
      <c r="BK131" s="206" t="s">
        <v>3007</v>
      </c>
      <c r="BL131" s="207" t="s">
        <v>153</v>
      </c>
      <c r="BM131" s="208" t="s">
        <v>3008</v>
      </c>
      <c r="BN131" s="209" t="s">
        <v>153</v>
      </c>
      <c r="BO131" s="210" t="s">
        <v>3009</v>
      </c>
      <c r="BP131" s="211" t="s">
        <v>3010</v>
      </c>
      <c r="BQ131" s="212">
        <v>33786</v>
      </c>
      <c r="BR131" s="213" t="s">
        <v>153</v>
      </c>
      <c r="BS131" s="214" t="s">
        <v>153</v>
      </c>
      <c r="BT131" s="215" t="s">
        <v>153</v>
      </c>
      <c r="BU131" s="216" t="s">
        <v>153</v>
      </c>
      <c r="BV131" s="217" t="s">
        <v>188</v>
      </c>
      <c r="BW131" s="218" t="s">
        <v>153</v>
      </c>
      <c r="BX131" s="219" t="s">
        <v>153</v>
      </c>
      <c r="BY131" s="220" t="s">
        <v>165</v>
      </c>
      <c r="BZ131" s="221" t="s">
        <v>153</v>
      </c>
      <c r="CA131" s="222" t="s">
        <v>190</v>
      </c>
      <c r="CB131" s="223">
        <v>44258</v>
      </c>
      <c r="CC131" s="224">
        <v>22077.22</v>
      </c>
      <c r="CD131" s="225" t="s">
        <v>153</v>
      </c>
      <c r="CE131" s="226">
        <v>22077.22</v>
      </c>
      <c r="CF131" s="227" t="s">
        <v>187</v>
      </c>
      <c r="CG131" s="228" t="s">
        <v>226</v>
      </c>
      <c r="CH131" s="229" t="s">
        <v>153</v>
      </c>
      <c r="CI131" s="230" t="s">
        <v>153</v>
      </c>
      <c r="CJ131" s="231" t="s">
        <v>225</v>
      </c>
      <c r="CK131" s="232">
        <v>44258</v>
      </c>
      <c r="CL131" s="233" t="s">
        <v>153</v>
      </c>
      <c r="CM131" s="234" t="s">
        <v>153</v>
      </c>
      <c r="CN131" s="235" t="s">
        <v>1278</v>
      </c>
      <c r="CO131" s="236">
        <v>0.48</v>
      </c>
      <c r="CP131" s="237">
        <v>93</v>
      </c>
      <c r="CQ131" s="238">
        <v>-0.1</v>
      </c>
      <c r="CR131" s="239">
        <v>-16.649999999999999</v>
      </c>
      <c r="CS131" s="240">
        <v>0.48</v>
      </c>
      <c r="CT131" s="241">
        <v>93</v>
      </c>
      <c r="CU131" s="242" t="s">
        <v>153</v>
      </c>
      <c r="CV131" s="243" t="s">
        <v>153</v>
      </c>
      <c r="CW131" s="244">
        <v>0.28000000000000003</v>
      </c>
      <c r="CX131" s="245">
        <v>78</v>
      </c>
      <c r="CY131" s="246">
        <v>0.67</v>
      </c>
      <c r="CZ131" s="247">
        <v>96</v>
      </c>
      <c r="DA131" s="248" t="s">
        <v>153</v>
      </c>
      <c r="DB131" s="249" t="s">
        <v>153</v>
      </c>
      <c r="DC131" s="250">
        <v>273.17</v>
      </c>
      <c r="DD131" s="251">
        <v>100</v>
      </c>
      <c r="DE131" s="252">
        <v>-0.34</v>
      </c>
      <c r="DF131" s="253">
        <v>-0.13</v>
      </c>
      <c r="DG131" s="254">
        <v>273.17</v>
      </c>
      <c r="DH131" s="255">
        <v>100</v>
      </c>
      <c r="DI131" s="256" t="s">
        <v>153</v>
      </c>
      <c r="DJ131" s="257" t="s">
        <v>153</v>
      </c>
      <c r="DK131" s="258">
        <v>486.79</v>
      </c>
      <c r="DL131" s="259">
        <v>99</v>
      </c>
      <c r="DM131" s="260">
        <v>59.56</v>
      </c>
      <c r="DN131" s="261">
        <v>99</v>
      </c>
      <c r="DO131" s="262" t="s">
        <v>153</v>
      </c>
      <c r="DP131" s="263" t="s">
        <v>153</v>
      </c>
      <c r="DQ131" s="264">
        <v>287650</v>
      </c>
      <c r="DR131" s="265">
        <v>3719</v>
      </c>
      <c r="DS131" s="266">
        <v>1.31</v>
      </c>
      <c r="DT131" s="267">
        <v>957</v>
      </c>
      <c r="DU131" s="268">
        <v>-4</v>
      </c>
      <c r="DV131" s="269">
        <v>-0.42</v>
      </c>
      <c r="DW131" s="270" t="s">
        <v>153</v>
      </c>
      <c r="DX131" s="271" t="s">
        <v>153</v>
      </c>
      <c r="DY131" s="272" t="s">
        <v>153</v>
      </c>
      <c r="DZ131" s="273" t="s">
        <v>191</v>
      </c>
      <c r="EA131" s="274">
        <v>44402</v>
      </c>
      <c r="EB131" s="275">
        <v>22077.22</v>
      </c>
      <c r="EC131" s="276">
        <v>44258</v>
      </c>
      <c r="ED131" s="277" t="s">
        <v>226</v>
      </c>
      <c r="EE131" s="279" t="str">
        <f>HYPERLINK("https://my.pitchbook.com?c=42490-90", "View company online")</f>
        <v>View company online</v>
      </c>
    </row>
    <row r="132" spans="1:135" x14ac:dyDescent="0.45">
      <c r="A132" s="10" t="s">
        <v>3011</v>
      </c>
      <c r="B132" s="11" t="s">
        <v>3012</v>
      </c>
      <c r="C132" s="12" t="s">
        <v>153</v>
      </c>
      <c r="D132" s="13" t="s">
        <v>153</v>
      </c>
      <c r="E132" s="14" t="s">
        <v>153</v>
      </c>
      <c r="F132" s="15" t="s">
        <v>153</v>
      </c>
      <c r="G132" s="16" t="s">
        <v>153</v>
      </c>
      <c r="H132" s="17" t="s">
        <v>153</v>
      </c>
      <c r="I132" s="18" t="s">
        <v>3011</v>
      </c>
      <c r="J132" s="19" t="s">
        <v>3013</v>
      </c>
      <c r="K132" s="20" t="s">
        <v>882</v>
      </c>
      <c r="L132" s="21" t="s">
        <v>1257</v>
      </c>
      <c r="M132" s="22" t="s">
        <v>2561</v>
      </c>
      <c r="N132" s="23" t="s">
        <v>3014</v>
      </c>
      <c r="O132" s="24" t="s">
        <v>153</v>
      </c>
      <c r="P132" s="25" t="s">
        <v>3015</v>
      </c>
      <c r="Q132" s="26" t="s">
        <v>204</v>
      </c>
      <c r="R132" s="27" t="s">
        <v>153</v>
      </c>
      <c r="S132" s="28" t="s">
        <v>163</v>
      </c>
      <c r="T132" s="29" t="s">
        <v>205</v>
      </c>
      <c r="U132" s="30" t="s">
        <v>206</v>
      </c>
      <c r="V132" s="31" t="s">
        <v>153</v>
      </c>
      <c r="W132" s="32" t="s">
        <v>153</v>
      </c>
      <c r="X132" s="33" t="s">
        <v>153</v>
      </c>
      <c r="Y132" s="34" t="s">
        <v>153</v>
      </c>
      <c r="Z132" s="35" t="s">
        <v>153</v>
      </c>
      <c r="AA132" s="36" t="s">
        <v>153</v>
      </c>
      <c r="AB132" s="37" t="s">
        <v>153</v>
      </c>
      <c r="AC132" s="38" t="s">
        <v>153</v>
      </c>
      <c r="AD132" s="39" t="s">
        <v>153</v>
      </c>
      <c r="AE132" s="40" t="s">
        <v>153</v>
      </c>
      <c r="AF132" s="41" t="s">
        <v>153</v>
      </c>
      <c r="AG132" s="42" t="s">
        <v>153</v>
      </c>
      <c r="AH132" s="43" t="s">
        <v>153</v>
      </c>
      <c r="AI132" s="44" t="s">
        <v>153</v>
      </c>
      <c r="AJ132" s="45" t="s">
        <v>153</v>
      </c>
      <c r="AK132" s="46" t="s">
        <v>153</v>
      </c>
      <c r="AL132" s="47" t="s">
        <v>153</v>
      </c>
      <c r="AM132" s="48" t="s">
        <v>153</v>
      </c>
      <c r="AN132" s="49" t="s">
        <v>153</v>
      </c>
      <c r="AO132" s="50" t="s">
        <v>153</v>
      </c>
      <c r="AP132" s="51" t="s">
        <v>153</v>
      </c>
      <c r="AQ132" s="52" t="s">
        <v>153</v>
      </c>
      <c r="AR132" s="53" t="s">
        <v>153</v>
      </c>
      <c r="AS132" s="54" t="s">
        <v>153</v>
      </c>
      <c r="AT132" s="55" t="s">
        <v>153</v>
      </c>
      <c r="AU132" s="56" t="s">
        <v>153</v>
      </c>
      <c r="AV132" s="57" t="s">
        <v>153</v>
      </c>
      <c r="AW132" s="58" t="s">
        <v>153</v>
      </c>
      <c r="AX132" s="59" t="s">
        <v>153</v>
      </c>
      <c r="AY132" s="60" t="s">
        <v>153</v>
      </c>
      <c r="AZ132" s="61" t="s">
        <v>153</v>
      </c>
      <c r="BA132" s="62" t="s">
        <v>153</v>
      </c>
      <c r="BB132" s="63" t="s">
        <v>153</v>
      </c>
      <c r="BC132" s="64" t="s">
        <v>153</v>
      </c>
      <c r="BD132" s="65" t="s">
        <v>153</v>
      </c>
      <c r="BE132" s="66" t="s">
        <v>153</v>
      </c>
      <c r="BF132" s="67" t="s">
        <v>3016</v>
      </c>
      <c r="BG132" s="68" t="s">
        <v>153</v>
      </c>
      <c r="BH132" s="69" t="s">
        <v>153</v>
      </c>
      <c r="BI132" s="70" t="s">
        <v>220</v>
      </c>
      <c r="BJ132" s="71" t="s">
        <v>2980</v>
      </c>
      <c r="BK132" s="72" t="s">
        <v>153</v>
      </c>
      <c r="BL132" s="73" t="s">
        <v>153</v>
      </c>
      <c r="BM132" s="74" t="s">
        <v>2981</v>
      </c>
      <c r="BN132" s="75" t="s">
        <v>153</v>
      </c>
      <c r="BO132" s="76" t="s">
        <v>153</v>
      </c>
      <c r="BP132" s="77" t="s">
        <v>3017</v>
      </c>
      <c r="BQ132" s="78">
        <v>43677</v>
      </c>
      <c r="BR132" s="79">
        <v>22000</v>
      </c>
      <c r="BS132" s="80" t="s">
        <v>186</v>
      </c>
      <c r="BT132" s="81">
        <v>22000</v>
      </c>
      <c r="BU132" s="82" t="s">
        <v>187</v>
      </c>
      <c r="BV132" s="83" t="s">
        <v>226</v>
      </c>
      <c r="BW132" s="84" t="s">
        <v>729</v>
      </c>
      <c r="BX132" s="85" t="s">
        <v>153</v>
      </c>
      <c r="BY132" s="86" t="s">
        <v>225</v>
      </c>
      <c r="BZ132" s="87" t="s">
        <v>153</v>
      </c>
      <c r="CA132" s="88" t="s">
        <v>190</v>
      </c>
      <c r="CB132" s="89">
        <v>43677</v>
      </c>
      <c r="CC132" s="90">
        <v>22000</v>
      </c>
      <c r="CD132" s="91" t="s">
        <v>186</v>
      </c>
      <c r="CE132" s="92">
        <v>22000</v>
      </c>
      <c r="CF132" s="93" t="s">
        <v>187</v>
      </c>
      <c r="CG132" s="94" t="s">
        <v>226</v>
      </c>
      <c r="CH132" s="95" t="s">
        <v>729</v>
      </c>
      <c r="CI132" s="96" t="s">
        <v>153</v>
      </c>
      <c r="CJ132" s="97" t="s">
        <v>225</v>
      </c>
      <c r="CK132" s="98">
        <v>43677</v>
      </c>
      <c r="CL132" s="99" t="s">
        <v>153</v>
      </c>
      <c r="CM132" s="100" t="s">
        <v>153</v>
      </c>
      <c r="CN132" s="101" t="s">
        <v>190</v>
      </c>
      <c r="CO132" s="102" t="s">
        <v>153</v>
      </c>
      <c r="CP132" s="103" t="s">
        <v>153</v>
      </c>
      <c r="CQ132" s="104" t="s">
        <v>153</v>
      </c>
      <c r="CR132" s="105" t="s">
        <v>153</v>
      </c>
      <c r="CS132" s="106" t="s">
        <v>153</v>
      </c>
      <c r="CT132" s="107" t="s">
        <v>153</v>
      </c>
      <c r="CU132" s="108" t="s">
        <v>153</v>
      </c>
      <c r="CV132" s="109" t="s">
        <v>153</v>
      </c>
      <c r="CW132" s="110" t="s">
        <v>153</v>
      </c>
      <c r="CX132" s="111" t="s">
        <v>153</v>
      </c>
      <c r="CY132" s="112" t="s">
        <v>153</v>
      </c>
      <c r="CZ132" s="113" t="s">
        <v>153</v>
      </c>
      <c r="DA132" s="114" t="s">
        <v>153</v>
      </c>
      <c r="DB132" s="115" t="s">
        <v>153</v>
      </c>
      <c r="DC132" s="116" t="s">
        <v>153</v>
      </c>
      <c r="DD132" s="117" t="s">
        <v>153</v>
      </c>
      <c r="DE132" s="118" t="s">
        <v>153</v>
      </c>
      <c r="DF132" s="119" t="s">
        <v>153</v>
      </c>
      <c r="DG132" s="120" t="s">
        <v>153</v>
      </c>
      <c r="DH132" s="121" t="s">
        <v>153</v>
      </c>
      <c r="DI132" s="122" t="s">
        <v>153</v>
      </c>
      <c r="DJ132" s="123" t="s">
        <v>153</v>
      </c>
      <c r="DK132" s="124" t="s">
        <v>153</v>
      </c>
      <c r="DL132" s="125" t="s">
        <v>153</v>
      </c>
      <c r="DM132" s="126" t="s">
        <v>153</v>
      </c>
      <c r="DN132" s="127" t="s">
        <v>153</v>
      </c>
      <c r="DO132" s="128" t="s">
        <v>153</v>
      </c>
      <c r="DP132" s="129" t="s">
        <v>153</v>
      </c>
      <c r="DQ132" s="130" t="s">
        <v>153</v>
      </c>
      <c r="DR132" s="131" t="s">
        <v>153</v>
      </c>
      <c r="DS132" s="132" t="s">
        <v>153</v>
      </c>
      <c r="DT132" s="133" t="s">
        <v>153</v>
      </c>
      <c r="DU132" s="134" t="s">
        <v>153</v>
      </c>
      <c r="DV132" s="135" t="s">
        <v>153</v>
      </c>
      <c r="DW132" s="136" t="s">
        <v>153</v>
      </c>
      <c r="DX132" s="137" t="s">
        <v>153</v>
      </c>
      <c r="DY132" s="138" t="s">
        <v>153</v>
      </c>
      <c r="DZ132" s="139" t="s">
        <v>191</v>
      </c>
      <c r="EA132" s="140">
        <v>43917</v>
      </c>
      <c r="EB132" s="141">
        <v>22000</v>
      </c>
      <c r="EC132" s="142">
        <v>43677</v>
      </c>
      <c r="ED132" s="143" t="s">
        <v>226</v>
      </c>
      <c r="EE132" s="278" t="str">
        <f>HYPERLINK("https://my.pitchbook.com?c=231308-56", "View company online")</f>
        <v>View company online</v>
      </c>
    </row>
    <row r="133" spans="1:135" x14ac:dyDescent="0.45">
      <c r="A133" s="144" t="s">
        <v>3018</v>
      </c>
      <c r="B133" s="145" t="s">
        <v>3019</v>
      </c>
      <c r="C133" s="146" t="s">
        <v>153</v>
      </c>
      <c r="D133" s="147" t="s">
        <v>153</v>
      </c>
      <c r="E133" s="148" t="s">
        <v>153</v>
      </c>
      <c r="F133" s="149" t="s">
        <v>153</v>
      </c>
      <c r="G133" s="150" t="s">
        <v>3020</v>
      </c>
      <c r="H133" s="151" t="s">
        <v>153</v>
      </c>
      <c r="I133" s="152" t="s">
        <v>3018</v>
      </c>
      <c r="J133" s="153" t="s">
        <v>3021</v>
      </c>
      <c r="K133" s="154" t="s">
        <v>559</v>
      </c>
      <c r="L133" s="155" t="s">
        <v>3022</v>
      </c>
      <c r="M133" s="156" t="s">
        <v>3023</v>
      </c>
      <c r="N133" s="157" t="s">
        <v>3024</v>
      </c>
      <c r="O133" s="158" t="s">
        <v>261</v>
      </c>
      <c r="P133" s="159" t="s">
        <v>3025</v>
      </c>
      <c r="Q133" s="160" t="s">
        <v>204</v>
      </c>
      <c r="R133" s="161" t="s">
        <v>153</v>
      </c>
      <c r="S133" s="162" t="s">
        <v>290</v>
      </c>
      <c r="T133" s="163" t="s">
        <v>205</v>
      </c>
      <c r="U133" s="164" t="s">
        <v>206</v>
      </c>
      <c r="V133" s="165" t="s">
        <v>153</v>
      </c>
      <c r="W133" s="166">
        <v>18</v>
      </c>
      <c r="X133" s="167" t="s">
        <v>3026</v>
      </c>
      <c r="Y133" s="168" t="s">
        <v>153</v>
      </c>
      <c r="Z133" s="169" t="s">
        <v>153</v>
      </c>
      <c r="AA133" s="170">
        <v>1964</v>
      </c>
      <c r="AB133" s="171" t="s">
        <v>153</v>
      </c>
      <c r="AC133" s="172" t="s">
        <v>153</v>
      </c>
      <c r="AD133" s="173" t="s">
        <v>153</v>
      </c>
      <c r="AE133" s="174" t="s">
        <v>153</v>
      </c>
      <c r="AF133" s="175" t="s">
        <v>153</v>
      </c>
      <c r="AG133" s="176" t="s">
        <v>153</v>
      </c>
      <c r="AH133" s="177" t="s">
        <v>153</v>
      </c>
      <c r="AI133" s="178" t="s">
        <v>153</v>
      </c>
      <c r="AJ133" s="179" t="s">
        <v>153</v>
      </c>
      <c r="AK133" s="180" t="s">
        <v>153</v>
      </c>
      <c r="AL133" s="181" t="s">
        <v>153</v>
      </c>
      <c r="AM133" s="182" t="s">
        <v>153</v>
      </c>
      <c r="AN133" s="183" t="s">
        <v>484</v>
      </c>
      <c r="AO133" s="184" t="s">
        <v>3027</v>
      </c>
      <c r="AP133" s="185" t="s">
        <v>3028</v>
      </c>
      <c r="AQ133" s="186" t="s">
        <v>968</v>
      </c>
      <c r="AR133" s="187" t="s">
        <v>153</v>
      </c>
      <c r="AS133" s="188" t="s">
        <v>153</v>
      </c>
      <c r="AT133" s="189" t="s">
        <v>1399</v>
      </c>
      <c r="AU133" s="190" t="s">
        <v>3029</v>
      </c>
      <c r="AV133" s="191" t="s">
        <v>3030</v>
      </c>
      <c r="AW133" s="192" t="s">
        <v>1402</v>
      </c>
      <c r="AX133" s="193" t="s">
        <v>153</v>
      </c>
      <c r="AY133" s="194" t="s">
        <v>3031</v>
      </c>
      <c r="AZ133" s="195" t="s">
        <v>1404</v>
      </c>
      <c r="BA133" s="196" t="s">
        <v>153</v>
      </c>
      <c r="BB133" s="197" t="s">
        <v>153</v>
      </c>
      <c r="BC133" s="198" t="s">
        <v>153</v>
      </c>
      <c r="BD133" s="199" t="s">
        <v>1406</v>
      </c>
      <c r="BE133" s="200" t="s">
        <v>1407</v>
      </c>
      <c r="BF133" s="201" t="s">
        <v>3032</v>
      </c>
      <c r="BG133" s="202" t="s">
        <v>153</v>
      </c>
      <c r="BH133" s="203" t="s">
        <v>153</v>
      </c>
      <c r="BI133" s="204" t="s">
        <v>3033</v>
      </c>
      <c r="BJ133" s="205" t="s">
        <v>153</v>
      </c>
      <c r="BK133" s="206" t="s">
        <v>153</v>
      </c>
      <c r="BL133" s="207" t="s">
        <v>153</v>
      </c>
      <c r="BM133" s="208" t="s">
        <v>153</v>
      </c>
      <c r="BN133" s="209" t="s">
        <v>153</v>
      </c>
      <c r="BO133" s="210" t="s">
        <v>153</v>
      </c>
      <c r="BP133" s="211" t="s">
        <v>153</v>
      </c>
      <c r="BQ133" s="212">
        <v>42278</v>
      </c>
      <c r="BR133" s="213">
        <v>21900</v>
      </c>
      <c r="BS133" s="214" t="s">
        <v>186</v>
      </c>
      <c r="BT133" s="215">
        <v>21900</v>
      </c>
      <c r="BU133" s="216" t="s">
        <v>186</v>
      </c>
      <c r="BV133" s="217" t="s">
        <v>226</v>
      </c>
      <c r="BW133" s="218" t="s">
        <v>153</v>
      </c>
      <c r="BX133" s="219" t="s">
        <v>153</v>
      </c>
      <c r="BY133" s="220" t="s">
        <v>225</v>
      </c>
      <c r="BZ133" s="221" t="s">
        <v>153</v>
      </c>
      <c r="CA133" s="222" t="s">
        <v>190</v>
      </c>
      <c r="CB133" s="223">
        <v>42278</v>
      </c>
      <c r="CC133" s="224">
        <v>21900</v>
      </c>
      <c r="CD133" s="225" t="s">
        <v>186</v>
      </c>
      <c r="CE133" s="226">
        <v>21900</v>
      </c>
      <c r="CF133" s="227" t="s">
        <v>186</v>
      </c>
      <c r="CG133" s="228" t="s">
        <v>226</v>
      </c>
      <c r="CH133" s="229" t="s">
        <v>153</v>
      </c>
      <c r="CI133" s="230" t="s">
        <v>153</v>
      </c>
      <c r="CJ133" s="231" t="s">
        <v>225</v>
      </c>
      <c r="CK133" s="232">
        <v>42278</v>
      </c>
      <c r="CL133" s="233" t="s">
        <v>153</v>
      </c>
      <c r="CM133" s="234" t="s">
        <v>153</v>
      </c>
      <c r="CN133" s="235" t="s">
        <v>190</v>
      </c>
      <c r="CO133" s="236" t="s">
        <v>153</v>
      </c>
      <c r="CP133" s="237" t="s">
        <v>153</v>
      </c>
      <c r="CQ133" s="238" t="s">
        <v>153</v>
      </c>
      <c r="CR133" s="239" t="s">
        <v>153</v>
      </c>
      <c r="CS133" s="240" t="s">
        <v>153</v>
      </c>
      <c r="CT133" s="241" t="s">
        <v>153</v>
      </c>
      <c r="CU133" s="242" t="s">
        <v>153</v>
      </c>
      <c r="CV133" s="243" t="s">
        <v>153</v>
      </c>
      <c r="CW133" s="244" t="s">
        <v>153</v>
      </c>
      <c r="CX133" s="245" t="s">
        <v>153</v>
      </c>
      <c r="CY133" s="246" t="s">
        <v>153</v>
      </c>
      <c r="CZ133" s="247" t="s">
        <v>153</v>
      </c>
      <c r="DA133" s="248" t="s">
        <v>153</v>
      </c>
      <c r="DB133" s="249" t="s">
        <v>153</v>
      </c>
      <c r="DC133" s="250" t="s">
        <v>153</v>
      </c>
      <c r="DD133" s="251" t="s">
        <v>153</v>
      </c>
      <c r="DE133" s="252" t="s">
        <v>153</v>
      </c>
      <c r="DF133" s="253" t="s">
        <v>153</v>
      </c>
      <c r="DG133" s="254" t="s">
        <v>153</v>
      </c>
      <c r="DH133" s="255" t="s">
        <v>153</v>
      </c>
      <c r="DI133" s="256" t="s">
        <v>153</v>
      </c>
      <c r="DJ133" s="257" t="s">
        <v>153</v>
      </c>
      <c r="DK133" s="258" t="s">
        <v>153</v>
      </c>
      <c r="DL133" s="259" t="s">
        <v>153</v>
      </c>
      <c r="DM133" s="260" t="s">
        <v>153</v>
      </c>
      <c r="DN133" s="261" t="s">
        <v>153</v>
      </c>
      <c r="DO133" s="262" t="s">
        <v>153</v>
      </c>
      <c r="DP133" s="263" t="s">
        <v>153</v>
      </c>
      <c r="DQ133" s="264" t="s">
        <v>153</v>
      </c>
      <c r="DR133" s="265" t="s">
        <v>153</v>
      </c>
      <c r="DS133" s="266" t="s">
        <v>153</v>
      </c>
      <c r="DT133" s="267" t="s">
        <v>153</v>
      </c>
      <c r="DU133" s="268" t="s">
        <v>153</v>
      </c>
      <c r="DV133" s="269" t="s">
        <v>153</v>
      </c>
      <c r="DW133" s="270" t="s">
        <v>153</v>
      </c>
      <c r="DX133" s="271" t="s">
        <v>153</v>
      </c>
      <c r="DY133" s="272" t="s">
        <v>153</v>
      </c>
      <c r="DZ133" s="273" t="s">
        <v>191</v>
      </c>
      <c r="EA133" s="274">
        <v>44147</v>
      </c>
      <c r="EB133" s="275">
        <v>21900</v>
      </c>
      <c r="EC133" s="276">
        <v>42278</v>
      </c>
      <c r="ED133" s="277" t="s">
        <v>226</v>
      </c>
      <c r="EE133" s="279" t="str">
        <f>HYPERLINK("https://my.pitchbook.com?c=164196-19", "View company online")</f>
        <v>View company online</v>
      </c>
    </row>
    <row r="134" spans="1:135" x14ac:dyDescent="0.45">
      <c r="A134" s="10" t="s">
        <v>3034</v>
      </c>
      <c r="B134" s="11" t="s">
        <v>3035</v>
      </c>
      <c r="C134" s="12" t="s">
        <v>153</v>
      </c>
      <c r="D134" s="13" t="s">
        <v>153</v>
      </c>
      <c r="E134" s="14" t="s">
        <v>153</v>
      </c>
      <c r="F134" s="15" t="s">
        <v>153</v>
      </c>
      <c r="G134" s="16" t="s">
        <v>153</v>
      </c>
      <c r="H134" s="17" t="s">
        <v>3036</v>
      </c>
      <c r="I134" s="18" t="s">
        <v>3034</v>
      </c>
      <c r="J134" s="19" t="s">
        <v>3037</v>
      </c>
      <c r="K134" s="20" t="s">
        <v>232</v>
      </c>
      <c r="L134" s="21" t="s">
        <v>233</v>
      </c>
      <c r="M134" s="22" t="s">
        <v>234</v>
      </c>
      <c r="N134" s="23" t="s">
        <v>235</v>
      </c>
      <c r="O134" s="24" t="s">
        <v>153</v>
      </c>
      <c r="P134" s="25" t="s">
        <v>3038</v>
      </c>
      <c r="Q134" s="26" t="s">
        <v>204</v>
      </c>
      <c r="R134" s="27">
        <v>21.43</v>
      </c>
      <c r="S134" s="28" t="s">
        <v>163</v>
      </c>
      <c r="T134" s="29" t="s">
        <v>205</v>
      </c>
      <c r="U134" s="30" t="s">
        <v>237</v>
      </c>
      <c r="V134" s="31" t="s">
        <v>3039</v>
      </c>
      <c r="W134" s="32">
        <v>16079</v>
      </c>
      <c r="X134" s="33" t="s">
        <v>3040</v>
      </c>
      <c r="Y134" s="34" t="s">
        <v>153</v>
      </c>
      <c r="Z134" s="35" t="s">
        <v>153</v>
      </c>
      <c r="AA134" s="36">
        <v>1931</v>
      </c>
      <c r="AB134" s="37" t="s">
        <v>153</v>
      </c>
      <c r="AC134" s="38" t="s">
        <v>153</v>
      </c>
      <c r="AD134" s="39" t="s">
        <v>153</v>
      </c>
      <c r="AE134" s="40" t="s">
        <v>153</v>
      </c>
      <c r="AF134" s="41" t="s">
        <v>153</v>
      </c>
      <c r="AG134" s="42" t="s">
        <v>153</v>
      </c>
      <c r="AH134" s="43" t="s">
        <v>153</v>
      </c>
      <c r="AI134" s="44" t="s">
        <v>153</v>
      </c>
      <c r="AJ134" s="45" t="s">
        <v>153</v>
      </c>
      <c r="AK134" s="46" t="s">
        <v>153</v>
      </c>
      <c r="AL134" s="47" t="s">
        <v>153</v>
      </c>
      <c r="AM134" s="48" t="s">
        <v>153</v>
      </c>
      <c r="AN134" s="49" t="s">
        <v>1908</v>
      </c>
      <c r="AO134" s="50" t="s">
        <v>153</v>
      </c>
      <c r="AP134" s="51" t="s">
        <v>153</v>
      </c>
      <c r="AQ134" s="52" t="s">
        <v>153</v>
      </c>
      <c r="AR134" s="53" t="s">
        <v>153</v>
      </c>
      <c r="AS134" s="54" t="s">
        <v>153</v>
      </c>
      <c r="AT134" s="55" t="s">
        <v>3041</v>
      </c>
      <c r="AU134" s="56" t="s">
        <v>3042</v>
      </c>
      <c r="AV134" s="57" t="s">
        <v>3043</v>
      </c>
      <c r="AW134" s="58" t="s">
        <v>3044</v>
      </c>
      <c r="AX134" s="59" t="s">
        <v>153</v>
      </c>
      <c r="AY134" s="60" t="s">
        <v>3045</v>
      </c>
      <c r="AZ134" s="61" t="s">
        <v>3046</v>
      </c>
      <c r="BA134" s="62" t="s">
        <v>153</v>
      </c>
      <c r="BB134" s="63" t="s">
        <v>153</v>
      </c>
      <c r="BC134" s="64" t="s">
        <v>153</v>
      </c>
      <c r="BD134" s="65" t="s">
        <v>1406</v>
      </c>
      <c r="BE134" s="66" t="s">
        <v>3047</v>
      </c>
      <c r="BF134" s="67" t="s">
        <v>3048</v>
      </c>
      <c r="BG134" s="68" t="s">
        <v>153</v>
      </c>
      <c r="BH134" s="69" t="s">
        <v>153</v>
      </c>
      <c r="BI134" s="70" t="s">
        <v>3049</v>
      </c>
      <c r="BJ134" s="71" t="s">
        <v>153</v>
      </c>
      <c r="BK134" s="72" t="s">
        <v>153</v>
      </c>
      <c r="BL134" s="73" t="s">
        <v>153</v>
      </c>
      <c r="BM134" s="74" t="s">
        <v>153</v>
      </c>
      <c r="BN134" s="75" t="s">
        <v>153</v>
      </c>
      <c r="BO134" s="76" t="s">
        <v>3050</v>
      </c>
      <c r="BP134" s="77" t="s">
        <v>3051</v>
      </c>
      <c r="BQ134" s="78">
        <v>36900</v>
      </c>
      <c r="BR134" s="79">
        <v>21.43</v>
      </c>
      <c r="BS134" s="80" t="s">
        <v>187</v>
      </c>
      <c r="BT134" s="81" t="s">
        <v>153</v>
      </c>
      <c r="BU134" s="82" t="s">
        <v>153</v>
      </c>
      <c r="BV134" s="83" t="s">
        <v>251</v>
      </c>
      <c r="BW134" s="84" t="s">
        <v>153</v>
      </c>
      <c r="BX134" s="85" t="s">
        <v>153</v>
      </c>
      <c r="BY134" s="86" t="s">
        <v>252</v>
      </c>
      <c r="BZ134" s="87" t="s">
        <v>153</v>
      </c>
      <c r="CA134" s="88" t="s">
        <v>190</v>
      </c>
      <c r="CB134" s="89">
        <v>43556</v>
      </c>
      <c r="CC134" s="90">
        <v>21600</v>
      </c>
      <c r="CD134" s="91" t="s">
        <v>186</v>
      </c>
      <c r="CE134" s="92">
        <v>21600</v>
      </c>
      <c r="CF134" s="93" t="s">
        <v>153</v>
      </c>
      <c r="CG134" s="94" t="s">
        <v>226</v>
      </c>
      <c r="CH134" s="95" t="s">
        <v>153</v>
      </c>
      <c r="CI134" s="96" t="s">
        <v>153</v>
      </c>
      <c r="CJ134" s="97" t="s">
        <v>225</v>
      </c>
      <c r="CK134" s="98">
        <v>43556</v>
      </c>
      <c r="CL134" s="99" t="s">
        <v>153</v>
      </c>
      <c r="CM134" s="100" t="s">
        <v>153</v>
      </c>
      <c r="CN134" s="101" t="s">
        <v>190</v>
      </c>
      <c r="CO134" s="102" t="s">
        <v>153</v>
      </c>
      <c r="CP134" s="103" t="s">
        <v>153</v>
      </c>
      <c r="CQ134" s="104" t="s">
        <v>153</v>
      </c>
      <c r="CR134" s="105" t="s">
        <v>153</v>
      </c>
      <c r="CS134" s="106" t="s">
        <v>153</v>
      </c>
      <c r="CT134" s="107" t="s">
        <v>153</v>
      </c>
      <c r="CU134" s="108" t="s">
        <v>153</v>
      </c>
      <c r="CV134" s="109" t="s">
        <v>153</v>
      </c>
      <c r="CW134" s="110" t="s">
        <v>153</v>
      </c>
      <c r="CX134" s="111" t="s">
        <v>153</v>
      </c>
      <c r="CY134" s="112" t="s">
        <v>153</v>
      </c>
      <c r="CZ134" s="113" t="s">
        <v>153</v>
      </c>
      <c r="DA134" s="114" t="s">
        <v>153</v>
      </c>
      <c r="DB134" s="115" t="s">
        <v>153</v>
      </c>
      <c r="DC134" s="116" t="s">
        <v>153</v>
      </c>
      <c r="DD134" s="117" t="s">
        <v>153</v>
      </c>
      <c r="DE134" s="118" t="s">
        <v>153</v>
      </c>
      <c r="DF134" s="119" t="s">
        <v>153</v>
      </c>
      <c r="DG134" s="120" t="s">
        <v>153</v>
      </c>
      <c r="DH134" s="121" t="s">
        <v>153</v>
      </c>
      <c r="DI134" s="122" t="s">
        <v>153</v>
      </c>
      <c r="DJ134" s="123" t="s">
        <v>153</v>
      </c>
      <c r="DK134" s="124" t="s">
        <v>153</v>
      </c>
      <c r="DL134" s="125" t="s">
        <v>153</v>
      </c>
      <c r="DM134" s="126" t="s">
        <v>153</v>
      </c>
      <c r="DN134" s="127" t="s">
        <v>153</v>
      </c>
      <c r="DO134" s="128" t="s">
        <v>153</v>
      </c>
      <c r="DP134" s="129" t="s">
        <v>153</v>
      </c>
      <c r="DQ134" s="130" t="s">
        <v>153</v>
      </c>
      <c r="DR134" s="131" t="s">
        <v>153</v>
      </c>
      <c r="DS134" s="132" t="s">
        <v>153</v>
      </c>
      <c r="DT134" s="133" t="s">
        <v>153</v>
      </c>
      <c r="DU134" s="134" t="s">
        <v>153</v>
      </c>
      <c r="DV134" s="135" t="s">
        <v>153</v>
      </c>
      <c r="DW134" s="136" t="s">
        <v>153</v>
      </c>
      <c r="DX134" s="137" t="s">
        <v>153</v>
      </c>
      <c r="DY134" s="138" t="s">
        <v>153</v>
      </c>
      <c r="DZ134" s="139" t="s">
        <v>191</v>
      </c>
      <c r="EA134" s="140">
        <v>44168</v>
      </c>
      <c r="EB134" s="141">
        <v>21600</v>
      </c>
      <c r="EC134" s="142">
        <v>43556</v>
      </c>
      <c r="ED134" s="143" t="s">
        <v>226</v>
      </c>
      <c r="EE134" s="278" t="str">
        <f>HYPERLINK("https://my.pitchbook.com?c=13483-45", "View company online")</f>
        <v>View company online</v>
      </c>
    </row>
    <row r="135" spans="1:135" x14ac:dyDescent="0.45">
      <c r="A135" s="144" t="s">
        <v>3052</v>
      </c>
      <c r="B135" s="145" t="s">
        <v>3053</v>
      </c>
      <c r="C135" s="146" t="s">
        <v>153</v>
      </c>
      <c r="D135" s="147" t="s">
        <v>153</v>
      </c>
      <c r="E135" s="148" t="s">
        <v>153</v>
      </c>
      <c r="F135" s="149" t="s">
        <v>153</v>
      </c>
      <c r="G135" s="150" t="s">
        <v>153</v>
      </c>
      <c r="H135" s="151" t="s">
        <v>153</v>
      </c>
      <c r="I135" s="152" t="s">
        <v>3052</v>
      </c>
      <c r="J135" s="153" t="s">
        <v>3054</v>
      </c>
      <c r="K135" s="154" t="s">
        <v>559</v>
      </c>
      <c r="L135" s="155" t="s">
        <v>3055</v>
      </c>
      <c r="M135" s="156" t="s">
        <v>3056</v>
      </c>
      <c r="N135" s="157" t="s">
        <v>3057</v>
      </c>
      <c r="O135" s="158" t="s">
        <v>153</v>
      </c>
      <c r="P135" s="159" t="s">
        <v>3058</v>
      </c>
      <c r="Q135" s="160" t="s">
        <v>204</v>
      </c>
      <c r="R135" s="161" t="s">
        <v>153</v>
      </c>
      <c r="S135" s="162" t="s">
        <v>163</v>
      </c>
      <c r="T135" s="163" t="s">
        <v>205</v>
      </c>
      <c r="U135" s="164" t="s">
        <v>206</v>
      </c>
      <c r="V135" s="165" t="s">
        <v>153</v>
      </c>
      <c r="W135" s="166" t="s">
        <v>153</v>
      </c>
      <c r="X135" s="167" t="s">
        <v>153</v>
      </c>
      <c r="Y135" s="168" t="s">
        <v>153</v>
      </c>
      <c r="Z135" s="169" t="s">
        <v>153</v>
      </c>
      <c r="AA135" s="170" t="s">
        <v>153</v>
      </c>
      <c r="AB135" s="171" t="s">
        <v>153</v>
      </c>
      <c r="AC135" s="172" t="s">
        <v>153</v>
      </c>
      <c r="AD135" s="173" t="s">
        <v>153</v>
      </c>
      <c r="AE135" s="174" t="s">
        <v>153</v>
      </c>
      <c r="AF135" s="175" t="s">
        <v>153</v>
      </c>
      <c r="AG135" s="176" t="s">
        <v>153</v>
      </c>
      <c r="AH135" s="177" t="s">
        <v>153</v>
      </c>
      <c r="AI135" s="178" t="s">
        <v>153</v>
      </c>
      <c r="AJ135" s="179" t="s">
        <v>153</v>
      </c>
      <c r="AK135" s="180" t="s">
        <v>153</v>
      </c>
      <c r="AL135" s="181" t="s">
        <v>153</v>
      </c>
      <c r="AM135" s="182" t="s">
        <v>153</v>
      </c>
      <c r="AN135" s="183" t="s">
        <v>153</v>
      </c>
      <c r="AO135" s="184" t="s">
        <v>153</v>
      </c>
      <c r="AP135" s="185" t="s">
        <v>153</v>
      </c>
      <c r="AQ135" s="186" t="s">
        <v>153</v>
      </c>
      <c r="AR135" s="187" t="s">
        <v>153</v>
      </c>
      <c r="AS135" s="188" t="s">
        <v>153</v>
      </c>
      <c r="AT135" s="189" t="s">
        <v>3059</v>
      </c>
      <c r="AU135" s="190" t="s">
        <v>153</v>
      </c>
      <c r="AV135" s="191" t="s">
        <v>153</v>
      </c>
      <c r="AW135" s="192" t="s">
        <v>3060</v>
      </c>
      <c r="AX135" s="193" t="s">
        <v>153</v>
      </c>
      <c r="AY135" s="194" t="s">
        <v>153</v>
      </c>
      <c r="AZ135" s="195" t="s">
        <v>3061</v>
      </c>
      <c r="BA135" s="196" t="s">
        <v>153</v>
      </c>
      <c r="BB135" s="197" t="s">
        <v>153</v>
      </c>
      <c r="BC135" s="198" t="s">
        <v>153</v>
      </c>
      <c r="BD135" s="199" t="s">
        <v>216</v>
      </c>
      <c r="BE135" s="200" t="s">
        <v>217</v>
      </c>
      <c r="BF135" s="201" t="s">
        <v>3062</v>
      </c>
      <c r="BG135" s="202" t="s">
        <v>153</v>
      </c>
      <c r="BH135" s="203" t="s">
        <v>153</v>
      </c>
      <c r="BI135" s="204" t="s">
        <v>3063</v>
      </c>
      <c r="BJ135" s="205" t="s">
        <v>3064</v>
      </c>
      <c r="BK135" s="206" t="s">
        <v>153</v>
      </c>
      <c r="BL135" s="207" t="s">
        <v>153</v>
      </c>
      <c r="BM135" s="208" t="s">
        <v>3065</v>
      </c>
      <c r="BN135" s="209" t="s">
        <v>153</v>
      </c>
      <c r="BO135" s="210" t="s">
        <v>153</v>
      </c>
      <c r="BP135" s="211" t="s">
        <v>153</v>
      </c>
      <c r="BQ135" s="212">
        <v>41866</v>
      </c>
      <c r="BR135" s="213">
        <v>21500</v>
      </c>
      <c r="BS135" s="214" t="s">
        <v>186</v>
      </c>
      <c r="BT135" s="215">
        <v>21500</v>
      </c>
      <c r="BU135" s="216" t="s">
        <v>186</v>
      </c>
      <c r="BV135" s="217" t="s">
        <v>226</v>
      </c>
      <c r="BW135" s="218" t="s">
        <v>729</v>
      </c>
      <c r="BX135" s="219" t="s">
        <v>153</v>
      </c>
      <c r="BY135" s="220" t="s">
        <v>225</v>
      </c>
      <c r="BZ135" s="221" t="s">
        <v>153</v>
      </c>
      <c r="CA135" s="222" t="s">
        <v>190</v>
      </c>
      <c r="CB135" s="223">
        <v>41866</v>
      </c>
      <c r="CC135" s="224">
        <v>21500</v>
      </c>
      <c r="CD135" s="225" t="s">
        <v>186</v>
      </c>
      <c r="CE135" s="226">
        <v>21500</v>
      </c>
      <c r="CF135" s="227" t="s">
        <v>186</v>
      </c>
      <c r="CG135" s="228" t="s">
        <v>226</v>
      </c>
      <c r="CH135" s="229" t="s">
        <v>729</v>
      </c>
      <c r="CI135" s="230" t="s">
        <v>153</v>
      </c>
      <c r="CJ135" s="231" t="s">
        <v>225</v>
      </c>
      <c r="CK135" s="232">
        <v>41866</v>
      </c>
      <c r="CL135" s="233" t="s">
        <v>153</v>
      </c>
      <c r="CM135" s="234" t="s">
        <v>153</v>
      </c>
      <c r="CN135" s="235" t="s">
        <v>190</v>
      </c>
      <c r="CO135" s="236" t="s">
        <v>153</v>
      </c>
      <c r="CP135" s="237" t="s">
        <v>153</v>
      </c>
      <c r="CQ135" s="238" t="s">
        <v>153</v>
      </c>
      <c r="CR135" s="239" t="s">
        <v>153</v>
      </c>
      <c r="CS135" s="240" t="s">
        <v>153</v>
      </c>
      <c r="CT135" s="241" t="s">
        <v>153</v>
      </c>
      <c r="CU135" s="242" t="s">
        <v>153</v>
      </c>
      <c r="CV135" s="243" t="s">
        <v>153</v>
      </c>
      <c r="CW135" s="244" t="s">
        <v>153</v>
      </c>
      <c r="CX135" s="245" t="s">
        <v>153</v>
      </c>
      <c r="CY135" s="246" t="s">
        <v>153</v>
      </c>
      <c r="CZ135" s="247" t="s">
        <v>153</v>
      </c>
      <c r="DA135" s="248" t="s">
        <v>153</v>
      </c>
      <c r="DB135" s="249" t="s">
        <v>153</v>
      </c>
      <c r="DC135" s="250" t="s">
        <v>153</v>
      </c>
      <c r="DD135" s="251" t="s">
        <v>153</v>
      </c>
      <c r="DE135" s="252" t="s">
        <v>153</v>
      </c>
      <c r="DF135" s="253" t="s">
        <v>153</v>
      </c>
      <c r="DG135" s="254" t="s">
        <v>153</v>
      </c>
      <c r="DH135" s="255" t="s">
        <v>153</v>
      </c>
      <c r="DI135" s="256" t="s">
        <v>153</v>
      </c>
      <c r="DJ135" s="257" t="s">
        <v>153</v>
      </c>
      <c r="DK135" s="258" t="s">
        <v>153</v>
      </c>
      <c r="DL135" s="259" t="s">
        <v>153</v>
      </c>
      <c r="DM135" s="260" t="s">
        <v>153</v>
      </c>
      <c r="DN135" s="261" t="s">
        <v>153</v>
      </c>
      <c r="DO135" s="262" t="s">
        <v>153</v>
      </c>
      <c r="DP135" s="263" t="s">
        <v>153</v>
      </c>
      <c r="DQ135" s="264" t="s">
        <v>153</v>
      </c>
      <c r="DR135" s="265" t="s">
        <v>153</v>
      </c>
      <c r="DS135" s="266" t="s">
        <v>153</v>
      </c>
      <c r="DT135" s="267" t="s">
        <v>153</v>
      </c>
      <c r="DU135" s="268" t="s">
        <v>153</v>
      </c>
      <c r="DV135" s="269" t="s">
        <v>153</v>
      </c>
      <c r="DW135" s="270" t="s">
        <v>153</v>
      </c>
      <c r="DX135" s="271" t="s">
        <v>153</v>
      </c>
      <c r="DY135" s="272" t="s">
        <v>153</v>
      </c>
      <c r="DZ135" s="273" t="s">
        <v>191</v>
      </c>
      <c r="EA135" s="274">
        <v>44252</v>
      </c>
      <c r="EB135" s="275">
        <v>21500</v>
      </c>
      <c r="EC135" s="276">
        <v>41866</v>
      </c>
      <c r="ED135" s="277" t="s">
        <v>226</v>
      </c>
      <c r="EE135" s="279" t="str">
        <f>HYPERLINK("https://my.pitchbook.com?c=66081-61", "View company online")</f>
        <v>View company online</v>
      </c>
    </row>
    <row r="136" spans="1:135" x14ac:dyDescent="0.45">
      <c r="A136" s="10" t="s">
        <v>3066</v>
      </c>
      <c r="B136" s="11" t="s">
        <v>3067</v>
      </c>
      <c r="C136" s="12" t="s">
        <v>153</v>
      </c>
      <c r="D136" s="13" t="s">
        <v>153</v>
      </c>
      <c r="E136" s="14" t="s">
        <v>3068</v>
      </c>
      <c r="F136" s="15" t="s">
        <v>153</v>
      </c>
      <c r="G136" s="16" t="s">
        <v>3069</v>
      </c>
      <c r="H136" s="17" t="s">
        <v>153</v>
      </c>
      <c r="I136" s="18" t="s">
        <v>3066</v>
      </c>
      <c r="J136" s="19" t="s">
        <v>3070</v>
      </c>
      <c r="K136" s="20" t="s">
        <v>257</v>
      </c>
      <c r="L136" s="21" t="s">
        <v>478</v>
      </c>
      <c r="M136" s="22" t="s">
        <v>2670</v>
      </c>
      <c r="N136" s="23" t="s">
        <v>3071</v>
      </c>
      <c r="O136" s="24" t="s">
        <v>1139</v>
      </c>
      <c r="P136" s="25" t="s">
        <v>3072</v>
      </c>
      <c r="Q136" s="26" t="s">
        <v>204</v>
      </c>
      <c r="R136" s="27" t="s">
        <v>153</v>
      </c>
      <c r="S136" s="28" t="s">
        <v>163</v>
      </c>
      <c r="T136" s="29" t="s">
        <v>205</v>
      </c>
      <c r="U136" s="30" t="s">
        <v>237</v>
      </c>
      <c r="V136" s="31" t="s">
        <v>3073</v>
      </c>
      <c r="W136" s="32">
        <v>15700</v>
      </c>
      <c r="X136" s="33" t="s">
        <v>3074</v>
      </c>
      <c r="Y136" s="34" t="s">
        <v>153</v>
      </c>
      <c r="Z136" s="35" t="s">
        <v>153</v>
      </c>
      <c r="AA136" s="36">
        <v>1851</v>
      </c>
      <c r="AB136" s="37" t="s">
        <v>153</v>
      </c>
      <c r="AC136" s="38" t="s">
        <v>153</v>
      </c>
      <c r="AD136" s="39" t="s">
        <v>153</v>
      </c>
      <c r="AE136" s="40" t="s">
        <v>153</v>
      </c>
      <c r="AF136" s="41" t="s">
        <v>153</v>
      </c>
      <c r="AG136" s="42" t="s">
        <v>153</v>
      </c>
      <c r="AH136" s="43" t="s">
        <v>153</v>
      </c>
      <c r="AI136" s="44" t="s">
        <v>153</v>
      </c>
      <c r="AJ136" s="45" t="s">
        <v>153</v>
      </c>
      <c r="AK136" s="46" t="s">
        <v>153</v>
      </c>
      <c r="AL136" s="47" t="s">
        <v>153</v>
      </c>
      <c r="AM136" s="48" t="s">
        <v>153</v>
      </c>
      <c r="AN136" s="49" t="s">
        <v>2438</v>
      </c>
      <c r="AO136" s="50" t="s">
        <v>153</v>
      </c>
      <c r="AP136" s="51" t="s">
        <v>153</v>
      </c>
      <c r="AQ136" s="52" t="s">
        <v>153</v>
      </c>
      <c r="AR136" s="53" t="s">
        <v>153</v>
      </c>
      <c r="AS136" s="54" t="s">
        <v>153</v>
      </c>
      <c r="AT136" s="55" t="s">
        <v>3075</v>
      </c>
      <c r="AU136" s="56" t="s">
        <v>153</v>
      </c>
      <c r="AV136" s="57" t="s">
        <v>153</v>
      </c>
      <c r="AW136" s="58" t="s">
        <v>3076</v>
      </c>
      <c r="AX136" s="59" t="s">
        <v>153</v>
      </c>
      <c r="AY136" s="60" t="s">
        <v>3077</v>
      </c>
      <c r="AZ136" s="61" t="s">
        <v>352</v>
      </c>
      <c r="BA136" s="62" t="s">
        <v>153</v>
      </c>
      <c r="BB136" s="63" t="s">
        <v>153</v>
      </c>
      <c r="BC136" s="64" t="s">
        <v>153</v>
      </c>
      <c r="BD136" s="65" t="s">
        <v>180</v>
      </c>
      <c r="BE136" s="66" t="s">
        <v>181</v>
      </c>
      <c r="BF136" s="67" t="s">
        <v>3078</v>
      </c>
      <c r="BG136" s="68" t="s">
        <v>153</v>
      </c>
      <c r="BH136" s="69" t="s">
        <v>153</v>
      </c>
      <c r="BI136" s="70" t="s">
        <v>3079</v>
      </c>
      <c r="BJ136" s="71" t="s">
        <v>3080</v>
      </c>
      <c r="BK136" s="72" t="s">
        <v>3081</v>
      </c>
      <c r="BL136" s="73" t="s">
        <v>153</v>
      </c>
      <c r="BM136" s="74" t="s">
        <v>3082</v>
      </c>
      <c r="BN136" s="75" t="s">
        <v>3083</v>
      </c>
      <c r="BO136" s="76" t="s">
        <v>3084</v>
      </c>
      <c r="BP136" s="77" t="s">
        <v>3085</v>
      </c>
      <c r="BQ136" s="78">
        <v>32449</v>
      </c>
      <c r="BR136" s="79">
        <v>15</v>
      </c>
      <c r="BS136" s="80" t="s">
        <v>186</v>
      </c>
      <c r="BT136" s="81">
        <v>1500</v>
      </c>
      <c r="BU136" s="82" t="s">
        <v>187</v>
      </c>
      <c r="BV136" s="83" t="s">
        <v>906</v>
      </c>
      <c r="BW136" s="84" t="s">
        <v>153</v>
      </c>
      <c r="BX136" s="85" t="s">
        <v>153</v>
      </c>
      <c r="BY136" s="86" t="s">
        <v>225</v>
      </c>
      <c r="BZ136" s="87" t="s">
        <v>153</v>
      </c>
      <c r="CA136" s="88" t="s">
        <v>394</v>
      </c>
      <c r="CB136" s="89">
        <v>39052</v>
      </c>
      <c r="CC136" s="90">
        <v>21400</v>
      </c>
      <c r="CD136" s="91" t="s">
        <v>186</v>
      </c>
      <c r="CE136" s="92">
        <v>21400</v>
      </c>
      <c r="CF136" s="93" t="s">
        <v>186</v>
      </c>
      <c r="CG136" s="94" t="s">
        <v>226</v>
      </c>
      <c r="CH136" s="95" t="s">
        <v>930</v>
      </c>
      <c r="CI136" s="96" t="s">
        <v>153</v>
      </c>
      <c r="CJ136" s="97" t="s">
        <v>225</v>
      </c>
      <c r="CK136" s="98">
        <v>39052</v>
      </c>
      <c r="CL136" s="99" t="s">
        <v>153</v>
      </c>
      <c r="CM136" s="100" t="s">
        <v>1607</v>
      </c>
      <c r="CN136" s="101" t="s">
        <v>190</v>
      </c>
      <c r="CO136" s="102" t="s">
        <v>153</v>
      </c>
      <c r="CP136" s="103" t="s">
        <v>153</v>
      </c>
      <c r="CQ136" s="104" t="s">
        <v>153</v>
      </c>
      <c r="CR136" s="105" t="s">
        <v>153</v>
      </c>
      <c r="CS136" s="106" t="s">
        <v>153</v>
      </c>
      <c r="CT136" s="107" t="s">
        <v>153</v>
      </c>
      <c r="CU136" s="108" t="s">
        <v>153</v>
      </c>
      <c r="CV136" s="109" t="s">
        <v>153</v>
      </c>
      <c r="CW136" s="110" t="s">
        <v>153</v>
      </c>
      <c r="CX136" s="111" t="s">
        <v>153</v>
      </c>
      <c r="CY136" s="112" t="s">
        <v>153</v>
      </c>
      <c r="CZ136" s="113" t="s">
        <v>153</v>
      </c>
      <c r="DA136" s="114" t="s">
        <v>153</v>
      </c>
      <c r="DB136" s="115" t="s">
        <v>153</v>
      </c>
      <c r="DC136" s="116" t="s">
        <v>153</v>
      </c>
      <c r="DD136" s="117" t="s">
        <v>153</v>
      </c>
      <c r="DE136" s="118" t="s">
        <v>153</v>
      </c>
      <c r="DF136" s="119" t="s">
        <v>153</v>
      </c>
      <c r="DG136" s="120" t="s">
        <v>153</v>
      </c>
      <c r="DH136" s="121" t="s">
        <v>153</v>
      </c>
      <c r="DI136" s="122" t="s">
        <v>153</v>
      </c>
      <c r="DJ136" s="123" t="s">
        <v>153</v>
      </c>
      <c r="DK136" s="124" t="s">
        <v>153</v>
      </c>
      <c r="DL136" s="125" t="s">
        <v>153</v>
      </c>
      <c r="DM136" s="126" t="s">
        <v>153</v>
      </c>
      <c r="DN136" s="127" t="s">
        <v>153</v>
      </c>
      <c r="DO136" s="128" t="s">
        <v>153</v>
      </c>
      <c r="DP136" s="129" t="s">
        <v>153</v>
      </c>
      <c r="DQ136" s="130" t="s">
        <v>153</v>
      </c>
      <c r="DR136" s="131" t="s">
        <v>153</v>
      </c>
      <c r="DS136" s="132" t="s">
        <v>153</v>
      </c>
      <c r="DT136" s="133" t="s">
        <v>153</v>
      </c>
      <c r="DU136" s="134" t="s">
        <v>153</v>
      </c>
      <c r="DV136" s="135" t="s">
        <v>153</v>
      </c>
      <c r="DW136" s="136" t="s">
        <v>153</v>
      </c>
      <c r="DX136" s="137" t="s">
        <v>153</v>
      </c>
      <c r="DY136" s="138" t="s">
        <v>153</v>
      </c>
      <c r="DZ136" s="139" t="s">
        <v>191</v>
      </c>
      <c r="EA136" s="140">
        <v>44147</v>
      </c>
      <c r="EB136" s="141">
        <v>21400</v>
      </c>
      <c r="EC136" s="142">
        <v>39052</v>
      </c>
      <c r="ED136" s="143" t="s">
        <v>226</v>
      </c>
      <c r="EE136" s="278" t="str">
        <f>HYPERLINK("https://my.pitchbook.com?c=51709-87", "View company online")</f>
        <v>View company online</v>
      </c>
    </row>
    <row r="137" spans="1:135" x14ac:dyDescent="0.45">
      <c r="A137" s="144" t="s">
        <v>3086</v>
      </c>
      <c r="B137" s="145" t="s">
        <v>3087</v>
      </c>
      <c r="C137" s="146" t="s">
        <v>153</v>
      </c>
      <c r="D137" s="147" t="s">
        <v>153</v>
      </c>
      <c r="E137" s="148" t="s">
        <v>3088</v>
      </c>
      <c r="F137" s="149" t="s">
        <v>3089</v>
      </c>
      <c r="G137" s="150" t="s">
        <v>3090</v>
      </c>
      <c r="H137" s="151" t="s">
        <v>3091</v>
      </c>
      <c r="I137" s="152" t="s">
        <v>3086</v>
      </c>
      <c r="J137" s="153" t="s">
        <v>3092</v>
      </c>
      <c r="K137" s="154" t="s">
        <v>157</v>
      </c>
      <c r="L137" s="155" t="s">
        <v>158</v>
      </c>
      <c r="M137" s="156" t="s">
        <v>159</v>
      </c>
      <c r="N137" s="157" t="s">
        <v>3093</v>
      </c>
      <c r="O137" s="158" t="s">
        <v>153</v>
      </c>
      <c r="P137" s="159" t="s">
        <v>3094</v>
      </c>
      <c r="Q137" s="160" t="s">
        <v>367</v>
      </c>
      <c r="R137" s="161">
        <v>1375.83</v>
      </c>
      <c r="S137" s="162" t="s">
        <v>290</v>
      </c>
      <c r="T137" s="163" t="s">
        <v>291</v>
      </c>
      <c r="U137" s="164" t="s">
        <v>369</v>
      </c>
      <c r="V137" s="165" t="s">
        <v>3095</v>
      </c>
      <c r="W137" s="166">
        <v>3984</v>
      </c>
      <c r="X137" s="167" t="s">
        <v>3096</v>
      </c>
      <c r="Y137" s="168" t="s">
        <v>3097</v>
      </c>
      <c r="Z137" s="169" t="s">
        <v>3098</v>
      </c>
      <c r="AA137" s="170">
        <v>1998</v>
      </c>
      <c r="AB137" s="171" t="s">
        <v>153</v>
      </c>
      <c r="AC137" s="172" t="s">
        <v>671</v>
      </c>
      <c r="AD137" s="173" t="s">
        <v>3099</v>
      </c>
      <c r="AE137" s="174">
        <v>3099.2</v>
      </c>
      <c r="AF137" s="175">
        <v>1118.31</v>
      </c>
      <c r="AG137" s="176">
        <v>1836.31</v>
      </c>
      <c r="AH137" s="177">
        <v>21948.92</v>
      </c>
      <c r="AI137" s="178">
        <v>2941.81</v>
      </c>
      <c r="AJ137" s="179">
        <v>2894.74</v>
      </c>
      <c r="AK137" s="180">
        <v>20688.36</v>
      </c>
      <c r="AL137" s="181">
        <v>4742.62</v>
      </c>
      <c r="AM137" s="182">
        <v>21.73</v>
      </c>
      <c r="AN137" s="183" t="s">
        <v>376</v>
      </c>
      <c r="AO137" s="184" t="s">
        <v>3100</v>
      </c>
      <c r="AP137" s="185" t="s">
        <v>3101</v>
      </c>
      <c r="AQ137" s="186" t="s">
        <v>3102</v>
      </c>
      <c r="AR137" s="187" t="s">
        <v>3103</v>
      </c>
      <c r="AS137" s="188" t="s">
        <v>3104</v>
      </c>
      <c r="AT137" s="189" t="s">
        <v>3075</v>
      </c>
      <c r="AU137" s="190" t="s">
        <v>3105</v>
      </c>
      <c r="AV137" s="191" t="s">
        <v>153</v>
      </c>
      <c r="AW137" s="192" t="s">
        <v>3076</v>
      </c>
      <c r="AX137" s="193" t="s">
        <v>153</v>
      </c>
      <c r="AY137" s="194" t="s">
        <v>3106</v>
      </c>
      <c r="AZ137" s="195" t="s">
        <v>352</v>
      </c>
      <c r="BA137" s="196" t="s">
        <v>3104</v>
      </c>
      <c r="BB137" s="197" t="s">
        <v>3107</v>
      </c>
      <c r="BC137" s="198" t="s">
        <v>3108</v>
      </c>
      <c r="BD137" s="199" t="s">
        <v>180</v>
      </c>
      <c r="BE137" s="200" t="s">
        <v>181</v>
      </c>
      <c r="BF137" s="201" t="s">
        <v>3109</v>
      </c>
      <c r="BG137" s="202" t="s">
        <v>153</v>
      </c>
      <c r="BH137" s="203" t="s">
        <v>153</v>
      </c>
      <c r="BI137" s="204" t="s">
        <v>153</v>
      </c>
      <c r="BJ137" s="205" t="s">
        <v>3110</v>
      </c>
      <c r="BK137" s="206" t="s">
        <v>3091</v>
      </c>
      <c r="BL137" s="207" t="s">
        <v>153</v>
      </c>
      <c r="BM137" s="208" t="s">
        <v>3111</v>
      </c>
      <c r="BN137" s="209" t="s">
        <v>3112</v>
      </c>
      <c r="BO137" s="210" t="s">
        <v>153</v>
      </c>
      <c r="BP137" s="211" t="s">
        <v>3113</v>
      </c>
      <c r="BQ137" s="212">
        <v>36202</v>
      </c>
      <c r="BR137" s="213" t="s">
        <v>153</v>
      </c>
      <c r="BS137" s="214" t="s">
        <v>153</v>
      </c>
      <c r="BT137" s="215" t="s">
        <v>153</v>
      </c>
      <c r="BU137" s="216" t="s">
        <v>153</v>
      </c>
      <c r="BV137" s="217" t="s">
        <v>251</v>
      </c>
      <c r="BW137" s="218" t="s">
        <v>153</v>
      </c>
      <c r="BX137" s="219" t="s">
        <v>153</v>
      </c>
      <c r="BY137" s="220" t="s">
        <v>252</v>
      </c>
      <c r="BZ137" s="221" t="s">
        <v>153</v>
      </c>
      <c r="CA137" s="222" t="s">
        <v>190</v>
      </c>
      <c r="CB137" s="223">
        <v>44403</v>
      </c>
      <c r="CC137" s="224">
        <v>21324.04</v>
      </c>
      <c r="CD137" s="225" t="s">
        <v>186</v>
      </c>
      <c r="CE137" s="226">
        <v>21324.04</v>
      </c>
      <c r="CF137" s="227" t="s">
        <v>187</v>
      </c>
      <c r="CG137" s="228" t="s">
        <v>226</v>
      </c>
      <c r="CH137" s="229" t="s">
        <v>153</v>
      </c>
      <c r="CI137" s="230" t="s">
        <v>153</v>
      </c>
      <c r="CJ137" s="231" t="s">
        <v>225</v>
      </c>
      <c r="CK137" s="232">
        <v>44403</v>
      </c>
      <c r="CL137" s="233" t="s">
        <v>153</v>
      </c>
      <c r="CM137" s="234" t="s">
        <v>153</v>
      </c>
      <c r="CN137" s="235" t="s">
        <v>394</v>
      </c>
      <c r="CO137" s="236">
        <v>0.44</v>
      </c>
      <c r="CP137" s="237">
        <v>93</v>
      </c>
      <c r="CQ137" s="238">
        <v>-7.0000000000000007E-2</v>
      </c>
      <c r="CR137" s="239">
        <v>-13.65</v>
      </c>
      <c r="CS137" s="240">
        <v>0.99</v>
      </c>
      <c r="CT137" s="241">
        <v>95</v>
      </c>
      <c r="CU137" s="242">
        <v>-0.11</v>
      </c>
      <c r="CV137" s="243">
        <v>17</v>
      </c>
      <c r="CW137" s="244" t="s">
        <v>153</v>
      </c>
      <c r="CX137" s="245" t="s">
        <v>153</v>
      </c>
      <c r="CY137" s="246">
        <v>0.99</v>
      </c>
      <c r="CZ137" s="247">
        <v>97</v>
      </c>
      <c r="DA137" s="248">
        <v>-0.11</v>
      </c>
      <c r="DB137" s="249">
        <v>17</v>
      </c>
      <c r="DC137" s="250">
        <v>50.87</v>
      </c>
      <c r="DD137" s="251">
        <v>98</v>
      </c>
      <c r="DE137" s="252">
        <v>0.05</v>
      </c>
      <c r="DF137" s="253">
        <v>0.09</v>
      </c>
      <c r="DG137" s="254">
        <v>87.31</v>
      </c>
      <c r="DH137" s="255">
        <v>99</v>
      </c>
      <c r="DI137" s="256">
        <v>14.44</v>
      </c>
      <c r="DJ137" s="257">
        <v>89</v>
      </c>
      <c r="DK137" s="258" t="s">
        <v>153</v>
      </c>
      <c r="DL137" s="259" t="s">
        <v>153</v>
      </c>
      <c r="DM137" s="260">
        <v>87.31</v>
      </c>
      <c r="DN137" s="261">
        <v>99</v>
      </c>
      <c r="DO137" s="262">
        <v>14.44</v>
      </c>
      <c r="DP137" s="263">
        <v>89</v>
      </c>
      <c r="DQ137" s="264" t="s">
        <v>153</v>
      </c>
      <c r="DR137" s="265" t="s">
        <v>153</v>
      </c>
      <c r="DS137" s="266" t="s">
        <v>153</v>
      </c>
      <c r="DT137" s="267">
        <v>1397</v>
      </c>
      <c r="DU137" s="268">
        <v>1</v>
      </c>
      <c r="DV137" s="269">
        <v>7.0000000000000007E-2</v>
      </c>
      <c r="DW137" s="270">
        <v>4533</v>
      </c>
      <c r="DX137" s="271">
        <v>-3</v>
      </c>
      <c r="DY137" s="272">
        <v>-7.0000000000000007E-2</v>
      </c>
      <c r="DZ137" s="273" t="s">
        <v>191</v>
      </c>
      <c r="EA137" s="274">
        <v>44403</v>
      </c>
      <c r="EB137" s="275">
        <v>21324.04</v>
      </c>
      <c r="EC137" s="276">
        <v>44403</v>
      </c>
      <c r="ED137" s="277" t="s">
        <v>226</v>
      </c>
      <c r="EE137" s="279" t="str">
        <f>HYPERLINK("https://my.pitchbook.com?c=42199-93", "View company online")</f>
        <v>View company online</v>
      </c>
    </row>
    <row r="138" spans="1:135" x14ac:dyDescent="0.45">
      <c r="A138" s="10" t="s">
        <v>3114</v>
      </c>
      <c r="B138" s="11" t="s">
        <v>3115</v>
      </c>
      <c r="C138" s="12" t="s">
        <v>153</v>
      </c>
      <c r="D138" s="13" t="s">
        <v>153</v>
      </c>
      <c r="E138" s="14" t="s">
        <v>3116</v>
      </c>
      <c r="F138" s="15" t="s">
        <v>3117</v>
      </c>
      <c r="G138" s="16" t="s">
        <v>153</v>
      </c>
      <c r="H138" s="17" t="s">
        <v>153</v>
      </c>
      <c r="I138" s="18" t="s">
        <v>3114</v>
      </c>
      <c r="J138" s="19" t="s">
        <v>3118</v>
      </c>
      <c r="K138" s="20" t="s">
        <v>792</v>
      </c>
      <c r="L138" s="21" t="s">
        <v>793</v>
      </c>
      <c r="M138" s="22" t="s">
        <v>3119</v>
      </c>
      <c r="N138" s="23" t="s">
        <v>3120</v>
      </c>
      <c r="O138" s="24" t="s">
        <v>796</v>
      </c>
      <c r="P138" s="25" t="s">
        <v>3121</v>
      </c>
      <c r="Q138" s="26" t="s">
        <v>564</v>
      </c>
      <c r="R138" s="27">
        <v>4567</v>
      </c>
      <c r="S138" s="28" t="s">
        <v>290</v>
      </c>
      <c r="T138" s="29" t="s">
        <v>205</v>
      </c>
      <c r="U138" s="30" t="s">
        <v>1063</v>
      </c>
      <c r="V138" s="31" t="s">
        <v>153</v>
      </c>
      <c r="W138" s="32">
        <v>2575</v>
      </c>
      <c r="X138" s="33" t="s">
        <v>3122</v>
      </c>
      <c r="Y138" s="34" t="s">
        <v>153</v>
      </c>
      <c r="Z138" s="35" t="s">
        <v>153</v>
      </c>
      <c r="AA138" s="36">
        <v>1995</v>
      </c>
      <c r="AB138" s="37" t="s">
        <v>3123</v>
      </c>
      <c r="AC138" s="38" t="s">
        <v>153</v>
      </c>
      <c r="AD138" s="39" t="s">
        <v>153</v>
      </c>
      <c r="AE138" s="40" t="s">
        <v>153</v>
      </c>
      <c r="AF138" s="41" t="s">
        <v>153</v>
      </c>
      <c r="AG138" s="42" t="s">
        <v>153</v>
      </c>
      <c r="AH138" s="43" t="s">
        <v>153</v>
      </c>
      <c r="AI138" s="44" t="s">
        <v>153</v>
      </c>
      <c r="AJ138" s="45" t="s">
        <v>153</v>
      </c>
      <c r="AK138" s="46" t="s">
        <v>153</v>
      </c>
      <c r="AL138" s="47" t="s">
        <v>153</v>
      </c>
      <c r="AM138" s="48" t="s">
        <v>153</v>
      </c>
      <c r="AN138" s="49" t="s">
        <v>2112</v>
      </c>
      <c r="AO138" s="50" t="s">
        <v>153</v>
      </c>
      <c r="AP138" s="51" t="s">
        <v>153</v>
      </c>
      <c r="AQ138" s="52" t="s">
        <v>153</v>
      </c>
      <c r="AR138" s="53" t="s">
        <v>153</v>
      </c>
      <c r="AS138" s="54" t="s">
        <v>153</v>
      </c>
      <c r="AT138" s="55" t="s">
        <v>3124</v>
      </c>
      <c r="AU138" s="56" t="s">
        <v>3125</v>
      </c>
      <c r="AV138" s="57" t="s">
        <v>153</v>
      </c>
      <c r="AW138" s="58" t="s">
        <v>3126</v>
      </c>
      <c r="AX138" s="59" t="s">
        <v>1128</v>
      </c>
      <c r="AY138" s="60" t="s">
        <v>3127</v>
      </c>
      <c r="AZ138" s="61" t="s">
        <v>215</v>
      </c>
      <c r="BA138" s="62" t="s">
        <v>153</v>
      </c>
      <c r="BB138" s="63" t="s">
        <v>153</v>
      </c>
      <c r="BC138" s="64" t="s">
        <v>153</v>
      </c>
      <c r="BD138" s="65" t="s">
        <v>216</v>
      </c>
      <c r="BE138" s="66" t="s">
        <v>217</v>
      </c>
      <c r="BF138" s="67" t="s">
        <v>3128</v>
      </c>
      <c r="BG138" s="68" t="s">
        <v>153</v>
      </c>
      <c r="BH138" s="69" t="s">
        <v>153</v>
      </c>
      <c r="BI138" s="70" t="s">
        <v>3123</v>
      </c>
      <c r="BJ138" s="71" t="s">
        <v>3129</v>
      </c>
      <c r="BK138" s="72" t="s">
        <v>153</v>
      </c>
      <c r="BL138" s="73" t="s">
        <v>153</v>
      </c>
      <c r="BM138" s="74" t="s">
        <v>3130</v>
      </c>
      <c r="BN138" s="75" t="s">
        <v>153</v>
      </c>
      <c r="BO138" s="76" t="s">
        <v>3131</v>
      </c>
      <c r="BP138" s="77" t="s">
        <v>3132</v>
      </c>
      <c r="BQ138" s="78">
        <v>37530</v>
      </c>
      <c r="BR138" s="79" t="s">
        <v>153</v>
      </c>
      <c r="BS138" s="80" t="s">
        <v>153</v>
      </c>
      <c r="BT138" s="81" t="s">
        <v>153</v>
      </c>
      <c r="BU138" s="82" t="s">
        <v>153</v>
      </c>
      <c r="BV138" s="83" t="s">
        <v>709</v>
      </c>
      <c r="BW138" s="84" t="s">
        <v>153</v>
      </c>
      <c r="BX138" s="85" t="s">
        <v>153</v>
      </c>
      <c r="BY138" s="86" t="s">
        <v>165</v>
      </c>
      <c r="BZ138" s="87" t="s">
        <v>153</v>
      </c>
      <c r="CA138" s="88" t="s">
        <v>190</v>
      </c>
      <c r="CB138" s="89">
        <v>42853</v>
      </c>
      <c r="CC138" s="90">
        <v>21320</v>
      </c>
      <c r="CD138" s="91" t="s">
        <v>186</v>
      </c>
      <c r="CE138" s="92">
        <v>21320</v>
      </c>
      <c r="CF138" s="93" t="s">
        <v>187</v>
      </c>
      <c r="CG138" s="94" t="s">
        <v>226</v>
      </c>
      <c r="CH138" s="95" t="s">
        <v>153</v>
      </c>
      <c r="CI138" s="96" t="s">
        <v>153</v>
      </c>
      <c r="CJ138" s="97" t="s">
        <v>225</v>
      </c>
      <c r="CK138" s="98">
        <v>42853</v>
      </c>
      <c r="CL138" s="99" t="s">
        <v>153</v>
      </c>
      <c r="CM138" s="100" t="s">
        <v>153</v>
      </c>
      <c r="CN138" s="101" t="s">
        <v>190</v>
      </c>
      <c r="CO138" s="102" t="s">
        <v>153</v>
      </c>
      <c r="CP138" s="103" t="s">
        <v>153</v>
      </c>
      <c r="CQ138" s="104" t="s">
        <v>153</v>
      </c>
      <c r="CR138" s="105" t="s">
        <v>153</v>
      </c>
      <c r="CS138" s="106" t="s">
        <v>153</v>
      </c>
      <c r="CT138" s="107" t="s">
        <v>153</v>
      </c>
      <c r="CU138" s="108" t="s">
        <v>153</v>
      </c>
      <c r="CV138" s="109" t="s">
        <v>153</v>
      </c>
      <c r="CW138" s="110" t="s">
        <v>153</v>
      </c>
      <c r="CX138" s="111" t="s">
        <v>153</v>
      </c>
      <c r="CY138" s="112" t="s">
        <v>153</v>
      </c>
      <c r="CZ138" s="113" t="s">
        <v>153</v>
      </c>
      <c r="DA138" s="114" t="s">
        <v>153</v>
      </c>
      <c r="DB138" s="115" t="s">
        <v>153</v>
      </c>
      <c r="DC138" s="116" t="s">
        <v>153</v>
      </c>
      <c r="DD138" s="117" t="s">
        <v>153</v>
      </c>
      <c r="DE138" s="118" t="s">
        <v>153</v>
      </c>
      <c r="DF138" s="119" t="s">
        <v>153</v>
      </c>
      <c r="DG138" s="120" t="s">
        <v>153</v>
      </c>
      <c r="DH138" s="121" t="s">
        <v>153</v>
      </c>
      <c r="DI138" s="122" t="s">
        <v>153</v>
      </c>
      <c r="DJ138" s="123" t="s">
        <v>153</v>
      </c>
      <c r="DK138" s="124" t="s">
        <v>153</v>
      </c>
      <c r="DL138" s="125" t="s">
        <v>153</v>
      </c>
      <c r="DM138" s="126" t="s">
        <v>153</v>
      </c>
      <c r="DN138" s="127" t="s">
        <v>153</v>
      </c>
      <c r="DO138" s="128" t="s">
        <v>153</v>
      </c>
      <c r="DP138" s="129" t="s">
        <v>153</v>
      </c>
      <c r="DQ138" s="130" t="s">
        <v>153</v>
      </c>
      <c r="DR138" s="131" t="s">
        <v>153</v>
      </c>
      <c r="DS138" s="132" t="s">
        <v>153</v>
      </c>
      <c r="DT138" s="133" t="s">
        <v>153</v>
      </c>
      <c r="DU138" s="134" t="s">
        <v>153</v>
      </c>
      <c r="DV138" s="135" t="s">
        <v>153</v>
      </c>
      <c r="DW138" s="136" t="s">
        <v>153</v>
      </c>
      <c r="DX138" s="137" t="s">
        <v>153</v>
      </c>
      <c r="DY138" s="138" t="s">
        <v>153</v>
      </c>
      <c r="DZ138" s="139" t="s">
        <v>191</v>
      </c>
      <c r="EA138" s="140">
        <v>44368</v>
      </c>
      <c r="EB138" s="141">
        <v>21320</v>
      </c>
      <c r="EC138" s="142">
        <v>42853</v>
      </c>
      <c r="ED138" s="143" t="s">
        <v>226</v>
      </c>
      <c r="EE138" s="278" t="str">
        <f>HYPERLINK("https://my.pitchbook.com?c=12173-68", "View company online")</f>
        <v>View company online</v>
      </c>
    </row>
    <row r="139" spans="1:135" x14ac:dyDescent="0.45">
      <c r="A139" s="144" t="s">
        <v>3133</v>
      </c>
      <c r="B139" s="145" t="s">
        <v>3134</v>
      </c>
      <c r="C139" s="146" t="s">
        <v>153</v>
      </c>
      <c r="D139" s="147" t="s">
        <v>153</v>
      </c>
      <c r="E139" s="148" t="s">
        <v>3135</v>
      </c>
      <c r="F139" s="149" t="s">
        <v>3136</v>
      </c>
      <c r="G139" s="150" t="s">
        <v>3137</v>
      </c>
      <c r="H139" s="151" t="s">
        <v>3138</v>
      </c>
      <c r="I139" s="152" t="s">
        <v>3133</v>
      </c>
      <c r="J139" s="153" t="s">
        <v>3139</v>
      </c>
      <c r="K139" s="154" t="s">
        <v>882</v>
      </c>
      <c r="L139" s="155" t="s">
        <v>1257</v>
      </c>
      <c r="M139" s="156" t="s">
        <v>2561</v>
      </c>
      <c r="N139" s="157" t="s">
        <v>3140</v>
      </c>
      <c r="O139" s="158" t="s">
        <v>3141</v>
      </c>
      <c r="P139" s="159" t="s">
        <v>3142</v>
      </c>
      <c r="Q139" s="160" t="s">
        <v>204</v>
      </c>
      <c r="R139" s="161">
        <v>117.52</v>
      </c>
      <c r="S139" s="162" t="s">
        <v>290</v>
      </c>
      <c r="T139" s="163" t="s">
        <v>164</v>
      </c>
      <c r="U139" s="164" t="s">
        <v>2534</v>
      </c>
      <c r="V139" s="165" t="s">
        <v>3143</v>
      </c>
      <c r="W139" s="166">
        <v>13880</v>
      </c>
      <c r="X139" s="167" t="s">
        <v>3144</v>
      </c>
      <c r="Y139" s="168" t="s">
        <v>153</v>
      </c>
      <c r="Z139" s="169" t="s">
        <v>153</v>
      </c>
      <c r="AA139" s="170">
        <v>2003</v>
      </c>
      <c r="AB139" s="171" t="s">
        <v>3145</v>
      </c>
      <c r="AC139" s="172" t="s">
        <v>153</v>
      </c>
      <c r="AD139" s="173" t="s">
        <v>428</v>
      </c>
      <c r="AE139" s="174" t="s">
        <v>153</v>
      </c>
      <c r="AF139" s="175" t="s">
        <v>153</v>
      </c>
      <c r="AG139" s="176" t="s">
        <v>153</v>
      </c>
      <c r="AH139" s="177" t="s">
        <v>153</v>
      </c>
      <c r="AI139" s="178" t="s">
        <v>153</v>
      </c>
      <c r="AJ139" s="179" t="s">
        <v>153</v>
      </c>
      <c r="AK139" s="180" t="s">
        <v>153</v>
      </c>
      <c r="AL139" s="181" t="s">
        <v>153</v>
      </c>
      <c r="AM139" s="182" t="s">
        <v>153</v>
      </c>
      <c r="AN139" s="183" t="s">
        <v>1442</v>
      </c>
      <c r="AO139" s="184" t="s">
        <v>3146</v>
      </c>
      <c r="AP139" s="185" t="s">
        <v>3147</v>
      </c>
      <c r="AQ139" s="186" t="s">
        <v>3148</v>
      </c>
      <c r="AR139" s="187" t="s">
        <v>3149</v>
      </c>
      <c r="AS139" s="188" t="s">
        <v>3150</v>
      </c>
      <c r="AT139" s="189" t="s">
        <v>2116</v>
      </c>
      <c r="AU139" s="190" t="s">
        <v>3151</v>
      </c>
      <c r="AV139" s="191" t="s">
        <v>153</v>
      </c>
      <c r="AW139" s="192" t="s">
        <v>2119</v>
      </c>
      <c r="AX139" s="193" t="s">
        <v>153</v>
      </c>
      <c r="AY139" s="194" t="s">
        <v>3152</v>
      </c>
      <c r="AZ139" s="195" t="s">
        <v>2121</v>
      </c>
      <c r="BA139" s="196" t="s">
        <v>3150</v>
      </c>
      <c r="BB139" s="197" t="s">
        <v>153</v>
      </c>
      <c r="BC139" s="198" t="s">
        <v>153</v>
      </c>
      <c r="BD139" s="199" t="s">
        <v>180</v>
      </c>
      <c r="BE139" s="200" t="s">
        <v>684</v>
      </c>
      <c r="BF139" s="201" t="s">
        <v>3153</v>
      </c>
      <c r="BG139" s="202" t="s">
        <v>3154</v>
      </c>
      <c r="BH139" s="203">
        <v>1</v>
      </c>
      <c r="BI139" s="204" t="s">
        <v>3145</v>
      </c>
      <c r="BJ139" s="205" t="s">
        <v>3155</v>
      </c>
      <c r="BK139" s="206" t="s">
        <v>3156</v>
      </c>
      <c r="BL139" s="207" t="s">
        <v>3157</v>
      </c>
      <c r="BM139" s="208" t="s">
        <v>3158</v>
      </c>
      <c r="BN139" s="209" t="s">
        <v>153</v>
      </c>
      <c r="BO139" s="210" t="s">
        <v>3159</v>
      </c>
      <c r="BP139" s="211" t="s">
        <v>3160</v>
      </c>
      <c r="BQ139" s="212">
        <v>37774</v>
      </c>
      <c r="BR139" s="213" t="s">
        <v>153</v>
      </c>
      <c r="BS139" s="214" t="s">
        <v>153</v>
      </c>
      <c r="BT139" s="215" t="s">
        <v>153</v>
      </c>
      <c r="BU139" s="216" t="s">
        <v>153</v>
      </c>
      <c r="BV139" s="217" t="s">
        <v>251</v>
      </c>
      <c r="BW139" s="218" t="s">
        <v>153</v>
      </c>
      <c r="BX139" s="219" t="s">
        <v>153</v>
      </c>
      <c r="BY139" s="220" t="s">
        <v>252</v>
      </c>
      <c r="BZ139" s="221" t="s">
        <v>153</v>
      </c>
      <c r="CA139" s="222" t="s">
        <v>190</v>
      </c>
      <c r="CB139" s="223">
        <v>43308</v>
      </c>
      <c r="CC139" s="224">
        <v>21260.76</v>
      </c>
      <c r="CD139" s="225" t="s">
        <v>187</v>
      </c>
      <c r="CE139" s="226">
        <v>21260.76</v>
      </c>
      <c r="CF139" s="227" t="s">
        <v>187</v>
      </c>
      <c r="CG139" s="228" t="s">
        <v>226</v>
      </c>
      <c r="CH139" s="229" t="s">
        <v>153</v>
      </c>
      <c r="CI139" s="230" t="s">
        <v>153</v>
      </c>
      <c r="CJ139" s="231" t="s">
        <v>225</v>
      </c>
      <c r="CK139" s="232">
        <v>43308</v>
      </c>
      <c r="CL139" s="233" t="s">
        <v>153</v>
      </c>
      <c r="CM139" s="234" t="s">
        <v>153</v>
      </c>
      <c r="CN139" s="235" t="s">
        <v>190</v>
      </c>
      <c r="CO139" s="236">
        <v>0.1</v>
      </c>
      <c r="CP139" s="237">
        <v>89</v>
      </c>
      <c r="CQ139" s="238">
        <v>-0.08</v>
      </c>
      <c r="CR139" s="239">
        <v>-44.52</v>
      </c>
      <c r="CS139" s="240">
        <v>0.19</v>
      </c>
      <c r="CT139" s="241">
        <v>90</v>
      </c>
      <c r="CU139" s="242">
        <v>0.01</v>
      </c>
      <c r="CV139" s="243">
        <v>77</v>
      </c>
      <c r="CW139" s="244" t="s">
        <v>153</v>
      </c>
      <c r="CX139" s="245" t="s">
        <v>153</v>
      </c>
      <c r="CY139" s="246">
        <v>0.19</v>
      </c>
      <c r="CZ139" s="247">
        <v>91</v>
      </c>
      <c r="DA139" s="248">
        <v>0.01</v>
      </c>
      <c r="DB139" s="249">
        <v>77</v>
      </c>
      <c r="DC139" s="250">
        <v>42.09</v>
      </c>
      <c r="DD139" s="251">
        <v>98</v>
      </c>
      <c r="DE139" s="252">
        <v>-0.09</v>
      </c>
      <c r="DF139" s="253">
        <v>-0.21</v>
      </c>
      <c r="DG139" s="254">
        <v>73.81</v>
      </c>
      <c r="DH139" s="255">
        <v>99</v>
      </c>
      <c r="DI139" s="256">
        <v>10.36</v>
      </c>
      <c r="DJ139" s="257">
        <v>87</v>
      </c>
      <c r="DK139" s="258" t="s">
        <v>153</v>
      </c>
      <c r="DL139" s="259" t="s">
        <v>153</v>
      </c>
      <c r="DM139" s="260">
        <v>73.81</v>
      </c>
      <c r="DN139" s="261">
        <v>99</v>
      </c>
      <c r="DO139" s="262">
        <v>10.36</v>
      </c>
      <c r="DP139" s="263">
        <v>87</v>
      </c>
      <c r="DQ139" s="264" t="s">
        <v>153</v>
      </c>
      <c r="DR139" s="265" t="s">
        <v>153</v>
      </c>
      <c r="DS139" s="266" t="s">
        <v>153</v>
      </c>
      <c r="DT139" s="267">
        <v>1182</v>
      </c>
      <c r="DU139" s="268">
        <v>-2</v>
      </c>
      <c r="DV139" s="269">
        <v>-0.17</v>
      </c>
      <c r="DW139" s="270">
        <v>3253</v>
      </c>
      <c r="DX139" s="271">
        <v>4</v>
      </c>
      <c r="DY139" s="272">
        <v>0.12</v>
      </c>
      <c r="DZ139" s="273" t="s">
        <v>191</v>
      </c>
      <c r="EA139" s="274">
        <v>44366</v>
      </c>
      <c r="EB139" s="275">
        <v>21260.76</v>
      </c>
      <c r="EC139" s="276">
        <v>43308</v>
      </c>
      <c r="ED139" s="277" t="s">
        <v>226</v>
      </c>
      <c r="EE139" s="279" t="str">
        <f>HYPERLINK("https://my.pitchbook.com?c=43307-83", "View company online")</f>
        <v>View company online</v>
      </c>
    </row>
    <row r="140" spans="1:135" x14ac:dyDescent="0.45">
      <c r="A140" s="10" t="s">
        <v>3161</v>
      </c>
      <c r="B140" s="11" t="s">
        <v>3162</v>
      </c>
      <c r="C140" s="12" t="s">
        <v>153</v>
      </c>
      <c r="D140" s="13" t="s">
        <v>153</v>
      </c>
      <c r="E140" s="14" t="s">
        <v>153</v>
      </c>
      <c r="F140" s="15" t="s">
        <v>3163</v>
      </c>
      <c r="G140" s="16" t="s">
        <v>3164</v>
      </c>
      <c r="H140" s="17" t="s">
        <v>3165</v>
      </c>
      <c r="I140" s="18" t="s">
        <v>3161</v>
      </c>
      <c r="J140" s="19" t="s">
        <v>3166</v>
      </c>
      <c r="K140" s="20" t="s">
        <v>198</v>
      </c>
      <c r="L140" s="21" t="s">
        <v>199</v>
      </c>
      <c r="M140" s="22" t="s">
        <v>3167</v>
      </c>
      <c r="N140" s="23" t="s">
        <v>3168</v>
      </c>
      <c r="O140" s="24" t="s">
        <v>399</v>
      </c>
      <c r="P140" s="25" t="s">
        <v>3169</v>
      </c>
      <c r="Q140" s="26" t="s">
        <v>564</v>
      </c>
      <c r="R140" s="27" t="s">
        <v>153</v>
      </c>
      <c r="S140" s="28" t="s">
        <v>163</v>
      </c>
      <c r="T140" s="29" t="s">
        <v>205</v>
      </c>
      <c r="U140" s="30" t="s">
        <v>3170</v>
      </c>
      <c r="V140" s="31" t="s">
        <v>153</v>
      </c>
      <c r="W140" s="32">
        <v>6799</v>
      </c>
      <c r="X140" s="33" t="s">
        <v>3171</v>
      </c>
      <c r="Y140" s="34" t="s">
        <v>153</v>
      </c>
      <c r="Z140" s="35" t="s">
        <v>153</v>
      </c>
      <c r="AA140" s="36">
        <v>1987</v>
      </c>
      <c r="AB140" s="37" t="s">
        <v>153</v>
      </c>
      <c r="AC140" s="38" t="s">
        <v>153</v>
      </c>
      <c r="AD140" s="39" t="s">
        <v>153</v>
      </c>
      <c r="AE140" s="40" t="s">
        <v>153</v>
      </c>
      <c r="AF140" s="41" t="s">
        <v>153</v>
      </c>
      <c r="AG140" s="42" t="s">
        <v>153</v>
      </c>
      <c r="AH140" s="43" t="s">
        <v>153</v>
      </c>
      <c r="AI140" s="44" t="s">
        <v>153</v>
      </c>
      <c r="AJ140" s="45" t="s">
        <v>153</v>
      </c>
      <c r="AK140" s="46" t="s">
        <v>153</v>
      </c>
      <c r="AL140" s="47" t="s">
        <v>153</v>
      </c>
      <c r="AM140" s="48" t="s">
        <v>153</v>
      </c>
      <c r="AN140" s="49" t="s">
        <v>918</v>
      </c>
      <c r="AO140" s="50" t="s">
        <v>3172</v>
      </c>
      <c r="AP140" s="51" t="s">
        <v>3173</v>
      </c>
      <c r="AQ140" s="52" t="s">
        <v>512</v>
      </c>
      <c r="AR140" s="53" t="s">
        <v>3174</v>
      </c>
      <c r="AS140" s="54" t="s">
        <v>153</v>
      </c>
      <c r="AT140" s="55" t="s">
        <v>3175</v>
      </c>
      <c r="AU140" s="56" t="s">
        <v>3176</v>
      </c>
      <c r="AV140" s="57" t="s">
        <v>3177</v>
      </c>
      <c r="AW140" s="58" t="s">
        <v>3178</v>
      </c>
      <c r="AX140" s="59" t="s">
        <v>153</v>
      </c>
      <c r="AY140" s="60" t="s">
        <v>3179</v>
      </c>
      <c r="AZ140" s="61" t="s">
        <v>701</v>
      </c>
      <c r="BA140" s="62" t="s">
        <v>153</v>
      </c>
      <c r="BB140" s="63" t="s">
        <v>153</v>
      </c>
      <c r="BC140" s="64" t="s">
        <v>153</v>
      </c>
      <c r="BD140" s="65" t="s">
        <v>180</v>
      </c>
      <c r="BE140" s="66" t="s">
        <v>181</v>
      </c>
      <c r="BF140" s="67" t="s">
        <v>3180</v>
      </c>
      <c r="BG140" s="68" t="s">
        <v>1509</v>
      </c>
      <c r="BH140" s="69">
        <v>1</v>
      </c>
      <c r="BI140" s="70" t="s">
        <v>3181</v>
      </c>
      <c r="BJ140" s="71" t="s">
        <v>3182</v>
      </c>
      <c r="BK140" s="72" t="s">
        <v>3183</v>
      </c>
      <c r="BL140" s="73" t="s">
        <v>3184</v>
      </c>
      <c r="BM140" s="74" t="s">
        <v>3185</v>
      </c>
      <c r="BN140" s="75" t="s">
        <v>3186</v>
      </c>
      <c r="BO140" s="76" t="s">
        <v>3187</v>
      </c>
      <c r="BP140" s="77" t="s">
        <v>3188</v>
      </c>
      <c r="BQ140" s="78" t="s">
        <v>153</v>
      </c>
      <c r="BR140" s="79" t="s">
        <v>153</v>
      </c>
      <c r="BS140" s="80" t="s">
        <v>153</v>
      </c>
      <c r="BT140" s="81" t="s">
        <v>153</v>
      </c>
      <c r="BU140" s="82" t="s">
        <v>153</v>
      </c>
      <c r="BV140" s="83" t="s">
        <v>709</v>
      </c>
      <c r="BW140" s="84" t="s">
        <v>153</v>
      </c>
      <c r="BX140" s="85" t="s">
        <v>153</v>
      </c>
      <c r="BY140" s="86" t="s">
        <v>165</v>
      </c>
      <c r="BZ140" s="87" t="s">
        <v>153</v>
      </c>
      <c r="CA140" s="88" t="s">
        <v>190</v>
      </c>
      <c r="CB140" s="89">
        <v>41970</v>
      </c>
      <c r="CC140" s="90">
        <v>21220.01</v>
      </c>
      <c r="CD140" s="91" t="s">
        <v>186</v>
      </c>
      <c r="CE140" s="92">
        <v>21220.01</v>
      </c>
      <c r="CF140" s="93" t="s">
        <v>187</v>
      </c>
      <c r="CG140" s="94" t="s">
        <v>226</v>
      </c>
      <c r="CH140" s="95" t="s">
        <v>153</v>
      </c>
      <c r="CI140" s="96" t="s">
        <v>153</v>
      </c>
      <c r="CJ140" s="97" t="s">
        <v>225</v>
      </c>
      <c r="CK140" s="98">
        <v>41970</v>
      </c>
      <c r="CL140" s="99">
        <v>4531.1000000000004</v>
      </c>
      <c r="CM140" s="100" t="s">
        <v>3189</v>
      </c>
      <c r="CN140" s="101" t="s">
        <v>190</v>
      </c>
      <c r="CO140" s="102" t="s">
        <v>153</v>
      </c>
      <c r="CP140" s="103" t="s">
        <v>153</v>
      </c>
      <c r="CQ140" s="104" t="s">
        <v>153</v>
      </c>
      <c r="CR140" s="105" t="s">
        <v>153</v>
      </c>
      <c r="CS140" s="106" t="s">
        <v>153</v>
      </c>
      <c r="CT140" s="107" t="s">
        <v>153</v>
      </c>
      <c r="CU140" s="108" t="s">
        <v>153</v>
      </c>
      <c r="CV140" s="109" t="s">
        <v>153</v>
      </c>
      <c r="CW140" s="110" t="s">
        <v>153</v>
      </c>
      <c r="CX140" s="111" t="s">
        <v>153</v>
      </c>
      <c r="CY140" s="112" t="s">
        <v>153</v>
      </c>
      <c r="CZ140" s="113" t="s">
        <v>153</v>
      </c>
      <c r="DA140" s="114" t="s">
        <v>153</v>
      </c>
      <c r="DB140" s="115" t="s">
        <v>153</v>
      </c>
      <c r="DC140" s="116" t="s">
        <v>153</v>
      </c>
      <c r="DD140" s="117" t="s">
        <v>153</v>
      </c>
      <c r="DE140" s="118" t="s">
        <v>153</v>
      </c>
      <c r="DF140" s="119" t="s">
        <v>153</v>
      </c>
      <c r="DG140" s="120" t="s">
        <v>153</v>
      </c>
      <c r="DH140" s="121" t="s">
        <v>153</v>
      </c>
      <c r="DI140" s="122" t="s">
        <v>153</v>
      </c>
      <c r="DJ140" s="123" t="s">
        <v>153</v>
      </c>
      <c r="DK140" s="124" t="s">
        <v>153</v>
      </c>
      <c r="DL140" s="125" t="s">
        <v>153</v>
      </c>
      <c r="DM140" s="126" t="s">
        <v>153</v>
      </c>
      <c r="DN140" s="127" t="s">
        <v>153</v>
      </c>
      <c r="DO140" s="128" t="s">
        <v>153</v>
      </c>
      <c r="DP140" s="129" t="s">
        <v>153</v>
      </c>
      <c r="DQ140" s="130" t="s">
        <v>153</v>
      </c>
      <c r="DR140" s="131" t="s">
        <v>153</v>
      </c>
      <c r="DS140" s="132" t="s">
        <v>153</v>
      </c>
      <c r="DT140" s="133" t="s">
        <v>153</v>
      </c>
      <c r="DU140" s="134" t="s">
        <v>153</v>
      </c>
      <c r="DV140" s="135" t="s">
        <v>153</v>
      </c>
      <c r="DW140" s="136" t="s">
        <v>153</v>
      </c>
      <c r="DX140" s="137" t="s">
        <v>153</v>
      </c>
      <c r="DY140" s="138" t="s">
        <v>153</v>
      </c>
      <c r="DZ140" s="139" t="s">
        <v>191</v>
      </c>
      <c r="EA140" s="140">
        <v>44365</v>
      </c>
      <c r="EB140" s="141">
        <v>21220.01</v>
      </c>
      <c r="EC140" s="142">
        <v>41970</v>
      </c>
      <c r="ED140" s="143" t="s">
        <v>226</v>
      </c>
      <c r="EE140" s="278" t="str">
        <f>HYPERLINK("https://my.pitchbook.com?c=61278-67", "View company online")</f>
        <v>View company online</v>
      </c>
    </row>
    <row r="141" spans="1:135" x14ac:dyDescent="0.45">
      <c r="A141" s="144" t="s">
        <v>3190</v>
      </c>
      <c r="B141" s="145" t="s">
        <v>3191</v>
      </c>
      <c r="C141" s="146" t="s">
        <v>153</v>
      </c>
      <c r="D141" s="147" t="s">
        <v>153</v>
      </c>
      <c r="E141" s="148" t="s">
        <v>3192</v>
      </c>
      <c r="F141" s="149" t="s">
        <v>3193</v>
      </c>
      <c r="G141" s="150" t="s">
        <v>3194</v>
      </c>
      <c r="H141" s="151" t="s">
        <v>3195</v>
      </c>
      <c r="I141" s="152" t="s">
        <v>3190</v>
      </c>
      <c r="J141" s="153" t="s">
        <v>3196</v>
      </c>
      <c r="K141" s="154" t="s">
        <v>559</v>
      </c>
      <c r="L141" s="155" t="s">
        <v>3022</v>
      </c>
      <c r="M141" s="156" t="s">
        <v>3197</v>
      </c>
      <c r="N141" s="157" t="s">
        <v>3198</v>
      </c>
      <c r="O141" s="158" t="s">
        <v>261</v>
      </c>
      <c r="P141" s="159" t="s">
        <v>3199</v>
      </c>
      <c r="Q141" s="160" t="s">
        <v>204</v>
      </c>
      <c r="R141" s="161" t="s">
        <v>153</v>
      </c>
      <c r="S141" s="162" t="s">
        <v>163</v>
      </c>
      <c r="T141" s="163" t="s">
        <v>164</v>
      </c>
      <c r="U141" s="164" t="s">
        <v>237</v>
      </c>
      <c r="V141" s="165" t="s">
        <v>3200</v>
      </c>
      <c r="W141" s="166">
        <v>30000</v>
      </c>
      <c r="X141" s="167" t="s">
        <v>3201</v>
      </c>
      <c r="Y141" s="168" t="s">
        <v>153</v>
      </c>
      <c r="Z141" s="169" t="s">
        <v>153</v>
      </c>
      <c r="AA141" s="170">
        <v>1927</v>
      </c>
      <c r="AB141" s="171" t="s">
        <v>3202</v>
      </c>
      <c r="AC141" s="172" t="s">
        <v>153</v>
      </c>
      <c r="AD141" s="173" t="s">
        <v>428</v>
      </c>
      <c r="AE141" s="174" t="s">
        <v>153</v>
      </c>
      <c r="AF141" s="175" t="s">
        <v>153</v>
      </c>
      <c r="AG141" s="176" t="s">
        <v>153</v>
      </c>
      <c r="AH141" s="177" t="s">
        <v>153</v>
      </c>
      <c r="AI141" s="178" t="s">
        <v>153</v>
      </c>
      <c r="AJ141" s="179" t="s">
        <v>153</v>
      </c>
      <c r="AK141" s="180" t="s">
        <v>153</v>
      </c>
      <c r="AL141" s="181" t="s">
        <v>153</v>
      </c>
      <c r="AM141" s="182" t="s">
        <v>153</v>
      </c>
      <c r="AN141" s="183" t="s">
        <v>3203</v>
      </c>
      <c r="AO141" s="184" t="s">
        <v>3204</v>
      </c>
      <c r="AP141" s="185" t="s">
        <v>3205</v>
      </c>
      <c r="AQ141" s="186" t="s">
        <v>302</v>
      </c>
      <c r="AR141" s="187" t="s">
        <v>153</v>
      </c>
      <c r="AS141" s="188" t="s">
        <v>3206</v>
      </c>
      <c r="AT141" s="189" t="s">
        <v>404</v>
      </c>
      <c r="AU141" s="190" t="s">
        <v>3207</v>
      </c>
      <c r="AV141" s="191" t="s">
        <v>153</v>
      </c>
      <c r="AW141" s="192" t="s">
        <v>407</v>
      </c>
      <c r="AX141" s="193" t="s">
        <v>408</v>
      </c>
      <c r="AY141" s="194" t="s">
        <v>3208</v>
      </c>
      <c r="AZ141" s="195" t="s">
        <v>215</v>
      </c>
      <c r="BA141" s="196" t="s">
        <v>3206</v>
      </c>
      <c r="BB141" s="197" t="s">
        <v>3209</v>
      </c>
      <c r="BC141" s="198" t="s">
        <v>3210</v>
      </c>
      <c r="BD141" s="199" t="s">
        <v>216</v>
      </c>
      <c r="BE141" s="200" t="s">
        <v>217</v>
      </c>
      <c r="BF141" s="201" t="s">
        <v>3211</v>
      </c>
      <c r="BG141" s="202" t="s">
        <v>153</v>
      </c>
      <c r="BH141" s="203" t="s">
        <v>153</v>
      </c>
      <c r="BI141" s="204" t="s">
        <v>3202</v>
      </c>
      <c r="BJ141" s="205" t="s">
        <v>153</v>
      </c>
      <c r="BK141" s="206" t="s">
        <v>153</v>
      </c>
      <c r="BL141" s="207" t="s">
        <v>153</v>
      </c>
      <c r="BM141" s="208" t="s">
        <v>153</v>
      </c>
      <c r="BN141" s="209" t="s">
        <v>153</v>
      </c>
      <c r="BO141" s="210" t="s">
        <v>3212</v>
      </c>
      <c r="BP141" s="211" t="s">
        <v>153</v>
      </c>
      <c r="BQ141" s="212">
        <v>26451</v>
      </c>
      <c r="BR141" s="213" t="s">
        <v>153</v>
      </c>
      <c r="BS141" s="214" t="s">
        <v>153</v>
      </c>
      <c r="BT141" s="215" t="s">
        <v>153</v>
      </c>
      <c r="BU141" s="216" t="s">
        <v>153</v>
      </c>
      <c r="BV141" s="217" t="s">
        <v>251</v>
      </c>
      <c r="BW141" s="218" t="s">
        <v>153</v>
      </c>
      <c r="BX141" s="219" t="s">
        <v>153</v>
      </c>
      <c r="BY141" s="220" t="s">
        <v>252</v>
      </c>
      <c r="BZ141" s="221" t="s">
        <v>153</v>
      </c>
      <c r="CA141" s="222" t="s">
        <v>190</v>
      </c>
      <c r="CB141" s="223">
        <v>38709</v>
      </c>
      <c r="CC141" s="224">
        <v>21000</v>
      </c>
      <c r="CD141" s="225" t="s">
        <v>153</v>
      </c>
      <c r="CE141" s="226">
        <v>21000</v>
      </c>
      <c r="CF141" s="227" t="s">
        <v>187</v>
      </c>
      <c r="CG141" s="228" t="s">
        <v>226</v>
      </c>
      <c r="CH141" s="229" t="s">
        <v>930</v>
      </c>
      <c r="CI141" s="230" t="s">
        <v>153</v>
      </c>
      <c r="CJ141" s="231" t="s">
        <v>225</v>
      </c>
      <c r="CK141" s="232">
        <v>38709</v>
      </c>
      <c r="CL141" s="233" t="s">
        <v>153</v>
      </c>
      <c r="CM141" s="234" t="s">
        <v>153</v>
      </c>
      <c r="CN141" s="235" t="s">
        <v>190</v>
      </c>
      <c r="CO141" s="236">
        <v>0.46</v>
      </c>
      <c r="CP141" s="237">
        <v>93</v>
      </c>
      <c r="CQ141" s="238">
        <v>-0.02</v>
      </c>
      <c r="CR141" s="239">
        <v>-3.95</v>
      </c>
      <c r="CS141" s="240">
        <v>1.4</v>
      </c>
      <c r="CT141" s="241">
        <v>96</v>
      </c>
      <c r="CU141" s="242">
        <v>-0.03</v>
      </c>
      <c r="CV141" s="243">
        <v>36</v>
      </c>
      <c r="CW141" s="244">
        <v>2.57</v>
      </c>
      <c r="CX141" s="245">
        <v>88</v>
      </c>
      <c r="CY141" s="246">
        <v>0.23</v>
      </c>
      <c r="CZ141" s="247">
        <v>92</v>
      </c>
      <c r="DA141" s="248">
        <v>-0.03</v>
      </c>
      <c r="DB141" s="249">
        <v>36</v>
      </c>
      <c r="DC141" s="250">
        <v>335.24</v>
      </c>
      <c r="DD141" s="251">
        <v>100</v>
      </c>
      <c r="DE141" s="252">
        <v>0.13</v>
      </c>
      <c r="DF141" s="253">
        <v>0.04</v>
      </c>
      <c r="DG141" s="254">
        <v>161.56</v>
      </c>
      <c r="DH141" s="255">
        <v>100</v>
      </c>
      <c r="DI141" s="256">
        <v>33.340000000000003</v>
      </c>
      <c r="DJ141" s="257">
        <v>94</v>
      </c>
      <c r="DK141" s="258">
        <v>44.94</v>
      </c>
      <c r="DL141" s="259">
        <v>95</v>
      </c>
      <c r="DM141" s="260">
        <v>278.19</v>
      </c>
      <c r="DN141" s="261">
        <v>100</v>
      </c>
      <c r="DO141" s="262">
        <v>33.340000000000003</v>
      </c>
      <c r="DP141" s="263">
        <v>94</v>
      </c>
      <c r="DQ141" s="264">
        <v>26777</v>
      </c>
      <c r="DR141" s="265">
        <v>-468</v>
      </c>
      <c r="DS141" s="266">
        <v>-1.72</v>
      </c>
      <c r="DT141" s="267">
        <v>4448</v>
      </c>
      <c r="DU141" s="268">
        <v>5</v>
      </c>
      <c r="DV141" s="269">
        <v>0.11</v>
      </c>
      <c r="DW141" s="270">
        <v>10466</v>
      </c>
      <c r="DX141" s="271">
        <v>3</v>
      </c>
      <c r="DY141" s="272">
        <v>0.03</v>
      </c>
      <c r="DZ141" s="273" t="s">
        <v>191</v>
      </c>
      <c r="EA141" s="274">
        <v>44341</v>
      </c>
      <c r="EB141" s="275">
        <v>21000</v>
      </c>
      <c r="EC141" s="276">
        <v>38709</v>
      </c>
      <c r="ED141" s="277" t="s">
        <v>226</v>
      </c>
      <c r="EE141" s="279" t="str">
        <f>HYPERLINK("https://my.pitchbook.com?c=41049-10", "View company online")</f>
        <v>View company online</v>
      </c>
    </row>
    <row r="142" spans="1:135" x14ac:dyDescent="0.45">
      <c r="A142" s="10" t="s">
        <v>3213</v>
      </c>
      <c r="B142" s="11" t="s">
        <v>3214</v>
      </c>
      <c r="C142" s="12" t="s">
        <v>153</v>
      </c>
      <c r="D142" s="13" t="s">
        <v>153</v>
      </c>
      <c r="E142" s="14" t="s">
        <v>3215</v>
      </c>
      <c r="F142" s="15" t="s">
        <v>3216</v>
      </c>
      <c r="G142" s="16" t="s">
        <v>3217</v>
      </c>
      <c r="H142" s="17" t="s">
        <v>153</v>
      </c>
      <c r="I142" s="18" t="s">
        <v>3213</v>
      </c>
      <c r="J142" s="19" t="s">
        <v>3218</v>
      </c>
      <c r="K142" s="20" t="s">
        <v>232</v>
      </c>
      <c r="L142" s="21" t="s">
        <v>233</v>
      </c>
      <c r="M142" s="22" t="s">
        <v>3219</v>
      </c>
      <c r="N142" s="23" t="s">
        <v>3220</v>
      </c>
      <c r="O142" s="24" t="s">
        <v>153</v>
      </c>
      <c r="P142" s="25" t="s">
        <v>3221</v>
      </c>
      <c r="Q142" s="26" t="s">
        <v>204</v>
      </c>
      <c r="R142" s="27" t="s">
        <v>153</v>
      </c>
      <c r="S142" s="28" t="s">
        <v>163</v>
      </c>
      <c r="T142" s="29" t="s">
        <v>205</v>
      </c>
      <c r="U142" s="30" t="s">
        <v>206</v>
      </c>
      <c r="V142" s="31" t="s">
        <v>3222</v>
      </c>
      <c r="W142" s="32">
        <v>1047</v>
      </c>
      <c r="X142" s="33" t="s">
        <v>3223</v>
      </c>
      <c r="Y142" s="34" t="s">
        <v>153</v>
      </c>
      <c r="Z142" s="35" t="s">
        <v>153</v>
      </c>
      <c r="AA142" s="36">
        <v>1927</v>
      </c>
      <c r="AB142" s="37" t="s">
        <v>153</v>
      </c>
      <c r="AC142" s="38" t="s">
        <v>153</v>
      </c>
      <c r="AD142" s="39" t="s">
        <v>153</v>
      </c>
      <c r="AE142" s="40" t="s">
        <v>153</v>
      </c>
      <c r="AF142" s="41" t="s">
        <v>153</v>
      </c>
      <c r="AG142" s="42" t="s">
        <v>153</v>
      </c>
      <c r="AH142" s="43" t="s">
        <v>153</v>
      </c>
      <c r="AI142" s="44" t="s">
        <v>153</v>
      </c>
      <c r="AJ142" s="45" t="s">
        <v>153</v>
      </c>
      <c r="AK142" s="46" t="s">
        <v>153</v>
      </c>
      <c r="AL142" s="47" t="s">
        <v>153</v>
      </c>
      <c r="AM142" s="48" t="s">
        <v>153</v>
      </c>
      <c r="AN142" s="49" t="s">
        <v>153</v>
      </c>
      <c r="AO142" s="50" t="s">
        <v>153</v>
      </c>
      <c r="AP142" s="51" t="s">
        <v>153</v>
      </c>
      <c r="AQ142" s="52" t="s">
        <v>153</v>
      </c>
      <c r="AR142" s="53" t="s">
        <v>153</v>
      </c>
      <c r="AS142" s="54" t="s">
        <v>153</v>
      </c>
      <c r="AT142" s="55" t="s">
        <v>780</v>
      </c>
      <c r="AU142" s="56" t="s">
        <v>3224</v>
      </c>
      <c r="AV142" s="57" t="s">
        <v>3225</v>
      </c>
      <c r="AW142" s="58" t="s">
        <v>782</v>
      </c>
      <c r="AX142" s="59" t="s">
        <v>783</v>
      </c>
      <c r="AY142" s="60" t="s">
        <v>3226</v>
      </c>
      <c r="AZ142" s="61" t="s">
        <v>215</v>
      </c>
      <c r="BA142" s="62" t="s">
        <v>153</v>
      </c>
      <c r="BB142" s="63" t="s">
        <v>153</v>
      </c>
      <c r="BC142" s="64" t="s">
        <v>153</v>
      </c>
      <c r="BD142" s="65" t="s">
        <v>216</v>
      </c>
      <c r="BE142" s="66" t="s">
        <v>217</v>
      </c>
      <c r="BF142" s="67" t="s">
        <v>3227</v>
      </c>
      <c r="BG142" s="68" t="s">
        <v>153</v>
      </c>
      <c r="BH142" s="69" t="s">
        <v>153</v>
      </c>
      <c r="BI142" s="70" t="s">
        <v>1022</v>
      </c>
      <c r="BJ142" s="71" t="s">
        <v>3228</v>
      </c>
      <c r="BK142" s="72" t="s">
        <v>153</v>
      </c>
      <c r="BL142" s="73" t="s">
        <v>153</v>
      </c>
      <c r="BM142" s="74" t="s">
        <v>3229</v>
      </c>
      <c r="BN142" s="75" t="s">
        <v>153</v>
      </c>
      <c r="BO142" s="76" t="s">
        <v>3230</v>
      </c>
      <c r="BP142" s="77" t="s">
        <v>153</v>
      </c>
      <c r="BQ142" s="78">
        <v>39356</v>
      </c>
      <c r="BR142" s="79">
        <v>21000</v>
      </c>
      <c r="BS142" s="80" t="s">
        <v>186</v>
      </c>
      <c r="BT142" s="81">
        <v>21000</v>
      </c>
      <c r="BU142" s="82" t="s">
        <v>186</v>
      </c>
      <c r="BV142" s="83" t="s">
        <v>226</v>
      </c>
      <c r="BW142" s="84" t="s">
        <v>729</v>
      </c>
      <c r="BX142" s="85" t="s">
        <v>153</v>
      </c>
      <c r="BY142" s="86" t="s">
        <v>225</v>
      </c>
      <c r="BZ142" s="87" t="s">
        <v>153</v>
      </c>
      <c r="CA142" s="88" t="s">
        <v>190</v>
      </c>
      <c r="CB142" s="89">
        <v>39356</v>
      </c>
      <c r="CC142" s="90">
        <v>21000</v>
      </c>
      <c r="CD142" s="91" t="s">
        <v>186</v>
      </c>
      <c r="CE142" s="92">
        <v>21000</v>
      </c>
      <c r="CF142" s="93" t="s">
        <v>186</v>
      </c>
      <c r="CG142" s="94" t="s">
        <v>226</v>
      </c>
      <c r="CH142" s="95" t="s">
        <v>729</v>
      </c>
      <c r="CI142" s="96" t="s">
        <v>153</v>
      </c>
      <c r="CJ142" s="97" t="s">
        <v>225</v>
      </c>
      <c r="CK142" s="98">
        <v>39356</v>
      </c>
      <c r="CL142" s="99" t="s">
        <v>153</v>
      </c>
      <c r="CM142" s="100" t="s">
        <v>153</v>
      </c>
      <c r="CN142" s="101" t="s">
        <v>190</v>
      </c>
      <c r="CO142" s="102" t="s">
        <v>153</v>
      </c>
      <c r="CP142" s="103" t="s">
        <v>153</v>
      </c>
      <c r="CQ142" s="104" t="s">
        <v>153</v>
      </c>
      <c r="CR142" s="105" t="s">
        <v>153</v>
      </c>
      <c r="CS142" s="106" t="s">
        <v>153</v>
      </c>
      <c r="CT142" s="107" t="s">
        <v>153</v>
      </c>
      <c r="CU142" s="108" t="s">
        <v>153</v>
      </c>
      <c r="CV142" s="109" t="s">
        <v>153</v>
      </c>
      <c r="CW142" s="110" t="s">
        <v>153</v>
      </c>
      <c r="CX142" s="111" t="s">
        <v>153</v>
      </c>
      <c r="CY142" s="112" t="s">
        <v>153</v>
      </c>
      <c r="CZ142" s="113" t="s">
        <v>153</v>
      </c>
      <c r="DA142" s="114" t="s">
        <v>153</v>
      </c>
      <c r="DB142" s="115" t="s">
        <v>153</v>
      </c>
      <c r="DC142" s="116" t="s">
        <v>153</v>
      </c>
      <c r="DD142" s="117" t="s">
        <v>153</v>
      </c>
      <c r="DE142" s="118" t="s">
        <v>153</v>
      </c>
      <c r="DF142" s="119" t="s">
        <v>153</v>
      </c>
      <c r="DG142" s="120" t="s">
        <v>153</v>
      </c>
      <c r="DH142" s="121" t="s">
        <v>153</v>
      </c>
      <c r="DI142" s="122" t="s">
        <v>153</v>
      </c>
      <c r="DJ142" s="123" t="s">
        <v>153</v>
      </c>
      <c r="DK142" s="124" t="s">
        <v>153</v>
      </c>
      <c r="DL142" s="125" t="s">
        <v>153</v>
      </c>
      <c r="DM142" s="126" t="s">
        <v>153</v>
      </c>
      <c r="DN142" s="127" t="s">
        <v>153</v>
      </c>
      <c r="DO142" s="128" t="s">
        <v>153</v>
      </c>
      <c r="DP142" s="129" t="s">
        <v>153</v>
      </c>
      <c r="DQ142" s="130" t="s">
        <v>153</v>
      </c>
      <c r="DR142" s="131" t="s">
        <v>153</v>
      </c>
      <c r="DS142" s="132" t="s">
        <v>153</v>
      </c>
      <c r="DT142" s="133" t="s">
        <v>153</v>
      </c>
      <c r="DU142" s="134" t="s">
        <v>153</v>
      </c>
      <c r="DV142" s="135" t="s">
        <v>153</v>
      </c>
      <c r="DW142" s="136" t="s">
        <v>153</v>
      </c>
      <c r="DX142" s="137" t="s">
        <v>153</v>
      </c>
      <c r="DY142" s="138" t="s">
        <v>153</v>
      </c>
      <c r="DZ142" s="139" t="s">
        <v>191</v>
      </c>
      <c r="EA142" s="140">
        <v>44147</v>
      </c>
      <c r="EB142" s="141">
        <v>21000</v>
      </c>
      <c r="EC142" s="142">
        <v>39356</v>
      </c>
      <c r="ED142" s="143" t="s">
        <v>226</v>
      </c>
      <c r="EE142" s="278" t="str">
        <f>HYPERLINK("https://my.pitchbook.com?c=10293-22", "View company online")</f>
        <v>View company online</v>
      </c>
    </row>
    <row r="143" spans="1:135" x14ac:dyDescent="0.45">
      <c r="A143" s="144" t="s">
        <v>3231</v>
      </c>
      <c r="B143" s="145" t="s">
        <v>3232</v>
      </c>
      <c r="C143" s="146" t="s">
        <v>153</v>
      </c>
      <c r="D143" s="147" t="s">
        <v>153</v>
      </c>
      <c r="E143" s="148" t="s">
        <v>3233</v>
      </c>
      <c r="F143" s="149" t="s">
        <v>153</v>
      </c>
      <c r="G143" s="150" t="s">
        <v>3234</v>
      </c>
      <c r="H143" s="151" t="s">
        <v>3235</v>
      </c>
      <c r="I143" s="152" t="s">
        <v>3231</v>
      </c>
      <c r="J143" s="153" t="s">
        <v>3236</v>
      </c>
      <c r="K143" s="154" t="s">
        <v>157</v>
      </c>
      <c r="L143" s="155" t="s">
        <v>2713</v>
      </c>
      <c r="M143" s="156" t="s">
        <v>2714</v>
      </c>
      <c r="N143" s="157" t="s">
        <v>3237</v>
      </c>
      <c r="O143" s="158" t="s">
        <v>153</v>
      </c>
      <c r="P143" s="159" t="s">
        <v>3238</v>
      </c>
      <c r="Q143" s="160" t="s">
        <v>204</v>
      </c>
      <c r="R143" s="161" t="s">
        <v>153</v>
      </c>
      <c r="S143" s="162" t="s">
        <v>163</v>
      </c>
      <c r="T143" s="163" t="s">
        <v>164</v>
      </c>
      <c r="U143" s="164" t="s">
        <v>206</v>
      </c>
      <c r="V143" s="165" t="s">
        <v>3239</v>
      </c>
      <c r="W143" s="166">
        <v>40000</v>
      </c>
      <c r="X143" s="167" t="s">
        <v>3240</v>
      </c>
      <c r="Y143" s="168" t="s">
        <v>153</v>
      </c>
      <c r="Z143" s="169" t="s">
        <v>153</v>
      </c>
      <c r="AA143" s="170">
        <v>2011</v>
      </c>
      <c r="AB143" s="171" t="s">
        <v>3241</v>
      </c>
      <c r="AC143" s="172" t="s">
        <v>153</v>
      </c>
      <c r="AD143" s="173" t="s">
        <v>153</v>
      </c>
      <c r="AE143" s="174">
        <v>20000</v>
      </c>
      <c r="AF143" s="175" t="s">
        <v>153</v>
      </c>
      <c r="AG143" s="176" t="s">
        <v>153</v>
      </c>
      <c r="AH143" s="177" t="s">
        <v>153</v>
      </c>
      <c r="AI143" s="178" t="s">
        <v>153</v>
      </c>
      <c r="AJ143" s="179" t="s">
        <v>153</v>
      </c>
      <c r="AK143" s="180" t="s">
        <v>153</v>
      </c>
      <c r="AL143" s="181" t="s">
        <v>153</v>
      </c>
      <c r="AM143" s="182">
        <v>-39.39</v>
      </c>
      <c r="AN143" s="183" t="s">
        <v>168</v>
      </c>
      <c r="AO143" s="184" t="s">
        <v>3242</v>
      </c>
      <c r="AP143" s="185" t="s">
        <v>3243</v>
      </c>
      <c r="AQ143" s="186" t="s">
        <v>968</v>
      </c>
      <c r="AR143" s="187" t="s">
        <v>3244</v>
      </c>
      <c r="AS143" s="188" t="s">
        <v>3245</v>
      </c>
      <c r="AT143" s="189" t="s">
        <v>3246</v>
      </c>
      <c r="AU143" s="190" t="s">
        <v>3247</v>
      </c>
      <c r="AV143" s="191" t="s">
        <v>153</v>
      </c>
      <c r="AW143" s="192" t="s">
        <v>3248</v>
      </c>
      <c r="AX143" s="193" t="s">
        <v>724</v>
      </c>
      <c r="AY143" s="194" t="s">
        <v>3249</v>
      </c>
      <c r="AZ143" s="195" t="s">
        <v>215</v>
      </c>
      <c r="BA143" s="196" t="s">
        <v>3250</v>
      </c>
      <c r="BB143" s="197" t="s">
        <v>153</v>
      </c>
      <c r="BC143" s="198" t="s">
        <v>153</v>
      </c>
      <c r="BD143" s="199" t="s">
        <v>216</v>
      </c>
      <c r="BE143" s="200" t="s">
        <v>217</v>
      </c>
      <c r="BF143" s="201" t="s">
        <v>3251</v>
      </c>
      <c r="BG143" s="202" t="s">
        <v>153</v>
      </c>
      <c r="BH143" s="203" t="s">
        <v>153</v>
      </c>
      <c r="BI143" s="204" t="s">
        <v>3241</v>
      </c>
      <c r="BJ143" s="205" t="s">
        <v>2826</v>
      </c>
      <c r="BK143" s="206" t="s">
        <v>3252</v>
      </c>
      <c r="BL143" s="207" t="s">
        <v>153</v>
      </c>
      <c r="BM143" s="208" t="s">
        <v>3253</v>
      </c>
      <c r="BN143" s="209" t="s">
        <v>3254</v>
      </c>
      <c r="BO143" s="210" t="s">
        <v>153</v>
      </c>
      <c r="BP143" s="211" t="s">
        <v>2448</v>
      </c>
      <c r="BQ143" s="212">
        <v>43895</v>
      </c>
      <c r="BR143" s="213">
        <v>22000</v>
      </c>
      <c r="BS143" s="214" t="s">
        <v>186</v>
      </c>
      <c r="BT143" s="215">
        <v>22000</v>
      </c>
      <c r="BU143" s="216" t="s">
        <v>186</v>
      </c>
      <c r="BV143" s="217" t="s">
        <v>226</v>
      </c>
      <c r="BW143" s="218" t="s">
        <v>729</v>
      </c>
      <c r="BX143" s="219" t="s">
        <v>153</v>
      </c>
      <c r="BY143" s="220" t="s">
        <v>225</v>
      </c>
      <c r="BZ143" s="221" t="s">
        <v>153</v>
      </c>
      <c r="CA143" s="222" t="s">
        <v>394</v>
      </c>
      <c r="CB143" s="223">
        <v>44330</v>
      </c>
      <c r="CC143" s="224">
        <v>21000</v>
      </c>
      <c r="CD143" s="225" t="s">
        <v>186</v>
      </c>
      <c r="CE143" s="226">
        <v>21000</v>
      </c>
      <c r="CF143" s="227" t="s">
        <v>187</v>
      </c>
      <c r="CG143" s="228" t="s">
        <v>226</v>
      </c>
      <c r="CH143" s="229" t="s">
        <v>729</v>
      </c>
      <c r="CI143" s="230" t="s">
        <v>153</v>
      </c>
      <c r="CJ143" s="231" t="s">
        <v>225</v>
      </c>
      <c r="CK143" s="232">
        <v>44330</v>
      </c>
      <c r="CL143" s="233" t="s">
        <v>153</v>
      </c>
      <c r="CM143" s="234" t="s">
        <v>153</v>
      </c>
      <c r="CN143" s="235" t="s">
        <v>190</v>
      </c>
      <c r="CO143" s="236">
        <v>0.53</v>
      </c>
      <c r="CP143" s="237">
        <v>93</v>
      </c>
      <c r="CQ143" s="238">
        <v>-0.9</v>
      </c>
      <c r="CR143" s="239">
        <v>-62.86</v>
      </c>
      <c r="CS143" s="240">
        <v>1.45</v>
      </c>
      <c r="CT143" s="241">
        <v>97</v>
      </c>
      <c r="CU143" s="242">
        <v>-7.0000000000000007E-2</v>
      </c>
      <c r="CV143" s="243">
        <v>27</v>
      </c>
      <c r="CW143" s="244">
        <v>2.46</v>
      </c>
      <c r="CX143" s="245">
        <v>87</v>
      </c>
      <c r="CY143" s="246">
        <v>0.43</v>
      </c>
      <c r="CZ143" s="247">
        <v>94</v>
      </c>
      <c r="DA143" s="248">
        <v>-7.0000000000000007E-2</v>
      </c>
      <c r="DB143" s="249">
        <v>27</v>
      </c>
      <c r="DC143" s="250">
        <v>527.99</v>
      </c>
      <c r="DD143" s="251">
        <v>100</v>
      </c>
      <c r="DE143" s="252">
        <v>-125.61</v>
      </c>
      <c r="DF143" s="253">
        <v>-19.22</v>
      </c>
      <c r="DG143" s="254">
        <v>184.34</v>
      </c>
      <c r="DH143" s="255">
        <v>100</v>
      </c>
      <c r="DI143" s="256">
        <v>431.73</v>
      </c>
      <c r="DJ143" s="257">
        <v>100</v>
      </c>
      <c r="DK143" s="258">
        <v>226.12</v>
      </c>
      <c r="DL143" s="259">
        <v>99</v>
      </c>
      <c r="DM143" s="260">
        <v>142.56</v>
      </c>
      <c r="DN143" s="261">
        <v>100</v>
      </c>
      <c r="DO143" s="262">
        <v>431.73</v>
      </c>
      <c r="DP143" s="263">
        <v>100</v>
      </c>
      <c r="DQ143" s="264">
        <v>133219</v>
      </c>
      <c r="DR143" s="265">
        <v>3183</v>
      </c>
      <c r="DS143" s="266">
        <v>2.4500000000000002</v>
      </c>
      <c r="DT143" s="267">
        <v>2277</v>
      </c>
      <c r="DU143" s="268">
        <v>10</v>
      </c>
      <c r="DV143" s="269">
        <v>0.44</v>
      </c>
      <c r="DW143" s="270">
        <v>135578</v>
      </c>
      <c r="DX143" s="271">
        <v>-37</v>
      </c>
      <c r="DY143" s="272">
        <v>-0.03</v>
      </c>
      <c r="DZ143" s="273" t="s">
        <v>191</v>
      </c>
      <c r="EA143" s="274">
        <v>44377</v>
      </c>
      <c r="EB143" s="275">
        <v>21000</v>
      </c>
      <c r="EC143" s="276">
        <v>44330</v>
      </c>
      <c r="ED143" s="277" t="s">
        <v>226</v>
      </c>
      <c r="EE143" s="279" t="str">
        <f>HYPERLINK("https://my.pitchbook.com?c=104175-73", "View company online")</f>
        <v>View company online</v>
      </c>
    </row>
    <row r="144" spans="1:135" x14ac:dyDescent="0.45">
      <c r="A144" s="10" t="s">
        <v>3255</v>
      </c>
      <c r="B144" s="11" t="s">
        <v>3256</v>
      </c>
      <c r="C144" s="12" t="s">
        <v>153</v>
      </c>
      <c r="D144" s="13" t="s">
        <v>153</v>
      </c>
      <c r="E144" s="14" t="s">
        <v>153</v>
      </c>
      <c r="F144" s="15" t="s">
        <v>3257</v>
      </c>
      <c r="G144" s="16" t="s">
        <v>3258</v>
      </c>
      <c r="H144" s="17" t="s">
        <v>3259</v>
      </c>
      <c r="I144" s="18" t="s">
        <v>3255</v>
      </c>
      <c r="J144" s="19" t="s">
        <v>3260</v>
      </c>
      <c r="K144" s="20" t="s">
        <v>198</v>
      </c>
      <c r="L144" s="21" t="s">
        <v>1589</v>
      </c>
      <c r="M144" s="22" t="s">
        <v>1590</v>
      </c>
      <c r="N144" s="23" t="s">
        <v>3261</v>
      </c>
      <c r="O144" s="24" t="s">
        <v>153</v>
      </c>
      <c r="P144" s="25" t="s">
        <v>3262</v>
      </c>
      <c r="Q144" s="26" t="s">
        <v>289</v>
      </c>
      <c r="R144" s="27">
        <v>9</v>
      </c>
      <c r="S144" s="28" t="s">
        <v>290</v>
      </c>
      <c r="T144" s="29" t="s">
        <v>291</v>
      </c>
      <c r="U144" s="30" t="s">
        <v>292</v>
      </c>
      <c r="V144" s="31" t="s">
        <v>153</v>
      </c>
      <c r="W144" s="32">
        <v>7115</v>
      </c>
      <c r="X144" s="33" t="s">
        <v>3263</v>
      </c>
      <c r="Y144" s="34" t="s">
        <v>295</v>
      </c>
      <c r="Z144" s="35" t="s">
        <v>3264</v>
      </c>
      <c r="AA144" s="36">
        <v>1983</v>
      </c>
      <c r="AB144" s="37" t="s">
        <v>153</v>
      </c>
      <c r="AC144" s="38" t="s">
        <v>537</v>
      </c>
      <c r="AD144" s="39" t="s">
        <v>1264</v>
      </c>
      <c r="AE144" s="40">
        <v>2458.04</v>
      </c>
      <c r="AF144" s="41">
        <v>1638.69</v>
      </c>
      <c r="AG144" s="42">
        <v>780.82</v>
      </c>
      <c r="AH144" s="43">
        <v>23679.81</v>
      </c>
      <c r="AI144" s="44">
        <v>946.91</v>
      </c>
      <c r="AJ144" s="45">
        <v>837.63</v>
      </c>
      <c r="AK144" s="46">
        <v>26643.14</v>
      </c>
      <c r="AL144" s="47">
        <v>-1038.8699999999999</v>
      </c>
      <c r="AM144" s="48">
        <v>11.6</v>
      </c>
      <c r="AN144" s="49" t="s">
        <v>3265</v>
      </c>
      <c r="AO144" s="50" t="s">
        <v>3266</v>
      </c>
      <c r="AP144" s="51" t="s">
        <v>3267</v>
      </c>
      <c r="AQ144" s="52" t="s">
        <v>3268</v>
      </c>
      <c r="AR144" s="53" t="s">
        <v>3269</v>
      </c>
      <c r="AS144" s="54" t="s">
        <v>3270</v>
      </c>
      <c r="AT144" s="55" t="s">
        <v>1379</v>
      </c>
      <c r="AU144" s="56" t="s">
        <v>3271</v>
      </c>
      <c r="AV144" s="57" t="s">
        <v>153</v>
      </c>
      <c r="AW144" s="58" t="s">
        <v>1380</v>
      </c>
      <c r="AX144" s="59" t="s">
        <v>308</v>
      </c>
      <c r="AY144" s="60" t="s">
        <v>3272</v>
      </c>
      <c r="AZ144" s="61" t="s">
        <v>215</v>
      </c>
      <c r="BA144" s="62" t="s">
        <v>3270</v>
      </c>
      <c r="BB144" s="63" t="s">
        <v>153</v>
      </c>
      <c r="BC144" s="64" t="s">
        <v>3273</v>
      </c>
      <c r="BD144" s="65" t="s">
        <v>216</v>
      </c>
      <c r="BE144" s="66" t="s">
        <v>217</v>
      </c>
      <c r="BF144" s="67" t="s">
        <v>3274</v>
      </c>
      <c r="BG144" s="68" t="s">
        <v>153</v>
      </c>
      <c r="BH144" s="69" t="s">
        <v>153</v>
      </c>
      <c r="BI144" s="70" t="s">
        <v>153</v>
      </c>
      <c r="BJ144" s="71" t="s">
        <v>3275</v>
      </c>
      <c r="BK144" s="72" t="s">
        <v>3276</v>
      </c>
      <c r="BL144" s="73" t="s">
        <v>153</v>
      </c>
      <c r="BM144" s="74" t="s">
        <v>3277</v>
      </c>
      <c r="BN144" s="75" t="s">
        <v>3278</v>
      </c>
      <c r="BO144" s="76" t="s">
        <v>3279</v>
      </c>
      <c r="BP144" s="77" t="s">
        <v>3280</v>
      </c>
      <c r="BQ144" s="78">
        <v>30407</v>
      </c>
      <c r="BR144" s="79">
        <v>9</v>
      </c>
      <c r="BS144" s="80" t="s">
        <v>186</v>
      </c>
      <c r="BT144" s="81" t="s">
        <v>153</v>
      </c>
      <c r="BU144" s="82" t="s">
        <v>153</v>
      </c>
      <c r="BV144" s="83" t="s">
        <v>471</v>
      </c>
      <c r="BW144" s="84" t="s">
        <v>153</v>
      </c>
      <c r="BX144" s="85" t="s">
        <v>153</v>
      </c>
      <c r="BY144" s="86" t="s">
        <v>472</v>
      </c>
      <c r="BZ144" s="87" t="s">
        <v>153</v>
      </c>
      <c r="CA144" s="88" t="s">
        <v>190</v>
      </c>
      <c r="CB144" s="89">
        <v>44025</v>
      </c>
      <c r="CC144" s="90">
        <v>20910</v>
      </c>
      <c r="CD144" s="91" t="s">
        <v>186</v>
      </c>
      <c r="CE144" s="92">
        <v>20910</v>
      </c>
      <c r="CF144" s="93" t="s">
        <v>153</v>
      </c>
      <c r="CG144" s="94" t="s">
        <v>226</v>
      </c>
      <c r="CH144" s="95" t="s">
        <v>153</v>
      </c>
      <c r="CI144" s="96" t="s">
        <v>153</v>
      </c>
      <c r="CJ144" s="97" t="s">
        <v>225</v>
      </c>
      <c r="CK144" s="98">
        <v>44025</v>
      </c>
      <c r="CL144" s="99" t="s">
        <v>153</v>
      </c>
      <c r="CM144" s="100" t="s">
        <v>153</v>
      </c>
      <c r="CN144" s="101" t="s">
        <v>1278</v>
      </c>
      <c r="CO144" s="102">
        <v>-0.39</v>
      </c>
      <c r="CP144" s="103">
        <v>5</v>
      </c>
      <c r="CQ144" s="104">
        <v>0.02</v>
      </c>
      <c r="CR144" s="105">
        <v>4.28</v>
      </c>
      <c r="CS144" s="106">
        <v>-0.77</v>
      </c>
      <c r="CT144" s="107">
        <v>4</v>
      </c>
      <c r="CU144" s="108">
        <v>-0.01</v>
      </c>
      <c r="CV144" s="109">
        <v>40</v>
      </c>
      <c r="CW144" s="110">
        <v>-0.77</v>
      </c>
      <c r="CX144" s="111">
        <v>18</v>
      </c>
      <c r="CY144" s="112" t="s">
        <v>153</v>
      </c>
      <c r="CZ144" s="113" t="s">
        <v>153</v>
      </c>
      <c r="DA144" s="114">
        <v>-0.01</v>
      </c>
      <c r="DB144" s="115">
        <v>40</v>
      </c>
      <c r="DC144" s="116">
        <v>267.58999999999997</v>
      </c>
      <c r="DD144" s="117">
        <v>100</v>
      </c>
      <c r="DE144" s="118">
        <v>0.27</v>
      </c>
      <c r="DF144" s="119">
        <v>0.1</v>
      </c>
      <c r="DG144" s="120">
        <v>454.55</v>
      </c>
      <c r="DH144" s="121">
        <v>100</v>
      </c>
      <c r="DI144" s="122">
        <v>80.62</v>
      </c>
      <c r="DJ144" s="123">
        <v>97</v>
      </c>
      <c r="DK144" s="124">
        <v>454.55</v>
      </c>
      <c r="DL144" s="125">
        <v>99</v>
      </c>
      <c r="DM144" s="126" t="s">
        <v>153</v>
      </c>
      <c r="DN144" s="127" t="s">
        <v>153</v>
      </c>
      <c r="DO144" s="128">
        <v>80.62</v>
      </c>
      <c r="DP144" s="129">
        <v>97</v>
      </c>
      <c r="DQ144" s="130">
        <v>269744</v>
      </c>
      <c r="DR144" s="131">
        <v>-713</v>
      </c>
      <c r="DS144" s="132">
        <v>-0.26</v>
      </c>
      <c r="DT144" s="133" t="s">
        <v>153</v>
      </c>
      <c r="DU144" s="134" t="s">
        <v>153</v>
      </c>
      <c r="DV144" s="135" t="s">
        <v>153</v>
      </c>
      <c r="DW144" s="136">
        <v>25314</v>
      </c>
      <c r="DX144" s="137">
        <v>17</v>
      </c>
      <c r="DY144" s="138">
        <v>7.0000000000000007E-2</v>
      </c>
      <c r="DZ144" s="139" t="s">
        <v>191</v>
      </c>
      <c r="EA144" s="140">
        <v>44391</v>
      </c>
      <c r="EB144" s="141">
        <v>20910</v>
      </c>
      <c r="EC144" s="142">
        <v>44025</v>
      </c>
      <c r="ED144" s="143" t="s">
        <v>226</v>
      </c>
      <c r="EE144" s="278" t="str">
        <f>HYPERLINK("https://my.pitchbook.com?c=10557-19", "View company online")</f>
        <v>View company online</v>
      </c>
    </row>
    <row r="145" spans="1:135" x14ac:dyDescent="0.45">
      <c r="A145" s="144" t="s">
        <v>3281</v>
      </c>
      <c r="B145" s="145" t="s">
        <v>3282</v>
      </c>
      <c r="C145" s="146" t="s">
        <v>153</v>
      </c>
      <c r="D145" s="147" t="s">
        <v>153</v>
      </c>
      <c r="E145" s="148" t="s">
        <v>153</v>
      </c>
      <c r="F145" s="149" t="s">
        <v>3283</v>
      </c>
      <c r="G145" s="150" t="s">
        <v>3284</v>
      </c>
      <c r="H145" s="151" t="s">
        <v>153</v>
      </c>
      <c r="I145" s="152" t="s">
        <v>3281</v>
      </c>
      <c r="J145" s="153" t="s">
        <v>3285</v>
      </c>
      <c r="K145" s="154" t="s">
        <v>559</v>
      </c>
      <c r="L145" s="155" t="s">
        <v>1345</v>
      </c>
      <c r="M145" s="156" t="s">
        <v>3286</v>
      </c>
      <c r="N145" s="157" t="s">
        <v>3287</v>
      </c>
      <c r="O145" s="158" t="s">
        <v>153</v>
      </c>
      <c r="P145" s="159" t="s">
        <v>3288</v>
      </c>
      <c r="Q145" s="160" t="s">
        <v>204</v>
      </c>
      <c r="R145" s="161" t="s">
        <v>153</v>
      </c>
      <c r="S145" s="162" t="s">
        <v>290</v>
      </c>
      <c r="T145" s="163" t="s">
        <v>205</v>
      </c>
      <c r="U145" s="164" t="s">
        <v>237</v>
      </c>
      <c r="V145" s="165" t="s">
        <v>3289</v>
      </c>
      <c r="W145" s="166">
        <v>501</v>
      </c>
      <c r="X145" s="167" t="s">
        <v>3290</v>
      </c>
      <c r="Y145" s="168" t="s">
        <v>153</v>
      </c>
      <c r="Z145" s="169" t="s">
        <v>153</v>
      </c>
      <c r="AA145" s="170" t="s">
        <v>153</v>
      </c>
      <c r="AB145" s="171" t="s">
        <v>153</v>
      </c>
      <c r="AC145" s="172" t="s">
        <v>153</v>
      </c>
      <c r="AD145" s="173" t="s">
        <v>153</v>
      </c>
      <c r="AE145" s="174" t="s">
        <v>153</v>
      </c>
      <c r="AF145" s="175" t="s">
        <v>153</v>
      </c>
      <c r="AG145" s="176" t="s">
        <v>153</v>
      </c>
      <c r="AH145" s="177" t="s">
        <v>153</v>
      </c>
      <c r="AI145" s="178" t="s">
        <v>153</v>
      </c>
      <c r="AJ145" s="179" t="s">
        <v>153</v>
      </c>
      <c r="AK145" s="180" t="s">
        <v>153</v>
      </c>
      <c r="AL145" s="181" t="s">
        <v>153</v>
      </c>
      <c r="AM145" s="182" t="s">
        <v>153</v>
      </c>
      <c r="AN145" s="183" t="s">
        <v>153</v>
      </c>
      <c r="AO145" s="184" t="s">
        <v>3291</v>
      </c>
      <c r="AP145" s="185" t="s">
        <v>3292</v>
      </c>
      <c r="AQ145" s="186" t="s">
        <v>3293</v>
      </c>
      <c r="AR145" s="187" t="s">
        <v>153</v>
      </c>
      <c r="AS145" s="188" t="s">
        <v>153</v>
      </c>
      <c r="AT145" s="189" t="s">
        <v>3294</v>
      </c>
      <c r="AU145" s="190" t="s">
        <v>3295</v>
      </c>
      <c r="AV145" s="191" t="s">
        <v>153</v>
      </c>
      <c r="AW145" s="192" t="s">
        <v>3296</v>
      </c>
      <c r="AX145" s="193" t="s">
        <v>2544</v>
      </c>
      <c r="AY145" s="194" t="s">
        <v>3297</v>
      </c>
      <c r="AZ145" s="195" t="s">
        <v>2546</v>
      </c>
      <c r="BA145" s="196" t="s">
        <v>153</v>
      </c>
      <c r="BB145" s="197" t="s">
        <v>153</v>
      </c>
      <c r="BC145" s="198" t="s">
        <v>153</v>
      </c>
      <c r="BD145" s="199" t="s">
        <v>2547</v>
      </c>
      <c r="BE145" s="200" t="s">
        <v>2547</v>
      </c>
      <c r="BF145" s="201" t="s">
        <v>3298</v>
      </c>
      <c r="BG145" s="202" t="s">
        <v>153</v>
      </c>
      <c r="BH145" s="203" t="s">
        <v>153</v>
      </c>
      <c r="BI145" s="204" t="s">
        <v>3299</v>
      </c>
      <c r="BJ145" s="205" t="s">
        <v>3300</v>
      </c>
      <c r="BK145" s="206" t="s">
        <v>2182</v>
      </c>
      <c r="BL145" s="207" t="s">
        <v>153</v>
      </c>
      <c r="BM145" s="208" t="s">
        <v>3301</v>
      </c>
      <c r="BN145" s="209" t="s">
        <v>153</v>
      </c>
      <c r="BO145" s="210" t="s">
        <v>153</v>
      </c>
      <c r="BP145" s="211" t="s">
        <v>153</v>
      </c>
      <c r="BQ145" s="212">
        <v>31225</v>
      </c>
      <c r="BR145" s="213" t="s">
        <v>153</v>
      </c>
      <c r="BS145" s="214" t="s">
        <v>153</v>
      </c>
      <c r="BT145" s="215" t="s">
        <v>153</v>
      </c>
      <c r="BU145" s="216" t="s">
        <v>153</v>
      </c>
      <c r="BV145" s="217" t="s">
        <v>251</v>
      </c>
      <c r="BW145" s="218" t="s">
        <v>153</v>
      </c>
      <c r="BX145" s="219" t="s">
        <v>153</v>
      </c>
      <c r="BY145" s="220" t="s">
        <v>252</v>
      </c>
      <c r="BZ145" s="221" t="s">
        <v>153</v>
      </c>
      <c r="CA145" s="222" t="s">
        <v>190</v>
      </c>
      <c r="CB145" s="223">
        <v>41087</v>
      </c>
      <c r="CC145" s="224">
        <v>20877.62</v>
      </c>
      <c r="CD145" s="225" t="s">
        <v>186</v>
      </c>
      <c r="CE145" s="226">
        <v>20877.62</v>
      </c>
      <c r="CF145" s="227" t="s">
        <v>186</v>
      </c>
      <c r="CG145" s="228" t="s">
        <v>226</v>
      </c>
      <c r="CH145" s="229" t="s">
        <v>729</v>
      </c>
      <c r="CI145" s="230" t="s">
        <v>153</v>
      </c>
      <c r="CJ145" s="231" t="s">
        <v>225</v>
      </c>
      <c r="CK145" s="232">
        <v>41087</v>
      </c>
      <c r="CL145" s="233" t="s">
        <v>153</v>
      </c>
      <c r="CM145" s="234" t="s">
        <v>153</v>
      </c>
      <c r="CN145" s="235" t="s">
        <v>190</v>
      </c>
      <c r="CO145" s="236" t="s">
        <v>153</v>
      </c>
      <c r="CP145" s="237" t="s">
        <v>153</v>
      </c>
      <c r="CQ145" s="238" t="s">
        <v>153</v>
      </c>
      <c r="CR145" s="239" t="s">
        <v>153</v>
      </c>
      <c r="CS145" s="240" t="s">
        <v>153</v>
      </c>
      <c r="CT145" s="241" t="s">
        <v>153</v>
      </c>
      <c r="CU145" s="242" t="s">
        <v>153</v>
      </c>
      <c r="CV145" s="243" t="s">
        <v>153</v>
      </c>
      <c r="CW145" s="244" t="s">
        <v>153</v>
      </c>
      <c r="CX145" s="245" t="s">
        <v>153</v>
      </c>
      <c r="CY145" s="246" t="s">
        <v>153</v>
      </c>
      <c r="CZ145" s="247" t="s">
        <v>153</v>
      </c>
      <c r="DA145" s="248" t="s">
        <v>153</v>
      </c>
      <c r="DB145" s="249" t="s">
        <v>153</v>
      </c>
      <c r="DC145" s="250" t="s">
        <v>153</v>
      </c>
      <c r="DD145" s="251" t="s">
        <v>153</v>
      </c>
      <c r="DE145" s="252" t="s">
        <v>153</v>
      </c>
      <c r="DF145" s="253" t="s">
        <v>153</v>
      </c>
      <c r="DG145" s="254" t="s">
        <v>153</v>
      </c>
      <c r="DH145" s="255" t="s">
        <v>153</v>
      </c>
      <c r="DI145" s="256" t="s">
        <v>153</v>
      </c>
      <c r="DJ145" s="257" t="s">
        <v>153</v>
      </c>
      <c r="DK145" s="258" t="s">
        <v>153</v>
      </c>
      <c r="DL145" s="259" t="s">
        <v>153</v>
      </c>
      <c r="DM145" s="260" t="s">
        <v>153</v>
      </c>
      <c r="DN145" s="261" t="s">
        <v>153</v>
      </c>
      <c r="DO145" s="262" t="s">
        <v>153</v>
      </c>
      <c r="DP145" s="263" t="s">
        <v>153</v>
      </c>
      <c r="DQ145" s="264" t="s">
        <v>153</v>
      </c>
      <c r="DR145" s="265" t="s">
        <v>153</v>
      </c>
      <c r="DS145" s="266" t="s">
        <v>153</v>
      </c>
      <c r="DT145" s="267" t="s">
        <v>153</v>
      </c>
      <c r="DU145" s="268" t="s">
        <v>153</v>
      </c>
      <c r="DV145" s="269" t="s">
        <v>153</v>
      </c>
      <c r="DW145" s="270" t="s">
        <v>153</v>
      </c>
      <c r="DX145" s="271" t="s">
        <v>153</v>
      </c>
      <c r="DY145" s="272" t="s">
        <v>153</v>
      </c>
      <c r="DZ145" s="273" t="s">
        <v>191</v>
      </c>
      <c r="EA145" s="274">
        <v>44285</v>
      </c>
      <c r="EB145" s="275">
        <v>20877.62</v>
      </c>
      <c r="EC145" s="276">
        <v>41087</v>
      </c>
      <c r="ED145" s="277" t="s">
        <v>226</v>
      </c>
      <c r="EE145" s="279" t="str">
        <f>HYPERLINK("https://my.pitchbook.com?c=89945-83", "View company online")</f>
        <v>View company online</v>
      </c>
    </row>
    <row r="146" spans="1:135" x14ac:dyDescent="0.45">
      <c r="A146" s="10" t="s">
        <v>3302</v>
      </c>
      <c r="B146" s="11" t="s">
        <v>3303</v>
      </c>
      <c r="C146" s="12" t="s">
        <v>153</v>
      </c>
      <c r="D146" s="13" t="s">
        <v>153</v>
      </c>
      <c r="E146" s="14" t="s">
        <v>3304</v>
      </c>
      <c r="F146" s="15" t="s">
        <v>153</v>
      </c>
      <c r="G146" s="16" t="s">
        <v>153</v>
      </c>
      <c r="H146" s="17" t="s">
        <v>3305</v>
      </c>
      <c r="I146" s="18" t="s">
        <v>3302</v>
      </c>
      <c r="J146" s="19" t="s">
        <v>3306</v>
      </c>
      <c r="K146" s="20" t="s">
        <v>882</v>
      </c>
      <c r="L146" s="21" t="s">
        <v>883</v>
      </c>
      <c r="M146" s="22" t="s">
        <v>884</v>
      </c>
      <c r="N146" s="23" t="s">
        <v>3307</v>
      </c>
      <c r="O146" s="24" t="s">
        <v>365</v>
      </c>
      <c r="P146" s="25" t="s">
        <v>3308</v>
      </c>
      <c r="Q146" s="26" t="s">
        <v>204</v>
      </c>
      <c r="R146" s="27" t="s">
        <v>153</v>
      </c>
      <c r="S146" s="28" t="s">
        <v>290</v>
      </c>
      <c r="T146" s="29" t="s">
        <v>205</v>
      </c>
      <c r="U146" s="30" t="s">
        <v>206</v>
      </c>
      <c r="V146" s="31" t="s">
        <v>3309</v>
      </c>
      <c r="W146" s="32">
        <v>1200</v>
      </c>
      <c r="X146" s="33" t="s">
        <v>3310</v>
      </c>
      <c r="Y146" s="34" t="s">
        <v>153</v>
      </c>
      <c r="Z146" s="35" t="s">
        <v>153</v>
      </c>
      <c r="AA146" s="36">
        <v>1912</v>
      </c>
      <c r="AB146" s="37" t="s">
        <v>153</v>
      </c>
      <c r="AC146" s="38" t="s">
        <v>153</v>
      </c>
      <c r="AD146" s="39" t="s">
        <v>153</v>
      </c>
      <c r="AE146" s="40" t="s">
        <v>153</v>
      </c>
      <c r="AF146" s="41" t="s">
        <v>153</v>
      </c>
      <c r="AG146" s="42" t="s">
        <v>153</v>
      </c>
      <c r="AH146" s="43" t="s">
        <v>153</v>
      </c>
      <c r="AI146" s="44" t="s">
        <v>153</v>
      </c>
      <c r="AJ146" s="45" t="s">
        <v>153</v>
      </c>
      <c r="AK146" s="46" t="s">
        <v>153</v>
      </c>
      <c r="AL146" s="47" t="s">
        <v>153</v>
      </c>
      <c r="AM146" s="48" t="s">
        <v>153</v>
      </c>
      <c r="AN146" s="49" t="s">
        <v>153</v>
      </c>
      <c r="AO146" s="50" t="s">
        <v>153</v>
      </c>
      <c r="AP146" s="51" t="s">
        <v>153</v>
      </c>
      <c r="AQ146" s="52" t="s">
        <v>153</v>
      </c>
      <c r="AR146" s="53" t="s">
        <v>153</v>
      </c>
      <c r="AS146" s="54" t="s">
        <v>153</v>
      </c>
      <c r="AT146" s="55" t="s">
        <v>3311</v>
      </c>
      <c r="AU146" s="56" t="s">
        <v>3312</v>
      </c>
      <c r="AV146" s="57" t="s">
        <v>153</v>
      </c>
      <c r="AW146" s="58" t="s">
        <v>3313</v>
      </c>
      <c r="AX146" s="59" t="s">
        <v>153</v>
      </c>
      <c r="AY146" s="60" t="s">
        <v>3314</v>
      </c>
      <c r="AZ146" s="61" t="s">
        <v>1426</v>
      </c>
      <c r="BA146" s="62" t="s">
        <v>153</v>
      </c>
      <c r="BB146" s="63" t="s">
        <v>153</v>
      </c>
      <c r="BC146" s="64" t="s">
        <v>153</v>
      </c>
      <c r="BD146" s="65" t="s">
        <v>180</v>
      </c>
      <c r="BE146" s="66" t="s">
        <v>181</v>
      </c>
      <c r="BF146" s="67" t="s">
        <v>3315</v>
      </c>
      <c r="BG146" s="68" t="s">
        <v>153</v>
      </c>
      <c r="BH146" s="69" t="s">
        <v>153</v>
      </c>
      <c r="BI146" s="70" t="s">
        <v>3316</v>
      </c>
      <c r="BJ146" s="71" t="s">
        <v>153</v>
      </c>
      <c r="BK146" s="72" t="s">
        <v>153</v>
      </c>
      <c r="BL146" s="73" t="s">
        <v>153</v>
      </c>
      <c r="BM146" s="74" t="s">
        <v>153</v>
      </c>
      <c r="BN146" s="75" t="s">
        <v>153</v>
      </c>
      <c r="BO146" s="76" t="s">
        <v>3317</v>
      </c>
      <c r="BP146" s="77" t="s">
        <v>3318</v>
      </c>
      <c r="BQ146" s="78">
        <v>42199</v>
      </c>
      <c r="BR146" s="79">
        <v>20820.09</v>
      </c>
      <c r="BS146" s="80" t="s">
        <v>186</v>
      </c>
      <c r="BT146" s="81">
        <v>20820.09</v>
      </c>
      <c r="BU146" s="82" t="s">
        <v>186</v>
      </c>
      <c r="BV146" s="83" t="s">
        <v>3319</v>
      </c>
      <c r="BW146" s="84" t="s">
        <v>153</v>
      </c>
      <c r="BX146" s="85" t="s">
        <v>153</v>
      </c>
      <c r="BY146" s="86" t="s">
        <v>225</v>
      </c>
      <c r="BZ146" s="87" t="s">
        <v>153</v>
      </c>
      <c r="CA146" s="88" t="s">
        <v>190</v>
      </c>
      <c r="CB146" s="89">
        <v>42199</v>
      </c>
      <c r="CC146" s="90">
        <v>20820.09</v>
      </c>
      <c r="CD146" s="91" t="s">
        <v>186</v>
      </c>
      <c r="CE146" s="92">
        <v>20820.09</v>
      </c>
      <c r="CF146" s="93" t="s">
        <v>186</v>
      </c>
      <c r="CG146" s="94" t="s">
        <v>3319</v>
      </c>
      <c r="CH146" s="95" t="s">
        <v>153</v>
      </c>
      <c r="CI146" s="96" t="s">
        <v>153</v>
      </c>
      <c r="CJ146" s="97" t="s">
        <v>225</v>
      </c>
      <c r="CK146" s="98">
        <v>42199</v>
      </c>
      <c r="CL146" s="99" t="s">
        <v>153</v>
      </c>
      <c r="CM146" s="100" t="s">
        <v>153</v>
      </c>
      <c r="CN146" s="101" t="s">
        <v>190</v>
      </c>
      <c r="CO146" s="102" t="s">
        <v>153</v>
      </c>
      <c r="CP146" s="103" t="s">
        <v>153</v>
      </c>
      <c r="CQ146" s="104" t="s">
        <v>153</v>
      </c>
      <c r="CR146" s="105" t="s">
        <v>153</v>
      </c>
      <c r="CS146" s="106" t="s">
        <v>153</v>
      </c>
      <c r="CT146" s="107" t="s">
        <v>153</v>
      </c>
      <c r="CU146" s="108" t="s">
        <v>153</v>
      </c>
      <c r="CV146" s="109" t="s">
        <v>153</v>
      </c>
      <c r="CW146" s="110" t="s">
        <v>153</v>
      </c>
      <c r="CX146" s="111" t="s">
        <v>153</v>
      </c>
      <c r="CY146" s="112" t="s">
        <v>153</v>
      </c>
      <c r="CZ146" s="113" t="s">
        <v>153</v>
      </c>
      <c r="DA146" s="114" t="s">
        <v>153</v>
      </c>
      <c r="DB146" s="115" t="s">
        <v>153</v>
      </c>
      <c r="DC146" s="116" t="s">
        <v>153</v>
      </c>
      <c r="DD146" s="117" t="s">
        <v>153</v>
      </c>
      <c r="DE146" s="118" t="s">
        <v>153</v>
      </c>
      <c r="DF146" s="119" t="s">
        <v>153</v>
      </c>
      <c r="DG146" s="120" t="s">
        <v>153</v>
      </c>
      <c r="DH146" s="121" t="s">
        <v>153</v>
      </c>
      <c r="DI146" s="122" t="s">
        <v>153</v>
      </c>
      <c r="DJ146" s="123" t="s">
        <v>153</v>
      </c>
      <c r="DK146" s="124" t="s">
        <v>153</v>
      </c>
      <c r="DL146" s="125" t="s">
        <v>153</v>
      </c>
      <c r="DM146" s="126" t="s">
        <v>153</v>
      </c>
      <c r="DN146" s="127" t="s">
        <v>153</v>
      </c>
      <c r="DO146" s="128" t="s">
        <v>153</v>
      </c>
      <c r="DP146" s="129" t="s">
        <v>153</v>
      </c>
      <c r="DQ146" s="130" t="s">
        <v>153</v>
      </c>
      <c r="DR146" s="131" t="s">
        <v>153</v>
      </c>
      <c r="DS146" s="132" t="s">
        <v>153</v>
      </c>
      <c r="DT146" s="133" t="s">
        <v>153</v>
      </c>
      <c r="DU146" s="134" t="s">
        <v>153</v>
      </c>
      <c r="DV146" s="135" t="s">
        <v>153</v>
      </c>
      <c r="DW146" s="136" t="s">
        <v>153</v>
      </c>
      <c r="DX146" s="137" t="s">
        <v>153</v>
      </c>
      <c r="DY146" s="138" t="s">
        <v>153</v>
      </c>
      <c r="DZ146" s="139" t="s">
        <v>191</v>
      </c>
      <c r="EA146" s="140">
        <v>44364</v>
      </c>
      <c r="EB146" s="141">
        <v>20820.09</v>
      </c>
      <c r="EC146" s="142">
        <v>42199</v>
      </c>
      <c r="ED146" s="143" t="s">
        <v>3319</v>
      </c>
      <c r="EE146" s="278" t="str">
        <f>HYPERLINK("https://my.pitchbook.com?c=10989-82", "View company online")</f>
        <v>View company online</v>
      </c>
    </row>
    <row r="147" spans="1:135" x14ac:dyDescent="0.45">
      <c r="A147" s="144" t="s">
        <v>3320</v>
      </c>
      <c r="B147" s="145" t="s">
        <v>3321</v>
      </c>
      <c r="C147" s="146" t="s">
        <v>153</v>
      </c>
      <c r="D147" s="147" t="s">
        <v>153</v>
      </c>
      <c r="E147" s="148" t="s">
        <v>153</v>
      </c>
      <c r="F147" s="149" t="s">
        <v>153</v>
      </c>
      <c r="G147" s="150" t="s">
        <v>3322</v>
      </c>
      <c r="H147" s="151" t="s">
        <v>3323</v>
      </c>
      <c r="I147" s="152" t="s">
        <v>3320</v>
      </c>
      <c r="J147" s="153" t="s">
        <v>3324</v>
      </c>
      <c r="K147" s="154" t="s">
        <v>559</v>
      </c>
      <c r="L147" s="155" t="s">
        <v>3325</v>
      </c>
      <c r="M147" s="156" t="s">
        <v>3326</v>
      </c>
      <c r="N147" s="157" t="s">
        <v>3327</v>
      </c>
      <c r="O147" s="158" t="s">
        <v>261</v>
      </c>
      <c r="P147" s="159" t="s">
        <v>3328</v>
      </c>
      <c r="Q147" s="160" t="s">
        <v>204</v>
      </c>
      <c r="R147" s="161" t="s">
        <v>153</v>
      </c>
      <c r="S147" s="162" t="s">
        <v>290</v>
      </c>
      <c r="T147" s="163" t="s">
        <v>205</v>
      </c>
      <c r="U147" s="164" t="s">
        <v>237</v>
      </c>
      <c r="V147" s="165" t="s">
        <v>3329</v>
      </c>
      <c r="W147" s="166">
        <v>486</v>
      </c>
      <c r="X147" s="167" t="s">
        <v>3330</v>
      </c>
      <c r="Y147" s="168" t="s">
        <v>153</v>
      </c>
      <c r="Z147" s="169" t="s">
        <v>153</v>
      </c>
      <c r="AA147" s="170">
        <v>1833</v>
      </c>
      <c r="AB147" s="171" t="s">
        <v>3316</v>
      </c>
      <c r="AC147" s="172" t="s">
        <v>153</v>
      </c>
      <c r="AD147" s="173" t="s">
        <v>153</v>
      </c>
      <c r="AE147" s="174" t="s">
        <v>153</v>
      </c>
      <c r="AF147" s="175" t="s">
        <v>153</v>
      </c>
      <c r="AG147" s="176" t="s">
        <v>153</v>
      </c>
      <c r="AH147" s="177" t="s">
        <v>153</v>
      </c>
      <c r="AI147" s="178" t="s">
        <v>153</v>
      </c>
      <c r="AJ147" s="179" t="s">
        <v>153</v>
      </c>
      <c r="AK147" s="180" t="s">
        <v>153</v>
      </c>
      <c r="AL147" s="181" t="s">
        <v>153</v>
      </c>
      <c r="AM147" s="182" t="s">
        <v>153</v>
      </c>
      <c r="AN147" s="183" t="s">
        <v>3331</v>
      </c>
      <c r="AO147" s="184" t="s">
        <v>153</v>
      </c>
      <c r="AP147" s="185" t="s">
        <v>153</v>
      </c>
      <c r="AQ147" s="186" t="s">
        <v>153</v>
      </c>
      <c r="AR147" s="187" t="s">
        <v>153</v>
      </c>
      <c r="AS147" s="188" t="s">
        <v>153</v>
      </c>
      <c r="AT147" s="189" t="s">
        <v>3175</v>
      </c>
      <c r="AU147" s="190" t="s">
        <v>3332</v>
      </c>
      <c r="AV147" s="191" t="s">
        <v>153</v>
      </c>
      <c r="AW147" s="192" t="s">
        <v>3178</v>
      </c>
      <c r="AX147" s="193" t="s">
        <v>153</v>
      </c>
      <c r="AY147" s="194" t="s">
        <v>3333</v>
      </c>
      <c r="AZ147" s="195" t="s">
        <v>701</v>
      </c>
      <c r="BA147" s="196" t="s">
        <v>153</v>
      </c>
      <c r="BB147" s="197" t="s">
        <v>153</v>
      </c>
      <c r="BC147" s="198" t="s">
        <v>153</v>
      </c>
      <c r="BD147" s="199" t="s">
        <v>180</v>
      </c>
      <c r="BE147" s="200" t="s">
        <v>181</v>
      </c>
      <c r="BF147" s="201" t="s">
        <v>3334</v>
      </c>
      <c r="BG147" s="202" t="s">
        <v>153</v>
      </c>
      <c r="BH147" s="203" t="s">
        <v>153</v>
      </c>
      <c r="BI147" s="204" t="s">
        <v>3335</v>
      </c>
      <c r="BJ147" s="205" t="s">
        <v>3336</v>
      </c>
      <c r="BK147" s="206" t="s">
        <v>153</v>
      </c>
      <c r="BL147" s="207" t="s">
        <v>153</v>
      </c>
      <c r="BM147" s="208" t="s">
        <v>3337</v>
      </c>
      <c r="BN147" s="209" t="s">
        <v>153</v>
      </c>
      <c r="BO147" s="210" t="s">
        <v>3338</v>
      </c>
      <c r="BP147" s="211" t="s">
        <v>3339</v>
      </c>
      <c r="BQ147" s="212">
        <v>41281</v>
      </c>
      <c r="BR147" s="213" t="s">
        <v>153</v>
      </c>
      <c r="BS147" s="214" t="s">
        <v>153</v>
      </c>
      <c r="BT147" s="215" t="s">
        <v>153</v>
      </c>
      <c r="BU147" s="216" t="s">
        <v>153</v>
      </c>
      <c r="BV147" s="217" t="s">
        <v>1524</v>
      </c>
      <c r="BW147" s="218" t="s">
        <v>1525</v>
      </c>
      <c r="BX147" s="219" t="s">
        <v>153</v>
      </c>
      <c r="BY147" s="220" t="s">
        <v>225</v>
      </c>
      <c r="BZ147" s="221" t="s">
        <v>153</v>
      </c>
      <c r="CA147" s="222" t="s">
        <v>190</v>
      </c>
      <c r="CB147" s="223">
        <v>42199</v>
      </c>
      <c r="CC147" s="224">
        <v>20820.09</v>
      </c>
      <c r="CD147" s="225" t="s">
        <v>186</v>
      </c>
      <c r="CE147" s="226">
        <v>20820.09</v>
      </c>
      <c r="CF147" s="227" t="s">
        <v>186</v>
      </c>
      <c r="CG147" s="228" t="s">
        <v>3319</v>
      </c>
      <c r="CH147" s="229" t="s">
        <v>153</v>
      </c>
      <c r="CI147" s="230" t="s">
        <v>153</v>
      </c>
      <c r="CJ147" s="231" t="s">
        <v>225</v>
      </c>
      <c r="CK147" s="232">
        <v>42199</v>
      </c>
      <c r="CL147" s="233" t="s">
        <v>153</v>
      </c>
      <c r="CM147" s="234" t="s">
        <v>153</v>
      </c>
      <c r="CN147" s="235" t="s">
        <v>190</v>
      </c>
      <c r="CO147" s="236" t="s">
        <v>153</v>
      </c>
      <c r="CP147" s="237" t="s">
        <v>153</v>
      </c>
      <c r="CQ147" s="238" t="s">
        <v>153</v>
      </c>
      <c r="CR147" s="239" t="s">
        <v>153</v>
      </c>
      <c r="CS147" s="240" t="s">
        <v>153</v>
      </c>
      <c r="CT147" s="241" t="s">
        <v>153</v>
      </c>
      <c r="CU147" s="242" t="s">
        <v>153</v>
      </c>
      <c r="CV147" s="243" t="s">
        <v>153</v>
      </c>
      <c r="CW147" s="244" t="s">
        <v>153</v>
      </c>
      <c r="CX147" s="245" t="s">
        <v>153</v>
      </c>
      <c r="CY147" s="246" t="s">
        <v>153</v>
      </c>
      <c r="CZ147" s="247" t="s">
        <v>153</v>
      </c>
      <c r="DA147" s="248" t="s">
        <v>153</v>
      </c>
      <c r="DB147" s="249" t="s">
        <v>153</v>
      </c>
      <c r="DC147" s="250" t="s">
        <v>153</v>
      </c>
      <c r="DD147" s="251" t="s">
        <v>153</v>
      </c>
      <c r="DE147" s="252" t="s">
        <v>153</v>
      </c>
      <c r="DF147" s="253" t="s">
        <v>153</v>
      </c>
      <c r="DG147" s="254" t="s">
        <v>153</v>
      </c>
      <c r="DH147" s="255" t="s">
        <v>153</v>
      </c>
      <c r="DI147" s="256" t="s">
        <v>153</v>
      </c>
      <c r="DJ147" s="257" t="s">
        <v>153</v>
      </c>
      <c r="DK147" s="258" t="s">
        <v>153</v>
      </c>
      <c r="DL147" s="259" t="s">
        <v>153</v>
      </c>
      <c r="DM147" s="260" t="s">
        <v>153</v>
      </c>
      <c r="DN147" s="261" t="s">
        <v>153</v>
      </c>
      <c r="DO147" s="262" t="s">
        <v>153</v>
      </c>
      <c r="DP147" s="263" t="s">
        <v>153</v>
      </c>
      <c r="DQ147" s="264" t="s">
        <v>153</v>
      </c>
      <c r="DR147" s="265" t="s">
        <v>153</v>
      </c>
      <c r="DS147" s="266" t="s">
        <v>153</v>
      </c>
      <c r="DT147" s="267" t="s">
        <v>153</v>
      </c>
      <c r="DU147" s="268" t="s">
        <v>153</v>
      </c>
      <c r="DV147" s="269" t="s">
        <v>153</v>
      </c>
      <c r="DW147" s="270" t="s">
        <v>153</v>
      </c>
      <c r="DX147" s="271" t="s">
        <v>153</v>
      </c>
      <c r="DY147" s="272" t="s">
        <v>153</v>
      </c>
      <c r="DZ147" s="273" t="s">
        <v>191</v>
      </c>
      <c r="EA147" s="274">
        <v>44364</v>
      </c>
      <c r="EB147" s="275">
        <v>20820.09</v>
      </c>
      <c r="EC147" s="276">
        <v>42199</v>
      </c>
      <c r="ED147" s="277" t="s">
        <v>3319</v>
      </c>
      <c r="EE147" s="279" t="str">
        <f>HYPERLINK("https://my.pitchbook.com?c=40757-41", "View company online")</f>
        <v>View company online</v>
      </c>
    </row>
    <row r="148" spans="1:135" x14ac:dyDescent="0.45">
      <c r="A148" s="10" t="s">
        <v>3340</v>
      </c>
      <c r="B148" s="11" t="s">
        <v>3341</v>
      </c>
      <c r="C148" s="12" t="s">
        <v>153</v>
      </c>
      <c r="D148" s="13" t="s">
        <v>153</v>
      </c>
      <c r="E148" s="14" t="s">
        <v>153</v>
      </c>
      <c r="F148" s="15" t="s">
        <v>153</v>
      </c>
      <c r="G148" s="16" t="s">
        <v>3342</v>
      </c>
      <c r="H148" s="17" t="s">
        <v>3343</v>
      </c>
      <c r="I148" s="18" t="s">
        <v>3340</v>
      </c>
      <c r="J148" s="19" t="s">
        <v>3344</v>
      </c>
      <c r="K148" s="20" t="s">
        <v>257</v>
      </c>
      <c r="L148" s="21" t="s">
        <v>258</v>
      </c>
      <c r="M148" s="22" t="s">
        <v>259</v>
      </c>
      <c r="N148" s="23" t="s">
        <v>3345</v>
      </c>
      <c r="O148" s="24" t="s">
        <v>450</v>
      </c>
      <c r="P148" s="25" t="s">
        <v>3346</v>
      </c>
      <c r="Q148" s="26" t="s">
        <v>289</v>
      </c>
      <c r="R148" s="27">
        <v>53.9</v>
      </c>
      <c r="S148" s="28" t="s">
        <v>290</v>
      </c>
      <c r="T148" s="29" t="s">
        <v>164</v>
      </c>
      <c r="U148" s="30" t="s">
        <v>941</v>
      </c>
      <c r="V148" s="31" t="s">
        <v>3347</v>
      </c>
      <c r="W148" s="32">
        <v>1022</v>
      </c>
      <c r="X148" s="33" t="s">
        <v>3348</v>
      </c>
      <c r="Y148" s="34" t="s">
        <v>153</v>
      </c>
      <c r="Z148" s="35" t="s">
        <v>153</v>
      </c>
      <c r="AA148" s="36">
        <v>1991</v>
      </c>
      <c r="AB148" s="37" t="s">
        <v>621</v>
      </c>
      <c r="AC148" s="38" t="s">
        <v>153</v>
      </c>
      <c r="AD148" s="39" t="s">
        <v>153</v>
      </c>
      <c r="AE148" s="40" t="s">
        <v>153</v>
      </c>
      <c r="AF148" s="41" t="s">
        <v>153</v>
      </c>
      <c r="AG148" s="42" t="s">
        <v>153</v>
      </c>
      <c r="AH148" s="43" t="s">
        <v>153</v>
      </c>
      <c r="AI148" s="44" t="s">
        <v>153</v>
      </c>
      <c r="AJ148" s="45" t="s">
        <v>153</v>
      </c>
      <c r="AK148" s="46" t="s">
        <v>153</v>
      </c>
      <c r="AL148" s="47" t="s">
        <v>153</v>
      </c>
      <c r="AM148" s="48" t="s">
        <v>153</v>
      </c>
      <c r="AN148" s="49" t="s">
        <v>1046</v>
      </c>
      <c r="AO148" s="50" t="s">
        <v>3349</v>
      </c>
      <c r="AP148" s="51" t="s">
        <v>3350</v>
      </c>
      <c r="AQ148" s="52" t="s">
        <v>3351</v>
      </c>
      <c r="AR148" s="53" t="s">
        <v>3352</v>
      </c>
      <c r="AS148" s="54" t="s">
        <v>153</v>
      </c>
      <c r="AT148" s="55" t="s">
        <v>2378</v>
      </c>
      <c r="AU148" s="56" t="s">
        <v>3353</v>
      </c>
      <c r="AV148" s="57" t="s">
        <v>153</v>
      </c>
      <c r="AW148" s="58" t="s">
        <v>2380</v>
      </c>
      <c r="AX148" s="59" t="s">
        <v>308</v>
      </c>
      <c r="AY148" s="60" t="s">
        <v>2381</v>
      </c>
      <c r="AZ148" s="61" t="s">
        <v>215</v>
      </c>
      <c r="BA148" s="62" t="s">
        <v>3354</v>
      </c>
      <c r="BB148" s="63" t="s">
        <v>3355</v>
      </c>
      <c r="BC148" s="64" t="s">
        <v>3356</v>
      </c>
      <c r="BD148" s="65" t="s">
        <v>216</v>
      </c>
      <c r="BE148" s="66" t="s">
        <v>217</v>
      </c>
      <c r="BF148" s="67" t="s">
        <v>3357</v>
      </c>
      <c r="BG148" s="68" t="s">
        <v>153</v>
      </c>
      <c r="BH148" s="69" t="s">
        <v>153</v>
      </c>
      <c r="BI148" s="70" t="s">
        <v>621</v>
      </c>
      <c r="BJ148" s="71" t="s">
        <v>3358</v>
      </c>
      <c r="BK148" s="72" t="s">
        <v>153</v>
      </c>
      <c r="BL148" s="73" t="s">
        <v>153</v>
      </c>
      <c r="BM148" s="74" t="s">
        <v>3359</v>
      </c>
      <c r="BN148" s="75" t="s">
        <v>153</v>
      </c>
      <c r="BO148" s="76" t="s">
        <v>3360</v>
      </c>
      <c r="BP148" s="77" t="s">
        <v>3361</v>
      </c>
      <c r="BQ148" s="78">
        <v>34446</v>
      </c>
      <c r="BR148" s="79">
        <v>8.1</v>
      </c>
      <c r="BS148" s="80" t="s">
        <v>186</v>
      </c>
      <c r="BT148" s="81" t="s">
        <v>153</v>
      </c>
      <c r="BU148" s="82" t="s">
        <v>153</v>
      </c>
      <c r="BV148" s="83" t="s">
        <v>471</v>
      </c>
      <c r="BW148" s="84" t="s">
        <v>153</v>
      </c>
      <c r="BX148" s="85" t="s">
        <v>153</v>
      </c>
      <c r="BY148" s="86" t="s">
        <v>472</v>
      </c>
      <c r="BZ148" s="87" t="s">
        <v>153</v>
      </c>
      <c r="CA148" s="88" t="s">
        <v>190</v>
      </c>
      <c r="CB148" s="89">
        <v>42150</v>
      </c>
      <c r="CC148" s="90">
        <v>20800</v>
      </c>
      <c r="CD148" s="91" t="s">
        <v>186</v>
      </c>
      <c r="CE148" s="92">
        <v>20800</v>
      </c>
      <c r="CF148" s="93" t="s">
        <v>187</v>
      </c>
      <c r="CG148" s="94" t="s">
        <v>226</v>
      </c>
      <c r="CH148" s="95" t="s">
        <v>153</v>
      </c>
      <c r="CI148" s="96" t="s">
        <v>153</v>
      </c>
      <c r="CJ148" s="97" t="s">
        <v>225</v>
      </c>
      <c r="CK148" s="98">
        <v>42150</v>
      </c>
      <c r="CL148" s="99" t="s">
        <v>153</v>
      </c>
      <c r="CM148" s="100" t="s">
        <v>153</v>
      </c>
      <c r="CN148" s="101" t="s">
        <v>190</v>
      </c>
      <c r="CO148" s="102" t="s">
        <v>153</v>
      </c>
      <c r="CP148" s="103" t="s">
        <v>153</v>
      </c>
      <c r="CQ148" s="104" t="s">
        <v>153</v>
      </c>
      <c r="CR148" s="105" t="s">
        <v>153</v>
      </c>
      <c r="CS148" s="106" t="s">
        <v>153</v>
      </c>
      <c r="CT148" s="107" t="s">
        <v>153</v>
      </c>
      <c r="CU148" s="108" t="s">
        <v>153</v>
      </c>
      <c r="CV148" s="109" t="s">
        <v>153</v>
      </c>
      <c r="CW148" s="110" t="s">
        <v>153</v>
      </c>
      <c r="CX148" s="111" t="s">
        <v>153</v>
      </c>
      <c r="CY148" s="112" t="s">
        <v>153</v>
      </c>
      <c r="CZ148" s="113" t="s">
        <v>153</v>
      </c>
      <c r="DA148" s="114" t="s">
        <v>153</v>
      </c>
      <c r="DB148" s="115" t="s">
        <v>153</v>
      </c>
      <c r="DC148" s="116" t="s">
        <v>153</v>
      </c>
      <c r="DD148" s="117" t="s">
        <v>153</v>
      </c>
      <c r="DE148" s="118" t="s">
        <v>153</v>
      </c>
      <c r="DF148" s="119" t="s">
        <v>153</v>
      </c>
      <c r="DG148" s="120" t="s">
        <v>153</v>
      </c>
      <c r="DH148" s="121" t="s">
        <v>153</v>
      </c>
      <c r="DI148" s="122" t="s">
        <v>153</v>
      </c>
      <c r="DJ148" s="123" t="s">
        <v>153</v>
      </c>
      <c r="DK148" s="124" t="s">
        <v>153</v>
      </c>
      <c r="DL148" s="125" t="s">
        <v>153</v>
      </c>
      <c r="DM148" s="126" t="s">
        <v>153</v>
      </c>
      <c r="DN148" s="127" t="s">
        <v>153</v>
      </c>
      <c r="DO148" s="128" t="s">
        <v>153</v>
      </c>
      <c r="DP148" s="129" t="s">
        <v>153</v>
      </c>
      <c r="DQ148" s="130" t="s">
        <v>153</v>
      </c>
      <c r="DR148" s="131" t="s">
        <v>153</v>
      </c>
      <c r="DS148" s="132" t="s">
        <v>153</v>
      </c>
      <c r="DT148" s="133" t="s">
        <v>153</v>
      </c>
      <c r="DU148" s="134" t="s">
        <v>153</v>
      </c>
      <c r="DV148" s="135" t="s">
        <v>153</v>
      </c>
      <c r="DW148" s="136" t="s">
        <v>153</v>
      </c>
      <c r="DX148" s="137" t="s">
        <v>153</v>
      </c>
      <c r="DY148" s="138" t="s">
        <v>153</v>
      </c>
      <c r="DZ148" s="139" t="s">
        <v>191</v>
      </c>
      <c r="EA148" s="140">
        <v>44320</v>
      </c>
      <c r="EB148" s="141">
        <v>20800</v>
      </c>
      <c r="EC148" s="142">
        <v>42150</v>
      </c>
      <c r="ED148" s="143" t="s">
        <v>226</v>
      </c>
      <c r="EE148" s="278" t="str">
        <f>HYPERLINK("https://my.pitchbook.com?c=41046-76", "View company online")</f>
        <v>View company online</v>
      </c>
    </row>
    <row r="149" spans="1:135" x14ac:dyDescent="0.45">
      <c r="A149" s="144" t="s">
        <v>3362</v>
      </c>
      <c r="B149" s="145" t="s">
        <v>3363</v>
      </c>
      <c r="C149" s="146" t="s">
        <v>153</v>
      </c>
      <c r="D149" s="147" t="s">
        <v>153</v>
      </c>
      <c r="E149" s="148" t="s">
        <v>3364</v>
      </c>
      <c r="F149" s="149" t="s">
        <v>153</v>
      </c>
      <c r="G149" s="150" t="s">
        <v>3365</v>
      </c>
      <c r="H149" s="151" t="s">
        <v>153</v>
      </c>
      <c r="I149" s="152" t="s">
        <v>3362</v>
      </c>
      <c r="J149" s="153" t="s">
        <v>3366</v>
      </c>
      <c r="K149" s="154" t="s">
        <v>257</v>
      </c>
      <c r="L149" s="155" t="s">
        <v>478</v>
      </c>
      <c r="M149" s="156" t="s">
        <v>2391</v>
      </c>
      <c r="N149" s="157" t="s">
        <v>3367</v>
      </c>
      <c r="O149" s="158" t="s">
        <v>755</v>
      </c>
      <c r="P149" s="159" t="s">
        <v>3368</v>
      </c>
      <c r="Q149" s="160" t="s">
        <v>204</v>
      </c>
      <c r="R149" s="161" t="s">
        <v>153</v>
      </c>
      <c r="S149" s="162" t="s">
        <v>163</v>
      </c>
      <c r="T149" s="163" t="s">
        <v>164</v>
      </c>
      <c r="U149" s="164" t="s">
        <v>206</v>
      </c>
      <c r="V149" s="165" t="s">
        <v>3369</v>
      </c>
      <c r="W149" s="166">
        <v>7000</v>
      </c>
      <c r="X149" s="167" t="s">
        <v>3370</v>
      </c>
      <c r="Y149" s="168" t="s">
        <v>153</v>
      </c>
      <c r="Z149" s="169" t="s">
        <v>153</v>
      </c>
      <c r="AA149" s="170" t="s">
        <v>153</v>
      </c>
      <c r="AB149" s="171" t="s">
        <v>3371</v>
      </c>
      <c r="AC149" s="172" t="s">
        <v>153</v>
      </c>
      <c r="AD149" s="173" t="s">
        <v>428</v>
      </c>
      <c r="AE149" s="174" t="s">
        <v>153</v>
      </c>
      <c r="AF149" s="175" t="s">
        <v>153</v>
      </c>
      <c r="AG149" s="176" t="s">
        <v>153</v>
      </c>
      <c r="AH149" s="177" t="s">
        <v>153</v>
      </c>
      <c r="AI149" s="178" t="s">
        <v>153</v>
      </c>
      <c r="AJ149" s="179" t="s">
        <v>153</v>
      </c>
      <c r="AK149" s="180" t="s">
        <v>153</v>
      </c>
      <c r="AL149" s="181" t="s">
        <v>153</v>
      </c>
      <c r="AM149" s="182" t="s">
        <v>153</v>
      </c>
      <c r="AN149" s="183" t="s">
        <v>456</v>
      </c>
      <c r="AO149" s="184" t="s">
        <v>3372</v>
      </c>
      <c r="AP149" s="185" t="s">
        <v>3373</v>
      </c>
      <c r="AQ149" s="186" t="s">
        <v>1241</v>
      </c>
      <c r="AR149" s="187" t="s">
        <v>3374</v>
      </c>
      <c r="AS149" s="188" t="s">
        <v>3375</v>
      </c>
      <c r="AT149" s="189" t="s">
        <v>3376</v>
      </c>
      <c r="AU149" s="190" t="s">
        <v>3377</v>
      </c>
      <c r="AV149" s="191" t="s">
        <v>153</v>
      </c>
      <c r="AW149" s="192" t="s">
        <v>3378</v>
      </c>
      <c r="AX149" s="193" t="s">
        <v>385</v>
      </c>
      <c r="AY149" s="194" t="s">
        <v>3379</v>
      </c>
      <c r="AZ149" s="195" t="s">
        <v>215</v>
      </c>
      <c r="BA149" s="196" t="s">
        <v>3375</v>
      </c>
      <c r="BB149" s="197" t="s">
        <v>153</v>
      </c>
      <c r="BC149" s="198" t="s">
        <v>153</v>
      </c>
      <c r="BD149" s="199" t="s">
        <v>216</v>
      </c>
      <c r="BE149" s="200" t="s">
        <v>217</v>
      </c>
      <c r="BF149" s="201" t="s">
        <v>3380</v>
      </c>
      <c r="BG149" s="202" t="s">
        <v>153</v>
      </c>
      <c r="BH149" s="203" t="s">
        <v>153</v>
      </c>
      <c r="BI149" s="204" t="s">
        <v>3371</v>
      </c>
      <c r="BJ149" s="205" t="s">
        <v>3381</v>
      </c>
      <c r="BK149" s="206" t="s">
        <v>153</v>
      </c>
      <c r="BL149" s="207" t="s">
        <v>153</v>
      </c>
      <c r="BM149" s="208" t="s">
        <v>3382</v>
      </c>
      <c r="BN149" s="209" t="s">
        <v>153</v>
      </c>
      <c r="BO149" s="210" t="s">
        <v>153</v>
      </c>
      <c r="BP149" s="211" t="s">
        <v>3383</v>
      </c>
      <c r="BQ149" s="212">
        <v>43921</v>
      </c>
      <c r="BR149" s="213">
        <v>20700</v>
      </c>
      <c r="BS149" s="214" t="s">
        <v>186</v>
      </c>
      <c r="BT149" s="215">
        <v>20700</v>
      </c>
      <c r="BU149" s="216" t="s">
        <v>187</v>
      </c>
      <c r="BV149" s="217" t="s">
        <v>226</v>
      </c>
      <c r="BW149" s="218" t="s">
        <v>729</v>
      </c>
      <c r="BX149" s="219" t="s">
        <v>153</v>
      </c>
      <c r="BY149" s="220" t="s">
        <v>225</v>
      </c>
      <c r="BZ149" s="221" t="s">
        <v>153</v>
      </c>
      <c r="CA149" s="222" t="s">
        <v>190</v>
      </c>
      <c r="CB149" s="223">
        <v>43921</v>
      </c>
      <c r="CC149" s="224">
        <v>20700</v>
      </c>
      <c r="CD149" s="225" t="s">
        <v>186</v>
      </c>
      <c r="CE149" s="226">
        <v>20700</v>
      </c>
      <c r="CF149" s="227" t="s">
        <v>187</v>
      </c>
      <c r="CG149" s="228" t="s">
        <v>226</v>
      </c>
      <c r="CH149" s="229" t="s">
        <v>729</v>
      </c>
      <c r="CI149" s="230" t="s">
        <v>153</v>
      </c>
      <c r="CJ149" s="231" t="s">
        <v>225</v>
      </c>
      <c r="CK149" s="232">
        <v>43921</v>
      </c>
      <c r="CL149" s="233" t="s">
        <v>153</v>
      </c>
      <c r="CM149" s="234" t="s">
        <v>153</v>
      </c>
      <c r="CN149" s="235" t="s">
        <v>190</v>
      </c>
      <c r="CO149" s="236">
        <v>0.18</v>
      </c>
      <c r="CP149" s="237">
        <v>90</v>
      </c>
      <c r="CQ149" s="238">
        <v>0.18</v>
      </c>
      <c r="CR149" s="239">
        <v>16088.41</v>
      </c>
      <c r="CS149" s="240">
        <v>0.59</v>
      </c>
      <c r="CT149" s="241">
        <v>93</v>
      </c>
      <c r="CU149" s="242">
        <v>-0.06</v>
      </c>
      <c r="CV149" s="243">
        <v>29</v>
      </c>
      <c r="CW149" s="244">
        <v>0.36</v>
      </c>
      <c r="CX149" s="245">
        <v>78</v>
      </c>
      <c r="CY149" s="246">
        <v>0.83</v>
      </c>
      <c r="CZ149" s="247">
        <v>97</v>
      </c>
      <c r="DA149" s="248">
        <v>-0.06</v>
      </c>
      <c r="DB149" s="249">
        <v>29</v>
      </c>
      <c r="DC149" s="250">
        <v>132.02000000000001</v>
      </c>
      <c r="DD149" s="251">
        <v>100</v>
      </c>
      <c r="DE149" s="252">
        <v>1.51</v>
      </c>
      <c r="DF149" s="253">
        <v>1.1599999999999999</v>
      </c>
      <c r="DG149" s="254">
        <v>158.16999999999999</v>
      </c>
      <c r="DH149" s="255">
        <v>100</v>
      </c>
      <c r="DI149" s="256">
        <v>48.69</v>
      </c>
      <c r="DJ149" s="257">
        <v>96</v>
      </c>
      <c r="DK149" s="258">
        <v>129.71</v>
      </c>
      <c r="DL149" s="259">
        <v>98</v>
      </c>
      <c r="DM149" s="260">
        <v>186.63</v>
      </c>
      <c r="DN149" s="261">
        <v>100</v>
      </c>
      <c r="DO149" s="262">
        <v>48.69</v>
      </c>
      <c r="DP149" s="263">
        <v>96</v>
      </c>
      <c r="DQ149" s="264">
        <v>76955</v>
      </c>
      <c r="DR149" s="265">
        <v>-128</v>
      </c>
      <c r="DS149" s="266">
        <v>-0.17</v>
      </c>
      <c r="DT149" s="267">
        <v>2930</v>
      </c>
      <c r="DU149" s="268">
        <v>128</v>
      </c>
      <c r="DV149" s="269">
        <v>4.57</v>
      </c>
      <c r="DW149" s="270">
        <v>15290</v>
      </c>
      <c r="DX149" s="271">
        <v>-4</v>
      </c>
      <c r="DY149" s="272">
        <v>-0.03</v>
      </c>
      <c r="DZ149" s="273" t="s">
        <v>191</v>
      </c>
      <c r="EA149" s="274">
        <v>44390</v>
      </c>
      <c r="EB149" s="275">
        <v>20700</v>
      </c>
      <c r="EC149" s="276">
        <v>43921</v>
      </c>
      <c r="ED149" s="277" t="s">
        <v>226</v>
      </c>
      <c r="EE149" s="279" t="str">
        <f>HYPERLINK("https://my.pitchbook.com?c=265648-42", "View company online")</f>
        <v>View company online</v>
      </c>
    </row>
    <row r="150" spans="1:135" x14ac:dyDescent="0.45">
      <c r="A150" s="10" t="s">
        <v>3384</v>
      </c>
      <c r="B150" s="11" t="s">
        <v>3385</v>
      </c>
      <c r="C150" s="12" t="s">
        <v>153</v>
      </c>
      <c r="D150" s="13" t="s">
        <v>153</v>
      </c>
      <c r="E150" s="14" t="s">
        <v>153</v>
      </c>
      <c r="F150" s="15" t="s">
        <v>153</v>
      </c>
      <c r="G150" s="16" t="s">
        <v>3386</v>
      </c>
      <c r="H150" s="17" t="s">
        <v>3387</v>
      </c>
      <c r="I150" s="18" t="s">
        <v>3384</v>
      </c>
      <c r="J150" s="19" t="s">
        <v>3388</v>
      </c>
      <c r="K150" s="20" t="s">
        <v>257</v>
      </c>
      <c r="L150" s="21" t="s">
        <v>258</v>
      </c>
      <c r="M150" s="22" t="s">
        <v>3389</v>
      </c>
      <c r="N150" s="23" t="s">
        <v>3390</v>
      </c>
      <c r="O150" s="24" t="s">
        <v>450</v>
      </c>
      <c r="P150" s="25" t="s">
        <v>3391</v>
      </c>
      <c r="Q150" s="26" t="s">
        <v>204</v>
      </c>
      <c r="R150" s="27">
        <v>575</v>
      </c>
      <c r="S150" s="28" t="s">
        <v>368</v>
      </c>
      <c r="T150" s="29" t="s">
        <v>205</v>
      </c>
      <c r="U150" s="30" t="s">
        <v>292</v>
      </c>
      <c r="V150" s="31" t="s">
        <v>3392</v>
      </c>
      <c r="W150" s="32">
        <v>450</v>
      </c>
      <c r="X150" s="33" t="s">
        <v>3393</v>
      </c>
      <c r="Y150" s="34" t="s">
        <v>153</v>
      </c>
      <c r="Z150" s="35" t="s">
        <v>153</v>
      </c>
      <c r="AA150" s="36">
        <v>1982</v>
      </c>
      <c r="AB150" s="37" t="s">
        <v>3394</v>
      </c>
      <c r="AC150" s="38" t="s">
        <v>153</v>
      </c>
      <c r="AD150" s="39" t="s">
        <v>153</v>
      </c>
      <c r="AE150" s="40">
        <v>20.37</v>
      </c>
      <c r="AF150" s="41">
        <v>-125.08</v>
      </c>
      <c r="AG150" s="42">
        <v>-353.41</v>
      </c>
      <c r="AH150" s="43">
        <v>7926.34</v>
      </c>
      <c r="AI150" s="44">
        <v>-309.08</v>
      </c>
      <c r="AJ150" s="45">
        <v>-313</v>
      </c>
      <c r="AK150" s="46" t="s">
        <v>153</v>
      </c>
      <c r="AL150" s="47">
        <v>-676.69</v>
      </c>
      <c r="AM150" s="48" t="s">
        <v>153</v>
      </c>
      <c r="AN150" s="49" t="s">
        <v>3395</v>
      </c>
      <c r="AO150" s="50" t="s">
        <v>153</v>
      </c>
      <c r="AP150" s="51" t="s">
        <v>153</v>
      </c>
      <c r="AQ150" s="52" t="s">
        <v>153</v>
      </c>
      <c r="AR150" s="53" t="s">
        <v>153</v>
      </c>
      <c r="AS150" s="54" t="s">
        <v>153</v>
      </c>
      <c r="AT150" s="55" t="s">
        <v>270</v>
      </c>
      <c r="AU150" s="56" t="s">
        <v>3396</v>
      </c>
      <c r="AV150" s="57" t="s">
        <v>153</v>
      </c>
      <c r="AW150" s="58" t="s">
        <v>272</v>
      </c>
      <c r="AX150" s="59" t="s">
        <v>273</v>
      </c>
      <c r="AY150" s="60" t="s">
        <v>274</v>
      </c>
      <c r="AZ150" s="61" t="s">
        <v>215</v>
      </c>
      <c r="BA150" s="62" t="s">
        <v>153</v>
      </c>
      <c r="BB150" s="63" t="s">
        <v>153</v>
      </c>
      <c r="BC150" s="64" t="s">
        <v>153</v>
      </c>
      <c r="BD150" s="65" t="s">
        <v>216</v>
      </c>
      <c r="BE150" s="66" t="s">
        <v>217</v>
      </c>
      <c r="BF150" s="67" t="s">
        <v>3397</v>
      </c>
      <c r="BG150" s="68" t="s">
        <v>153</v>
      </c>
      <c r="BH150" s="69" t="s">
        <v>153</v>
      </c>
      <c r="BI150" s="70" t="s">
        <v>3394</v>
      </c>
      <c r="BJ150" s="71" t="s">
        <v>3398</v>
      </c>
      <c r="BK150" s="72" t="s">
        <v>153</v>
      </c>
      <c r="BL150" s="73" t="s">
        <v>153</v>
      </c>
      <c r="BM150" s="74" t="s">
        <v>3399</v>
      </c>
      <c r="BN150" s="75" t="s">
        <v>153</v>
      </c>
      <c r="BO150" s="76" t="s">
        <v>3400</v>
      </c>
      <c r="BP150" s="77" t="s">
        <v>3401</v>
      </c>
      <c r="BQ150" s="78">
        <v>30783</v>
      </c>
      <c r="BR150" s="79" t="s">
        <v>153</v>
      </c>
      <c r="BS150" s="80" t="s">
        <v>153</v>
      </c>
      <c r="BT150" s="81" t="s">
        <v>153</v>
      </c>
      <c r="BU150" s="82" t="s">
        <v>153</v>
      </c>
      <c r="BV150" s="83" t="s">
        <v>251</v>
      </c>
      <c r="BW150" s="84" t="s">
        <v>153</v>
      </c>
      <c r="BX150" s="85" t="s">
        <v>153</v>
      </c>
      <c r="BY150" s="86" t="s">
        <v>252</v>
      </c>
      <c r="BZ150" s="87" t="s">
        <v>153</v>
      </c>
      <c r="CA150" s="88" t="s">
        <v>190</v>
      </c>
      <c r="CB150" s="89">
        <v>44127</v>
      </c>
      <c r="CC150" s="90">
        <v>20597</v>
      </c>
      <c r="CD150" s="91" t="s">
        <v>186</v>
      </c>
      <c r="CE150" s="92">
        <v>20597</v>
      </c>
      <c r="CF150" s="93" t="s">
        <v>187</v>
      </c>
      <c r="CG150" s="94" t="s">
        <v>226</v>
      </c>
      <c r="CH150" s="95" t="s">
        <v>930</v>
      </c>
      <c r="CI150" s="96" t="s">
        <v>153</v>
      </c>
      <c r="CJ150" s="97" t="s">
        <v>225</v>
      </c>
      <c r="CK150" s="98">
        <v>44127</v>
      </c>
      <c r="CL150" s="99" t="s">
        <v>153</v>
      </c>
      <c r="CM150" s="100" t="s">
        <v>153</v>
      </c>
      <c r="CN150" s="101" t="s">
        <v>190</v>
      </c>
      <c r="CO150" s="102" t="s">
        <v>153</v>
      </c>
      <c r="CP150" s="103" t="s">
        <v>153</v>
      </c>
      <c r="CQ150" s="104" t="s">
        <v>153</v>
      </c>
      <c r="CR150" s="105" t="s">
        <v>153</v>
      </c>
      <c r="CS150" s="106" t="s">
        <v>153</v>
      </c>
      <c r="CT150" s="107" t="s">
        <v>153</v>
      </c>
      <c r="CU150" s="108" t="s">
        <v>153</v>
      </c>
      <c r="CV150" s="109" t="s">
        <v>153</v>
      </c>
      <c r="CW150" s="110" t="s">
        <v>153</v>
      </c>
      <c r="CX150" s="111" t="s">
        <v>153</v>
      </c>
      <c r="CY150" s="112" t="s">
        <v>153</v>
      </c>
      <c r="CZ150" s="113" t="s">
        <v>153</v>
      </c>
      <c r="DA150" s="114" t="s">
        <v>153</v>
      </c>
      <c r="DB150" s="115" t="s">
        <v>153</v>
      </c>
      <c r="DC150" s="116" t="s">
        <v>153</v>
      </c>
      <c r="DD150" s="117" t="s">
        <v>153</v>
      </c>
      <c r="DE150" s="118" t="s">
        <v>153</v>
      </c>
      <c r="DF150" s="119" t="s">
        <v>153</v>
      </c>
      <c r="DG150" s="120" t="s">
        <v>153</v>
      </c>
      <c r="DH150" s="121" t="s">
        <v>153</v>
      </c>
      <c r="DI150" s="122" t="s">
        <v>153</v>
      </c>
      <c r="DJ150" s="123" t="s">
        <v>153</v>
      </c>
      <c r="DK150" s="124" t="s">
        <v>153</v>
      </c>
      <c r="DL150" s="125" t="s">
        <v>153</v>
      </c>
      <c r="DM150" s="126" t="s">
        <v>153</v>
      </c>
      <c r="DN150" s="127" t="s">
        <v>153</v>
      </c>
      <c r="DO150" s="128" t="s">
        <v>153</v>
      </c>
      <c r="DP150" s="129" t="s">
        <v>153</v>
      </c>
      <c r="DQ150" s="130" t="s">
        <v>153</v>
      </c>
      <c r="DR150" s="131" t="s">
        <v>153</v>
      </c>
      <c r="DS150" s="132" t="s">
        <v>153</v>
      </c>
      <c r="DT150" s="133" t="s">
        <v>153</v>
      </c>
      <c r="DU150" s="134" t="s">
        <v>153</v>
      </c>
      <c r="DV150" s="135" t="s">
        <v>153</v>
      </c>
      <c r="DW150" s="136" t="s">
        <v>153</v>
      </c>
      <c r="DX150" s="137" t="s">
        <v>153</v>
      </c>
      <c r="DY150" s="138" t="s">
        <v>153</v>
      </c>
      <c r="DZ150" s="139" t="s">
        <v>191</v>
      </c>
      <c r="EA150" s="140">
        <v>44352</v>
      </c>
      <c r="EB150" s="141">
        <v>20597</v>
      </c>
      <c r="EC150" s="142">
        <v>44127</v>
      </c>
      <c r="ED150" s="143" t="s">
        <v>226</v>
      </c>
      <c r="EE150" s="278" t="str">
        <f>HYPERLINK("https://my.pitchbook.com?c=41323-78", "View company online")</f>
        <v>View company online</v>
      </c>
    </row>
    <row r="151" spans="1:135" x14ac:dyDescent="0.45">
      <c r="A151" s="144" t="s">
        <v>3402</v>
      </c>
      <c r="B151" s="145" t="s">
        <v>3403</v>
      </c>
      <c r="C151" s="146" t="s">
        <v>153</v>
      </c>
      <c r="D151" s="147" t="s">
        <v>153</v>
      </c>
      <c r="E151" s="148" t="s">
        <v>3404</v>
      </c>
      <c r="F151" s="149" t="s">
        <v>3405</v>
      </c>
      <c r="G151" s="150" t="s">
        <v>3406</v>
      </c>
      <c r="H151" s="151" t="s">
        <v>153</v>
      </c>
      <c r="I151" s="152" t="s">
        <v>3402</v>
      </c>
      <c r="J151" s="153" t="s">
        <v>3407</v>
      </c>
      <c r="K151" s="154" t="s">
        <v>198</v>
      </c>
      <c r="L151" s="155" t="s">
        <v>199</v>
      </c>
      <c r="M151" s="156" t="s">
        <v>344</v>
      </c>
      <c r="N151" s="157" t="s">
        <v>3408</v>
      </c>
      <c r="O151" s="158" t="s">
        <v>399</v>
      </c>
      <c r="P151" s="159" t="s">
        <v>3409</v>
      </c>
      <c r="Q151" s="160" t="s">
        <v>367</v>
      </c>
      <c r="R151" s="161">
        <v>20</v>
      </c>
      <c r="S151" s="162" t="s">
        <v>290</v>
      </c>
      <c r="T151" s="163" t="s">
        <v>291</v>
      </c>
      <c r="U151" s="164" t="s">
        <v>369</v>
      </c>
      <c r="V151" s="165" t="s">
        <v>3410</v>
      </c>
      <c r="W151" s="166">
        <v>9500</v>
      </c>
      <c r="X151" s="167" t="s">
        <v>3411</v>
      </c>
      <c r="Y151" s="168" t="s">
        <v>3412</v>
      </c>
      <c r="Z151" s="169" t="s">
        <v>3413</v>
      </c>
      <c r="AA151" s="170">
        <v>1966</v>
      </c>
      <c r="AB151" s="171" t="s">
        <v>3414</v>
      </c>
      <c r="AC151" s="172" t="s">
        <v>570</v>
      </c>
      <c r="AD151" s="173" t="s">
        <v>508</v>
      </c>
      <c r="AE151" s="174">
        <v>4233.09</v>
      </c>
      <c r="AF151" s="175" t="s">
        <v>153</v>
      </c>
      <c r="AG151" s="176">
        <v>702.04</v>
      </c>
      <c r="AH151" s="177">
        <v>19225.32</v>
      </c>
      <c r="AI151" s="178">
        <v>1906.86</v>
      </c>
      <c r="AJ151" s="179">
        <v>961.54</v>
      </c>
      <c r="AK151" s="180">
        <v>14499.02</v>
      </c>
      <c r="AL151" s="181">
        <v>4584.59</v>
      </c>
      <c r="AM151" s="182">
        <v>1.35</v>
      </c>
      <c r="AN151" s="183" t="s">
        <v>3265</v>
      </c>
      <c r="AO151" s="184" t="s">
        <v>3415</v>
      </c>
      <c r="AP151" s="185" t="s">
        <v>3416</v>
      </c>
      <c r="AQ151" s="186" t="s">
        <v>379</v>
      </c>
      <c r="AR151" s="187" t="s">
        <v>3417</v>
      </c>
      <c r="AS151" s="188" t="s">
        <v>3418</v>
      </c>
      <c r="AT151" s="189" t="s">
        <v>3419</v>
      </c>
      <c r="AU151" s="190" t="s">
        <v>3420</v>
      </c>
      <c r="AV151" s="191" t="s">
        <v>3421</v>
      </c>
      <c r="AW151" s="192" t="s">
        <v>3422</v>
      </c>
      <c r="AX151" s="193" t="s">
        <v>3423</v>
      </c>
      <c r="AY151" s="194" t="s">
        <v>3424</v>
      </c>
      <c r="AZ151" s="195" t="s">
        <v>1358</v>
      </c>
      <c r="BA151" s="196" t="s">
        <v>3418</v>
      </c>
      <c r="BB151" s="197" t="s">
        <v>3425</v>
      </c>
      <c r="BC151" s="198" t="s">
        <v>153</v>
      </c>
      <c r="BD151" s="199" t="s">
        <v>216</v>
      </c>
      <c r="BE151" s="200" t="s">
        <v>217</v>
      </c>
      <c r="BF151" s="201" t="s">
        <v>3426</v>
      </c>
      <c r="BG151" s="202" t="s">
        <v>3414</v>
      </c>
      <c r="BH151" s="203">
        <v>1</v>
      </c>
      <c r="BI151" s="204" t="s">
        <v>153</v>
      </c>
      <c r="BJ151" s="205" t="s">
        <v>3427</v>
      </c>
      <c r="BK151" s="206" t="s">
        <v>3428</v>
      </c>
      <c r="BL151" s="207" t="s">
        <v>3429</v>
      </c>
      <c r="BM151" s="208" t="s">
        <v>3430</v>
      </c>
      <c r="BN151" s="209" t="s">
        <v>3431</v>
      </c>
      <c r="BO151" s="210" t="s">
        <v>3432</v>
      </c>
      <c r="BP151" s="211" t="s">
        <v>3433</v>
      </c>
      <c r="BQ151" s="212">
        <v>30845</v>
      </c>
      <c r="BR151" s="213" t="s">
        <v>153</v>
      </c>
      <c r="BS151" s="214" t="s">
        <v>153</v>
      </c>
      <c r="BT151" s="215" t="s">
        <v>153</v>
      </c>
      <c r="BU151" s="216" t="s">
        <v>153</v>
      </c>
      <c r="BV151" s="217" t="s">
        <v>251</v>
      </c>
      <c r="BW151" s="218" t="s">
        <v>153</v>
      </c>
      <c r="BX151" s="219" t="s">
        <v>153</v>
      </c>
      <c r="BY151" s="220" t="s">
        <v>252</v>
      </c>
      <c r="BZ151" s="221" t="s">
        <v>153</v>
      </c>
      <c r="CA151" s="222" t="s">
        <v>190</v>
      </c>
      <c r="CB151" s="223">
        <v>44270</v>
      </c>
      <c r="CC151" s="224">
        <v>20581.650000000001</v>
      </c>
      <c r="CD151" s="225" t="s">
        <v>186</v>
      </c>
      <c r="CE151" s="226">
        <v>20581.650000000001</v>
      </c>
      <c r="CF151" s="227" t="s">
        <v>187</v>
      </c>
      <c r="CG151" s="228" t="s">
        <v>226</v>
      </c>
      <c r="CH151" s="229" t="s">
        <v>153</v>
      </c>
      <c r="CI151" s="230" t="s">
        <v>153</v>
      </c>
      <c r="CJ151" s="231" t="s">
        <v>225</v>
      </c>
      <c r="CK151" s="232">
        <v>44270</v>
      </c>
      <c r="CL151" s="233" t="s">
        <v>153</v>
      </c>
      <c r="CM151" s="234" t="s">
        <v>153</v>
      </c>
      <c r="CN151" s="235" t="s">
        <v>1278</v>
      </c>
      <c r="CO151" s="236">
        <v>1.1000000000000001</v>
      </c>
      <c r="CP151" s="237">
        <v>96</v>
      </c>
      <c r="CQ151" s="238">
        <v>0.32</v>
      </c>
      <c r="CR151" s="239">
        <v>40.479999999999997</v>
      </c>
      <c r="CS151" s="240">
        <v>-0.68</v>
      </c>
      <c r="CT151" s="241">
        <v>5</v>
      </c>
      <c r="CU151" s="242">
        <v>-0.03</v>
      </c>
      <c r="CV151" s="243">
        <v>36</v>
      </c>
      <c r="CW151" s="244">
        <v>-1.69</v>
      </c>
      <c r="CX151" s="245">
        <v>14</v>
      </c>
      <c r="CY151" s="246">
        <v>0.33</v>
      </c>
      <c r="CZ151" s="247">
        <v>93</v>
      </c>
      <c r="DA151" s="248">
        <v>-0.03</v>
      </c>
      <c r="DB151" s="249">
        <v>36</v>
      </c>
      <c r="DC151" s="250">
        <v>187.52</v>
      </c>
      <c r="DD151" s="251">
        <v>100</v>
      </c>
      <c r="DE151" s="252">
        <v>0.37</v>
      </c>
      <c r="DF151" s="253">
        <v>0.2</v>
      </c>
      <c r="DG151" s="254">
        <v>444.58</v>
      </c>
      <c r="DH151" s="255">
        <v>100</v>
      </c>
      <c r="DI151" s="256">
        <v>113.09</v>
      </c>
      <c r="DJ151" s="257">
        <v>98</v>
      </c>
      <c r="DK151" s="258">
        <v>630.22</v>
      </c>
      <c r="DL151" s="259">
        <v>100</v>
      </c>
      <c r="DM151" s="260">
        <v>258.94</v>
      </c>
      <c r="DN151" s="261">
        <v>100</v>
      </c>
      <c r="DO151" s="262">
        <v>113.09</v>
      </c>
      <c r="DP151" s="263">
        <v>98</v>
      </c>
      <c r="DQ151" s="264">
        <v>373093</v>
      </c>
      <c r="DR151" s="265">
        <v>2305</v>
      </c>
      <c r="DS151" s="266">
        <v>0.62</v>
      </c>
      <c r="DT151" s="267">
        <v>4143</v>
      </c>
      <c r="DU151" s="268">
        <v>1</v>
      </c>
      <c r="DV151" s="269">
        <v>0.02</v>
      </c>
      <c r="DW151" s="270">
        <v>35510</v>
      </c>
      <c r="DX151" s="271">
        <v>1</v>
      </c>
      <c r="DY151" s="272">
        <v>0</v>
      </c>
      <c r="DZ151" s="273" t="s">
        <v>191</v>
      </c>
      <c r="EA151" s="274">
        <v>44380</v>
      </c>
      <c r="EB151" s="275">
        <v>20581.650000000001</v>
      </c>
      <c r="EC151" s="276">
        <v>44270</v>
      </c>
      <c r="ED151" s="277" t="s">
        <v>226</v>
      </c>
      <c r="EE151" s="279" t="str">
        <f>HYPERLINK("https://my.pitchbook.com?c=11953-63", "View company online")</f>
        <v>View company online</v>
      </c>
    </row>
    <row r="152" spans="1:135" x14ac:dyDescent="0.45">
      <c r="A152" s="10" t="s">
        <v>3434</v>
      </c>
      <c r="B152" s="11" t="s">
        <v>3435</v>
      </c>
      <c r="C152" s="12" t="s">
        <v>153</v>
      </c>
      <c r="D152" s="13" t="s">
        <v>153</v>
      </c>
      <c r="E152" s="14" t="s">
        <v>153</v>
      </c>
      <c r="F152" s="15" t="s">
        <v>153</v>
      </c>
      <c r="G152" s="16" t="s">
        <v>3436</v>
      </c>
      <c r="H152" s="17" t="s">
        <v>3437</v>
      </c>
      <c r="I152" s="18" t="s">
        <v>3434</v>
      </c>
      <c r="J152" s="19" t="s">
        <v>3438</v>
      </c>
      <c r="K152" s="20" t="s">
        <v>257</v>
      </c>
      <c r="L152" s="21" t="s">
        <v>258</v>
      </c>
      <c r="M152" s="22" t="s">
        <v>448</v>
      </c>
      <c r="N152" s="23" t="s">
        <v>3439</v>
      </c>
      <c r="O152" s="24" t="s">
        <v>1139</v>
      </c>
      <c r="P152" s="25" t="s">
        <v>3440</v>
      </c>
      <c r="Q152" s="26" t="s">
        <v>289</v>
      </c>
      <c r="R152" s="27">
        <v>38.200000000000003</v>
      </c>
      <c r="S152" s="28" t="s">
        <v>163</v>
      </c>
      <c r="T152" s="29" t="s">
        <v>1392</v>
      </c>
      <c r="U152" s="30" t="s">
        <v>941</v>
      </c>
      <c r="V152" s="31" t="s">
        <v>3441</v>
      </c>
      <c r="W152" s="32">
        <v>10000</v>
      </c>
      <c r="X152" s="33" t="s">
        <v>3442</v>
      </c>
      <c r="Y152" s="34" t="s">
        <v>153</v>
      </c>
      <c r="Z152" s="35" t="s">
        <v>153</v>
      </c>
      <c r="AA152" s="36">
        <v>1981</v>
      </c>
      <c r="AB152" s="37" t="s">
        <v>3443</v>
      </c>
      <c r="AC152" s="38" t="s">
        <v>153</v>
      </c>
      <c r="AD152" s="39" t="s">
        <v>153</v>
      </c>
      <c r="AE152" s="40" t="s">
        <v>153</v>
      </c>
      <c r="AF152" s="41" t="s">
        <v>153</v>
      </c>
      <c r="AG152" s="42" t="s">
        <v>153</v>
      </c>
      <c r="AH152" s="43" t="s">
        <v>153</v>
      </c>
      <c r="AI152" s="44" t="s">
        <v>153</v>
      </c>
      <c r="AJ152" s="45" t="s">
        <v>153</v>
      </c>
      <c r="AK152" s="46" t="s">
        <v>153</v>
      </c>
      <c r="AL152" s="47" t="s">
        <v>153</v>
      </c>
      <c r="AM152" s="48" t="s">
        <v>153</v>
      </c>
      <c r="AN152" s="49" t="s">
        <v>3444</v>
      </c>
      <c r="AO152" s="50" t="s">
        <v>3445</v>
      </c>
      <c r="AP152" s="51" t="s">
        <v>3446</v>
      </c>
      <c r="AQ152" s="52" t="s">
        <v>3447</v>
      </c>
      <c r="AR152" s="53" t="s">
        <v>3448</v>
      </c>
      <c r="AS152" s="54" t="s">
        <v>3449</v>
      </c>
      <c r="AT152" s="55" t="s">
        <v>3450</v>
      </c>
      <c r="AU152" s="56" t="s">
        <v>3451</v>
      </c>
      <c r="AV152" s="57" t="s">
        <v>153</v>
      </c>
      <c r="AW152" s="58" t="s">
        <v>3452</v>
      </c>
      <c r="AX152" s="59" t="s">
        <v>385</v>
      </c>
      <c r="AY152" s="60" t="s">
        <v>3453</v>
      </c>
      <c r="AZ152" s="61" t="s">
        <v>215</v>
      </c>
      <c r="BA152" s="62" t="s">
        <v>3449</v>
      </c>
      <c r="BB152" s="63" t="s">
        <v>3454</v>
      </c>
      <c r="BC152" s="64" t="s">
        <v>153</v>
      </c>
      <c r="BD152" s="65" t="s">
        <v>216</v>
      </c>
      <c r="BE152" s="66" t="s">
        <v>217</v>
      </c>
      <c r="BF152" s="67" t="s">
        <v>3455</v>
      </c>
      <c r="BG152" s="68" t="s">
        <v>153</v>
      </c>
      <c r="BH152" s="69" t="s">
        <v>153</v>
      </c>
      <c r="BI152" s="70" t="s">
        <v>3443</v>
      </c>
      <c r="BJ152" s="71" t="s">
        <v>3456</v>
      </c>
      <c r="BK152" s="72" t="s">
        <v>3457</v>
      </c>
      <c r="BL152" s="73" t="s">
        <v>153</v>
      </c>
      <c r="BM152" s="74" t="s">
        <v>3458</v>
      </c>
      <c r="BN152" s="75" t="s">
        <v>3459</v>
      </c>
      <c r="BO152" s="76" t="s">
        <v>3460</v>
      </c>
      <c r="BP152" s="77" t="s">
        <v>3461</v>
      </c>
      <c r="BQ152" s="78" t="s">
        <v>153</v>
      </c>
      <c r="BR152" s="79">
        <v>10</v>
      </c>
      <c r="BS152" s="80" t="s">
        <v>186</v>
      </c>
      <c r="BT152" s="81" t="s">
        <v>153</v>
      </c>
      <c r="BU152" s="82" t="s">
        <v>153</v>
      </c>
      <c r="BV152" s="83" t="s">
        <v>471</v>
      </c>
      <c r="BW152" s="84" t="s">
        <v>153</v>
      </c>
      <c r="BX152" s="85" t="s">
        <v>153</v>
      </c>
      <c r="BY152" s="86" t="s">
        <v>472</v>
      </c>
      <c r="BZ152" s="87" t="s">
        <v>153</v>
      </c>
      <c r="CA152" s="88" t="s">
        <v>190</v>
      </c>
      <c r="CB152" s="89">
        <v>40641</v>
      </c>
      <c r="CC152" s="90">
        <v>20400</v>
      </c>
      <c r="CD152" s="91" t="s">
        <v>186</v>
      </c>
      <c r="CE152" s="92">
        <v>20400</v>
      </c>
      <c r="CF152" s="93" t="s">
        <v>186</v>
      </c>
      <c r="CG152" s="94" t="s">
        <v>226</v>
      </c>
      <c r="CH152" s="95" t="s">
        <v>153</v>
      </c>
      <c r="CI152" s="96" t="s">
        <v>153</v>
      </c>
      <c r="CJ152" s="97" t="s">
        <v>225</v>
      </c>
      <c r="CK152" s="98">
        <v>40641</v>
      </c>
      <c r="CL152" s="99" t="s">
        <v>153</v>
      </c>
      <c r="CM152" s="100" t="s">
        <v>153</v>
      </c>
      <c r="CN152" s="101" t="s">
        <v>190</v>
      </c>
      <c r="CO152" s="102">
        <v>1.78</v>
      </c>
      <c r="CP152" s="103">
        <v>98</v>
      </c>
      <c r="CQ152" s="104">
        <v>0</v>
      </c>
      <c r="CR152" s="105">
        <v>0</v>
      </c>
      <c r="CS152" s="106" t="s">
        <v>153</v>
      </c>
      <c r="CT152" s="107" t="s">
        <v>153</v>
      </c>
      <c r="CU152" s="108" t="s">
        <v>153</v>
      </c>
      <c r="CV152" s="109" t="s">
        <v>153</v>
      </c>
      <c r="CW152" s="110" t="s">
        <v>153</v>
      </c>
      <c r="CX152" s="111" t="s">
        <v>153</v>
      </c>
      <c r="CY152" s="112" t="s">
        <v>153</v>
      </c>
      <c r="CZ152" s="113" t="s">
        <v>153</v>
      </c>
      <c r="DA152" s="114" t="s">
        <v>153</v>
      </c>
      <c r="DB152" s="115" t="s">
        <v>153</v>
      </c>
      <c r="DC152" s="116">
        <v>270.27</v>
      </c>
      <c r="DD152" s="117">
        <v>100</v>
      </c>
      <c r="DE152" s="118">
        <v>0</v>
      </c>
      <c r="DF152" s="119">
        <v>0</v>
      </c>
      <c r="DG152" s="120" t="s">
        <v>153</v>
      </c>
      <c r="DH152" s="121" t="s">
        <v>153</v>
      </c>
      <c r="DI152" s="122" t="s">
        <v>153</v>
      </c>
      <c r="DJ152" s="123" t="s">
        <v>153</v>
      </c>
      <c r="DK152" s="124" t="s">
        <v>153</v>
      </c>
      <c r="DL152" s="125" t="s">
        <v>153</v>
      </c>
      <c r="DM152" s="126" t="s">
        <v>153</v>
      </c>
      <c r="DN152" s="127" t="s">
        <v>153</v>
      </c>
      <c r="DO152" s="128" t="s">
        <v>153</v>
      </c>
      <c r="DP152" s="129" t="s">
        <v>153</v>
      </c>
      <c r="DQ152" s="130" t="s">
        <v>153</v>
      </c>
      <c r="DR152" s="131" t="s">
        <v>153</v>
      </c>
      <c r="DS152" s="132" t="s">
        <v>153</v>
      </c>
      <c r="DT152" s="133" t="s">
        <v>153</v>
      </c>
      <c r="DU152" s="134" t="s">
        <v>153</v>
      </c>
      <c r="DV152" s="135" t="s">
        <v>153</v>
      </c>
      <c r="DW152" s="136" t="s">
        <v>153</v>
      </c>
      <c r="DX152" s="137" t="s">
        <v>153</v>
      </c>
      <c r="DY152" s="138" t="s">
        <v>153</v>
      </c>
      <c r="DZ152" s="139" t="s">
        <v>191</v>
      </c>
      <c r="EA152" s="140">
        <v>44330</v>
      </c>
      <c r="EB152" s="141">
        <v>20400</v>
      </c>
      <c r="EC152" s="142">
        <v>40641</v>
      </c>
      <c r="ED152" s="143" t="s">
        <v>226</v>
      </c>
      <c r="EE152" s="278" t="str">
        <f>HYPERLINK("https://my.pitchbook.com?c=25274-35", "View company online")</f>
        <v>View company online</v>
      </c>
    </row>
    <row r="153" spans="1:135" x14ac:dyDescent="0.45">
      <c r="A153" s="144" t="s">
        <v>3462</v>
      </c>
      <c r="B153" s="145" t="s">
        <v>3463</v>
      </c>
      <c r="C153" s="146" t="s">
        <v>153</v>
      </c>
      <c r="D153" s="147" t="s">
        <v>153</v>
      </c>
      <c r="E153" s="148" t="s">
        <v>3464</v>
      </c>
      <c r="F153" s="149" t="s">
        <v>3465</v>
      </c>
      <c r="G153" s="150" t="s">
        <v>153</v>
      </c>
      <c r="H153" s="151" t="s">
        <v>3466</v>
      </c>
      <c r="I153" s="152" t="s">
        <v>3462</v>
      </c>
      <c r="J153" s="153" t="s">
        <v>3467</v>
      </c>
      <c r="K153" s="154" t="s">
        <v>257</v>
      </c>
      <c r="L153" s="155" t="s">
        <v>478</v>
      </c>
      <c r="M153" s="156" t="s">
        <v>479</v>
      </c>
      <c r="N153" s="157" t="s">
        <v>3468</v>
      </c>
      <c r="O153" s="158" t="s">
        <v>261</v>
      </c>
      <c r="P153" s="159" t="s">
        <v>3469</v>
      </c>
      <c r="Q153" s="160" t="s">
        <v>204</v>
      </c>
      <c r="R153" s="161" t="s">
        <v>153</v>
      </c>
      <c r="S153" s="162" t="s">
        <v>163</v>
      </c>
      <c r="T153" s="163" t="s">
        <v>205</v>
      </c>
      <c r="U153" s="164" t="s">
        <v>237</v>
      </c>
      <c r="V153" s="165" t="s">
        <v>3470</v>
      </c>
      <c r="W153" s="166">
        <v>20000</v>
      </c>
      <c r="X153" s="167" t="s">
        <v>3471</v>
      </c>
      <c r="Y153" s="168" t="s">
        <v>153</v>
      </c>
      <c r="Z153" s="169" t="s">
        <v>153</v>
      </c>
      <c r="AA153" s="170">
        <v>1960</v>
      </c>
      <c r="AB153" s="171" t="s">
        <v>153</v>
      </c>
      <c r="AC153" s="172" t="s">
        <v>153</v>
      </c>
      <c r="AD153" s="173" t="s">
        <v>537</v>
      </c>
      <c r="AE153" s="174" t="s">
        <v>153</v>
      </c>
      <c r="AF153" s="175" t="s">
        <v>153</v>
      </c>
      <c r="AG153" s="176" t="s">
        <v>153</v>
      </c>
      <c r="AH153" s="177" t="s">
        <v>153</v>
      </c>
      <c r="AI153" s="178" t="s">
        <v>153</v>
      </c>
      <c r="AJ153" s="179" t="s">
        <v>153</v>
      </c>
      <c r="AK153" s="180" t="s">
        <v>153</v>
      </c>
      <c r="AL153" s="181" t="s">
        <v>153</v>
      </c>
      <c r="AM153" s="182" t="s">
        <v>153</v>
      </c>
      <c r="AN153" s="183" t="s">
        <v>330</v>
      </c>
      <c r="AO153" s="184" t="s">
        <v>153</v>
      </c>
      <c r="AP153" s="185" t="s">
        <v>153</v>
      </c>
      <c r="AQ153" s="186" t="s">
        <v>153</v>
      </c>
      <c r="AR153" s="187" t="s">
        <v>153</v>
      </c>
      <c r="AS153" s="188" t="s">
        <v>153</v>
      </c>
      <c r="AT153" s="189" t="s">
        <v>3472</v>
      </c>
      <c r="AU153" s="190" t="s">
        <v>3473</v>
      </c>
      <c r="AV153" s="191" t="s">
        <v>3474</v>
      </c>
      <c r="AW153" s="192" t="s">
        <v>3475</v>
      </c>
      <c r="AX153" s="193" t="s">
        <v>2403</v>
      </c>
      <c r="AY153" s="194" t="s">
        <v>3476</v>
      </c>
      <c r="AZ153" s="195" t="s">
        <v>215</v>
      </c>
      <c r="BA153" s="196" t="s">
        <v>153</v>
      </c>
      <c r="BB153" s="197" t="s">
        <v>153</v>
      </c>
      <c r="BC153" s="198" t="s">
        <v>153</v>
      </c>
      <c r="BD153" s="199" t="s">
        <v>216</v>
      </c>
      <c r="BE153" s="200" t="s">
        <v>217</v>
      </c>
      <c r="BF153" s="201" t="s">
        <v>3477</v>
      </c>
      <c r="BG153" s="202" t="s">
        <v>153</v>
      </c>
      <c r="BH153" s="203" t="s">
        <v>153</v>
      </c>
      <c r="BI153" s="204" t="s">
        <v>2138</v>
      </c>
      <c r="BJ153" s="205" t="s">
        <v>153</v>
      </c>
      <c r="BK153" s="206" t="s">
        <v>153</v>
      </c>
      <c r="BL153" s="207" t="s">
        <v>153</v>
      </c>
      <c r="BM153" s="208" t="s">
        <v>153</v>
      </c>
      <c r="BN153" s="209" t="s">
        <v>153</v>
      </c>
      <c r="BO153" s="210" t="s">
        <v>3478</v>
      </c>
      <c r="BP153" s="211" t="s">
        <v>3479</v>
      </c>
      <c r="BQ153" s="212">
        <v>38131</v>
      </c>
      <c r="BR153" s="213" t="s">
        <v>153</v>
      </c>
      <c r="BS153" s="214" t="s">
        <v>153</v>
      </c>
      <c r="BT153" s="215" t="s">
        <v>153</v>
      </c>
      <c r="BU153" s="216" t="s">
        <v>153</v>
      </c>
      <c r="BV153" s="217" t="s">
        <v>251</v>
      </c>
      <c r="BW153" s="218" t="s">
        <v>153</v>
      </c>
      <c r="BX153" s="219" t="s">
        <v>153</v>
      </c>
      <c r="BY153" s="220" t="s">
        <v>252</v>
      </c>
      <c r="BZ153" s="221" t="s">
        <v>153</v>
      </c>
      <c r="CA153" s="222" t="s">
        <v>190</v>
      </c>
      <c r="CB153" s="223">
        <v>41074</v>
      </c>
      <c r="CC153" s="224">
        <v>20200</v>
      </c>
      <c r="CD153" s="225" t="s">
        <v>186</v>
      </c>
      <c r="CE153" s="226">
        <v>20200</v>
      </c>
      <c r="CF153" s="227" t="s">
        <v>186</v>
      </c>
      <c r="CG153" s="228" t="s">
        <v>226</v>
      </c>
      <c r="CH153" s="229" t="s">
        <v>153</v>
      </c>
      <c r="CI153" s="230" t="s">
        <v>153</v>
      </c>
      <c r="CJ153" s="231" t="s">
        <v>225</v>
      </c>
      <c r="CK153" s="232">
        <v>41074</v>
      </c>
      <c r="CL153" s="233" t="s">
        <v>153</v>
      </c>
      <c r="CM153" s="234" t="s">
        <v>153</v>
      </c>
      <c r="CN153" s="235" t="s">
        <v>190</v>
      </c>
      <c r="CO153" s="236" t="s">
        <v>153</v>
      </c>
      <c r="CP153" s="237" t="s">
        <v>153</v>
      </c>
      <c r="CQ153" s="238" t="s">
        <v>153</v>
      </c>
      <c r="CR153" s="239" t="s">
        <v>153</v>
      </c>
      <c r="CS153" s="240" t="s">
        <v>153</v>
      </c>
      <c r="CT153" s="241" t="s">
        <v>153</v>
      </c>
      <c r="CU153" s="242" t="s">
        <v>153</v>
      </c>
      <c r="CV153" s="243" t="s">
        <v>153</v>
      </c>
      <c r="CW153" s="244" t="s">
        <v>153</v>
      </c>
      <c r="CX153" s="245" t="s">
        <v>153</v>
      </c>
      <c r="CY153" s="246" t="s">
        <v>153</v>
      </c>
      <c r="CZ153" s="247" t="s">
        <v>153</v>
      </c>
      <c r="DA153" s="248" t="s">
        <v>153</v>
      </c>
      <c r="DB153" s="249" t="s">
        <v>153</v>
      </c>
      <c r="DC153" s="250" t="s">
        <v>153</v>
      </c>
      <c r="DD153" s="251" t="s">
        <v>153</v>
      </c>
      <c r="DE153" s="252" t="s">
        <v>153</v>
      </c>
      <c r="DF153" s="253" t="s">
        <v>153</v>
      </c>
      <c r="DG153" s="254" t="s">
        <v>153</v>
      </c>
      <c r="DH153" s="255" t="s">
        <v>153</v>
      </c>
      <c r="DI153" s="256" t="s">
        <v>153</v>
      </c>
      <c r="DJ153" s="257" t="s">
        <v>153</v>
      </c>
      <c r="DK153" s="258" t="s">
        <v>153</v>
      </c>
      <c r="DL153" s="259" t="s">
        <v>153</v>
      </c>
      <c r="DM153" s="260" t="s">
        <v>153</v>
      </c>
      <c r="DN153" s="261" t="s">
        <v>153</v>
      </c>
      <c r="DO153" s="262" t="s">
        <v>153</v>
      </c>
      <c r="DP153" s="263" t="s">
        <v>153</v>
      </c>
      <c r="DQ153" s="264" t="s">
        <v>153</v>
      </c>
      <c r="DR153" s="265" t="s">
        <v>153</v>
      </c>
      <c r="DS153" s="266" t="s">
        <v>153</v>
      </c>
      <c r="DT153" s="267" t="s">
        <v>153</v>
      </c>
      <c r="DU153" s="268" t="s">
        <v>153</v>
      </c>
      <c r="DV153" s="269" t="s">
        <v>153</v>
      </c>
      <c r="DW153" s="270" t="s">
        <v>153</v>
      </c>
      <c r="DX153" s="271" t="s">
        <v>153</v>
      </c>
      <c r="DY153" s="272" t="s">
        <v>153</v>
      </c>
      <c r="DZ153" s="273" t="s">
        <v>191</v>
      </c>
      <c r="EA153" s="274">
        <v>44287</v>
      </c>
      <c r="EB153" s="275">
        <v>20200</v>
      </c>
      <c r="EC153" s="276">
        <v>41074</v>
      </c>
      <c r="ED153" s="277" t="s">
        <v>226</v>
      </c>
      <c r="EE153" s="279" t="str">
        <f>HYPERLINK("https://my.pitchbook.com?c=54452-80", "View company online")</f>
        <v>View company online</v>
      </c>
    </row>
    <row r="154" spans="1:135" x14ac:dyDescent="0.45">
      <c r="A154" s="10" t="s">
        <v>3480</v>
      </c>
      <c r="B154" s="11" t="s">
        <v>3481</v>
      </c>
      <c r="C154" s="12" t="s">
        <v>153</v>
      </c>
      <c r="D154" s="13" t="s">
        <v>153</v>
      </c>
      <c r="E154" s="14" t="s">
        <v>153</v>
      </c>
      <c r="F154" s="15" t="s">
        <v>3482</v>
      </c>
      <c r="G154" s="16" t="s">
        <v>153</v>
      </c>
      <c r="H154" s="17" t="s">
        <v>153</v>
      </c>
      <c r="I154" s="18" t="s">
        <v>3480</v>
      </c>
      <c r="J154" s="19" t="s">
        <v>3483</v>
      </c>
      <c r="K154" s="20" t="s">
        <v>882</v>
      </c>
      <c r="L154" s="21" t="s">
        <v>2888</v>
      </c>
      <c r="M154" s="22" t="s">
        <v>2889</v>
      </c>
      <c r="N154" s="23" t="s">
        <v>3484</v>
      </c>
      <c r="O154" s="24" t="s">
        <v>153</v>
      </c>
      <c r="P154" s="25" t="s">
        <v>3485</v>
      </c>
      <c r="Q154" s="26" t="s">
        <v>204</v>
      </c>
      <c r="R154" s="27" t="s">
        <v>153</v>
      </c>
      <c r="S154" s="28" t="s">
        <v>153</v>
      </c>
      <c r="T154" s="29" t="s">
        <v>205</v>
      </c>
      <c r="U154" s="30" t="s">
        <v>206</v>
      </c>
      <c r="V154" s="31" t="s">
        <v>153</v>
      </c>
      <c r="W154" s="32" t="s">
        <v>153</v>
      </c>
      <c r="X154" s="33" t="s">
        <v>153</v>
      </c>
      <c r="Y154" s="34" t="s">
        <v>153</v>
      </c>
      <c r="Z154" s="35" t="s">
        <v>153</v>
      </c>
      <c r="AA154" s="36">
        <v>2001</v>
      </c>
      <c r="AB154" s="37" t="s">
        <v>153</v>
      </c>
      <c r="AC154" s="38" t="s">
        <v>153</v>
      </c>
      <c r="AD154" s="39" t="s">
        <v>153</v>
      </c>
      <c r="AE154" s="40" t="s">
        <v>153</v>
      </c>
      <c r="AF154" s="41" t="s">
        <v>153</v>
      </c>
      <c r="AG154" s="42" t="s">
        <v>153</v>
      </c>
      <c r="AH154" s="43" t="s">
        <v>153</v>
      </c>
      <c r="AI154" s="44" t="s">
        <v>153</v>
      </c>
      <c r="AJ154" s="45" t="s">
        <v>153</v>
      </c>
      <c r="AK154" s="46" t="s">
        <v>153</v>
      </c>
      <c r="AL154" s="47" t="s">
        <v>153</v>
      </c>
      <c r="AM154" s="48" t="s">
        <v>153</v>
      </c>
      <c r="AN154" s="49" t="s">
        <v>153</v>
      </c>
      <c r="AO154" s="50" t="s">
        <v>153</v>
      </c>
      <c r="AP154" s="51" t="s">
        <v>153</v>
      </c>
      <c r="AQ154" s="52" t="s">
        <v>153</v>
      </c>
      <c r="AR154" s="53" t="s">
        <v>153</v>
      </c>
      <c r="AS154" s="54" t="s">
        <v>153</v>
      </c>
      <c r="AT154" s="55" t="s">
        <v>3486</v>
      </c>
      <c r="AU154" s="56" t="s">
        <v>3487</v>
      </c>
      <c r="AV154" s="57" t="s">
        <v>3488</v>
      </c>
      <c r="AW154" s="58" t="s">
        <v>3489</v>
      </c>
      <c r="AX154" s="59" t="s">
        <v>177</v>
      </c>
      <c r="AY154" s="60" t="s">
        <v>3490</v>
      </c>
      <c r="AZ154" s="61" t="s">
        <v>179</v>
      </c>
      <c r="BA154" s="62" t="s">
        <v>153</v>
      </c>
      <c r="BB154" s="63" t="s">
        <v>153</v>
      </c>
      <c r="BC154" s="64" t="s">
        <v>153</v>
      </c>
      <c r="BD154" s="65" t="s">
        <v>180</v>
      </c>
      <c r="BE154" s="66" t="s">
        <v>181</v>
      </c>
      <c r="BF154" s="67" t="s">
        <v>3491</v>
      </c>
      <c r="BG154" s="68" t="s">
        <v>153</v>
      </c>
      <c r="BH154" s="69" t="s">
        <v>153</v>
      </c>
      <c r="BI154" s="70" t="s">
        <v>3492</v>
      </c>
      <c r="BJ154" s="71" t="s">
        <v>3493</v>
      </c>
      <c r="BK154" s="72" t="s">
        <v>153</v>
      </c>
      <c r="BL154" s="73" t="s">
        <v>153</v>
      </c>
      <c r="BM154" s="74" t="s">
        <v>3494</v>
      </c>
      <c r="BN154" s="75" t="s">
        <v>153</v>
      </c>
      <c r="BO154" s="76" t="s">
        <v>153</v>
      </c>
      <c r="BP154" s="77" t="s">
        <v>153</v>
      </c>
      <c r="BQ154" s="78">
        <v>42261</v>
      </c>
      <c r="BR154" s="79">
        <v>20147.93</v>
      </c>
      <c r="BS154" s="80" t="s">
        <v>186</v>
      </c>
      <c r="BT154" s="81">
        <v>20147.93</v>
      </c>
      <c r="BU154" s="82" t="s">
        <v>186</v>
      </c>
      <c r="BV154" s="83" t="s">
        <v>1524</v>
      </c>
      <c r="BW154" s="84" t="s">
        <v>1525</v>
      </c>
      <c r="BX154" s="85" t="s">
        <v>1526</v>
      </c>
      <c r="BY154" s="86" t="s">
        <v>225</v>
      </c>
      <c r="BZ154" s="87" t="s">
        <v>153</v>
      </c>
      <c r="CA154" s="88" t="s">
        <v>190</v>
      </c>
      <c r="CB154" s="89">
        <v>42261</v>
      </c>
      <c r="CC154" s="90">
        <v>20147.93</v>
      </c>
      <c r="CD154" s="91" t="s">
        <v>186</v>
      </c>
      <c r="CE154" s="92">
        <v>20147.93</v>
      </c>
      <c r="CF154" s="93" t="s">
        <v>186</v>
      </c>
      <c r="CG154" s="94" t="s">
        <v>1524</v>
      </c>
      <c r="CH154" s="95" t="s">
        <v>1525</v>
      </c>
      <c r="CI154" s="96" t="s">
        <v>1526</v>
      </c>
      <c r="CJ154" s="97" t="s">
        <v>225</v>
      </c>
      <c r="CK154" s="98">
        <v>42261</v>
      </c>
      <c r="CL154" s="99" t="s">
        <v>153</v>
      </c>
      <c r="CM154" s="100" t="s">
        <v>153</v>
      </c>
      <c r="CN154" s="101" t="s">
        <v>190</v>
      </c>
      <c r="CO154" s="102" t="s">
        <v>153</v>
      </c>
      <c r="CP154" s="103" t="s">
        <v>153</v>
      </c>
      <c r="CQ154" s="104" t="s">
        <v>153</v>
      </c>
      <c r="CR154" s="105" t="s">
        <v>153</v>
      </c>
      <c r="CS154" s="106" t="s">
        <v>153</v>
      </c>
      <c r="CT154" s="107" t="s">
        <v>153</v>
      </c>
      <c r="CU154" s="108" t="s">
        <v>153</v>
      </c>
      <c r="CV154" s="109" t="s">
        <v>153</v>
      </c>
      <c r="CW154" s="110" t="s">
        <v>153</v>
      </c>
      <c r="CX154" s="111" t="s">
        <v>153</v>
      </c>
      <c r="CY154" s="112" t="s">
        <v>153</v>
      </c>
      <c r="CZ154" s="113" t="s">
        <v>153</v>
      </c>
      <c r="DA154" s="114" t="s">
        <v>153</v>
      </c>
      <c r="DB154" s="115" t="s">
        <v>153</v>
      </c>
      <c r="DC154" s="116" t="s">
        <v>153</v>
      </c>
      <c r="DD154" s="117" t="s">
        <v>153</v>
      </c>
      <c r="DE154" s="118" t="s">
        <v>153</v>
      </c>
      <c r="DF154" s="119" t="s">
        <v>153</v>
      </c>
      <c r="DG154" s="120" t="s">
        <v>153</v>
      </c>
      <c r="DH154" s="121" t="s">
        <v>153</v>
      </c>
      <c r="DI154" s="122" t="s">
        <v>153</v>
      </c>
      <c r="DJ154" s="123" t="s">
        <v>153</v>
      </c>
      <c r="DK154" s="124" t="s">
        <v>153</v>
      </c>
      <c r="DL154" s="125" t="s">
        <v>153</v>
      </c>
      <c r="DM154" s="126" t="s">
        <v>153</v>
      </c>
      <c r="DN154" s="127" t="s">
        <v>153</v>
      </c>
      <c r="DO154" s="128" t="s">
        <v>153</v>
      </c>
      <c r="DP154" s="129" t="s">
        <v>153</v>
      </c>
      <c r="DQ154" s="130" t="s">
        <v>153</v>
      </c>
      <c r="DR154" s="131" t="s">
        <v>153</v>
      </c>
      <c r="DS154" s="132" t="s">
        <v>153</v>
      </c>
      <c r="DT154" s="133" t="s">
        <v>153</v>
      </c>
      <c r="DU154" s="134" t="s">
        <v>153</v>
      </c>
      <c r="DV154" s="135" t="s">
        <v>153</v>
      </c>
      <c r="DW154" s="136" t="s">
        <v>153</v>
      </c>
      <c r="DX154" s="137" t="s">
        <v>153</v>
      </c>
      <c r="DY154" s="138" t="s">
        <v>153</v>
      </c>
      <c r="DZ154" s="139" t="s">
        <v>191</v>
      </c>
      <c r="EA154" s="140">
        <v>44147</v>
      </c>
      <c r="EB154" s="141">
        <v>20147.93</v>
      </c>
      <c r="EC154" s="142">
        <v>42261</v>
      </c>
      <c r="ED154" s="143" t="s">
        <v>1524</v>
      </c>
      <c r="EE154" s="278" t="str">
        <f>HYPERLINK("https://my.pitchbook.com?c=123949-00", "View company online")</f>
        <v>View company online</v>
      </c>
    </row>
    <row r="155" spans="1:135" x14ac:dyDescent="0.45">
      <c r="A155" s="144" t="s">
        <v>3495</v>
      </c>
      <c r="B155" s="145" t="s">
        <v>3496</v>
      </c>
      <c r="C155" s="146" t="s">
        <v>153</v>
      </c>
      <c r="D155" s="147" t="s">
        <v>153</v>
      </c>
      <c r="E155" s="148" t="s">
        <v>153</v>
      </c>
      <c r="F155" s="149" t="s">
        <v>3497</v>
      </c>
      <c r="G155" s="150" t="s">
        <v>3498</v>
      </c>
      <c r="H155" s="151" t="s">
        <v>3499</v>
      </c>
      <c r="I155" s="152" t="s">
        <v>3495</v>
      </c>
      <c r="J155" s="153" t="s">
        <v>3500</v>
      </c>
      <c r="K155" s="154" t="s">
        <v>882</v>
      </c>
      <c r="L155" s="155" t="s">
        <v>883</v>
      </c>
      <c r="M155" s="156" t="s">
        <v>3501</v>
      </c>
      <c r="N155" s="157" t="s">
        <v>3502</v>
      </c>
      <c r="O155" s="158" t="s">
        <v>365</v>
      </c>
      <c r="P155" s="159" t="s">
        <v>3503</v>
      </c>
      <c r="Q155" s="160" t="s">
        <v>204</v>
      </c>
      <c r="R155" s="161">
        <v>20100</v>
      </c>
      <c r="S155" s="162" t="s">
        <v>290</v>
      </c>
      <c r="T155" s="163" t="s">
        <v>291</v>
      </c>
      <c r="U155" s="164" t="s">
        <v>237</v>
      </c>
      <c r="V155" s="165" t="s">
        <v>3504</v>
      </c>
      <c r="W155" s="166">
        <v>29955</v>
      </c>
      <c r="X155" s="167" t="s">
        <v>3505</v>
      </c>
      <c r="Y155" s="168" t="s">
        <v>3506</v>
      </c>
      <c r="Z155" s="169" t="s">
        <v>3507</v>
      </c>
      <c r="AA155" s="170">
        <v>1925</v>
      </c>
      <c r="AB155" s="171" t="s">
        <v>3508</v>
      </c>
      <c r="AC155" s="172" t="s">
        <v>153</v>
      </c>
      <c r="AD155" s="173" t="s">
        <v>153</v>
      </c>
      <c r="AE155" s="174" t="s">
        <v>153</v>
      </c>
      <c r="AF155" s="175" t="s">
        <v>153</v>
      </c>
      <c r="AG155" s="176" t="s">
        <v>153</v>
      </c>
      <c r="AH155" s="177" t="s">
        <v>153</v>
      </c>
      <c r="AI155" s="178" t="s">
        <v>153</v>
      </c>
      <c r="AJ155" s="179" t="s">
        <v>153</v>
      </c>
      <c r="AK155" s="180" t="s">
        <v>153</v>
      </c>
      <c r="AL155" s="181" t="s">
        <v>153</v>
      </c>
      <c r="AM155" s="182" t="s">
        <v>153</v>
      </c>
      <c r="AN155" s="183" t="s">
        <v>3331</v>
      </c>
      <c r="AO155" s="184" t="s">
        <v>153</v>
      </c>
      <c r="AP155" s="185" t="s">
        <v>153</v>
      </c>
      <c r="AQ155" s="186" t="s">
        <v>153</v>
      </c>
      <c r="AR155" s="187" t="s">
        <v>153</v>
      </c>
      <c r="AS155" s="188" t="s">
        <v>153</v>
      </c>
      <c r="AT155" s="189" t="s">
        <v>3509</v>
      </c>
      <c r="AU155" s="190" t="s">
        <v>3510</v>
      </c>
      <c r="AV155" s="191" t="s">
        <v>3511</v>
      </c>
      <c r="AW155" s="192" t="s">
        <v>3512</v>
      </c>
      <c r="AX155" s="193" t="s">
        <v>153</v>
      </c>
      <c r="AY155" s="194" t="s">
        <v>3513</v>
      </c>
      <c r="AZ155" s="195" t="s">
        <v>3061</v>
      </c>
      <c r="BA155" s="196" t="s">
        <v>3514</v>
      </c>
      <c r="BB155" s="197" t="s">
        <v>153</v>
      </c>
      <c r="BC155" s="198" t="s">
        <v>153</v>
      </c>
      <c r="BD155" s="199" t="s">
        <v>216</v>
      </c>
      <c r="BE155" s="200" t="s">
        <v>217</v>
      </c>
      <c r="BF155" s="201" t="s">
        <v>3515</v>
      </c>
      <c r="BG155" s="202" t="s">
        <v>153</v>
      </c>
      <c r="BH155" s="203" t="s">
        <v>153</v>
      </c>
      <c r="BI155" s="204" t="s">
        <v>3508</v>
      </c>
      <c r="BJ155" s="205" t="s">
        <v>153</v>
      </c>
      <c r="BK155" s="206" t="s">
        <v>153</v>
      </c>
      <c r="BL155" s="207" t="s">
        <v>153</v>
      </c>
      <c r="BM155" s="208" t="s">
        <v>153</v>
      </c>
      <c r="BN155" s="209" t="s">
        <v>153</v>
      </c>
      <c r="BO155" s="210" t="s">
        <v>153</v>
      </c>
      <c r="BP155" s="211" t="s">
        <v>3516</v>
      </c>
      <c r="BQ155" s="212">
        <v>34138</v>
      </c>
      <c r="BR155" s="213" t="s">
        <v>153</v>
      </c>
      <c r="BS155" s="214" t="s">
        <v>153</v>
      </c>
      <c r="BT155" s="215" t="s">
        <v>153</v>
      </c>
      <c r="BU155" s="216" t="s">
        <v>153</v>
      </c>
      <c r="BV155" s="217" t="s">
        <v>225</v>
      </c>
      <c r="BW155" s="218" t="s">
        <v>225</v>
      </c>
      <c r="BX155" s="219" t="s">
        <v>153</v>
      </c>
      <c r="BY155" s="220" t="s">
        <v>225</v>
      </c>
      <c r="BZ155" s="221" t="s">
        <v>153</v>
      </c>
      <c r="CA155" s="222" t="s">
        <v>190</v>
      </c>
      <c r="CB155" s="223">
        <v>41429</v>
      </c>
      <c r="CC155" s="224">
        <v>20100</v>
      </c>
      <c r="CD155" s="225" t="s">
        <v>186</v>
      </c>
      <c r="CE155" s="226" t="s">
        <v>153</v>
      </c>
      <c r="CF155" s="227" t="s">
        <v>153</v>
      </c>
      <c r="CG155" s="228" t="s">
        <v>225</v>
      </c>
      <c r="CH155" s="229" t="s">
        <v>225</v>
      </c>
      <c r="CI155" s="230" t="s">
        <v>153</v>
      </c>
      <c r="CJ155" s="231" t="s">
        <v>225</v>
      </c>
      <c r="CK155" s="232">
        <v>41429</v>
      </c>
      <c r="CL155" s="233" t="s">
        <v>153</v>
      </c>
      <c r="CM155" s="234" t="s">
        <v>153</v>
      </c>
      <c r="CN155" s="235" t="s">
        <v>190</v>
      </c>
      <c r="CO155" s="236">
        <v>2.84</v>
      </c>
      <c r="CP155" s="237">
        <v>99</v>
      </c>
      <c r="CQ155" s="238">
        <v>-0.5</v>
      </c>
      <c r="CR155" s="239">
        <v>-14.93</v>
      </c>
      <c r="CS155" s="240">
        <v>2.84</v>
      </c>
      <c r="CT155" s="241">
        <v>99</v>
      </c>
      <c r="CU155" s="242" t="s">
        <v>153</v>
      </c>
      <c r="CV155" s="243" t="s">
        <v>153</v>
      </c>
      <c r="CW155" s="244">
        <v>6.08</v>
      </c>
      <c r="CX155" s="245">
        <v>96</v>
      </c>
      <c r="CY155" s="246">
        <v>-0.4</v>
      </c>
      <c r="CZ155" s="247">
        <v>3</v>
      </c>
      <c r="DA155" s="248" t="s">
        <v>153</v>
      </c>
      <c r="DB155" s="249" t="s">
        <v>153</v>
      </c>
      <c r="DC155" s="250">
        <v>26</v>
      </c>
      <c r="DD155" s="251">
        <v>97</v>
      </c>
      <c r="DE155" s="252">
        <v>0.03</v>
      </c>
      <c r="DF155" s="253">
        <v>0.12</v>
      </c>
      <c r="DG155" s="254">
        <v>26</v>
      </c>
      <c r="DH155" s="255">
        <v>97</v>
      </c>
      <c r="DI155" s="256" t="s">
        <v>153</v>
      </c>
      <c r="DJ155" s="257" t="s">
        <v>153</v>
      </c>
      <c r="DK155" s="258">
        <v>2.69</v>
      </c>
      <c r="DL155" s="259">
        <v>69</v>
      </c>
      <c r="DM155" s="260">
        <v>49.31</v>
      </c>
      <c r="DN155" s="261">
        <v>98</v>
      </c>
      <c r="DO155" s="262" t="s">
        <v>153</v>
      </c>
      <c r="DP155" s="263" t="s">
        <v>153</v>
      </c>
      <c r="DQ155" s="264">
        <v>1590</v>
      </c>
      <c r="DR155" s="265">
        <v>20</v>
      </c>
      <c r="DS155" s="266">
        <v>1.27</v>
      </c>
      <c r="DT155" s="267">
        <v>788</v>
      </c>
      <c r="DU155" s="268">
        <v>1</v>
      </c>
      <c r="DV155" s="269">
        <v>0.13</v>
      </c>
      <c r="DW155" s="270" t="s">
        <v>153</v>
      </c>
      <c r="DX155" s="271" t="s">
        <v>153</v>
      </c>
      <c r="DY155" s="272" t="s">
        <v>153</v>
      </c>
      <c r="DZ155" s="273" t="s">
        <v>191</v>
      </c>
      <c r="EA155" s="274">
        <v>44403</v>
      </c>
      <c r="EB155" s="275" t="s">
        <v>153</v>
      </c>
      <c r="EC155" s="276" t="s">
        <v>153</v>
      </c>
      <c r="ED155" s="277" t="s">
        <v>153</v>
      </c>
      <c r="EE155" s="279" t="str">
        <f>HYPERLINK("https://my.pitchbook.com?c=59374-00", "View company online")</f>
        <v>View company online</v>
      </c>
    </row>
    <row r="156" spans="1:135" x14ac:dyDescent="0.45">
      <c r="A156" s="10" t="s">
        <v>3517</v>
      </c>
      <c r="B156" s="11" t="s">
        <v>3518</v>
      </c>
      <c r="C156" s="12" t="s">
        <v>153</v>
      </c>
      <c r="D156" s="13" t="s">
        <v>153</v>
      </c>
      <c r="E156" s="14" t="s">
        <v>3519</v>
      </c>
      <c r="F156" s="15" t="s">
        <v>153</v>
      </c>
      <c r="G156" s="16" t="s">
        <v>3520</v>
      </c>
      <c r="H156" s="17" t="s">
        <v>153</v>
      </c>
      <c r="I156" s="18" t="s">
        <v>3517</v>
      </c>
      <c r="J156" s="19" t="s">
        <v>3521</v>
      </c>
      <c r="K156" s="20" t="s">
        <v>198</v>
      </c>
      <c r="L156" s="21" t="s">
        <v>199</v>
      </c>
      <c r="M156" s="22" t="s">
        <v>3522</v>
      </c>
      <c r="N156" s="23" t="s">
        <v>3523</v>
      </c>
      <c r="O156" s="24" t="s">
        <v>1592</v>
      </c>
      <c r="P156" s="25" t="s">
        <v>3524</v>
      </c>
      <c r="Q156" s="26" t="s">
        <v>289</v>
      </c>
      <c r="R156" s="27">
        <v>2.5</v>
      </c>
      <c r="S156" s="28" t="s">
        <v>163</v>
      </c>
      <c r="T156" s="29" t="s">
        <v>205</v>
      </c>
      <c r="U156" s="30" t="s">
        <v>941</v>
      </c>
      <c r="V156" s="31" t="s">
        <v>3525</v>
      </c>
      <c r="W156" s="32">
        <v>3060</v>
      </c>
      <c r="X156" s="33" t="s">
        <v>3526</v>
      </c>
      <c r="Y156" s="34" t="s">
        <v>153</v>
      </c>
      <c r="Z156" s="35" t="s">
        <v>153</v>
      </c>
      <c r="AA156" s="36">
        <v>1989</v>
      </c>
      <c r="AB156" s="37" t="s">
        <v>153</v>
      </c>
      <c r="AC156" s="38" t="s">
        <v>153</v>
      </c>
      <c r="AD156" s="39" t="s">
        <v>153</v>
      </c>
      <c r="AE156" s="40" t="s">
        <v>153</v>
      </c>
      <c r="AF156" s="41" t="s">
        <v>153</v>
      </c>
      <c r="AG156" s="42" t="s">
        <v>153</v>
      </c>
      <c r="AH156" s="43" t="s">
        <v>153</v>
      </c>
      <c r="AI156" s="44" t="s">
        <v>153</v>
      </c>
      <c r="AJ156" s="45" t="s">
        <v>153</v>
      </c>
      <c r="AK156" s="46" t="s">
        <v>153</v>
      </c>
      <c r="AL156" s="47" t="s">
        <v>153</v>
      </c>
      <c r="AM156" s="48" t="s">
        <v>153</v>
      </c>
      <c r="AN156" s="49" t="s">
        <v>3527</v>
      </c>
      <c r="AO156" s="50" t="s">
        <v>153</v>
      </c>
      <c r="AP156" s="51" t="s">
        <v>153</v>
      </c>
      <c r="AQ156" s="52" t="s">
        <v>153</v>
      </c>
      <c r="AR156" s="53" t="s">
        <v>153</v>
      </c>
      <c r="AS156" s="54" t="s">
        <v>153</v>
      </c>
      <c r="AT156" s="55" t="s">
        <v>3528</v>
      </c>
      <c r="AU156" s="56" t="s">
        <v>3529</v>
      </c>
      <c r="AV156" s="57" t="s">
        <v>3530</v>
      </c>
      <c r="AW156" s="58" t="s">
        <v>3531</v>
      </c>
      <c r="AX156" s="59" t="s">
        <v>308</v>
      </c>
      <c r="AY156" s="60" t="s">
        <v>3532</v>
      </c>
      <c r="AZ156" s="61" t="s">
        <v>215</v>
      </c>
      <c r="BA156" s="62" t="s">
        <v>3533</v>
      </c>
      <c r="BB156" s="63" t="s">
        <v>3534</v>
      </c>
      <c r="BC156" s="64" t="s">
        <v>153</v>
      </c>
      <c r="BD156" s="65" t="s">
        <v>216</v>
      </c>
      <c r="BE156" s="66" t="s">
        <v>217</v>
      </c>
      <c r="BF156" s="67" t="s">
        <v>3535</v>
      </c>
      <c r="BG156" s="68" t="s">
        <v>153</v>
      </c>
      <c r="BH156" s="69" t="s">
        <v>153</v>
      </c>
      <c r="BI156" s="70" t="s">
        <v>3536</v>
      </c>
      <c r="BJ156" s="71" t="s">
        <v>3537</v>
      </c>
      <c r="BK156" s="72" t="s">
        <v>153</v>
      </c>
      <c r="BL156" s="73" t="s">
        <v>153</v>
      </c>
      <c r="BM156" s="74" t="s">
        <v>3538</v>
      </c>
      <c r="BN156" s="75" t="s">
        <v>153</v>
      </c>
      <c r="BO156" s="76" t="s">
        <v>153</v>
      </c>
      <c r="BP156" s="77" t="s">
        <v>153</v>
      </c>
      <c r="BQ156" s="78">
        <v>32509</v>
      </c>
      <c r="BR156" s="79">
        <v>2.5</v>
      </c>
      <c r="BS156" s="80" t="s">
        <v>186</v>
      </c>
      <c r="BT156" s="81" t="s">
        <v>153</v>
      </c>
      <c r="BU156" s="82" t="s">
        <v>153</v>
      </c>
      <c r="BV156" s="83" t="s">
        <v>471</v>
      </c>
      <c r="BW156" s="84" t="s">
        <v>153</v>
      </c>
      <c r="BX156" s="85" t="s">
        <v>153</v>
      </c>
      <c r="BY156" s="86" t="s">
        <v>472</v>
      </c>
      <c r="BZ156" s="87" t="s">
        <v>153</v>
      </c>
      <c r="CA156" s="88" t="s">
        <v>190</v>
      </c>
      <c r="CB156" s="89">
        <v>36335</v>
      </c>
      <c r="CC156" s="90">
        <v>20000</v>
      </c>
      <c r="CD156" s="91" t="s">
        <v>186</v>
      </c>
      <c r="CE156" s="92">
        <v>20000</v>
      </c>
      <c r="CF156" s="93" t="s">
        <v>186</v>
      </c>
      <c r="CG156" s="94" t="s">
        <v>226</v>
      </c>
      <c r="CH156" s="95" t="s">
        <v>153</v>
      </c>
      <c r="CI156" s="96" t="s">
        <v>153</v>
      </c>
      <c r="CJ156" s="97" t="s">
        <v>225</v>
      </c>
      <c r="CK156" s="98">
        <v>36335</v>
      </c>
      <c r="CL156" s="99" t="s">
        <v>153</v>
      </c>
      <c r="CM156" s="100" t="s">
        <v>153</v>
      </c>
      <c r="CN156" s="101" t="s">
        <v>190</v>
      </c>
      <c r="CO156" s="102" t="s">
        <v>153</v>
      </c>
      <c r="CP156" s="103" t="s">
        <v>153</v>
      </c>
      <c r="CQ156" s="104" t="s">
        <v>153</v>
      </c>
      <c r="CR156" s="105" t="s">
        <v>153</v>
      </c>
      <c r="CS156" s="106" t="s">
        <v>153</v>
      </c>
      <c r="CT156" s="107" t="s">
        <v>153</v>
      </c>
      <c r="CU156" s="108" t="s">
        <v>153</v>
      </c>
      <c r="CV156" s="109" t="s">
        <v>153</v>
      </c>
      <c r="CW156" s="110" t="s">
        <v>153</v>
      </c>
      <c r="CX156" s="111" t="s">
        <v>153</v>
      </c>
      <c r="CY156" s="112" t="s">
        <v>153</v>
      </c>
      <c r="CZ156" s="113" t="s">
        <v>153</v>
      </c>
      <c r="DA156" s="114" t="s">
        <v>153</v>
      </c>
      <c r="DB156" s="115" t="s">
        <v>153</v>
      </c>
      <c r="DC156" s="116" t="s">
        <v>153</v>
      </c>
      <c r="DD156" s="117" t="s">
        <v>153</v>
      </c>
      <c r="DE156" s="118" t="s">
        <v>153</v>
      </c>
      <c r="DF156" s="119" t="s">
        <v>153</v>
      </c>
      <c r="DG156" s="120" t="s">
        <v>153</v>
      </c>
      <c r="DH156" s="121" t="s">
        <v>153</v>
      </c>
      <c r="DI156" s="122" t="s">
        <v>153</v>
      </c>
      <c r="DJ156" s="123" t="s">
        <v>153</v>
      </c>
      <c r="DK156" s="124" t="s">
        <v>153</v>
      </c>
      <c r="DL156" s="125" t="s">
        <v>153</v>
      </c>
      <c r="DM156" s="126" t="s">
        <v>153</v>
      </c>
      <c r="DN156" s="127" t="s">
        <v>153</v>
      </c>
      <c r="DO156" s="128" t="s">
        <v>153</v>
      </c>
      <c r="DP156" s="129" t="s">
        <v>153</v>
      </c>
      <c r="DQ156" s="130" t="s">
        <v>153</v>
      </c>
      <c r="DR156" s="131" t="s">
        <v>153</v>
      </c>
      <c r="DS156" s="132" t="s">
        <v>153</v>
      </c>
      <c r="DT156" s="133" t="s">
        <v>153</v>
      </c>
      <c r="DU156" s="134" t="s">
        <v>153</v>
      </c>
      <c r="DV156" s="135" t="s">
        <v>153</v>
      </c>
      <c r="DW156" s="136" t="s">
        <v>153</v>
      </c>
      <c r="DX156" s="137" t="s">
        <v>153</v>
      </c>
      <c r="DY156" s="138" t="s">
        <v>153</v>
      </c>
      <c r="DZ156" s="139" t="s">
        <v>191</v>
      </c>
      <c r="EA156" s="140">
        <v>44350</v>
      </c>
      <c r="EB156" s="141">
        <v>20000</v>
      </c>
      <c r="EC156" s="142">
        <v>36335</v>
      </c>
      <c r="ED156" s="143" t="s">
        <v>226</v>
      </c>
      <c r="EE156" s="278" t="str">
        <f>HYPERLINK("https://my.pitchbook.com?c=12812-77", "View company online")</f>
        <v>View company online</v>
      </c>
    </row>
    <row r="157" spans="1:135" x14ac:dyDescent="0.45">
      <c r="A157" s="144" t="s">
        <v>3539</v>
      </c>
      <c r="B157" s="145" t="s">
        <v>3540</v>
      </c>
      <c r="C157" s="146" t="s">
        <v>153</v>
      </c>
      <c r="D157" s="147" t="s">
        <v>153</v>
      </c>
      <c r="E157" s="148" t="s">
        <v>153</v>
      </c>
      <c r="F157" s="149" t="s">
        <v>153</v>
      </c>
      <c r="G157" s="150" t="s">
        <v>3541</v>
      </c>
      <c r="H157" s="151" t="s">
        <v>3542</v>
      </c>
      <c r="I157" s="152" t="s">
        <v>3539</v>
      </c>
      <c r="J157" s="153" t="s">
        <v>3543</v>
      </c>
      <c r="K157" s="154" t="s">
        <v>198</v>
      </c>
      <c r="L157" s="155" t="s">
        <v>984</v>
      </c>
      <c r="M157" s="156" t="s">
        <v>3544</v>
      </c>
      <c r="N157" s="157" t="s">
        <v>3545</v>
      </c>
      <c r="O157" s="158" t="s">
        <v>3546</v>
      </c>
      <c r="P157" s="159" t="s">
        <v>3547</v>
      </c>
      <c r="Q157" s="160" t="s">
        <v>289</v>
      </c>
      <c r="R157" s="161">
        <v>795.94</v>
      </c>
      <c r="S157" s="162" t="s">
        <v>368</v>
      </c>
      <c r="T157" s="163" t="s">
        <v>291</v>
      </c>
      <c r="U157" s="164" t="s">
        <v>482</v>
      </c>
      <c r="V157" s="165" t="s">
        <v>3548</v>
      </c>
      <c r="W157" s="166">
        <v>1085</v>
      </c>
      <c r="X157" s="167" t="s">
        <v>3549</v>
      </c>
      <c r="Y157" s="168" t="s">
        <v>295</v>
      </c>
      <c r="Z157" s="169" t="s">
        <v>3550</v>
      </c>
      <c r="AA157" s="170">
        <v>2010</v>
      </c>
      <c r="AB157" s="171" t="s">
        <v>153</v>
      </c>
      <c r="AC157" s="172" t="s">
        <v>428</v>
      </c>
      <c r="AD157" s="173" t="s">
        <v>1794</v>
      </c>
      <c r="AE157" s="174">
        <v>670.77</v>
      </c>
      <c r="AF157" s="175">
        <v>520.38</v>
      </c>
      <c r="AG157" s="176">
        <v>-44.09</v>
      </c>
      <c r="AH157" s="177">
        <v>24669.19</v>
      </c>
      <c r="AI157" s="178">
        <v>-26.17</v>
      </c>
      <c r="AJ157" s="179">
        <v>-29.67</v>
      </c>
      <c r="AK157" s="180">
        <v>34301.49</v>
      </c>
      <c r="AL157" s="181">
        <v>-751.68</v>
      </c>
      <c r="AM157" s="182">
        <v>58.21</v>
      </c>
      <c r="AN157" s="183" t="s">
        <v>376</v>
      </c>
      <c r="AO157" s="184" t="s">
        <v>3551</v>
      </c>
      <c r="AP157" s="185" t="s">
        <v>3552</v>
      </c>
      <c r="AQ157" s="186" t="s">
        <v>2291</v>
      </c>
      <c r="AR157" s="187" t="s">
        <v>3553</v>
      </c>
      <c r="AS157" s="188" t="s">
        <v>3554</v>
      </c>
      <c r="AT157" s="189" t="s">
        <v>433</v>
      </c>
      <c r="AU157" s="190" t="s">
        <v>3555</v>
      </c>
      <c r="AV157" s="191" t="s">
        <v>3556</v>
      </c>
      <c r="AW157" s="192" t="s">
        <v>436</v>
      </c>
      <c r="AX157" s="193" t="s">
        <v>436</v>
      </c>
      <c r="AY157" s="194" t="s">
        <v>3557</v>
      </c>
      <c r="AZ157" s="195" t="s">
        <v>215</v>
      </c>
      <c r="BA157" s="196" t="s">
        <v>3554</v>
      </c>
      <c r="BB157" s="197" t="s">
        <v>153</v>
      </c>
      <c r="BC157" s="198" t="s">
        <v>3558</v>
      </c>
      <c r="BD157" s="199" t="s">
        <v>216</v>
      </c>
      <c r="BE157" s="200" t="s">
        <v>217</v>
      </c>
      <c r="BF157" s="201" t="s">
        <v>3559</v>
      </c>
      <c r="BG157" s="202" t="s">
        <v>3560</v>
      </c>
      <c r="BH157" s="203">
        <v>2</v>
      </c>
      <c r="BI157" s="204" t="s">
        <v>153</v>
      </c>
      <c r="BJ157" s="205" t="s">
        <v>3561</v>
      </c>
      <c r="BK157" s="206" t="s">
        <v>153</v>
      </c>
      <c r="BL157" s="207" t="s">
        <v>3562</v>
      </c>
      <c r="BM157" s="208" t="s">
        <v>3563</v>
      </c>
      <c r="BN157" s="209" t="s">
        <v>153</v>
      </c>
      <c r="BO157" s="210" t="s">
        <v>3564</v>
      </c>
      <c r="BP157" s="211" t="s">
        <v>3565</v>
      </c>
      <c r="BQ157" s="212" t="s">
        <v>153</v>
      </c>
      <c r="BR157" s="213" t="s">
        <v>153</v>
      </c>
      <c r="BS157" s="214" t="s">
        <v>153</v>
      </c>
      <c r="BT157" s="215" t="s">
        <v>153</v>
      </c>
      <c r="BU157" s="216" t="s">
        <v>153</v>
      </c>
      <c r="BV157" s="217" t="s">
        <v>3566</v>
      </c>
      <c r="BW157" s="218" t="s">
        <v>153</v>
      </c>
      <c r="BX157" s="219" t="s">
        <v>153</v>
      </c>
      <c r="BY157" s="220" t="s">
        <v>321</v>
      </c>
      <c r="BZ157" s="221" t="s">
        <v>153</v>
      </c>
      <c r="CA157" s="222" t="s">
        <v>190</v>
      </c>
      <c r="CB157" s="223">
        <v>44056</v>
      </c>
      <c r="CC157" s="224">
        <v>20000</v>
      </c>
      <c r="CD157" s="225" t="s">
        <v>186</v>
      </c>
      <c r="CE157" s="226">
        <v>20000</v>
      </c>
      <c r="CF157" s="227" t="s">
        <v>187</v>
      </c>
      <c r="CG157" s="228" t="s">
        <v>226</v>
      </c>
      <c r="CH157" s="229" t="s">
        <v>153</v>
      </c>
      <c r="CI157" s="230" t="s">
        <v>153</v>
      </c>
      <c r="CJ157" s="231" t="s">
        <v>225</v>
      </c>
      <c r="CK157" s="232">
        <v>44056</v>
      </c>
      <c r="CL157" s="233" t="s">
        <v>153</v>
      </c>
      <c r="CM157" s="234" t="s">
        <v>153</v>
      </c>
      <c r="CN157" s="235" t="s">
        <v>394</v>
      </c>
      <c r="CO157" s="236">
        <v>0.28999999999999998</v>
      </c>
      <c r="CP157" s="237">
        <v>91</v>
      </c>
      <c r="CQ157" s="238">
        <v>-0.05</v>
      </c>
      <c r="CR157" s="239">
        <v>-14.87</v>
      </c>
      <c r="CS157" s="240">
        <v>0.35</v>
      </c>
      <c r="CT157" s="241">
        <v>92</v>
      </c>
      <c r="CU157" s="242">
        <v>0.24</v>
      </c>
      <c r="CV157" s="243">
        <v>92</v>
      </c>
      <c r="CW157" s="244">
        <v>0.16</v>
      </c>
      <c r="CX157" s="245">
        <v>77</v>
      </c>
      <c r="CY157" s="246">
        <v>0.54</v>
      </c>
      <c r="CZ157" s="247">
        <v>95</v>
      </c>
      <c r="DA157" s="248">
        <v>0.24</v>
      </c>
      <c r="DB157" s="249">
        <v>92</v>
      </c>
      <c r="DC157" s="250">
        <v>278.63</v>
      </c>
      <c r="DD157" s="251">
        <v>100</v>
      </c>
      <c r="DE157" s="252">
        <v>-0.03</v>
      </c>
      <c r="DF157" s="253">
        <v>-0.01</v>
      </c>
      <c r="DG157" s="254">
        <v>452.06</v>
      </c>
      <c r="DH157" s="255">
        <v>100</v>
      </c>
      <c r="DI157" s="256">
        <v>105.2</v>
      </c>
      <c r="DJ157" s="257">
        <v>98</v>
      </c>
      <c r="DK157" s="258">
        <v>506.68</v>
      </c>
      <c r="DL157" s="259">
        <v>99</v>
      </c>
      <c r="DM157" s="260">
        <v>397.44</v>
      </c>
      <c r="DN157" s="261">
        <v>100</v>
      </c>
      <c r="DO157" s="262">
        <v>105.2</v>
      </c>
      <c r="DP157" s="263">
        <v>98</v>
      </c>
      <c r="DQ157" s="264">
        <v>300680</v>
      </c>
      <c r="DR157" s="265">
        <v>-805</v>
      </c>
      <c r="DS157" s="266">
        <v>-0.27</v>
      </c>
      <c r="DT157" s="267">
        <v>6368</v>
      </c>
      <c r="DU157" s="268">
        <v>-4</v>
      </c>
      <c r="DV157" s="269">
        <v>-0.06</v>
      </c>
      <c r="DW157" s="270">
        <v>33019</v>
      </c>
      <c r="DX157" s="271">
        <v>65</v>
      </c>
      <c r="DY157" s="272">
        <v>0.2</v>
      </c>
      <c r="DZ157" s="273" t="s">
        <v>191</v>
      </c>
      <c r="EA157" s="274">
        <v>44401</v>
      </c>
      <c r="EB157" s="275">
        <v>20000</v>
      </c>
      <c r="EC157" s="276">
        <v>44056</v>
      </c>
      <c r="ED157" s="277" t="s">
        <v>226</v>
      </c>
      <c r="EE157" s="279" t="str">
        <f>HYPERLINK("https://my.pitchbook.com?c=53904-79", "View company online")</f>
        <v>View company online</v>
      </c>
    </row>
    <row r="158" spans="1:135" x14ac:dyDescent="0.45">
      <c r="A158" s="10" t="s">
        <v>3567</v>
      </c>
      <c r="B158" s="11" t="s">
        <v>3568</v>
      </c>
      <c r="C158" s="12" t="s">
        <v>153</v>
      </c>
      <c r="D158" s="13" t="s">
        <v>153</v>
      </c>
      <c r="E158" s="14" t="s">
        <v>3569</v>
      </c>
      <c r="F158" s="15" t="s">
        <v>153</v>
      </c>
      <c r="G158" s="16" t="s">
        <v>3570</v>
      </c>
      <c r="H158" s="17" t="s">
        <v>3571</v>
      </c>
      <c r="I158" s="18" t="s">
        <v>3567</v>
      </c>
      <c r="J158" s="19" t="s">
        <v>3572</v>
      </c>
      <c r="K158" s="20" t="s">
        <v>559</v>
      </c>
      <c r="L158" s="21" t="s">
        <v>560</v>
      </c>
      <c r="M158" s="22" t="s">
        <v>3573</v>
      </c>
      <c r="N158" s="23" t="s">
        <v>3574</v>
      </c>
      <c r="O158" s="24" t="s">
        <v>261</v>
      </c>
      <c r="P158" s="25" t="s">
        <v>3575</v>
      </c>
      <c r="Q158" s="26" t="s">
        <v>564</v>
      </c>
      <c r="R158" s="27">
        <v>1830.68</v>
      </c>
      <c r="S158" s="28" t="s">
        <v>290</v>
      </c>
      <c r="T158" s="29" t="s">
        <v>291</v>
      </c>
      <c r="U158" s="30" t="s">
        <v>369</v>
      </c>
      <c r="V158" s="31" t="s">
        <v>3576</v>
      </c>
      <c r="W158" s="32">
        <v>9000</v>
      </c>
      <c r="X158" s="33" t="s">
        <v>3577</v>
      </c>
      <c r="Y158" s="34" t="s">
        <v>372</v>
      </c>
      <c r="Z158" s="35" t="s">
        <v>3578</v>
      </c>
      <c r="AA158" s="36">
        <v>1970</v>
      </c>
      <c r="AB158" s="37" t="s">
        <v>153</v>
      </c>
      <c r="AC158" s="38" t="s">
        <v>570</v>
      </c>
      <c r="AD158" s="39" t="s">
        <v>1794</v>
      </c>
      <c r="AE158" s="40">
        <v>6262</v>
      </c>
      <c r="AF158" s="41">
        <v>1195</v>
      </c>
      <c r="AG158" s="42">
        <v>412</v>
      </c>
      <c r="AH158" s="43">
        <v>7535.1</v>
      </c>
      <c r="AI158" s="44">
        <v>894</v>
      </c>
      <c r="AJ158" s="45">
        <v>619</v>
      </c>
      <c r="AK158" s="46">
        <v>5706.22</v>
      </c>
      <c r="AL158" s="47">
        <v>1344</v>
      </c>
      <c r="AM158" s="48">
        <v>-6.83</v>
      </c>
      <c r="AN158" s="49" t="s">
        <v>376</v>
      </c>
      <c r="AO158" s="50" t="s">
        <v>3579</v>
      </c>
      <c r="AP158" s="51" t="s">
        <v>3580</v>
      </c>
      <c r="AQ158" s="52" t="s">
        <v>994</v>
      </c>
      <c r="AR158" s="53" t="s">
        <v>3581</v>
      </c>
      <c r="AS158" s="54" t="s">
        <v>3582</v>
      </c>
      <c r="AT158" s="55" t="s">
        <v>1713</v>
      </c>
      <c r="AU158" s="56" t="s">
        <v>3583</v>
      </c>
      <c r="AV158" s="57" t="s">
        <v>153</v>
      </c>
      <c r="AW158" s="58" t="s">
        <v>1715</v>
      </c>
      <c r="AX158" s="59" t="s">
        <v>1128</v>
      </c>
      <c r="AY158" s="60" t="s">
        <v>1716</v>
      </c>
      <c r="AZ158" s="61" t="s">
        <v>215</v>
      </c>
      <c r="BA158" s="62" t="s">
        <v>3582</v>
      </c>
      <c r="BB158" s="63" t="s">
        <v>3584</v>
      </c>
      <c r="BC158" s="64" t="s">
        <v>3585</v>
      </c>
      <c r="BD158" s="65" t="s">
        <v>216</v>
      </c>
      <c r="BE158" s="66" t="s">
        <v>217</v>
      </c>
      <c r="BF158" s="67" t="s">
        <v>3586</v>
      </c>
      <c r="BG158" s="68" t="s">
        <v>153</v>
      </c>
      <c r="BH158" s="69" t="s">
        <v>153</v>
      </c>
      <c r="BI158" s="70" t="s">
        <v>153</v>
      </c>
      <c r="BJ158" s="71" t="s">
        <v>3587</v>
      </c>
      <c r="BK158" s="72" t="s">
        <v>3588</v>
      </c>
      <c r="BL158" s="73" t="s">
        <v>153</v>
      </c>
      <c r="BM158" s="74" t="s">
        <v>3589</v>
      </c>
      <c r="BN158" s="75" t="s">
        <v>3590</v>
      </c>
      <c r="BO158" s="76" t="s">
        <v>3591</v>
      </c>
      <c r="BP158" s="77" t="s">
        <v>3592</v>
      </c>
      <c r="BQ158" s="78">
        <v>36312</v>
      </c>
      <c r="BR158" s="79" t="s">
        <v>153</v>
      </c>
      <c r="BS158" s="80" t="s">
        <v>153</v>
      </c>
      <c r="BT158" s="81" t="s">
        <v>153</v>
      </c>
      <c r="BU158" s="82" t="s">
        <v>153</v>
      </c>
      <c r="BV158" s="83" t="s">
        <v>709</v>
      </c>
      <c r="BW158" s="84" t="s">
        <v>3593</v>
      </c>
      <c r="BX158" s="85" t="s">
        <v>153</v>
      </c>
      <c r="BY158" s="86" t="s">
        <v>165</v>
      </c>
      <c r="BZ158" s="87" t="s">
        <v>153</v>
      </c>
      <c r="CA158" s="88" t="s">
        <v>190</v>
      </c>
      <c r="CB158" s="89">
        <v>43035</v>
      </c>
      <c r="CC158" s="90">
        <v>20000</v>
      </c>
      <c r="CD158" s="91" t="s">
        <v>186</v>
      </c>
      <c r="CE158" s="92">
        <v>20000</v>
      </c>
      <c r="CF158" s="93" t="s">
        <v>187</v>
      </c>
      <c r="CG158" s="94" t="s">
        <v>226</v>
      </c>
      <c r="CH158" s="95" t="s">
        <v>153</v>
      </c>
      <c r="CI158" s="96" t="s">
        <v>153</v>
      </c>
      <c r="CJ158" s="97" t="s">
        <v>225</v>
      </c>
      <c r="CK158" s="98">
        <v>43035</v>
      </c>
      <c r="CL158" s="99" t="s">
        <v>153</v>
      </c>
      <c r="CM158" s="100" t="s">
        <v>153</v>
      </c>
      <c r="CN158" s="101" t="s">
        <v>394</v>
      </c>
      <c r="CO158" s="102">
        <v>1.08</v>
      </c>
      <c r="CP158" s="103">
        <v>96</v>
      </c>
      <c r="CQ158" s="104">
        <v>-0.03</v>
      </c>
      <c r="CR158" s="105">
        <v>-2.72</v>
      </c>
      <c r="CS158" s="106">
        <v>1.99</v>
      </c>
      <c r="CT158" s="107">
        <v>98</v>
      </c>
      <c r="CU158" s="108">
        <v>0.17</v>
      </c>
      <c r="CV158" s="109">
        <v>90</v>
      </c>
      <c r="CW158" s="110">
        <v>4.01</v>
      </c>
      <c r="CX158" s="111">
        <v>92</v>
      </c>
      <c r="CY158" s="112">
        <v>-0.03</v>
      </c>
      <c r="CZ158" s="113">
        <v>5</v>
      </c>
      <c r="DA158" s="114">
        <v>0.17</v>
      </c>
      <c r="DB158" s="115">
        <v>90</v>
      </c>
      <c r="DC158" s="116">
        <v>71.08</v>
      </c>
      <c r="DD158" s="117">
        <v>99</v>
      </c>
      <c r="DE158" s="118">
        <v>-0.31</v>
      </c>
      <c r="DF158" s="119">
        <v>-0.43</v>
      </c>
      <c r="DG158" s="120">
        <v>126.51</v>
      </c>
      <c r="DH158" s="121">
        <v>100</v>
      </c>
      <c r="DI158" s="122">
        <v>15.64</v>
      </c>
      <c r="DJ158" s="123">
        <v>90</v>
      </c>
      <c r="DK158" s="124">
        <v>39.15</v>
      </c>
      <c r="DL158" s="125">
        <v>94</v>
      </c>
      <c r="DM158" s="126">
        <v>213.88</v>
      </c>
      <c r="DN158" s="127">
        <v>100</v>
      </c>
      <c r="DO158" s="128">
        <v>15.64</v>
      </c>
      <c r="DP158" s="129">
        <v>90</v>
      </c>
      <c r="DQ158" s="130">
        <v>22928</v>
      </c>
      <c r="DR158" s="131">
        <v>1045</v>
      </c>
      <c r="DS158" s="132">
        <v>4.78</v>
      </c>
      <c r="DT158" s="133">
        <v>3432</v>
      </c>
      <c r="DU158" s="134">
        <v>-17</v>
      </c>
      <c r="DV158" s="135">
        <v>-0.49</v>
      </c>
      <c r="DW158" s="136">
        <v>4907</v>
      </c>
      <c r="DX158" s="137">
        <v>10</v>
      </c>
      <c r="DY158" s="138">
        <v>0.2</v>
      </c>
      <c r="DZ158" s="139" t="s">
        <v>191</v>
      </c>
      <c r="EA158" s="140">
        <v>44402</v>
      </c>
      <c r="EB158" s="141">
        <v>20000</v>
      </c>
      <c r="EC158" s="142">
        <v>43035</v>
      </c>
      <c r="ED158" s="143" t="s">
        <v>226</v>
      </c>
      <c r="EE158" s="278" t="str">
        <f>HYPERLINK("https://my.pitchbook.com?c=10425-16", "View company online")</f>
        <v>View company online</v>
      </c>
    </row>
    <row r="159" spans="1:135" x14ac:dyDescent="0.45">
      <c r="A159" s="144" t="s">
        <v>3594</v>
      </c>
      <c r="B159" s="145" t="s">
        <v>3595</v>
      </c>
      <c r="C159" s="146" t="s">
        <v>153</v>
      </c>
      <c r="D159" s="147" t="s">
        <v>153</v>
      </c>
      <c r="E159" s="148" t="s">
        <v>3596</v>
      </c>
      <c r="F159" s="149" t="s">
        <v>153</v>
      </c>
      <c r="G159" s="150" t="s">
        <v>3597</v>
      </c>
      <c r="H159" s="151" t="s">
        <v>3598</v>
      </c>
      <c r="I159" s="152" t="s">
        <v>3594</v>
      </c>
      <c r="J159" s="153" t="s">
        <v>3599</v>
      </c>
      <c r="K159" s="154" t="s">
        <v>157</v>
      </c>
      <c r="L159" s="155" t="s">
        <v>158</v>
      </c>
      <c r="M159" s="156" t="s">
        <v>159</v>
      </c>
      <c r="N159" s="157" t="s">
        <v>3093</v>
      </c>
      <c r="O159" s="158" t="s">
        <v>153</v>
      </c>
      <c r="P159" s="159" t="s">
        <v>3600</v>
      </c>
      <c r="Q159" s="160" t="s">
        <v>564</v>
      </c>
      <c r="R159" s="161">
        <v>0.13</v>
      </c>
      <c r="S159" s="162" t="s">
        <v>290</v>
      </c>
      <c r="T159" s="163" t="s">
        <v>164</v>
      </c>
      <c r="U159" s="164" t="s">
        <v>1063</v>
      </c>
      <c r="V159" s="165" t="s">
        <v>153</v>
      </c>
      <c r="W159" s="166">
        <v>212</v>
      </c>
      <c r="X159" s="167" t="s">
        <v>3601</v>
      </c>
      <c r="Y159" s="168" t="s">
        <v>153</v>
      </c>
      <c r="Z159" s="169" t="s">
        <v>153</v>
      </c>
      <c r="AA159" s="170">
        <v>1991</v>
      </c>
      <c r="AB159" s="171" t="s">
        <v>3602</v>
      </c>
      <c r="AC159" s="172" t="s">
        <v>153</v>
      </c>
      <c r="AD159" s="173" t="s">
        <v>153</v>
      </c>
      <c r="AE159" s="174" t="s">
        <v>153</v>
      </c>
      <c r="AF159" s="175" t="s">
        <v>153</v>
      </c>
      <c r="AG159" s="176" t="s">
        <v>153</v>
      </c>
      <c r="AH159" s="177" t="s">
        <v>153</v>
      </c>
      <c r="AI159" s="178" t="s">
        <v>153</v>
      </c>
      <c r="AJ159" s="179" t="s">
        <v>153</v>
      </c>
      <c r="AK159" s="180" t="s">
        <v>153</v>
      </c>
      <c r="AL159" s="181" t="s">
        <v>153</v>
      </c>
      <c r="AM159" s="182" t="s">
        <v>153</v>
      </c>
      <c r="AN159" s="183" t="s">
        <v>153</v>
      </c>
      <c r="AO159" s="184" t="s">
        <v>3603</v>
      </c>
      <c r="AP159" s="185" t="s">
        <v>3604</v>
      </c>
      <c r="AQ159" s="186" t="s">
        <v>3605</v>
      </c>
      <c r="AR159" s="187" t="s">
        <v>3606</v>
      </c>
      <c r="AS159" s="188" t="s">
        <v>3607</v>
      </c>
      <c r="AT159" s="189" t="s">
        <v>3608</v>
      </c>
      <c r="AU159" s="190" t="s">
        <v>3609</v>
      </c>
      <c r="AV159" s="191" t="s">
        <v>3610</v>
      </c>
      <c r="AW159" s="192" t="s">
        <v>3611</v>
      </c>
      <c r="AX159" s="193" t="s">
        <v>2482</v>
      </c>
      <c r="AY159" s="194" t="s">
        <v>3612</v>
      </c>
      <c r="AZ159" s="195" t="s">
        <v>215</v>
      </c>
      <c r="BA159" s="196" t="s">
        <v>3613</v>
      </c>
      <c r="BB159" s="197" t="s">
        <v>153</v>
      </c>
      <c r="BC159" s="198" t="s">
        <v>3614</v>
      </c>
      <c r="BD159" s="199" t="s">
        <v>216</v>
      </c>
      <c r="BE159" s="200" t="s">
        <v>217</v>
      </c>
      <c r="BF159" s="201" t="s">
        <v>3615</v>
      </c>
      <c r="BG159" s="202" t="s">
        <v>153</v>
      </c>
      <c r="BH159" s="203" t="s">
        <v>153</v>
      </c>
      <c r="BI159" s="204" t="s">
        <v>3602</v>
      </c>
      <c r="BJ159" s="205" t="s">
        <v>3616</v>
      </c>
      <c r="BK159" s="206" t="s">
        <v>153</v>
      </c>
      <c r="BL159" s="207" t="s">
        <v>153</v>
      </c>
      <c r="BM159" s="208" t="s">
        <v>3617</v>
      </c>
      <c r="BN159" s="209" t="s">
        <v>153</v>
      </c>
      <c r="BO159" s="210" t="s">
        <v>153</v>
      </c>
      <c r="BP159" s="211" t="s">
        <v>3618</v>
      </c>
      <c r="BQ159" s="212">
        <v>40909</v>
      </c>
      <c r="BR159" s="213" t="s">
        <v>153</v>
      </c>
      <c r="BS159" s="214" t="s">
        <v>153</v>
      </c>
      <c r="BT159" s="215" t="s">
        <v>153</v>
      </c>
      <c r="BU159" s="216" t="s">
        <v>153</v>
      </c>
      <c r="BV159" s="217" t="s">
        <v>589</v>
      </c>
      <c r="BW159" s="218" t="s">
        <v>153</v>
      </c>
      <c r="BX159" s="219" t="s">
        <v>153</v>
      </c>
      <c r="BY159" s="220" t="s">
        <v>165</v>
      </c>
      <c r="BZ159" s="221" t="s">
        <v>153</v>
      </c>
      <c r="CA159" s="222" t="s">
        <v>190</v>
      </c>
      <c r="CB159" s="223">
        <v>43055</v>
      </c>
      <c r="CC159" s="224">
        <v>20000</v>
      </c>
      <c r="CD159" s="225" t="s">
        <v>186</v>
      </c>
      <c r="CE159" s="226">
        <v>20000</v>
      </c>
      <c r="CF159" s="227" t="s">
        <v>186</v>
      </c>
      <c r="CG159" s="228" t="s">
        <v>226</v>
      </c>
      <c r="CH159" s="229" t="s">
        <v>153</v>
      </c>
      <c r="CI159" s="230" t="s">
        <v>153</v>
      </c>
      <c r="CJ159" s="231" t="s">
        <v>225</v>
      </c>
      <c r="CK159" s="232">
        <v>43055</v>
      </c>
      <c r="CL159" s="233" t="s">
        <v>153</v>
      </c>
      <c r="CM159" s="234" t="s">
        <v>153</v>
      </c>
      <c r="CN159" s="235" t="s">
        <v>190</v>
      </c>
      <c r="CO159" s="236" t="s">
        <v>153</v>
      </c>
      <c r="CP159" s="237" t="s">
        <v>153</v>
      </c>
      <c r="CQ159" s="238" t="s">
        <v>153</v>
      </c>
      <c r="CR159" s="239" t="s">
        <v>153</v>
      </c>
      <c r="CS159" s="240" t="s">
        <v>153</v>
      </c>
      <c r="CT159" s="241" t="s">
        <v>153</v>
      </c>
      <c r="CU159" s="242" t="s">
        <v>153</v>
      </c>
      <c r="CV159" s="243" t="s">
        <v>153</v>
      </c>
      <c r="CW159" s="244" t="s">
        <v>153</v>
      </c>
      <c r="CX159" s="245" t="s">
        <v>153</v>
      </c>
      <c r="CY159" s="246" t="s">
        <v>153</v>
      </c>
      <c r="CZ159" s="247" t="s">
        <v>153</v>
      </c>
      <c r="DA159" s="248" t="s">
        <v>153</v>
      </c>
      <c r="DB159" s="249" t="s">
        <v>153</v>
      </c>
      <c r="DC159" s="250" t="s">
        <v>153</v>
      </c>
      <c r="DD159" s="251" t="s">
        <v>153</v>
      </c>
      <c r="DE159" s="252" t="s">
        <v>153</v>
      </c>
      <c r="DF159" s="253" t="s">
        <v>153</v>
      </c>
      <c r="DG159" s="254" t="s">
        <v>153</v>
      </c>
      <c r="DH159" s="255" t="s">
        <v>153</v>
      </c>
      <c r="DI159" s="256" t="s">
        <v>153</v>
      </c>
      <c r="DJ159" s="257" t="s">
        <v>153</v>
      </c>
      <c r="DK159" s="258" t="s">
        <v>153</v>
      </c>
      <c r="DL159" s="259" t="s">
        <v>153</v>
      </c>
      <c r="DM159" s="260" t="s">
        <v>153</v>
      </c>
      <c r="DN159" s="261" t="s">
        <v>153</v>
      </c>
      <c r="DO159" s="262" t="s">
        <v>153</v>
      </c>
      <c r="DP159" s="263" t="s">
        <v>153</v>
      </c>
      <c r="DQ159" s="264" t="s">
        <v>153</v>
      </c>
      <c r="DR159" s="265" t="s">
        <v>153</v>
      </c>
      <c r="DS159" s="266" t="s">
        <v>153</v>
      </c>
      <c r="DT159" s="267" t="s">
        <v>153</v>
      </c>
      <c r="DU159" s="268" t="s">
        <v>153</v>
      </c>
      <c r="DV159" s="269" t="s">
        <v>153</v>
      </c>
      <c r="DW159" s="270" t="s">
        <v>153</v>
      </c>
      <c r="DX159" s="271" t="s">
        <v>153</v>
      </c>
      <c r="DY159" s="272" t="s">
        <v>153</v>
      </c>
      <c r="DZ159" s="273" t="s">
        <v>191</v>
      </c>
      <c r="EA159" s="274">
        <v>44393</v>
      </c>
      <c r="EB159" s="275">
        <v>20000</v>
      </c>
      <c r="EC159" s="276">
        <v>43055</v>
      </c>
      <c r="ED159" s="277" t="s">
        <v>226</v>
      </c>
      <c r="EE159" s="279" t="str">
        <f>HYPERLINK("https://my.pitchbook.com?c=56822-77", "View company online")</f>
        <v>View company online</v>
      </c>
    </row>
    <row r="160" spans="1:135" x14ac:dyDescent="0.45">
      <c r="A160" s="10" t="s">
        <v>3619</v>
      </c>
      <c r="B160" s="11" t="s">
        <v>3620</v>
      </c>
      <c r="C160" s="12" t="s">
        <v>153</v>
      </c>
      <c r="D160" s="13" t="s">
        <v>153</v>
      </c>
      <c r="E160" s="14" t="s">
        <v>3621</v>
      </c>
      <c r="F160" s="15" t="s">
        <v>3622</v>
      </c>
      <c r="G160" s="16" t="s">
        <v>3623</v>
      </c>
      <c r="H160" s="17" t="s">
        <v>3624</v>
      </c>
      <c r="I160" s="18" t="s">
        <v>3619</v>
      </c>
      <c r="J160" s="19" t="s">
        <v>3625</v>
      </c>
      <c r="K160" s="20" t="s">
        <v>882</v>
      </c>
      <c r="L160" s="21" t="s">
        <v>883</v>
      </c>
      <c r="M160" s="22" t="s">
        <v>3626</v>
      </c>
      <c r="N160" s="23" t="s">
        <v>3627</v>
      </c>
      <c r="O160" s="24" t="s">
        <v>261</v>
      </c>
      <c r="P160" s="25" t="s">
        <v>3628</v>
      </c>
      <c r="Q160" s="26" t="s">
        <v>162</v>
      </c>
      <c r="R160" s="27" t="s">
        <v>153</v>
      </c>
      <c r="S160" s="28" t="s">
        <v>163</v>
      </c>
      <c r="T160" s="29" t="s">
        <v>1392</v>
      </c>
      <c r="U160" s="30" t="s">
        <v>165</v>
      </c>
      <c r="V160" s="31" t="s">
        <v>3629</v>
      </c>
      <c r="W160" s="32">
        <v>50000</v>
      </c>
      <c r="X160" s="33" t="s">
        <v>3630</v>
      </c>
      <c r="Y160" s="34" t="s">
        <v>153</v>
      </c>
      <c r="Z160" s="35" t="s">
        <v>153</v>
      </c>
      <c r="AA160" s="36">
        <v>1865</v>
      </c>
      <c r="AB160" s="37" t="s">
        <v>153</v>
      </c>
      <c r="AC160" s="38" t="s">
        <v>153</v>
      </c>
      <c r="AD160" s="39" t="s">
        <v>428</v>
      </c>
      <c r="AE160" s="40" t="s">
        <v>153</v>
      </c>
      <c r="AF160" s="41" t="s">
        <v>153</v>
      </c>
      <c r="AG160" s="42" t="s">
        <v>153</v>
      </c>
      <c r="AH160" s="43" t="s">
        <v>153</v>
      </c>
      <c r="AI160" s="44" t="s">
        <v>153</v>
      </c>
      <c r="AJ160" s="45" t="s">
        <v>153</v>
      </c>
      <c r="AK160" s="46" t="s">
        <v>153</v>
      </c>
      <c r="AL160" s="47" t="s">
        <v>153</v>
      </c>
      <c r="AM160" s="48" t="s">
        <v>153</v>
      </c>
      <c r="AN160" s="49" t="s">
        <v>168</v>
      </c>
      <c r="AO160" s="50" t="s">
        <v>3631</v>
      </c>
      <c r="AP160" s="51" t="s">
        <v>3632</v>
      </c>
      <c r="AQ160" s="52" t="s">
        <v>459</v>
      </c>
      <c r="AR160" s="53" t="s">
        <v>3633</v>
      </c>
      <c r="AS160" s="54" t="s">
        <v>3634</v>
      </c>
      <c r="AT160" s="55" t="s">
        <v>3635</v>
      </c>
      <c r="AU160" s="56" t="s">
        <v>3636</v>
      </c>
      <c r="AV160" s="57" t="s">
        <v>153</v>
      </c>
      <c r="AW160" s="58" t="s">
        <v>3637</v>
      </c>
      <c r="AX160" s="59" t="s">
        <v>153</v>
      </c>
      <c r="AY160" s="60" t="s">
        <v>3638</v>
      </c>
      <c r="AZ160" s="61" t="s">
        <v>352</v>
      </c>
      <c r="BA160" s="62" t="s">
        <v>3639</v>
      </c>
      <c r="BB160" s="63" t="s">
        <v>153</v>
      </c>
      <c r="BC160" s="64" t="s">
        <v>3640</v>
      </c>
      <c r="BD160" s="65" t="s">
        <v>180</v>
      </c>
      <c r="BE160" s="66" t="s">
        <v>181</v>
      </c>
      <c r="BF160" s="67" t="s">
        <v>3641</v>
      </c>
      <c r="BG160" s="68" t="s">
        <v>3642</v>
      </c>
      <c r="BH160" s="69">
        <v>7</v>
      </c>
      <c r="BI160" s="70" t="s">
        <v>153</v>
      </c>
      <c r="BJ160" s="71" t="s">
        <v>153</v>
      </c>
      <c r="BK160" s="72" t="s">
        <v>3643</v>
      </c>
      <c r="BL160" s="73" t="s">
        <v>3644</v>
      </c>
      <c r="BM160" s="74" t="s">
        <v>153</v>
      </c>
      <c r="BN160" s="75" t="s">
        <v>3645</v>
      </c>
      <c r="BO160" s="76" t="s">
        <v>153</v>
      </c>
      <c r="BP160" s="77" t="s">
        <v>3646</v>
      </c>
      <c r="BQ160" s="78">
        <v>43595</v>
      </c>
      <c r="BR160" s="79" t="s">
        <v>153</v>
      </c>
      <c r="BS160" s="80" t="s">
        <v>153</v>
      </c>
      <c r="BT160" s="81" t="s">
        <v>153</v>
      </c>
      <c r="BU160" s="82" t="s">
        <v>153</v>
      </c>
      <c r="BV160" s="83" t="s">
        <v>251</v>
      </c>
      <c r="BW160" s="84" t="s">
        <v>153</v>
      </c>
      <c r="BX160" s="85" t="s">
        <v>153</v>
      </c>
      <c r="BY160" s="86" t="s">
        <v>252</v>
      </c>
      <c r="BZ160" s="87" t="s">
        <v>153</v>
      </c>
      <c r="CA160" s="88" t="s">
        <v>1812</v>
      </c>
      <c r="CB160" s="89">
        <v>44043</v>
      </c>
      <c r="CC160" s="90">
        <v>19684.96</v>
      </c>
      <c r="CD160" s="91" t="s">
        <v>186</v>
      </c>
      <c r="CE160" s="92">
        <v>19684.96</v>
      </c>
      <c r="CF160" s="93" t="s">
        <v>153</v>
      </c>
      <c r="CG160" s="94" t="s">
        <v>188</v>
      </c>
      <c r="CH160" s="95" t="s">
        <v>153</v>
      </c>
      <c r="CI160" s="96" t="s">
        <v>153</v>
      </c>
      <c r="CJ160" s="97" t="s">
        <v>165</v>
      </c>
      <c r="CK160" s="98">
        <v>44043</v>
      </c>
      <c r="CL160" s="99">
        <v>4635.12</v>
      </c>
      <c r="CM160" s="100" t="s">
        <v>3647</v>
      </c>
      <c r="CN160" s="101" t="s">
        <v>190</v>
      </c>
      <c r="CO160" s="102">
        <v>1.49</v>
      </c>
      <c r="CP160" s="103">
        <v>97</v>
      </c>
      <c r="CQ160" s="104">
        <v>0</v>
      </c>
      <c r="CR160" s="105">
        <v>0</v>
      </c>
      <c r="CS160" s="106">
        <v>4.49</v>
      </c>
      <c r="CT160" s="107">
        <v>100</v>
      </c>
      <c r="CU160" s="108">
        <v>-0.02</v>
      </c>
      <c r="CV160" s="109">
        <v>38</v>
      </c>
      <c r="CW160" s="110">
        <v>4.49</v>
      </c>
      <c r="CX160" s="111">
        <v>93</v>
      </c>
      <c r="CY160" s="112" t="s">
        <v>153</v>
      </c>
      <c r="CZ160" s="113" t="s">
        <v>153</v>
      </c>
      <c r="DA160" s="114">
        <v>-0.02</v>
      </c>
      <c r="DB160" s="115">
        <v>38</v>
      </c>
      <c r="DC160" s="116">
        <v>480.09</v>
      </c>
      <c r="DD160" s="117">
        <v>100</v>
      </c>
      <c r="DE160" s="118">
        <v>0.05</v>
      </c>
      <c r="DF160" s="119">
        <v>0.01</v>
      </c>
      <c r="DG160" s="120">
        <v>66.52</v>
      </c>
      <c r="DH160" s="121">
        <v>99</v>
      </c>
      <c r="DI160" s="122">
        <v>22.4</v>
      </c>
      <c r="DJ160" s="123">
        <v>92</v>
      </c>
      <c r="DK160" s="124">
        <v>66.52</v>
      </c>
      <c r="DL160" s="125">
        <v>96</v>
      </c>
      <c r="DM160" s="126" t="s">
        <v>153</v>
      </c>
      <c r="DN160" s="127" t="s">
        <v>153</v>
      </c>
      <c r="DO160" s="128">
        <v>22.4</v>
      </c>
      <c r="DP160" s="129">
        <v>92</v>
      </c>
      <c r="DQ160" s="130">
        <v>39258</v>
      </c>
      <c r="DR160" s="131">
        <v>693</v>
      </c>
      <c r="DS160" s="132">
        <v>1.8</v>
      </c>
      <c r="DT160" s="133" t="s">
        <v>153</v>
      </c>
      <c r="DU160" s="134" t="s">
        <v>153</v>
      </c>
      <c r="DV160" s="135" t="s">
        <v>153</v>
      </c>
      <c r="DW160" s="136">
        <v>7027</v>
      </c>
      <c r="DX160" s="137">
        <v>6</v>
      </c>
      <c r="DY160" s="138">
        <v>0.09</v>
      </c>
      <c r="DZ160" s="139" t="s">
        <v>191</v>
      </c>
      <c r="EA160" s="140">
        <v>44363</v>
      </c>
      <c r="EB160" s="141">
        <v>19684.96</v>
      </c>
      <c r="EC160" s="142">
        <v>44043</v>
      </c>
      <c r="ED160" s="143" t="s">
        <v>188</v>
      </c>
      <c r="EE160" s="278" t="str">
        <f>HYPERLINK("https://my.pitchbook.com?c=182634-49", "View company online")</f>
        <v>View company online</v>
      </c>
    </row>
    <row r="161" spans="1:135" x14ac:dyDescent="0.45">
      <c r="A161" s="144" t="s">
        <v>3648</v>
      </c>
      <c r="B161" s="145" t="s">
        <v>3649</v>
      </c>
      <c r="C161" s="146" t="s">
        <v>153</v>
      </c>
      <c r="D161" s="147" t="s">
        <v>153</v>
      </c>
      <c r="E161" s="148" t="s">
        <v>3650</v>
      </c>
      <c r="F161" s="149" t="s">
        <v>153</v>
      </c>
      <c r="G161" s="150" t="s">
        <v>3651</v>
      </c>
      <c r="H161" s="151" t="s">
        <v>3652</v>
      </c>
      <c r="I161" s="152" t="s">
        <v>3648</v>
      </c>
      <c r="J161" s="153" t="s">
        <v>3653</v>
      </c>
      <c r="K161" s="154" t="s">
        <v>792</v>
      </c>
      <c r="L161" s="155" t="s">
        <v>841</v>
      </c>
      <c r="M161" s="156" t="s">
        <v>842</v>
      </c>
      <c r="N161" s="157" t="s">
        <v>3654</v>
      </c>
      <c r="O161" s="158" t="s">
        <v>796</v>
      </c>
      <c r="P161" s="159" t="s">
        <v>3655</v>
      </c>
      <c r="Q161" s="160" t="s">
        <v>204</v>
      </c>
      <c r="R161" s="161" t="s">
        <v>153</v>
      </c>
      <c r="S161" s="162" t="s">
        <v>290</v>
      </c>
      <c r="T161" s="163" t="s">
        <v>164</v>
      </c>
      <c r="U161" s="164" t="s">
        <v>237</v>
      </c>
      <c r="V161" s="165" t="s">
        <v>3656</v>
      </c>
      <c r="W161" s="166">
        <v>6088</v>
      </c>
      <c r="X161" s="167" t="s">
        <v>3657</v>
      </c>
      <c r="Y161" s="168" t="s">
        <v>153</v>
      </c>
      <c r="Z161" s="169" t="s">
        <v>153</v>
      </c>
      <c r="AA161" s="170">
        <v>1969</v>
      </c>
      <c r="AB161" s="171" t="s">
        <v>3658</v>
      </c>
      <c r="AC161" s="172" t="s">
        <v>153</v>
      </c>
      <c r="AD161" s="173" t="s">
        <v>153</v>
      </c>
      <c r="AE161" s="174" t="s">
        <v>153</v>
      </c>
      <c r="AF161" s="175" t="s">
        <v>153</v>
      </c>
      <c r="AG161" s="176" t="s">
        <v>153</v>
      </c>
      <c r="AH161" s="177" t="s">
        <v>153</v>
      </c>
      <c r="AI161" s="178" t="s">
        <v>153</v>
      </c>
      <c r="AJ161" s="179" t="s">
        <v>153</v>
      </c>
      <c r="AK161" s="180" t="s">
        <v>153</v>
      </c>
      <c r="AL161" s="181" t="s">
        <v>153</v>
      </c>
      <c r="AM161" s="182" t="s">
        <v>153</v>
      </c>
      <c r="AN161" s="183" t="s">
        <v>599</v>
      </c>
      <c r="AO161" s="184" t="s">
        <v>3659</v>
      </c>
      <c r="AP161" s="185" t="s">
        <v>3660</v>
      </c>
      <c r="AQ161" s="186" t="s">
        <v>2928</v>
      </c>
      <c r="AR161" s="187" t="s">
        <v>3661</v>
      </c>
      <c r="AS161" s="188" t="s">
        <v>3662</v>
      </c>
      <c r="AT161" s="189" t="s">
        <v>3419</v>
      </c>
      <c r="AU161" s="190" t="s">
        <v>3663</v>
      </c>
      <c r="AV161" s="191" t="s">
        <v>153</v>
      </c>
      <c r="AW161" s="192" t="s">
        <v>3422</v>
      </c>
      <c r="AX161" s="193" t="s">
        <v>3423</v>
      </c>
      <c r="AY161" s="194" t="s">
        <v>3664</v>
      </c>
      <c r="AZ161" s="195" t="s">
        <v>1358</v>
      </c>
      <c r="BA161" s="196" t="s">
        <v>3662</v>
      </c>
      <c r="BB161" s="197" t="s">
        <v>3665</v>
      </c>
      <c r="BC161" s="198" t="s">
        <v>153</v>
      </c>
      <c r="BD161" s="199" t="s">
        <v>216</v>
      </c>
      <c r="BE161" s="200" t="s">
        <v>217</v>
      </c>
      <c r="BF161" s="201" t="s">
        <v>3666</v>
      </c>
      <c r="BG161" s="202" t="s">
        <v>153</v>
      </c>
      <c r="BH161" s="203" t="s">
        <v>153</v>
      </c>
      <c r="BI161" s="204" t="s">
        <v>3658</v>
      </c>
      <c r="BJ161" s="205" t="s">
        <v>153</v>
      </c>
      <c r="BK161" s="206" t="s">
        <v>153</v>
      </c>
      <c r="BL161" s="207" t="s">
        <v>153</v>
      </c>
      <c r="BM161" s="208" t="s">
        <v>153</v>
      </c>
      <c r="BN161" s="209" t="s">
        <v>153</v>
      </c>
      <c r="BO161" s="210" t="s">
        <v>3667</v>
      </c>
      <c r="BP161" s="211" t="s">
        <v>3668</v>
      </c>
      <c r="BQ161" s="212">
        <v>34711</v>
      </c>
      <c r="BR161" s="213" t="s">
        <v>153</v>
      </c>
      <c r="BS161" s="214" t="s">
        <v>153</v>
      </c>
      <c r="BT161" s="215" t="s">
        <v>153</v>
      </c>
      <c r="BU161" s="216" t="s">
        <v>153</v>
      </c>
      <c r="BV161" s="217" t="s">
        <v>251</v>
      </c>
      <c r="BW161" s="218" t="s">
        <v>153</v>
      </c>
      <c r="BX161" s="219" t="s">
        <v>153</v>
      </c>
      <c r="BY161" s="220" t="s">
        <v>252</v>
      </c>
      <c r="BZ161" s="221" t="s">
        <v>153</v>
      </c>
      <c r="CA161" s="222" t="s">
        <v>190</v>
      </c>
      <c r="CB161" s="223">
        <v>40026</v>
      </c>
      <c r="CC161" s="224">
        <v>19630</v>
      </c>
      <c r="CD161" s="225" t="s">
        <v>186</v>
      </c>
      <c r="CE161" s="226">
        <v>19630</v>
      </c>
      <c r="CF161" s="227" t="s">
        <v>187</v>
      </c>
      <c r="CG161" s="228" t="s">
        <v>226</v>
      </c>
      <c r="CH161" s="229" t="s">
        <v>153</v>
      </c>
      <c r="CI161" s="230" t="s">
        <v>153</v>
      </c>
      <c r="CJ161" s="231" t="s">
        <v>225</v>
      </c>
      <c r="CK161" s="232">
        <v>40026</v>
      </c>
      <c r="CL161" s="233" t="s">
        <v>153</v>
      </c>
      <c r="CM161" s="234" t="s">
        <v>153</v>
      </c>
      <c r="CN161" s="235" t="s">
        <v>190</v>
      </c>
      <c r="CO161" s="236">
        <v>-0.43</v>
      </c>
      <c r="CP161" s="237">
        <v>5</v>
      </c>
      <c r="CQ161" s="238">
        <v>-0.02</v>
      </c>
      <c r="CR161" s="239">
        <v>-4.28</v>
      </c>
      <c r="CS161" s="240">
        <v>-0.83</v>
      </c>
      <c r="CT161" s="241">
        <v>4</v>
      </c>
      <c r="CU161" s="242">
        <v>-0.03</v>
      </c>
      <c r="CV161" s="243">
        <v>36</v>
      </c>
      <c r="CW161" s="244">
        <v>-1.79</v>
      </c>
      <c r="CX161" s="245">
        <v>13</v>
      </c>
      <c r="CY161" s="246">
        <v>0.13</v>
      </c>
      <c r="CZ161" s="247">
        <v>91</v>
      </c>
      <c r="DA161" s="248">
        <v>-0.03</v>
      </c>
      <c r="DB161" s="249">
        <v>36</v>
      </c>
      <c r="DC161" s="250">
        <v>106.17</v>
      </c>
      <c r="DD161" s="251">
        <v>99</v>
      </c>
      <c r="DE161" s="252">
        <v>0.23</v>
      </c>
      <c r="DF161" s="253">
        <v>0.21</v>
      </c>
      <c r="DG161" s="254">
        <v>158.85</v>
      </c>
      <c r="DH161" s="255">
        <v>100</v>
      </c>
      <c r="DI161" s="256">
        <v>53.49</v>
      </c>
      <c r="DJ161" s="257">
        <v>96</v>
      </c>
      <c r="DK161" s="258">
        <v>192.82</v>
      </c>
      <c r="DL161" s="259">
        <v>98</v>
      </c>
      <c r="DM161" s="260">
        <v>124.88</v>
      </c>
      <c r="DN161" s="261">
        <v>100</v>
      </c>
      <c r="DO161" s="262">
        <v>53.49</v>
      </c>
      <c r="DP161" s="263">
        <v>96</v>
      </c>
      <c r="DQ161" s="264">
        <v>114879</v>
      </c>
      <c r="DR161" s="265">
        <v>-1975</v>
      </c>
      <c r="DS161" s="266">
        <v>-1.69</v>
      </c>
      <c r="DT161" s="267">
        <v>1996</v>
      </c>
      <c r="DU161" s="268">
        <v>4</v>
      </c>
      <c r="DV161" s="269">
        <v>0.2</v>
      </c>
      <c r="DW161" s="270">
        <v>16796</v>
      </c>
      <c r="DX161" s="271">
        <v>-2</v>
      </c>
      <c r="DY161" s="272">
        <v>-0.01</v>
      </c>
      <c r="DZ161" s="273" t="s">
        <v>191</v>
      </c>
      <c r="EA161" s="274">
        <v>44351</v>
      </c>
      <c r="EB161" s="275">
        <v>19630</v>
      </c>
      <c r="EC161" s="276">
        <v>40026</v>
      </c>
      <c r="ED161" s="277" t="s">
        <v>226</v>
      </c>
      <c r="EE161" s="279" t="str">
        <f>HYPERLINK("https://my.pitchbook.com?c=54263-53", "View company online")</f>
        <v>View company online</v>
      </c>
    </row>
    <row r="162" spans="1:135" x14ac:dyDescent="0.45">
      <c r="A162" s="10" t="s">
        <v>3669</v>
      </c>
      <c r="B162" s="11" t="s">
        <v>3670</v>
      </c>
      <c r="C162" s="12" t="s">
        <v>153</v>
      </c>
      <c r="D162" s="13" t="s">
        <v>153</v>
      </c>
      <c r="E162" s="14" t="s">
        <v>3671</v>
      </c>
      <c r="F162" s="15" t="s">
        <v>3672</v>
      </c>
      <c r="G162" s="16" t="s">
        <v>3673</v>
      </c>
      <c r="H162" s="17" t="s">
        <v>3674</v>
      </c>
      <c r="I162" s="18" t="s">
        <v>3669</v>
      </c>
      <c r="J162" s="19" t="s">
        <v>3675</v>
      </c>
      <c r="K162" s="20" t="s">
        <v>198</v>
      </c>
      <c r="L162" s="21" t="s">
        <v>1846</v>
      </c>
      <c r="M162" s="22" t="s">
        <v>1847</v>
      </c>
      <c r="N162" s="23" t="s">
        <v>3676</v>
      </c>
      <c r="O162" s="24" t="s">
        <v>399</v>
      </c>
      <c r="P162" s="25" t="s">
        <v>3677</v>
      </c>
      <c r="Q162" s="26" t="s">
        <v>204</v>
      </c>
      <c r="R162" s="27">
        <v>1681</v>
      </c>
      <c r="S162" s="28" t="s">
        <v>290</v>
      </c>
      <c r="T162" s="29" t="s">
        <v>164</v>
      </c>
      <c r="U162" s="30" t="s">
        <v>1706</v>
      </c>
      <c r="V162" s="31" t="s">
        <v>3678</v>
      </c>
      <c r="W162" s="32">
        <v>11900</v>
      </c>
      <c r="X162" s="33" t="s">
        <v>3679</v>
      </c>
      <c r="Y162" s="34" t="s">
        <v>153</v>
      </c>
      <c r="Z162" s="35" t="s">
        <v>153</v>
      </c>
      <c r="AA162" s="36">
        <v>1985</v>
      </c>
      <c r="AB162" s="37" t="s">
        <v>3680</v>
      </c>
      <c r="AC162" s="38" t="s">
        <v>153</v>
      </c>
      <c r="AD162" s="39" t="s">
        <v>153</v>
      </c>
      <c r="AE162" s="40">
        <v>7942</v>
      </c>
      <c r="AF162" s="41">
        <v>4072</v>
      </c>
      <c r="AG162" s="42">
        <v>689</v>
      </c>
      <c r="AH162" s="43" t="s">
        <v>153</v>
      </c>
      <c r="AI162" s="44">
        <v>2949</v>
      </c>
      <c r="AJ162" s="45">
        <v>1239</v>
      </c>
      <c r="AK162" s="46" t="s">
        <v>153</v>
      </c>
      <c r="AL162" s="47">
        <v>11372</v>
      </c>
      <c r="AM162" s="48">
        <v>1.78</v>
      </c>
      <c r="AN162" s="49" t="s">
        <v>376</v>
      </c>
      <c r="AO162" s="50" t="s">
        <v>3681</v>
      </c>
      <c r="AP162" s="51" t="s">
        <v>3682</v>
      </c>
      <c r="AQ162" s="52" t="s">
        <v>3683</v>
      </c>
      <c r="AR162" s="53" t="s">
        <v>3684</v>
      </c>
      <c r="AS162" s="54" t="s">
        <v>3685</v>
      </c>
      <c r="AT162" s="55" t="s">
        <v>3686</v>
      </c>
      <c r="AU162" s="56" t="s">
        <v>3687</v>
      </c>
      <c r="AV162" s="57" t="s">
        <v>153</v>
      </c>
      <c r="AW162" s="58" t="s">
        <v>3688</v>
      </c>
      <c r="AX162" s="59" t="s">
        <v>1291</v>
      </c>
      <c r="AY162" s="60" t="s">
        <v>3689</v>
      </c>
      <c r="AZ162" s="61" t="s">
        <v>215</v>
      </c>
      <c r="BA162" s="62" t="s">
        <v>3690</v>
      </c>
      <c r="BB162" s="63" t="s">
        <v>153</v>
      </c>
      <c r="BC162" s="64" t="s">
        <v>153</v>
      </c>
      <c r="BD162" s="65" t="s">
        <v>216</v>
      </c>
      <c r="BE162" s="66" t="s">
        <v>217</v>
      </c>
      <c r="BF162" s="67" t="s">
        <v>3691</v>
      </c>
      <c r="BG162" s="68" t="s">
        <v>3692</v>
      </c>
      <c r="BH162" s="69">
        <v>1</v>
      </c>
      <c r="BI162" s="70" t="s">
        <v>3680</v>
      </c>
      <c r="BJ162" s="71" t="s">
        <v>3693</v>
      </c>
      <c r="BK162" s="72" t="s">
        <v>153</v>
      </c>
      <c r="BL162" s="73" t="s">
        <v>3694</v>
      </c>
      <c r="BM162" s="74" t="s">
        <v>3695</v>
      </c>
      <c r="BN162" s="75" t="s">
        <v>153</v>
      </c>
      <c r="BO162" s="76" t="s">
        <v>3696</v>
      </c>
      <c r="BP162" s="77" t="s">
        <v>3697</v>
      </c>
      <c r="BQ162" s="78">
        <v>35762</v>
      </c>
      <c r="BR162" s="79" t="s">
        <v>153</v>
      </c>
      <c r="BS162" s="80" t="s">
        <v>153</v>
      </c>
      <c r="BT162" s="81" t="s">
        <v>153</v>
      </c>
      <c r="BU162" s="82" t="s">
        <v>153</v>
      </c>
      <c r="BV162" s="83" t="s">
        <v>251</v>
      </c>
      <c r="BW162" s="84" t="s">
        <v>153</v>
      </c>
      <c r="BX162" s="85" t="s">
        <v>153</v>
      </c>
      <c r="BY162" s="86" t="s">
        <v>252</v>
      </c>
      <c r="BZ162" s="87" t="s">
        <v>153</v>
      </c>
      <c r="CA162" s="88" t="s">
        <v>190</v>
      </c>
      <c r="CB162" s="89">
        <v>43040</v>
      </c>
      <c r="CC162" s="90">
        <v>19617</v>
      </c>
      <c r="CD162" s="91" t="s">
        <v>186</v>
      </c>
      <c r="CE162" s="92">
        <v>38464.699999999997</v>
      </c>
      <c r="CF162" s="93" t="s">
        <v>187</v>
      </c>
      <c r="CG162" s="94" t="s">
        <v>226</v>
      </c>
      <c r="CH162" s="95" t="s">
        <v>153</v>
      </c>
      <c r="CI162" s="96" t="s">
        <v>153</v>
      </c>
      <c r="CJ162" s="97" t="s">
        <v>225</v>
      </c>
      <c r="CK162" s="98">
        <v>43040</v>
      </c>
      <c r="CL162" s="99" t="s">
        <v>153</v>
      </c>
      <c r="CM162" s="100" t="s">
        <v>153</v>
      </c>
      <c r="CN162" s="101" t="s">
        <v>190</v>
      </c>
      <c r="CO162" s="102">
        <v>1.5</v>
      </c>
      <c r="CP162" s="103">
        <v>97</v>
      </c>
      <c r="CQ162" s="104">
        <v>-0.3</v>
      </c>
      <c r="CR162" s="105">
        <v>-16.440000000000001</v>
      </c>
      <c r="CS162" s="106">
        <v>1.5</v>
      </c>
      <c r="CT162" s="107">
        <v>97</v>
      </c>
      <c r="CU162" s="108" t="s">
        <v>153</v>
      </c>
      <c r="CV162" s="109" t="s">
        <v>153</v>
      </c>
      <c r="CW162" s="110">
        <v>3.34</v>
      </c>
      <c r="CX162" s="111">
        <v>90</v>
      </c>
      <c r="CY162" s="112">
        <v>-0.34</v>
      </c>
      <c r="CZ162" s="113">
        <v>3</v>
      </c>
      <c r="DA162" s="114" t="s">
        <v>153</v>
      </c>
      <c r="DB162" s="115" t="s">
        <v>153</v>
      </c>
      <c r="DC162" s="116">
        <v>106.13</v>
      </c>
      <c r="DD162" s="117">
        <v>99</v>
      </c>
      <c r="DE162" s="118">
        <v>-4.75</v>
      </c>
      <c r="DF162" s="119">
        <v>-4.28</v>
      </c>
      <c r="DG162" s="120">
        <v>106.13</v>
      </c>
      <c r="DH162" s="121">
        <v>99</v>
      </c>
      <c r="DI162" s="122" t="s">
        <v>153</v>
      </c>
      <c r="DJ162" s="123" t="s">
        <v>153</v>
      </c>
      <c r="DK162" s="124">
        <v>0.64</v>
      </c>
      <c r="DL162" s="125">
        <v>42</v>
      </c>
      <c r="DM162" s="126">
        <v>211.63</v>
      </c>
      <c r="DN162" s="127">
        <v>100</v>
      </c>
      <c r="DO162" s="128" t="s">
        <v>153</v>
      </c>
      <c r="DP162" s="129" t="s">
        <v>153</v>
      </c>
      <c r="DQ162" s="130">
        <v>1006</v>
      </c>
      <c r="DR162" s="131">
        <v>-2305</v>
      </c>
      <c r="DS162" s="132">
        <v>-69.62</v>
      </c>
      <c r="DT162" s="133">
        <v>3449</v>
      </c>
      <c r="DU162" s="134">
        <v>-93</v>
      </c>
      <c r="DV162" s="135">
        <v>-2.63</v>
      </c>
      <c r="DW162" s="136" t="s">
        <v>153</v>
      </c>
      <c r="DX162" s="137" t="s">
        <v>153</v>
      </c>
      <c r="DY162" s="138" t="s">
        <v>153</v>
      </c>
      <c r="DZ162" s="139" t="s">
        <v>191</v>
      </c>
      <c r="EA162" s="140">
        <v>44293</v>
      </c>
      <c r="EB162" s="141">
        <v>38464.699999999997</v>
      </c>
      <c r="EC162" s="142">
        <v>43040</v>
      </c>
      <c r="ED162" s="143" t="s">
        <v>226</v>
      </c>
      <c r="EE162" s="278" t="str">
        <f>HYPERLINK("https://my.pitchbook.com?c=12772-63", "View company online")</f>
        <v>View company online</v>
      </c>
    </row>
    <row r="163" spans="1:135" x14ac:dyDescent="0.45">
      <c r="A163" s="144" t="s">
        <v>3698</v>
      </c>
      <c r="B163" s="145" t="s">
        <v>3699</v>
      </c>
      <c r="C163" s="146" t="s">
        <v>153</v>
      </c>
      <c r="D163" s="147" t="s">
        <v>153</v>
      </c>
      <c r="E163" s="148" t="s">
        <v>3700</v>
      </c>
      <c r="F163" s="149" t="s">
        <v>153</v>
      </c>
      <c r="G163" s="150" t="s">
        <v>3701</v>
      </c>
      <c r="H163" s="151" t="s">
        <v>153</v>
      </c>
      <c r="I163" s="152" t="s">
        <v>3698</v>
      </c>
      <c r="J163" s="153" t="s">
        <v>3702</v>
      </c>
      <c r="K163" s="154" t="s">
        <v>559</v>
      </c>
      <c r="L163" s="155" t="s">
        <v>1345</v>
      </c>
      <c r="M163" s="156" t="s">
        <v>2470</v>
      </c>
      <c r="N163" s="157" t="s">
        <v>3703</v>
      </c>
      <c r="O163" s="158" t="s">
        <v>153</v>
      </c>
      <c r="P163" s="159" t="s">
        <v>3704</v>
      </c>
      <c r="Q163" s="160" t="s">
        <v>204</v>
      </c>
      <c r="R163" s="161" t="s">
        <v>153</v>
      </c>
      <c r="S163" s="162" t="s">
        <v>290</v>
      </c>
      <c r="T163" s="163" t="s">
        <v>205</v>
      </c>
      <c r="U163" s="164" t="s">
        <v>237</v>
      </c>
      <c r="V163" s="165" t="s">
        <v>153</v>
      </c>
      <c r="W163" s="166">
        <v>11707</v>
      </c>
      <c r="X163" s="167" t="s">
        <v>3705</v>
      </c>
      <c r="Y163" s="168" t="s">
        <v>153</v>
      </c>
      <c r="Z163" s="169" t="s">
        <v>153</v>
      </c>
      <c r="AA163" s="170">
        <v>1902</v>
      </c>
      <c r="AB163" s="171" t="s">
        <v>153</v>
      </c>
      <c r="AC163" s="172" t="s">
        <v>153</v>
      </c>
      <c r="AD163" s="173" t="s">
        <v>153</v>
      </c>
      <c r="AE163" s="174" t="s">
        <v>153</v>
      </c>
      <c r="AF163" s="175" t="s">
        <v>153</v>
      </c>
      <c r="AG163" s="176" t="s">
        <v>153</v>
      </c>
      <c r="AH163" s="177" t="s">
        <v>153</v>
      </c>
      <c r="AI163" s="178" t="s">
        <v>153</v>
      </c>
      <c r="AJ163" s="179" t="s">
        <v>153</v>
      </c>
      <c r="AK163" s="180" t="s">
        <v>153</v>
      </c>
      <c r="AL163" s="181" t="s">
        <v>153</v>
      </c>
      <c r="AM163" s="182" t="s">
        <v>153</v>
      </c>
      <c r="AN163" s="183" t="s">
        <v>403</v>
      </c>
      <c r="AO163" s="184" t="s">
        <v>3706</v>
      </c>
      <c r="AP163" s="185" t="s">
        <v>3707</v>
      </c>
      <c r="AQ163" s="186" t="s">
        <v>269</v>
      </c>
      <c r="AR163" s="187" t="s">
        <v>153</v>
      </c>
      <c r="AS163" s="188" t="s">
        <v>153</v>
      </c>
      <c r="AT163" s="189" t="s">
        <v>3708</v>
      </c>
      <c r="AU163" s="190" t="s">
        <v>3709</v>
      </c>
      <c r="AV163" s="191" t="s">
        <v>3710</v>
      </c>
      <c r="AW163" s="192" t="s">
        <v>3711</v>
      </c>
      <c r="AX163" s="193" t="s">
        <v>3712</v>
      </c>
      <c r="AY163" s="194" t="s">
        <v>3713</v>
      </c>
      <c r="AZ163" s="195" t="s">
        <v>1358</v>
      </c>
      <c r="BA163" s="196" t="s">
        <v>153</v>
      </c>
      <c r="BB163" s="197" t="s">
        <v>153</v>
      </c>
      <c r="BC163" s="198" t="s">
        <v>153</v>
      </c>
      <c r="BD163" s="199" t="s">
        <v>216</v>
      </c>
      <c r="BE163" s="200" t="s">
        <v>217</v>
      </c>
      <c r="BF163" s="201" t="s">
        <v>3714</v>
      </c>
      <c r="BG163" s="202" t="s">
        <v>153</v>
      </c>
      <c r="BH163" s="203" t="s">
        <v>153</v>
      </c>
      <c r="BI163" s="204" t="s">
        <v>3715</v>
      </c>
      <c r="BJ163" s="205" t="s">
        <v>153</v>
      </c>
      <c r="BK163" s="206" t="s">
        <v>153</v>
      </c>
      <c r="BL163" s="207" t="s">
        <v>153</v>
      </c>
      <c r="BM163" s="208" t="s">
        <v>153</v>
      </c>
      <c r="BN163" s="209" t="s">
        <v>153</v>
      </c>
      <c r="BO163" s="210" t="s">
        <v>153</v>
      </c>
      <c r="BP163" s="211" t="s">
        <v>153</v>
      </c>
      <c r="BQ163" s="212">
        <v>5745</v>
      </c>
      <c r="BR163" s="213" t="s">
        <v>153</v>
      </c>
      <c r="BS163" s="214" t="s">
        <v>153</v>
      </c>
      <c r="BT163" s="215" t="s">
        <v>153</v>
      </c>
      <c r="BU163" s="216" t="s">
        <v>153</v>
      </c>
      <c r="BV163" s="217" t="s">
        <v>251</v>
      </c>
      <c r="BW163" s="218" t="s">
        <v>153</v>
      </c>
      <c r="BX163" s="219" t="s">
        <v>153</v>
      </c>
      <c r="BY163" s="220" t="s">
        <v>252</v>
      </c>
      <c r="BZ163" s="221" t="s">
        <v>153</v>
      </c>
      <c r="CA163" s="222" t="s">
        <v>190</v>
      </c>
      <c r="CB163" s="223">
        <v>38996</v>
      </c>
      <c r="CC163" s="224">
        <v>19400</v>
      </c>
      <c r="CD163" s="225" t="s">
        <v>186</v>
      </c>
      <c r="CE163" s="226">
        <v>19400</v>
      </c>
      <c r="CF163" s="227" t="s">
        <v>186</v>
      </c>
      <c r="CG163" s="228" t="s">
        <v>226</v>
      </c>
      <c r="CH163" s="229" t="s">
        <v>153</v>
      </c>
      <c r="CI163" s="230" t="s">
        <v>153</v>
      </c>
      <c r="CJ163" s="231" t="s">
        <v>225</v>
      </c>
      <c r="CK163" s="232">
        <v>38996</v>
      </c>
      <c r="CL163" s="233" t="s">
        <v>153</v>
      </c>
      <c r="CM163" s="234" t="s">
        <v>153</v>
      </c>
      <c r="CN163" s="235" t="s">
        <v>190</v>
      </c>
      <c r="CO163" s="236" t="s">
        <v>153</v>
      </c>
      <c r="CP163" s="237" t="s">
        <v>153</v>
      </c>
      <c r="CQ163" s="238" t="s">
        <v>153</v>
      </c>
      <c r="CR163" s="239" t="s">
        <v>153</v>
      </c>
      <c r="CS163" s="240" t="s">
        <v>153</v>
      </c>
      <c r="CT163" s="241" t="s">
        <v>153</v>
      </c>
      <c r="CU163" s="242" t="s">
        <v>153</v>
      </c>
      <c r="CV163" s="243" t="s">
        <v>153</v>
      </c>
      <c r="CW163" s="244" t="s">
        <v>153</v>
      </c>
      <c r="CX163" s="245" t="s">
        <v>153</v>
      </c>
      <c r="CY163" s="246" t="s">
        <v>153</v>
      </c>
      <c r="CZ163" s="247" t="s">
        <v>153</v>
      </c>
      <c r="DA163" s="248" t="s">
        <v>153</v>
      </c>
      <c r="DB163" s="249" t="s">
        <v>153</v>
      </c>
      <c r="DC163" s="250" t="s">
        <v>153</v>
      </c>
      <c r="DD163" s="251" t="s">
        <v>153</v>
      </c>
      <c r="DE163" s="252" t="s">
        <v>153</v>
      </c>
      <c r="DF163" s="253" t="s">
        <v>153</v>
      </c>
      <c r="DG163" s="254" t="s">
        <v>153</v>
      </c>
      <c r="DH163" s="255" t="s">
        <v>153</v>
      </c>
      <c r="DI163" s="256" t="s">
        <v>153</v>
      </c>
      <c r="DJ163" s="257" t="s">
        <v>153</v>
      </c>
      <c r="DK163" s="258" t="s">
        <v>153</v>
      </c>
      <c r="DL163" s="259" t="s">
        <v>153</v>
      </c>
      <c r="DM163" s="260" t="s">
        <v>153</v>
      </c>
      <c r="DN163" s="261" t="s">
        <v>153</v>
      </c>
      <c r="DO163" s="262" t="s">
        <v>153</v>
      </c>
      <c r="DP163" s="263" t="s">
        <v>153</v>
      </c>
      <c r="DQ163" s="264" t="s">
        <v>153</v>
      </c>
      <c r="DR163" s="265" t="s">
        <v>153</v>
      </c>
      <c r="DS163" s="266" t="s">
        <v>153</v>
      </c>
      <c r="DT163" s="267" t="s">
        <v>153</v>
      </c>
      <c r="DU163" s="268" t="s">
        <v>153</v>
      </c>
      <c r="DV163" s="269" t="s">
        <v>153</v>
      </c>
      <c r="DW163" s="270" t="s">
        <v>153</v>
      </c>
      <c r="DX163" s="271" t="s">
        <v>153</v>
      </c>
      <c r="DY163" s="272" t="s">
        <v>153</v>
      </c>
      <c r="DZ163" s="273" t="s">
        <v>191</v>
      </c>
      <c r="EA163" s="274">
        <v>44217</v>
      </c>
      <c r="EB163" s="275">
        <v>19400</v>
      </c>
      <c r="EC163" s="276">
        <v>38996</v>
      </c>
      <c r="ED163" s="277" t="s">
        <v>226</v>
      </c>
      <c r="EE163" s="279" t="str">
        <f>HYPERLINK("https://my.pitchbook.com?c=45011-62", "View company online")</f>
        <v>View company online</v>
      </c>
    </row>
    <row r="164" spans="1:135" x14ac:dyDescent="0.45">
      <c r="A164" s="10" t="s">
        <v>3716</v>
      </c>
      <c r="B164" s="11" t="s">
        <v>3717</v>
      </c>
      <c r="C164" s="12" t="s">
        <v>153</v>
      </c>
      <c r="D164" s="13" t="s">
        <v>153</v>
      </c>
      <c r="E164" s="14" t="s">
        <v>3718</v>
      </c>
      <c r="F164" s="15" t="s">
        <v>3719</v>
      </c>
      <c r="G164" s="16" t="s">
        <v>153</v>
      </c>
      <c r="H164" s="17" t="s">
        <v>3720</v>
      </c>
      <c r="I164" s="18" t="s">
        <v>3716</v>
      </c>
      <c r="J164" s="19" t="s">
        <v>3721</v>
      </c>
      <c r="K164" s="20" t="s">
        <v>157</v>
      </c>
      <c r="L164" s="21" t="s">
        <v>817</v>
      </c>
      <c r="M164" s="22" t="s">
        <v>863</v>
      </c>
      <c r="N164" s="23" t="s">
        <v>2494</v>
      </c>
      <c r="O164" s="24" t="s">
        <v>261</v>
      </c>
      <c r="P164" s="25" t="s">
        <v>3722</v>
      </c>
      <c r="Q164" s="26" t="s">
        <v>204</v>
      </c>
      <c r="R164" s="27" t="s">
        <v>153</v>
      </c>
      <c r="S164" s="28" t="s">
        <v>290</v>
      </c>
      <c r="T164" s="29" t="s">
        <v>164</v>
      </c>
      <c r="U164" s="30" t="s">
        <v>237</v>
      </c>
      <c r="V164" s="31" t="s">
        <v>3723</v>
      </c>
      <c r="W164" s="32">
        <v>57</v>
      </c>
      <c r="X164" s="33" t="s">
        <v>3724</v>
      </c>
      <c r="Y164" s="34" t="s">
        <v>153</v>
      </c>
      <c r="Z164" s="35" t="s">
        <v>153</v>
      </c>
      <c r="AA164" s="36">
        <v>1824</v>
      </c>
      <c r="AB164" s="37" t="s">
        <v>859</v>
      </c>
      <c r="AC164" s="38" t="s">
        <v>537</v>
      </c>
      <c r="AD164" s="39" t="s">
        <v>1540</v>
      </c>
      <c r="AE164" s="40" t="s">
        <v>153</v>
      </c>
      <c r="AF164" s="41" t="s">
        <v>153</v>
      </c>
      <c r="AG164" s="42" t="s">
        <v>153</v>
      </c>
      <c r="AH164" s="43" t="s">
        <v>153</v>
      </c>
      <c r="AI164" s="44" t="s">
        <v>153</v>
      </c>
      <c r="AJ164" s="45" t="s">
        <v>153</v>
      </c>
      <c r="AK164" s="46" t="s">
        <v>153</v>
      </c>
      <c r="AL164" s="47" t="s">
        <v>153</v>
      </c>
      <c r="AM164" s="48" t="s">
        <v>153</v>
      </c>
      <c r="AN164" s="49" t="s">
        <v>3725</v>
      </c>
      <c r="AO164" s="50" t="s">
        <v>153</v>
      </c>
      <c r="AP164" s="51" t="s">
        <v>153</v>
      </c>
      <c r="AQ164" s="52" t="s">
        <v>153</v>
      </c>
      <c r="AR164" s="53" t="s">
        <v>153</v>
      </c>
      <c r="AS164" s="54" t="s">
        <v>153</v>
      </c>
      <c r="AT164" s="55" t="s">
        <v>3726</v>
      </c>
      <c r="AU164" s="56" t="s">
        <v>3727</v>
      </c>
      <c r="AV164" s="57" t="s">
        <v>3728</v>
      </c>
      <c r="AW164" s="58" t="s">
        <v>3729</v>
      </c>
      <c r="AX164" s="59" t="s">
        <v>177</v>
      </c>
      <c r="AY164" s="60" t="s">
        <v>3730</v>
      </c>
      <c r="AZ164" s="61" t="s">
        <v>179</v>
      </c>
      <c r="BA164" s="62" t="s">
        <v>3731</v>
      </c>
      <c r="BB164" s="63" t="s">
        <v>3732</v>
      </c>
      <c r="BC164" s="64" t="s">
        <v>153</v>
      </c>
      <c r="BD164" s="65" t="s">
        <v>180</v>
      </c>
      <c r="BE164" s="66" t="s">
        <v>181</v>
      </c>
      <c r="BF164" s="67" t="s">
        <v>3733</v>
      </c>
      <c r="BG164" s="68" t="s">
        <v>153</v>
      </c>
      <c r="BH164" s="69" t="s">
        <v>153</v>
      </c>
      <c r="BI164" s="70" t="s">
        <v>859</v>
      </c>
      <c r="BJ164" s="71" t="s">
        <v>153</v>
      </c>
      <c r="BK164" s="72" t="s">
        <v>3734</v>
      </c>
      <c r="BL164" s="73" t="s">
        <v>153</v>
      </c>
      <c r="BM164" s="74" t="s">
        <v>153</v>
      </c>
      <c r="BN164" s="75" t="s">
        <v>3735</v>
      </c>
      <c r="BO164" s="76" t="s">
        <v>3736</v>
      </c>
      <c r="BP164" s="77" t="s">
        <v>3737</v>
      </c>
      <c r="BQ164" s="78">
        <v>40197</v>
      </c>
      <c r="BR164" s="79">
        <v>19169.29</v>
      </c>
      <c r="BS164" s="80" t="s">
        <v>186</v>
      </c>
      <c r="BT164" s="81">
        <v>19169.29</v>
      </c>
      <c r="BU164" s="82" t="s">
        <v>186</v>
      </c>
      <c r="BV164" s="83" t="s">
        <v>226</v>
      </c>
      <c r="BW164" s="84" t="s">
        <v>153</v>
      </c>
      <c r="BX164" s="85" t="s">
        <v>153</v>
      </c>
      <c r="BY164" s="86" t="s">
        <v>225</v>
      </c>
      <c r="BZ164" s="87" t="s">
        <v>1432</v>
      </c>
      <c r="CA164" s="88" t="s">
        <v>190</v>
      </c>
      <c r="CB164" s="89">
        <v>40197</v>
      </c>
      <c r="CC164" s="90">
        <v>19169.29</v>
      </c>
      <c r="CD164" s="91" t="s">
        <v>186</v>
      </c>
      <c r="CE164" s="92">
        <v>19169.29</v>
      </c>
      <c r="CF164" s="93" t="s">
        <v>186</v>
      </c>
      <c r="CG164" s="94" t="s">
        <v>226</v>
      </c>
      <c r="CH164" s="95" t="s">
        <v>153</v>
      </c>
      <c r="CI164" s="96" t="s">
        <v>153</v>
      </c>
      <c r="CJ164" s="97" t="s">
        <v>225</v>
      </c>
      <c r="CK164" s="98">
        <v>40197</v>
      </c>
      <c r="CL164" s="99" t="s">
        <v>153</v>
      </c>
      <c r="CM164" s="100" t="s">
        <v>1432</v>
      </c>
      <c r="CN164" s="101" t="s">
        <v>190</v>
      </c>
      <c r="CO164" s="102">
        <v>-0.61</v>
      </c>
      <c r="CP164" s="103">
        <v>4</v>
      </c>
      <c r="CQ164" s="104">
        <v>-0.05</v>
      </c>
      <c r="CR164" s="105">
        <v>-9.6</v>
      </c>
      <c r="CS164" s="106">
        <v>-1.0900000000000001</v>
      </c>
      <c r="CT164" s="107">
        <v>4</v>
      </c>
      <c r="CU164" s="108">
        <v>-0.13</v>
      </c>
      <c r="CV164" s="109">
        <v>13</v>
      </c>
      <c r="CW164" s="110">
        <v>-2.2999999999999998</v>
      </c>
      <c r="CX164" s="111">
        <v>11</v>
      </c>
      <c r="CY164" s="112">
        <v>0.11</v>
      </c>
      <c r="CZ164" s="113">
        <v>91</v>
      </c>
      <c r="DA164" s="114">
        <v>-0.13</v>
      </c>
      <c r="DB164" s="115">
        <v>13</v>
      </c>
      <c r="DC164" s="116">
        <v>586.29999999999995</v>
      </c>
      <c r="DD164" s="117">
        <v>100</v>
      </c>
      <c r="DE164" s="118">
        <v>2.9</v>
      </c>
      <c r="DF164" s="119">
        <v>0.5</v>
      </c>
      <c r="DG164" s="120">
        <v>167.23</v>
      </c>
      <c r="DH164" s="121">
        <v>100</v>
      </c>
      <c r="DI164" s="122">
        <v>1005.36</v>
      </c>
      <c r="DJ164" s="123">
        <v>100</v>
      </c>
      <c r="DK164" s="124">
        <v>57.34</v>
      </c>
      <c r="DL164" s="125">
        <v>96</v>
      </c>
      <c r="DM164" s="126">
        <v>277.13</v>
      </c>
      <c r="DN164" s="127">
        <v>100</v>
      </c>
      <c r="DO164" s="128">
        <v>1005.36</v>
      </c>
      <c r="DP164" s="129">
        <v>100</v>
      </c>
      <c r="DQ164" s="130">
        <v>34170</v>
      </c>
      <c r="DR164" s="131">
        <v>-613</v>
      </c>
      <c r="DS164" s="132">
        <v>-1.76</v>
      </c>
      <c r="DT164" s="133">
        <v>4441</v>
      </c>
      <c r="DU164" s="134">
        <v>-19</v>
      </c>
      <c r="DV164" s="135">
        <v>-0.43</v>
      </c>
      <c r="DW164" s="136">
        <v>315724</v>
      </c>
      <c r="DX164" s="137">
        <v>-108</v>
      </c>
      <c r="DY164" s="138">
        <v>-0.03</v>
      </c>
      <c r="DZ164" s="139" t="s">
        <v>191</v>
      </c>
      <c r="EA164" s="140">
        <v>44379</v>
      </c>
      <c r="EB164" s="141">
        <v>19169.29</v>
      </c>
      <c r="EC164" s="142">
        <v>40197</v>
      </c>
      <c r="ED164" s="143" t="s">
        <v>226</v>
      </c>
      <c r="EE164" s="278" t="str">
        <f>HYPERLINK("https://my.pitchbook.com?c=40740-04", "View company online")</f>
        <v>View company online</v>
      </c>
    </row>
    <row r="165" spans="1:135" x14ac:dyDescent="0.45">
      <c r="A165" s="144" t="s">
        <v>3738</v>
      </c>
      <c r="B165" s="145" t="s">
        <v>3739</v>
      </c>
      <c r="C165" s="146" t="s">
        <v>153</v>
      </c>
      <c r="D165" s="147" t="s">
        <v>153</v>
      </c>
      <c r="E165" s="148" t="s">
        <v>3740</v>
      </c>
      <c r="F165" s="149" t="s">
        <v>3741</v>
      </c>
      <c r="G165" s="150" t="s">
        <v>3742</v>
      </c>
      <c r="H165" s="151" t="s">
        <v>153</v>
      </c>
      <c r="I165" s="152" t="s">
        <v>3738</v>
      </c>
      <c r="J165" s="153" t="s">
        <v>3743</v>
      </c>
      <c r="K165" s="154" t="s">
        <v>157</v>
      </c>
      <c r="L165" s="155" t="s">
        <v>2713</v>
      </c>
      <c r="M165" s="156" t="s">
        <v>3744</v>
      </c>
      <c r="N165" s="157" t="s">
        <v>3745</v>
      </c>
      <c r="O165" s="158" t="s">
        <v>153</v>
      </c>
      <c r="P165" s="159" t="s">
        <v>3746</v>
      </c>
      <c r="Q165" s="160" t="s">
        <v>564</v>
      </c>
      <c r="R165" s="161" t="s">
        <v>153</v>
      </c>
      <c r="S165" s="162" t="s">
        <v>163</v>
      </c>
      <c r="T165" s="163" t="s">
        <v>291</v>
      </c>
      <c r="U165" s="164" t="s">
        <v>565</v>
      </c>
      <c r="V165" s="165" t="s">
        <v>3747</v>
      </c>
      <c r="W165" s="166">
        <v>248</v>
      </c>
      <c r="X165" s="167" t="s">
        <v>3748</v>
      </c>
      <c r="Y165" s="168" t="s">
        <v>3749</v>
      </c>
      <c r="Z165" s="169" t="s">
        <v>3750</v>
      </c>
      <c r="AA165" s="170">
        <v>1954</v>
      </c>
      <c r="AB165" s="171" t="s">
        <v>153</v>
      </c>
      <c r="AC165" s="172" t="s">
        <v>153</v>
      </c>
      <c r="AD165" s="173" t="s">
        <v>153</v>
      </c>
      <c r="AE165" s="174">
        <v>2261.37</v>
      </c>
      <c r="AF165" s="175">
        <v>94.05</v>
      </c>
      <c r="AG165" s="176">
        <v>-73.59</v>
      </c>
      <c r="AH165" s="177">
        <v>505.3</v>
      </c>
      <c r="AI165" s="178">
        <v>-32.19</v>
      </c>
      <c r="AJ165" s="179">
        <v>-53.38</v>
      </c>
      <c r="AK165" s="180">
        <v>200.52</v>
      </c>
      <c r="AL165" s="181">
        <v>312.60000000000002</v>
      </c>
      <c r="AM165" s="182">
        <v>-29.29</v>
      </c>
      <c r="AN165" s="183" t="s">
        <v>376</v>
      </c>
      <c r="AO165" s="184" t="s">
        <v>3751</v>
      </c>
      <c r="AP165" s="185" t="s">
        <v>3752</v>
      </c>
      <c r="AQ165" s="186" t="s">
        <v>968</v>
      </c>
      <c r="AR165" s="187" t="s">
        <v>3753</v>
      </c>
      <c r="AS165" s="188" t="s">
        <v>3754</v>
      </c>
      <c r="AT165" s="189" t="s">
        <v>3755</v>
      </c>
      <c r="AU165" s="190" t="s">
        <v>3756</v>
      </c>
      <c r="AV165" s="191" t="s">
        <v>3757</v>
      </c>
      <c r="AW165" s="192" t="s">
        <v>3758</v>
      </c>
      <c r="AX165" s="193" t="s">
        <v>3759</v>
      </c>
      <c r="AY165" s="194" t="s">
        <v>3760</v>
      </c>
      <c r="AZ165" s="195" t="s">
        <v>3761</v>
      </c>
      <c r="BA165" s="196" t="s">
        <v>3754</v>
      </c>
      <c r="BB165" s="197" t="s">
        <v>3762</v>
      </c>
      <c r="BC165" s="198" t="s">
        <v>153</v>
      </c>
      <c r="BD165" s="199" t="s">
        <v>1406</v>
      </c>
      <c r="BE165" s="200" t="s">
        <v>1407</v>
      </c>
      <c r="BF165" s="201" t="s">
        <v>3763</v>
      </c>
      <c r="BG165" s="202" t="s">
        <v>153</v>
      </c>
      <c r="BH165" s="203" t="s">
        <v>153</v>
      </c>
      <c r="BI165" s="204" t="s">
        <v>3764</v>
      </c>
      <c r="BJ165" s="205" t="s">
        <v>3765</v>
      </c>
      <c r="BK165" s="206" t="s">
        <v>153</v>
      </c>
      <c r="BL165" s="207" t="s">
        <v>153</v>
      </c>
      <c r="BM165" s="208" t="s">
        <v>153</v>
      </c>
      <c r="BN165" s="209" t="s">
        <v>153</v>
      </c>
      <c r="BO165" s="210" t="s">
        <v>153</v>
      </c>
      <c r="BP165" s="211" t="s">
        <v>153</v>
      </c>
      <c r="BQ165" s="212">
        <v>27937</v>
      </c>
      <c r="BR165" s="213" t="s">
        <v>153</v>
      </c>
      <c r="BS165" s="214" t="s">
        <v>153</v>
      </c>
      <c r="BT165" s="215" t="s">
        <v>153</v>
      </c>
      <c r="BU165" s="216" t="s">
        <v>153</v>
      </c>
      <c r="BV165" s="217" t="s">
        <v>251</v>
      </c>
      <c r="BW165" s="218" t="s">
        <v>153</v>
      </c>
      <c r="BX165" s="219" t="s">
        <v>153</v>
      </c>
      <c r="BY165" s="220" t="s">
        <v>252</v>
      </c>
      <c r="BZ165" s="221" t="s">
        <v>153</v>
      </c>
      <c r="CA165" s="222" t="s">
        <v>190</v>
      </c>
      <c r="CB165" s="223">
        <v>39999</v>
      </c>
      <c r="CC165" s="224">
        <v>19024.009999999998</v>
      </c>
      <c r="CD165" s="225" t="s">
        <v>186</v>
      </c>
      <c r="CE165" s="226">
        <v>27360.92</v>
      </c>
      <c r="CF165" s="227" t="s">
        <v>187</v>
      </c>
      <c r="CG165" s="228" t="s">
        <v>226</v>
      </c>
      <c r="CH165" s="229" t="s">
        <v>153</v>
      </c>
      <c r="CI165" s="230" t="s">
        <v>153</v>
      </c>
      <c r="CJ165" s="231" t="s">
        <v>225</v>
      </c>
      <c r="CK165" s="232">
        <v>39999</v>
      </c>
      <c r="CL165" s="233" t="s">
        <v>153</v>
      </c>
      <c r="CM165" s="234" t="s">
        <v>153</v>
      </c>
      <c r="CN165" s="235" t="s">
        <v>190</v>
      </c>
      <c r="CO165" s="236">
        <v>0</v>
      </c>
      <c r="CP165" s="237">
        <v>11</v>
      </c>
      <c r="CQ165" s="238">
        <v>0</v>
      </c>
      <c r="CR165" s="239">
        <v>0</v>
      </c>
      <c r="CS165" s="240">
        <v>0</v>
      </c>
      <c r="CT165" s="241">
        <v>8</v>
      </c>
      <c r="CU165" s="242" t="s">
        <v>153</v>
      </c>
      <c r="CV165" s="243" t="s">
        <v>153</v>
      </c>
      <c r="CW165" s="244" t="s">
        <v>153</v>
      </c>
      <c r="CX165" s="245" t="s">
        <v>153</v>
      </c>
      <c r="CY165" s="246">
        <v>0</v>
      </c>
      <c r="CZ165" s="247">
        <v>5</v>
      </c>
      <c r="DA165" s="248" t="s">
        <v>153</v>
      </c>
      <c r="DB165" s="249" t="s">
        <v>153</v>
      </c>
      <c r="DC165" s="250">
        <v>4.5599999999999996</v>
      </c>
      <c r="DD165" s="251">
        <v>83</v>
      </c>
      <c r="DE165" s="252">
        <v>0.06</v>
      </c>
      <c r="DF165" s="253">
        <v>1.39</v>
      </c>
      <c r="DG165" s="254">
        <v>4.5599999999999996</v>
      </c>
      <c r="DH165" s="255">
        <v>83</v>
      </c>
      <c r="DI165" s="256" t="s">
        <v>153</v>
      </c>
      <c r="DJ165" s="257" t="s">
        <v>153</v>
      </c>
      <c r="DK165" s="258" t="s">
        <v>153</v>
      </c>
      <c r="DL165" s="259" t="s">
        <v>153</v>
      </c>
      <c r="DM165" s="260">
        <v>4.5599999999999996</v>
      </c>
      <c r="DN165" s="261">
        <v>81</v>
      </c>
      <c r="DO165" s="262" t="s">
        <v>153</v>
      </c>
      <c r="DP165" s="263" t="s">
        <v>153</v>
      </c>
      <c r="DQ165" s="264" t="s">
        <v>153</v>
      </c>
      <c r="DR165" s="265" t="s">
        <v>153</v>
      </c>
      <c r="DS165" s="266" t="s">
        <v>153</v>
      </c>
      <c r="DT165" s="267">
        <v>72</v>
      </c>
      <c r="DU165" s="268">
        <v>1</v>
      </c>
      <c r="DV165" s="269">
        <v>1.41</v>
      </c>
      <c r="DW165" s="270" t="s">
        <v>153</v>
      </c>
      <c r="DX165" s="271" t="s">
        <v>153</v>
      </c>
      <c r="DY165" s="272" t="s">
        <v>153</v>
      </c>
      <c r="DZ165" s="273" t="s">
        <v>191</v>
      </c>
      <c r="EA165" s="274">
        <v>44376</v>
      </c>
      <c r="EB165" s="275">
        <v>27360.92</v>
      </c>
      <c r="EC165" s="276">
        <v>39999</v>
      </c>
      <c r="ED165" s="277" t="s">
        <v>226</v>
      </c>
      <c r="EE165" s="279" t="str">
        <f>HYPERLINK("https://my.pitchbook.com?c=163821-07", "View company online")</f>
        <v>View company online</v>
      </c>
    </row>
    <row r="166" spans="1:135" x14ac:dyDescent="0.45">
      <c r="A166" s="10" t="s">
        <v>3766</v>
      </c>
      <c r="B166" s="11" t="s">
        <v>3767</v>
      </c>
      <c r="C166" s="12" t="s">
        <v>153</v>
      </c>
      <c r="D166" s="13" t="s">
        <v>153</v>
      </c>
      <c r="E166" s="14" t="s">
        <v>3768</v>
      </c>
      <c r="F166" s="15" t="s">
        <v>3769</v>
      </c>
      <c r="G166" s="16" t="s">
        <v>3770</v>
      </c>
      <c r="H166" s="17" t="s">
        <v>3771</v>
      </c>
      <c r="I166" s="18" t="s">
        <v>3766</v>
      </c>
      <c r="J166" s="19" t="s">
        <v>3772</v>
      </c>
      <c r="K166" s="20" t="s">
        <v>157</v>
      </c>
      <c r="L166" s="21" t="s">
        <v>421</v>
      </c>
      <c r="M166" s="22" t="s">
        <v>422</v>
      </c>
      <c r="N166" s="23" t="s">
        <v>3773</v>
      </c>
      <c r="O166" s="24" t="s">
        <v>399</v>
      </c>
      <c r="P166" s="25" t="s">
        <v>3774</v>
      </c>
      <c r="Q166" s="26" t="s">
        <v>204</v>
      </c>
      <c r="R166" s="27" t="s">
        <v>153</v>
      </c>
      <c r="S166" s="28" t="s">
        <v>163</v>
      </c>
      <c r="T166" s="29" t="s">
        <v>164</v>
      </c>
      <c r="U166" s="30" t="s">
        <v>206</v>
      </c>
      <c r="V166" s="31" t="s">
        <v>3775</v>
      </c>
      <c r="W166" s="32">
        <v>7000</v>
      </c>
      <c r="X166" s="33" t="s">
        <v>3776</v>
      </c>
      <c r="Y166" s="34" t="s">
        <v>153</v>
      </c>
      <c r="Z166" s="35" t="s">
        <v>153</v>
      </c>
      <c r="AA166" s="36">
        <v>1946</v>
      </c>
      <c r="AB166" s="37" t="s">
        <v>3777</v>
      </c>
      <c r="AC166" s="38" t="s">
        <v>153</v>
      </c>
      <c r="AD166" s="39" t="s">
        <v>153</v>
      </c>
      <c r="AE166" s="40" t="s">
        <v>153</v>
      </c>
      <c r="AF166" s="41" t="s">
        <v>153</v>
      </c>
      <c r="AG166" s="42" t="s">
        <v>153</v>
      </c>
      <c r="AH166" s="43" t="s">
        <v>153</v>
      </c>
      <c r="AI166" s="44" t="s">
        <v>153</v>
      </c>
      <c r="AJ166" s="45" t="s">
        <v>153</v>
      </c>
      <c r="AK166" s="46" t="s">
        <v>153</v>
      </c>
      <c r="AL166" s="47" t="s">
        <v>153</v>
      </c>
      <c r="AM166" s="48" t="s">
        <v>153</v>
      </c>
      <c r="AN166" s="49" t="s">
        <v>3778</v>
      </c>
      <c r="AO166" s="50" t="s">
        <v>3779</v>
      </c>
      <c r="AP166" s="51" t="s">
        <v>3780</v>
      </c>
      <c r="AQ166" s="52" t="s">
        <v>3781</v>
      </c>
      <c r="AR166" s="53" t="s">
        <v>3782</v>
      </c>
      <c r="AS166" s="54" t="s">
        <v>153</v>
      </c>
      <c r="AT166" s="55" t="s">
        <v>3783</v>
      </c>
      <c r="AU166" s="56" t="s">
        <v>3784</v>
      </c>
      <c r="AV166" s="57" t="s">
        <v>153</v>
      </c>
      <c r="AW166" s="58" t="s">
        <v>3785</v>
      </c>
      <c r="AX166" s="59" t="s">
        <v>308</v>
      </c>
      <c r="AY166" s="60" t="s">
        <v>3786</v>
      </c>
      <c r="AZ166" s="61" t="s">
        <v>215</v>
      </c>
      <c r="BA166" s="62" t="s">
        <v>153</v>
      </c>
      <c r="BB166" s="63" t="s">
        <v>153</v>
      </c>
      <c r="BC166" s="64" t="s">
        <v>153</v>
      </c>
      <c r="BD166" s="65" t="s">
        <v>216</v>
      </c>
      <c r="BE166" s="66" t="s">
        <v>217</v>
      </c>
      <c r="BF166" s="67" t="s">
        <v>3787</v>
      </c>
      <c r="BG166" s="68" t="s">
        <v>153</v>
      </c>
      <c r="BH166" s="69" t="s">
        <v>153</v>
      </c>
      <c r="BI166" s="70" t="s">
        <v>3777</v>
      </c>
      <c r="BJ166" s="71" t="s">
        <v>153</v>
      </c>
      <c r="BK166" s="72" t="s">
        <v>153</v>
      </c>
      <c r="BL166" s="73" t="s">
        <v>153</v>
      </c>
      <c r="BM166" s="74" t="s">
        <v>153</v>
      </c>
      <c r="BN166" s="75" t="s">
        <v>153</v>
      </c>
      <c r="BO166" s="76" t="s">
        <v>3788</v>
      </c>
      <c r="BP166" s="77" t="s">
        <v>153</v>
      </c>
      <c r="BQ166" s="78">
        <v>35065</v>
      </c>
      <c r="BR166" s="79">
        <v>19000</v>
      </c>
      <c r="BS166" s="80" t="s">
        <v>186</v>
      </c>
      <c r="BT166" s="81">
        <v>19000</v>
      </c>
      <c r="BU166" s="82" t="s">
        <v>186</v>
      </c>
      <c r="BV166" s="83" t="s">
        <v>226</v>
      </c>
      <c r="BW166" s="84" t="s">
        <v>153</v>
      </c>
      <c r="BX166" s="85" t="s">
        <v>153</v>
      </c>
      <c r="BY166" s="86" t="s">
        <v>225</v>
      </c>
      <c r="BZ166" s="87" t="s">
        <v>153</v>
      </c>
      <c r="CA166" s="88" t="s">
        <v>190</v>
      </c>
      <c r="CB166" s="89">
        <v>35065</v>
      </c>
      <c r="CC166" s="90">
        <v>19000</v>
      </c>
      <c r="CD166" s="91" t="s">
        <v>186</v>
      </c>
      <c r="CE166" s="92">
        <v>19000</v>
      </c>
      <c r="CF166" s="93" t="s">
        <v>186</v>
      </c>
      <c r="CG166" s="94" t="s">
        <v>226</v>
      </c>
      <c r="CH166" s="95" t="s">
        <v>153</v>
      </c>
      <c r="CI166" s="96" t="s">
        <v>153</v>
      </c>
      <c r="CJ166" s="97" t="s">
        <v>225</v>
      </c>
      <c r="CK166" s="98">
        <v>35065</v>
      </c>
      <c r="CL166" s="99" t="s">
        <v>153</v>
      </c>
      <c r="CM166" s="100" t="s">
        <v>153</v>
      </c>
      <c r="CN166" s="101" t="s">
        <v>190</v>
      </c>
      <c r="CO166" s="102">
        <v>0.09</v>
      </c>
      <c r="CP166" s="103">
        <v>89</v>
      </c>
      <c r="CQ166" s="104">
        <v>-0.02</v>
      </c>
      <c r="CR166" s="105">
        <v>-16.79</v>
      </c>
      <c r="CS166" s="106">
        <v>0.25</v>
      </c>
      <c r="CT166" s="107">
        <v>91</v>
      </c>
      <c r="CU166" s="108">
        <v>-7.0000000000000007E-2</v>
      </c>
      <c r="CV166" s="109">
        <v>27</v>
      </c>
      <c r="CW166" s="110" t="s">
        <v>153</v>
      </c>
      <c r="CX166" s="111" t="s">
        <v>153</v>
      </c>
      <c r="CY166" s="112">
        <v>0.25</v>
      </c>
      <c r="CZ166" s="113">
        <v>92</v>
      </c>
      <c r="DA166" s="114">
        <v>-7.0000000000000007E-2</v>
      </c>
      <c r="DB166" s="115">
        <v>27</v>
      </c>
      <c r="DC166" s="116">
        <v>29.29</v>
      </c>
      <c r="DD166" s="117">
        <v>97</v>
      </c>
      <c r="DE166" s="118">
        <v>0.13</v>
      </c>
      <c r="DF166" s="119">
        <v>0.46</v>
      </c>
      <c r="DG166" s="120">
        <v>15.81</v>
      </c>
      <c r="DH166" s="121">
        <v>94</v>
      </c>
      <c r="DI166" s="122">
        <v>42.76</v>
      </c>
      <c r="DJ166" s="123">
        <v>95</v>
      </c>
      <c r="DK166" s="124" t="s">
        <v>153</v>
      </c>
      <c r="DL166" s="125" t="s">
        <v>153</v>
      </c>
      <c r="DM166" s="126">
        <v>15.81</v>
      </c>
      <c r="DN166" s="127">
        <v>94</v>
      </c>
      <c r="DO166" s="128">
        <v>42.76</v>
      </c>
      <c r="DP166" s="129">
        <v>95</v>
      </c>
      <c r="DQ166" s="130" t="s">
        <v>153</v>
      </c>
      <c r="DR166" s="131" t="s">
        <v>153</v>
      </c>
      <c r="DS166" s="132" t="s">
        <v>153</v>
      </c>
      <c r="DT166" s="133">
        <v>253</v>
      </c>
      <c r="DU166" s="134">
        <v>0</v>
      </c>
      <c r="DV166" s="135">
        <v>0</v>
      </c>
      <c r="DW166" s="136">
        <v>13426</v>
      </c>
      <c r="DX166" s="137">
        <v>-3</v>
      </c>
      <c r="DY166" s="138">
        <v>-0.02</v>
      </c>
      <c r="DZ166" s="139" t="s">
        <v>191</v>
      </c>
      <c r="EA166" s="140">
        <v>43755</v>
      </c>
      <c r="EB166" s="141">
        <v>19000</v>
      </c>
      <c r="EC166" s="142">
        <v>35065</v>
      </c>
      <c r="ED166" s="143" t="s">
        <v>226</v>
      </c>
      <c r="EE166" s="278" t="str">
        <f>HYPERLINK("https://my.pitchbook.com?c=83792-98", "View company online")</f>
        <v>View company online</v>
      </c>
    </row>
    <row r="167" spans="1:135" x14ac:dyDescent="0.45">
      <c r="A167" s="144" t="s">
        <v>3789</v>
      </c>
      <c r="B167" s="145" t="s">
        <v>3790</v>
      </c>
      <c r="C167" s="146" t="s">
        <v>153</v>
      </c>
      <c r="D167" s="147" t="s">
        <v>153</v>
      </c>
      <c r="E167" s="148" t="s">
        <v>3791</v>
      </c>
      <c r="F167" s="149" t="s">
        <v>3792</v>
      </c>
      <c r="G167" s="150" t="s">
        <v>3793</v>
      </c>
      <c r="H167" s="151" t="s">
        <v>3794</v>
      </c>
      <c r="I167" s="152" t="s">
        <v>3789</v>
      </c>
      <c r="J167" s="153" t="s">
        <v>3795</v>
      </c>
      <c r="K167" s="154" t="s">
        <v>882</v>
      </c>
      <c r="L167" s="155" t="s">
        <v>1257</v>
      </c>
      <c r="M167" s="156" t="s">
        <v>2561</v>
      </c>
      <c r="N167" s="157" t="s">
        <v>3796</v>
      </c>
      <c r="O167" s="158" t="s">
        <v>153</v>
      </c>
      <c r="P167" s="159" t="s">
        <v>3797</v>
      </c>
      <c r="Q167" s="160" t="s">
        <v>204</v>
      </c>
      <c r="R167" s="161">
        <v>780</v>
      </c>
      <c r="S167" s="162" t="s">
        <v>163</v>
      </c>
      <c r="T167" s="163" t="s">
        <v>205</v>
      </c>
      <c r="U167" s="164" t="s">
        <v>369</v>
      </c>
      <c r="V167" s="165" t="s">
        <v>3798</v>
      </c>
      <c r="W167" s="166">
        <v>31000</v>
      </c>
      <c r="X167" s="167" t="s">
        <v>3799</v>
      </c>
      <c r="Y167" s="168" t="s">
        <v>153</v>
      </c>
      <c r="Z167" s="169" t="s">
        <v>153</v>
      </c>
      <c r="AA167" s="170">
        <v>1976</v>
      </c>
      <c r="AB167" s="171" t="s">
        <v>153</v>
      </c>
      <c r="AC167" s="172" t="s">
        <v>153</v>
      </c>
      <c r="AD167" s="173" t="s">
        <v>153</v>
      </c>
      <c r="AE167" s="174" t="s">
        <v>153</v>
      </c>
      <c r="AF167" s="175" t="s">
        <v>153</v>
      </c>
      <c r="AG167" s="176" t="s">
        <v>153</v>
      </c>
      <c r="AH167" s="177" t="s">
        <v>153</v>
      </c>
      <c r="AI167" s="178" t="s">
        <v>153</v>
      </c>
      <c r="AJ167" s="179" t="s">
        <v>153</v>
      </c>
      <c r="AK167" s="180" t="s">
        <v>153</v>
      </c>
      <c r="AL167" s="181" t="s">
        <v>153</v>
      </c>
      <c r="AM167" s="182" t="s">
        <v>153</v>
      </c>
      <c r="AN167" s="183" t="s">
        <v>509</v>
      </c>
      <c r="AO167" s="184" t="s">
        <v>153</v>
      </c>
      <c r="AP167" s="185" t="s">
        <v>153</v>
      </c>
      <c r="AQ167" s="186" t="s">
        <v>153</v>
      </c>
      <c r="AR167" s="187" t="s">
        <v>153</v>
      </c>
      <c r="AS167" s="188" t="s">
        <v>153</v>
      </c>
      <c r="AT167" s="189" t="s">
        <v>433</v>
      </c>
      <c r="AU167" s="190" t="s">
        <v>3800</v>
      </c>
      <c r="AV167" s="191" t="s">
        <v>3801</v>
      </c>
      <c r="AW167" s="192" t="s">
        <v>436</v>
      </c>
      <c r="AX167" s="193" t="s">
        <v>436</v>
      </c>
      <c r="AY167" s="194" t="s">
        <v>2269</v>
      </c>
      <c r="AZ167" s="195" t="s">
        <v>215</v>
      </c>
      <c r="BA167" s="196" t="s">
        <v>153</v>
      </c>
      <c r="BB167" s="197" t="s">
        <v>153</v>
      </c>
      <c r="BC167" s="198" t="s">
        <v>153</v>
      </c>
      <c r="BD167" s="199" t="s">
        <v>216</v>
      </c>
      <c r="BE167" s="200" t="s">
        <v>217</v>
      </c>
      <c r="BF167" s="201" t="s">
        <v>3802</v>
      </c>
      <c r="BG167" s="202" t="s">
        <v>153</v>
      </c>
      <c r="BH167" s="203" t="s">
        <v>153</v>
      </c>
      <c r="BI167" s="204" t="s">
        <v>1602</v>
      </c>
      <c r="BJ167" s="205" t="s">
        <v>153</v>
      </c>
      <c r="BK167" s="206" t="s">
        <v>3803</v>
      </c>
      <c r="BL167" s="207" t="s">
        <v>153</v>
      </c>
      <c r="BM167" s="208" t="s">
        <v>153</v>
      </c>
      <c r="BN167" s="209" t="s">
        <v>3804</v>
      </c>
      <c r="BO167" s="210" t="s">
        <v>3805</v>
      </c>
      <c r="BP167" s="211" t="s">
        <v>3806</v>
      </c>
      <c r="BQ167" s="212">
        <v>29931</v>
      </c>
      <c r="BR167" s="213" t="s">
        <v>153</v>
      </c>
      <c r="BS167" s="214" t="s">
        <v>153</v>
      </c>
      <c r="BT167" s="215" t="s">
        <v>153</v>
      </c>
      <c r="BU167" s="216" t="s">
        <v>153</v>
      </c>
      <c r="BV167" s="217" t="s">
        <v>251</v>
      </c>
      <c r="BW167" s="218" t="s">
        <v>153</v>
      </c>
      <c r="BX167" s="219" t="s">
        <v>153</v>
      </c>
      <c r="BY167" s="220" t="s">
        <v>252</v>
      </c>
      <c r="BZ167" s="221" t="s">
        <v>153</v>
      </c>
      <c r="CA167" s="222" t="s">
        <v>190</v>
      </c>
      <c r="CB167" s="223">
        <v>43409</v>
      </c>
      <c r="CC167" s="224">
        <v>18844</v>
      </c>
      <c r="CD167" s="225" t="s">
        <v>187</v>
      </c>
      <c r="CE167" s="226">
        <v>18844</v>
      </c>
      <c r="CF167" s="227" t="s">
        <v>187</v>
      </c>
      <c r="CG167" s="228" t="s">
        <v>226</v>
      </c>
      <c r="CH167" s="229" t="s">
        <v>153</v>
      </c>
      <c r="CI167" s="230" t="s">
        <v>153</v>
      </c>
      <c r="CJ167" s="231" t="s">
        <v>225</v>
      </c>
      <c r="CK167" s="232">
        <v>43409</v>
      </c>
      <c r="CL167" s="233" t="s">
        <v>153</v>
      </c>
      <c r="CM167" s="234" t="s">
        <v>153</v>
      </c>
      <c r="CN167" s="235" t="s">
        <v>190</v>
      </c>
      <c r="CO167" s="236" t="s">
        <v>153</v>
      </c>
      <c r="CP167" s="237" t="s">
        <v>153</v>
      </c>
      <c r="CQ167" s="238" t="s">
        <v>153</v>
      </c>
      <c r="CR167" s="239" t="s">
        <v>153</v>
      </c>
      <c r="CS167" s="240" t="s">
        <v>153</v>
      </c>
      <c r="CT167" s="241" t="s">
        <v>153</v>
      </c>
      <c r="CU167" s="242" t="s">
        <v>153</v>
      </c>
      <c r="CV167" s="243" t="s">
        <v>153</v>
      </c>
      <c r="CW167" s="244" t="s">
        <v>153</v>
      </c>
      <c r="CX167" s="245" t="s">
        <v>153</v>
      </c>
      <c r="CY167" s="246" t="s">
        <v>153</v>
      </c>
      <c r="CZ167" s="247" t="s">
        <v>153</v>
      </c>
      <c r="DA167" s="248" t="s">
        <v>153</v>
      </c>
      <c r="DB167" s="249" t="s">
        <v>153</v>
      </c>
      <c r="DC167" s="250" t="s">
        <v>153</v>
      </c>
      <c r="DD167" s="251" t="s">
        <v>153</v>
      </c>
      <c r="DE167" s="252" t="s">
        <v>153</v>
      </c>
      <c r="DF167" s="253" t="s">
        <v>153</v>
      </c>
      <c r="DG167" s="254" t="s">
        <v>153</v>
      </c>
      <c r="DH167" s="255" t="s">
        <v>153</v>
      </c>
      <c r="DI167" s="256" t="s">
        <v>153</v>
      </c>
      <c r="DJ167" s="257" t="s">
        <v>153</v>
      </c>
      <c r="DK167" s="258" t="s">
        <v>153</v>
      </c>
      <c r="DL167" s="259" t="s">
        <v>153</v>
      </c>
      <c r="DM167" s="260" t="s">
        <v>153</v>
      </c>
      <c r="DN167" s="261" t="s">
        <v>153</v>
      </c>
      <c r="DO167" s="262" t="s">
        <v>153</v>
      </c>
      <c r="DP167" s="263" t="s">
        <v>153</v>
      </c>
      <c r="DQ167" s="264" t="s">
        <v>153</v>
      </c>
      <c r="DR167" s="265" t="s">
        <v>153</v>
      </c>
      <c r="DS167" s="266" t="s">
        <v>153</v>
      </c>
      <c r="DT167" s="267" t="s">
        <v>153</v>
      </c>
      <c r="DU167" s="268" t="s">
        <v>153</v>
      </c>
      <c r="DV167" s="269" t="s">
        <v>153</v>
      </c>
      <c r="DW167" s="270" t="s">
        <v>153</v>
      </c>
      <c r="DX167" s="271" t="s">
        <v>153</v>
      </c>
      <c r="DY167" s="272" t="s">
        <v>153</v>
      </c>
      <c r="DZ167" s="273" t="s">
        <v>191</v>
      </c>
      <c r="EA167" s="274">
        <v>44402</v>
      </c>
      <c r="EB167" s="275">
        <v>18844</v>
      </c>
      <c r="EC167" s="276">
        <v>43409</v>
      </c>
      <c r="ED167" s="277" t="s">
        <v>226</v>
      </c>
      <c r="EE167" s="279" t="str">
        <f>HYPERLINK("https://my.pitchbook.com?c=11723-41", "View company online")</f>
        <v>View company online</v>
      </c>
    </row>
    <row r="168" spans="1:135" x14ac:dyDescent="0.45">
      <c r="A168" s="10" t="s">
        <v>3807</v>
      </c>
      <c r="B168" s="11" t="s">
        <v>3808</v>
      </c>
      <c r="C168" s="12" t="s">
        <v>153</v>
      </c>
      <c r="D168" s="13" t="s">
        <v>153</v>
      </c>
      <c r="E168" s="14" t="s">
        <v>153</v>
      </c>
      <c r="F168" s="15" t="s">
        <v>3809</v>
      </c>
      <c r="G168" s="16" t="s">
        <v>3810</v>
      </c>
      <c r="H168" s="17" t="s">
        <v>153</v>
      </c>
      <c r="I168" s="18" t="s">
        <v>3807</v>
      </c>
      <c r="J168" s="19" t="s">
        <v>3811</v>
      </c>
      <c r="K168" s="20" t="s">
        <v>882</v>
      </c>
      <c r="L168" s="21" t="s">
        <v>1257</v>
      </c>
      <c r="M168" s="22" t="s">
        <v>3812</v>
      </c>
      <c r="N168" s="23" t="s">
        <v>3813</v>
      </c>
      <c r="O168" s="24" t="s">
        <v>153</v>
      </c>
      <c r="P168" s="25" t="s">
        <v>3814</v>
      </c>
      <c r="Q168" s="26" t="s">
        <v>162</v>
      </c>
      <c r="R168" s="27" t="s">
        <v>153</v>
      </c>
      <c r="S168" s="28" t="s">
        <v>163</v>
      </c>
      <c r="T168" s="29" t="s">
        <v>1392</v>
      </c>
      <c r="U168" s="30" t="s">
        <v>165</v>
      </c>
      <c r="V168" s="31" t="s">
        <v>3815</v>
      </c>
      <c r="W168" s="32">
        <v>71</v>
      </c>
      <c r="X168" s="33" t="s">
        <v>3816</v>
      </c>
      <c r="Y168" s="34" t="s">
        <v>153</v>
      </c>
      <c r="Z168" s="35" t="s">
        <v>153</v>
      </c>
      <c r="AA168" s="36">
        <v>2010</v>
      </c>
      <c r="AB168" s="37" t="s">
        <v>153</v>
      </c>
      <c r="AC168" s="38" t="s">
        <v>153</v>
      </c>
      <c r="AD168" s="39" t="s">
        <v>153</v>
      </c>
      <c r="AE168" s="40" t="s">
        <v>153</v>
      </c>
      <c r="AF168" s="41" t="s">
        <v>153</v>
      </c>
      <c r="AG168" s="42" t="s">
        <v>153</v>
      </c>
      <c r="AH168" s="43" t="s">
        <v>153</v>
      </c>
      <c r="AI168" s="44" t="s">
        <v>153</v>
      </c>
      <c r="AJ168" s="45" t="s">
        <v>153</v>
      </c>
      <c r="AK168" s="46" t="s">
        <v>153</v>
      </c>
      <c r="AL168" s="47" t="s">
        <v>153</v>
      </c>
      <c r="AM168" s="48" t="s">
        <v>153</v>
      </c>
      <c r="AN168" s="49" t="s">
        <v>153</v>
      </c>
      <c r="AO168" s="50" t="s">
        <v>153</v>
      </c>
      <c r="AP168" s="51" t="s">
        <v>153</v>
      </c>
      <c r="AQ168" s="52" t="s">
        <v>153</v>
      </c>
      <c r="AR168" s="53" t="s">
        <v>153</v>
      </c>
      <c r="AS168" s="54" t="s">
        <v>153</v>
      </c>
      <c r="AT168" s="55" t="s">
        <v>780</v>
      </c>
      <c r="AU168" s="56" t="s">
        <v>3817</v>
      </c>
      <c r="AV168" s="57" t="s">
        <v>3818</v>
      </c>
      <c r="AW168" s="58" t="s">
        <v>782</v>
      </c>
      <c r="AX168" s="59" t="s">
        <v>783</v>
      </c>
      <c r="AY168" s="60" t="s">
        <v>2876</v>
      </c>
      <c r="AZ168" s="61" t="s">
        <v>215</v>
      </c>
      <c r="BA168" s="62" t="s">
        <v>153</v>
      </c>
      <c r="BB168" s="63" t="s">
        <v>153</v>
      </c>
      <c r="BC168" s="64" t="s">
        <v>153</v>
      </c>
      <c r="BD168" s="65" t="s">
        <v>216</v>
      </c>
      <c r="BE168" s="66" t="s">
        <v>217</v>
      </c>
      <c r="BF168" s="67" t="s">
        <v>3819</v>
      </c>
      <c r="BG168" s="68" t="s">
        <v>3820</v>
      </c>
      <c r="BH168" s="69">
        <v>2</v>
      </c>
      <c r="BI168" s="70" t="s">
        <v>153</v>
      </c>
      <c r="BJ168" s="71" t="s">
        <v>3821</v>
      </c>
      <c r="BK168" s="72" t="s">
        <v>153</v>
      </c>
      <c r="BL168" s="73" t="s">
        <v>3822</v>
      </c>
      <c r="BM168" s="74" t="s">
        <v>3823</v>
      </c>
      <c r="BN168" s="75" t="s">
        <v>153</v>
      </c>
      <c r="BO168" s="76" t="s">
        <v>3824</v>
      </c>
      <c r="BP168" s="77" t="s">
        <v>153</v>
      </c>
      <c r="BQ168" s="78">
        <v>40179</v>
      </c>
      <c r="BR168" s="79" t="s">
        <v>153</v>
      </c>
      <c r="BS168" s="80" t="s">
        <v>153</v>
      </c>
      <c r="BT168" s="81" t="s">
        <v>153</v>
      </c>
      <c r="BU168" s="82" t="s">
        <v>153</v>
      </c>
      <c r="BV168" s="83" t="s">
        <v>589</v>
      </c>
      <c r="BW168" s="84" t="s">
        <v>153</v>
      </c>
      <c r="BX168" s="85" t="s">
        <v>153</v>
      </c>
      <c r="BY168" s="86" t="s">
        <v>165</v>
      </c>
      <c r="BZ168" s="87" t="s">
        <v>153</v>
      </c>
      <c r="CA168" s="88" t="s">
        <v>190</v>
      </c>
      <c r="CB168" s="89">
        <v>43618</v>
      </c>
      <c r="CC168" s="90">
        <v>18700</v>
      </c>
      <c r="CD168" s="91" t="s">
        <v>186</v>
      </c>
      <c r="CE168" s="92">
        <v>18700</v>
      </c>
      <c r="CF168" s="93" t="s">
        <v>187</v>
      </c>
      <c r="CG168" s="94" t="s">
        <v>188</v>
      </c>
      <c r="CH168" s="95" t="s">
        <v>153</v>
      </c>
      <c r="CI168" s="96" t="s">
        <v>153</v>
      </c>
      <c r="CJ168" s="97" t="s">
        <v>165</v>
      </c>
      <c r="CK168" s="98">
        <v>43618</v>
      </c>
      <c r="CL168" s="99" t="s">
        <v>153</v>
      </c>
      <c r="CM168" s="100" t="s">
        <v>153</v>
      </c>
      <c r="CN168" s="101" t="s">
        <v>190</v>
      </c>
      <c r="CO168" s="102">
        <v>0</v>
      </c>
      <c r="CP168" s="103">
        <v>11</v>
      </c>
      <c r="CQ168" s="104">
        <v>0</v>
      </c>
      <c r="CR168" s="105">
        <v>0</v>
      </c>
      <c r="CS168" s="106">
        <v>0</v>
      </c>
      <c r="CT168" s="107">
        <v>8</v>
      </c>
      <c r="CU168" s="108" t="s">
        <v>153</v>
      </c>
      <c r="CV168" s="109" t="s">
        <v>153</v>
      </c>
      <c r="CW168" s="110" t="s">
        <v>153</v>
      </c>
      <c r="CX168" s="111" t="s">
        <v>153</v>
      </c>
      <c r="CY168" s="112">
        <v>0</v>
      </c>
      <c r="CZ168" s="113">
        <v>5</v>
      </c>
      <c r="DA168" s="114" t="s">
        <v>153</v>
      </c>
      <c r="DB168" s="115" t="s">
        <v>153</v>
      </c>
      <c r="DC168" s="116">
        <v>1.25</v>
      </c>
      <c r="DD168" s="117">
        <v>57</v>
      </c>
      <c r="DE168" s="118">
        <v>0</v>
      </c>
      <c r="DF168" s="119">
        <v>0</v>
      </c>
      <c r="DG168" s="120">
        <v>1.25</v>
      </c>
      <c r="DH168" s="121">
        <v>57</v>
      </c>
      <c r="DI168" s="122" t="s">
        <v>153</v>
      </c>
      <c r="DJ168" s="123" t="s">
        <v>153</v>
      </c>
      <c r="DK168" s="124" t="s">
        <v>153</v>
      </c>
      <c r="DL168" s="125" t="s">
        <v>153</v>
      </c>
      <c r="DM168" s="126">
        <v>1.25</v>
      </c>
      <c r="DN168" s="127">
        <v>56</v>
      </c>
      <c r="DO168" s="128" t="s">
        <v>153</v>
      </c>
      <c r="DP168" s="129" t="s">
        <v>153</v>
      </c>
      <c r="DQ168" s="130" t="s">
        <v>153</v>
      </c>
      <c r="DR168" s="131" t="s">
        <v>153</v>
      </c>
      <c r="DS168" s="132" t="s">
        <v>153</v>
      </c>
      <c r="DT168" s="133">
        <v>20</v>
      </c>
      <c r="DU168" s="134">
        <v>0</v>
      </c>
      <c r="DV168" s="135">
        <v>0</v>
      </c>
      <c r="DW168" s="136" t="s">
        <v>153</v>
      </c>
      <c r="DX168" s="137" t="s">
        <v>153</v>
      </c>
      <c r="DY168" s="138" t="s">
        <v>153</v>
      </c>
      <c r="DZ168" s="139" t="s">
        <v>191</v>
      </c>
      <c r="EA168" s="140">
        <v>43963</v>
      </c>
      <c r="EB168" s="141">
        <v>18700</v>
      </c>
      <c r="EC168" s="142">
        <v>43618</v>
      </c>
      <c r="ED168" s="143" t="s">
        <v>188</v>
      </c>
      <c r="EE168" s="278" t="str">
        <f>HYPERLINK("https://my.pitchbook.com?c=61519-06", "View company online")</f>
        <v>View company online</v>
      </c>
    </row>
    <row r="169" spans="1:135" x14ac:dyDescent="0.45">
      <c r="A169" s="144" t="s">
        <v>3825</v>
      </c>
      <c r="B169" s="145" t="s">
        <v>3826</v>
      </c>
      <c r="C169" s="146" t="s">
        <v>153</v>
      </c>
      <c r="D169" s="147" t="s">
        <v>153</v>
      </c>
      <c r="E169" s="148" t="s">
        <v>153</v>
      </c>
      <c r="F169" s="149" t="s">
        <v>3827</v>
      </c>
      <c r="G169" s="150" t="s">
        <v>3828</v>
      </c>
      <c r="H169" s="151" t="s">
        <v>153</v>
      </c>
      <c r="I169" s="152" t="s">
        <v>3825</v>
      </c>
      <c r="J169" s="153" t="s">
        <v>3829</v>
      </c>
      <c r="K169" s="154" t="s">
        <v>882</v>
      </c>
      <c r="L169" s="155" t="s">
        <v>1257</v>
      </c>
      <c r="M169" s="156" t="s">
        <v>2561</v>
      </c>
      <c r="N169" s="157" t="s">
        <v>3014</v>
      </c>
      <c r="O169" s="158" t="s">
        <v>153</v>
      </c>
      <c r="P169" s="159" t="s">
        <v>3830</v>
      </c>
      <c r="Q169" s="160" t="s">
        <v>204</v>
      </c>
      <c r="R169" s="161" t="s">
        <v>153</v>
      </c>
      <c r="S169" s="162" t="s">
        <v>163</v>
      </c>
      <c r="T169" s="163" t="s">
        <v>205</v>
      </c>
      <c r="U169" s="164" t="s">
        <v>206</v>
      </c>
      <c r="V169" s="165" t="s">
        <v>153</v>
      </c>
      <c r="W169" s="166" t="s">
        <v>153</v>
      </c>
      <c r="X169" s="167" t="s">
        <v>153</v>
      </c>
      <c r="Y169" s="168" t="s">
        <v>153</v>
      </c>
      <c r="Z169" s="169" t="s">
        <v>153</v>
      </c>
      <c r="AA169" s="170">
        <v>1965</v>
      </c>
      <c r="AB169" s="171" t="s">
        <v>153</v>
      </c>
      <c r="AC169" s="172" t="s">
        <v>153</v>
      </c>
      <c r="AD169" s="173" t="s">
        <v>153</v>
      </c>
      <c r="AE169" s="174" t="s">
        <v>153</v>
      </c>
      <c r="AF169" s="175" t="s">
        <v>153</v>
      </c>
      <c r="AG169" s="176" t="s">
        <v>153</v>
      </c>
      <c r="AH169" s="177" t="s">
        <v>153</v>
      </c>
      <c r="AI169" s="178" t="s">
        <v>153</v>
      </c>
      <c r="AJ169" s="179" t="s">
        <v>153</v>
      </c>
      <c r="AK169" s="180" t="s">
        <v>153</v>
      </c>
      <c r="AL169" s="181" t="s">
        <v>153</v>
      </c>
      <c r="AM169" s="182" t="s">
        <v>153</v>
      </c>
      <c r="AN169" s="183" t="s">
        <v>2438</v>
      </c>
      <c r="AO169" s="184" t="s">
        <v>3831</v>
      </c>
      <c r="AP169" s="185" t="s">
        <v>3832</v>
      </c>
      <c r="AQ169" s="186" t="s">
        <v>171</v>
      </c>
      <c r="AR169" s="187" t="s">
        <v>153</v>
      </c>
      <c r="AS169" s="188" t="s">
        <v>153</v>
      </c>
      <c r="AT169" s="189" t="s">
        <v>1071</v>
      </c>
      <c r="AU169" s="190" t="s">
        <v>3833</v>
      </c>
      <c r="AV169" s="191" t="s">
        <v>153</v>
      </c>
      <c r="AW169" s="192" t="s">
        <v>1074</v>
      </c>
      <c r="AX169" s="193" t="s">
        <v>177</v>
      </c>
      <c r="AY169" s="194" t="s">
        <v>153</v>
      </c>
      <c r="AZ169" s="195" t="s">
        <v>179</v>
      </c>
      <c r="BA169" s="196" t="s">
        <v>153</v>
      </c>
      <c r="BB169" s="197" t="s">
        <v>153</v>
      </c>
      <c r="BC169" s="198" t="s">
        <v>153</v>
      </c>
      <c r="BD169" s="199" t="s">
        <v>180</v>
      </c>
      <c r="BE169" s="200" t="s">
        <v>181</v>
      </c>
      <c r="BF169" s="201" t="s">
        <v>3834</v>
      </c>
      <c r="BG169" s="202" t="s">
        <v>153</v>
      </c>
      <c r="BH169" s="203" t="s">
        <v>153</v>
      </c>
      <c r="BI169" s="204" t="s">
        <v>3835</v>
      </c>
      <c r="BJ169" s="205" t="s">
        <v>153</v>
      </c>
      <c r="BK169" s="206" t="s">
        <v>153</v>
      </c>
      <c r="BL169" s="207" t="s">
        <v>153</v>
      </c>
      <c r="BM169" s="208" t="s">
        <v>153</v>
      </c>
      <c r="BN169" s="209" t="s">
        <v>153</v>
      </c>
      <c r="BO169" s="210" t="s">
        <v>153</v>
      </c>
      <c r="BP169" s="211" t="s">
        <v>153</v>
      </c>
      <c r="BQ169" s="212">
        <v>38895</v>
      </c>
      <c r="BR169" s="213">
        <v>18478.96</v>
      </c>
      <c r="BS169" s="214" t="s">
        <v>186</v>
      </c>
      <c r="BT169" s="215">
        <v>18478.96</v>
      </c>
      <c r="BU169" s="216" t="s">
        <v>186</v>
      </c>
      <c r="BV169" s="217" t="s">
        <v>226</v>
      </c>
      <c r="BW169" s="218" t="s">
        <v>153</v>
      </c>
      <c r="BX169" s="219" t="s">
        <v>153</v>
      </c>
      <c r="BY169" s="220" t="s">
        <v>225</v>
      </c>
      <c r="BZ169" s="221" t="s">
        <v>153</v>
      </c>
      <c r="CA169" s="222" t="s">
        <v>190</v>
      </c>
      <c r="CB169" s="223">
        <v>38895</v>
      </c>
      <c r="CC169" s="224">
        <v>18478.96</v>
      </c>
      <c r="CD169" s="225" t="s">
        <v>186</v>
      </c>
      <c r="CE169" s="226">
        <v>18478.96</v>
      </c>
      <c r="CF169" s="227" t="s">
        <v>186</v>
      </c>
      <c r="CG169" s="228" t="s">
        <v>226</v>
      </c>
      <c r="CH169" s="229" t="s">
        <v>153</v>
      </c>
      <c r="CI169" s="230" t="s">
        <v>153</v>
      </c>
      <c r="CJ169" s="231" t="s">
        <v>225</v>
      </c>
      <c r="CK169" s="232">
        <v>38895</v>
      </c>
      <c r="CL169" s="233" t="s">
        <v>153</v>
      </c>
      <c r="CM169" s="234" t="s">
        <v>153</v>
      </c>
      <c r="CN169" s="235" t="s">
        <v>190</v>
      </c>
      <c r="CO169" s="236" t="s">
        <v>153</v>
      </c>
      <c r="CP169" s="237" t="s">
        <v>153</v>
      </c>
      <c r="CQ169" s="238" t="s">
        <v>153</v>
      </c>
      <c r="CR169" s="239" t="s">
        <v>153</v>
      </c>
      <c r="CS169" s="240" t="s">
        <v>153</v>
      </c>
      <c r="CT169" s="241" t="s">
        <v>153</v>
      </c>
      <c r="CU169" s="242" t="s">
        <v>153</v>
      </c>
      <c r="CV169" s="243" t="s">
        <v>153</v>
      </c>
      <c r="CW169" s="244" t="s">
        <v>153</v>
      </c>
      <c r="CX169" s="245" t="s">
        <v>153</v>
      </c>
      <c r="CY169" s="246" t="s">
        <v>153</v>
      </c>
      <c r="CZ169" s="247" t="s">
        <v>153</v>
      </c>
      <c r="DA169" s="248" t="s">
        <v>153</v>
      </c>
      <c r="DB169" s="249" t="s">
        <v>153</v>
      </c>
      <c r="DC169" s="250" t="s">
        <v>153</v>
      </c>
      <c r="DD169" s="251" t="s">
        <v>153</v>
      </c>
      <c r="DE169" s="252" t="s">
        <v>153</v>
      </c>
      <c r="DF169" s="253" t="s">
        <v>153</v>
      </c>
      <c r="DG169" s="254" t="s">
        <v>153</v>
      </c>
      <c r="DH169" s="255" t="s">
        <v>153</v>
      </c>
      <c r="DI169" s="256" t="s">
        <v>153</v>
      </c>
      <c r="DJ169" s="257" t="s">
        <v>153</v>
      </c>
      <c r="DK169" s="258" t="s">
        <v>153</v>
      </c>
      <c r="DL169" s="259" t="s">
        <v>153</v>
      </c>
      <c r="DM169" s="260" t="s">
        <v>153</v>
      </c>
      <c r="DN169" s="261" t="s">
        <v>153</v>
      </c>
      <c r="DO169" s="262" t="s">
        <v>153</v>
      </c>
      <c r="DP169" s="263" t="s">
        <v>153</v>
      </c>
      <c r="DQ169" s="264" t="s">
        <v>153</v>
      </c>
      <c r="DR169" s="265" t="s">
        <v>153</v>
      </c>
      <c r="DS169" s="266" t="s">
        <v>153</v>
      </c>
      <c r="DT169" s="267" t="s">
        <v>153</v>
      </c>
      <c r="DU169" s="268" t="s">
        <v>153</v>
      </c>
      <c r="DV169" s="269" t="s">
        <v>153</v>
      </c>
      <c r="DW169" s="270" t="s">
        <v>153</v>
      </c>
      <c r="DX169" s="271" t="s">
        <v>153</v>
      </c>
      <c r="DY169" s="272" t="s">
        <v>153</v>
      </c>
      <c r="DZ169" s="273" t="s">
        <v>191</v>
      </c>
      <c r="EA169" s="274">
        <v>43768</v>
      </c>
      <c r="EB169" s="275">
        <v>18478.96</v>
      </c>
      <c r="EC169" s="276">
        <v>38895</v>
      </c>
      <c r="ED169" s="277" t="s">
        <v>226</v>
      </c>
      <c r="EE169" s="279" t="str">
        <f>HYPERLINK("https://my.pitchbook.com?c=84544-57", "View company online")</f>
        <v>View company online</v>
      </c>
    </row>
    <row r="170" spans="1:135" x14ac:dyDescent="0.45">
      <c r="A170" s="10" t="s">
        <v>3836</v>
      </c>
      <c r="B170" s="11" t="s">
        <v>3837</v>
      </c>
      <c r="C170" s="12" t="s">
        <v>153</v>
      </c>
      <c r="D170" s="13" t="s">
        <v>153</v>
      </c>
      <c r="E170" s="14" t="s">
        <v>153</v>
      </c>
      <c r="F170" s="15" t="s">
        <v>3838</v>
      </c>
      <c r="G170" s="16" t="s">
        <v>3839</v>
      </c>
      <c r="H170" s="17" t="s">
        <v>3840</v>
      </c>
      <c r="I170" s="18" t="s">
        <v>3836</v>
      </c>
      <c r="J170" s="19" t="s">
        <v>3841</v>
      </c>
      <c r="K170" s="20" t="s">
        <v>157</v>
      </c>
      <c r="L170" s="21" t="s">
        <v>158</v>
      </c>
      <c r="M170" s="22" t="s">
        <v>3842</v>
      </c>
      <c r="N170" s="23" t="s">
        <v>3843</v>
      </c>
      <c r="O170" s="24" t="s">
        <v>153</v>
      </c>
      <c r="P170" s="25" t="s">
        <v>3844</v>
      </c>
      <c r="Q170" s="26" t="s">
        <v>162</v>
      </c>
      <c r="R170" s="27" t="s">
        <v>153</v>
      </c>
      <c r="S170" s="28" t="s">
        <v>163</v>
      </c>
      <c r="T170" s="29" t="s">
        <v>1392</v>
      </c>
      <c r="U170" s="30" t="s">
        <v>165</v>
      </c>
      <c r="V170" s="31" t="s">
        <v>3845</v>
      </c>
      <c r="W170" s="32">
        <v>250000</v>
      </c>
      <c r="X170" s="33" t="s">
        <v>3846</v>
      </c>
      <c r="Y170" s="34" t="s">
        <v>153</v>
      </c>
      <c r="Z170" s="35" t="s">
        <v>153</v>
      </c>
      <c r="AA170" s="36">
        <v>1991</v>
      </c>
      <c r="AB170" s="37" t="s">
        <v>3847</v>
      </c>
      <c r="AC170" s="38" t="s">
        <v>153</v>
      </c>
      <c r="AD170" s="39" t="s">
        <v>153</v>
      </c>
      <c r="AE170" s="40" t="s">
        <v>153</v>
      </c>
      <c r="AF170" s="41" t="s">
        <v>153</v>
      </c>
      <c r="AG170" s="42" t="s">
        <v>153</v>
      </c>
      <c r="AH170" s="43" t="s">
        <v>153</v>
      </c>
      <c r="AI170" s="44" t="s">
        <v>153</v>
      </c>
      <c r="AJ170" s="45" t="s">
        <v>153</v>
      </c>
      <c r="AK170" s="46" t="s">
        <v>153</v>
      </c>
      <c r="AL170" s="47" t="s">
        <v>153</v>
      </c>
      <c r="AM170" s="48" t="s">
        <v>153</v>
      </c>
      <c r="AN170" s="49" t="s">
        <v>456</v>
      </c>
      <c r="AO170" s="50" t="s">
        <v>3848</v>
      </c>
      <c r="AP170" s="51" t="s">
        <v>3849</v>
      </c>
      <c r="AQ170" s="52" t="s">
        <v>3850</v>
      </c>
      <c r="AR170" s="53" t="s">
        <v>3851</v>
      </c>
      <c r="AS170" s="54" t="s">
        <v>3852</v>
      </c>
      <c r="AT170" s="55" t="s">
        <v>3175</v>
      </c>
      <c r="AU170" s="56" t="s">
        <v>3853</v>
      </c>
      <c r="AV170" s="57" t="s">
        <v>153</v>
      </c>
      <c r="AW170" s="58" t="s">
        <v>3178</v>
      </c>
      <c r="AX170" s="59" t="s">
        <v>153</v>
      </c>
      <c r="AY170" s="60" t="s">
        <v>3854</v>
      </c>
      <c r="AZ170" s="61" t="s">
        <v>701</v>
      </c>
      <c r="BA170" s="62" t="s">
        <v>3852</v>
      </c>
      <c r="BB170" s="63" t="s">
        <v>3855</v>
      </c>
      <c r="BC170" s="64" t="s">
        <v>153</v>
      </c>
      <c r="BD170" s="65" t="s">
        <v>180</v>
      </c>
      <c r="BE170" s="66" t="s">
        <v>181</v>
      </c>
      <c r="BF170" s="67" t="s">
        <v>3856</v>
      </c>
      <c r="BG170" s="68" t="s">
        <v>3847</v>
      </c>
      <c r="BH170" s="69">
        <v>1</v>
      </c>
      <c r="BI170" s="70" t="s">
        <v>153</v>
      </c>
      <c r="BJ170" s="71" t="s">
        <v>153</v>
      </c>
      <c r="BK170" s="72" t="s">
        <v>153</v>
      </c>
      <c r="BL170" s="73" t="s">
        <v>3857</v>
      </c>
      <c r="BM170" s="74" t="s">
        <v>153</v>
      </c>
      <c r="BN170" s="75" t="s">
        <v>153</v>
      </c>
      <c r="BO170" s="76" t="s">
        <v>3858</v>
      </c>
      <c r="BP170" s="77" t="s">
        <v>153</v>
      </c>
      <c r="BQ170" s="78">
        <v>43894</v>
      </c>
      <c r="BR170" s="79">
        <v>18461.78</v>
      </c>
      <c r="BS170" s="80" t="s">
        <v>186</v>
      </c>
      <c r="BT170" s="81">
        <v>27972.33</v>
      </c>
      <c r="BU170" s="82" t="s">
        <v>187</v>
      </c>
      <c r="BV170" s="83" t="s">
        <v>188</v>
      </c>
      <c r="BW170" s="84" t="s">
        <v>153</v>
      </c>
      <c r="BX170" s="85" t="s">
        <v>153</v>
      </c>
      <c r="BY170" s="86" t="s">
        <v>165</v>
      </c>
      <c r="BZ170" s="87" t="s">
        <v>153</v>
      </c>
      <c r="CA170" s="88" t="s">
        <v>190</v>
      </c>
      <c r="CB170" s="89">
        <v>43894</v>
      </c>
      <c r="CC170" s="90">
        <v>18461.78</v>
      </c>
      <c r="CD170" s="91" t="s">
        <v>186</v>
      </c>
      <c r="CE170" s="92">
        <v>27972.33</v>
      </c>
      <c r="CF170" s="93" t="s">
        <v>187</v>
      </c>
      <c r="CG170" s="94" t="s">
        <v>188</v>
      </c>
      <c r="CH170" s="95" t="s">
        <v>153</v>
      </c>
      <c r="CI170" s="96" t="s">
        <v>153</v>
      </c>
      <c r="CJ170" s="97" t="s">
        <v>165</v>
      </c>
      <c r="CK170" s="98">
        <v>43894</v>
      </c>
      <c r="CL170" s="99" t="s">
        <v>153</v>
      </c>
      <c r="CM170" s="100" t="s">
        <v>153</v>
      </c>
      <c r="CN170" s="101" t="s">
        <v>190</v>
      </c>
      <c r="CO170" s="102">
        <v>0.53</v>
      </c>
      <c r="CP170" s="103">
        <v>93</v>
      </c>
      <c r="CQ170" s="104">
        <v>0.06</v>
      </c>
      <c r="CR170" s="105">
        <v>13.54</v>
      </c>
      <c r="CS170" s="106">
        <v>0.04</v>
      </c>
      <c r="CT170" s="107">
        <v>89</v>
      </c>
      <c r="CU170" s="108">
        <v>0</v>
      </c>
      <c r="CV170" s="109">
        <v>41</v>
      </c>
      <c r="CW170" s="110">
        <v>-0.72</v>
      </c>
      <c r="CX170" s="111">
        <v>18</v>
      </c>
      <c r="CY170" s="112">
        <v>0.81</v>
      </c>
      <c r="CZ170" s="113">
        <v>96</v>
      </c>
      <c r="DA170" s="114">
        <v>0</v>
      </c>
      <c r="DB170" s="115">
        <v>41</v>
      </c>
      <c r="DC170" s="116">
        <v>2930.02</v>
      </c>
      <c r="DD170" s="117">
        <v>100</v>
      </c>
      <c r="DE170" s="118">
        <v>3.21</v>
      </c>
      <c r="DF170" s="119">
        <v>0.11</v>
      </c>
      <c r="DG170" s="120">
        <v>4805.3599999999997</v>
      </c>
      <c r="DH170" s="121">
        <v>100</v>
      </c>
      <c r="DI170" s="122">
        <v>156.56</v>
      </c>
      <c r="DJ170" s="123">
        <v>99</v>
      </c>
      <c r="DK170" s="124">
        <v>8180.4</v>
      </c>
      <c r="DL170" s="125">
        <v>100</v>
      </c>
      <c r="DM170" s="126">
        <v>1430.31</v>
      </c>
      <c r="DN170" s="127">
        <v>100</v>
      </c>
      <c r="DO170" s="128">
        <v>156.56</v>
      </c>
      <c r="DP170" s="129">
        <v>99</v>
      </c>
      <c r="DQ170" s="130">
        <v>4871322</v>
      </c>
      <c r="DR170" s="131">
        <v>-74605</v>
      </c>
      <c r="DS170" s="132">
        <v>-1.51</v>
      </c>
      <c r="DT170" s="133">
        <v>22727</v>
      </c>
      <c r="DU170" s="134">
        <v>410</v>
      </c>
      <c r="DV170" s="135">
        <v>1.84</v>
      </c>
      <c r="DW170" s="136">
        <v>49141</v>
      </c>
      <c r="DX170" s="137">
        <v>44</v>
      </c>
      <c r="DY170" s="138">
        <v>0.09</v>
      </c>
      <c r="DZ170" s="139" t="s">
        <v>191</v>
      </c>
      <c r="EA170" s="140">
        <v>44383</v>
      </c>
      <c r="EB170" s="141">
        <v>27972.33</v>
      </c>
      <c r="EC170" s="142">
        <v>43894</v>
      </c>
      <c r="ED170" s="143" t="s">
        <v>188</v>
      </c>
      <c r="EE170" s="278" t="str">
        <f>HYPERLINK("https://my.pitchbook.com?c=64458-01", "View company online")</f>
        <v>View company online</v>
      </c>
    </row>
    <row r="171" spans="1:135" x14ac:dyDescent="0.45">
      <c r="A171" s="144" t="s">
        <v>3859</v>
      </c>
      <c r="B171" s="145" t="s">
        <v>3860</v>
      </c>
      <c r="C171" s="146" t="s">
        <v>153</v>
      </c>
      <c r="D171" s="147" t="s">
        <v>153</v>
      </c>
      <c r="E171" s="148" t="s">
        <v>153</v>
      </c>
      <c r="F171" s="149" t="s">
        <v>3861</v>
      </c>
      <c r="G171" s="150" t="s">
        <v>3862</v>
      </c>
      <c r="H171" s="151" t="s">
        <v>2232</v>
      </c>
      <c r="I171" s="152" t="s">
        <v>3859</v>
      </c>
      <c r="J171" s="153" t="s">
        <v>3863</v>
      </c>
      <c r="K171" s="154" t="s">
        <v>792</v>
      </c>
      <c r="L171" s="155" t="s">
        <v>3864</v>
      </c>
      <c r="M171" s="156" t="s">
        <v>3865</v>
      </c>
      <c r="N171" s="157" t="s">
        <v>3866</v>
      </c>
      <c r="O171" s="158" t="s">
        <v>153</v>
      </c>
      <c r="P171" s="159" t="s">
        <v>3867</v>
      </c>
      <c r="Q171" s="160" t="s">
        <v>204</v>
      </c>
      <c r="R171" s="161">
        <v>469</v>
      </c>
      <c r="S171" s="162" t="s">
        <v>290</v>
      </c>
      <c r="T171" s="163" t="s">
        <v>164</v>
      </c>
      <c r="U171" s="164" t="s">
        <v>237</v>
      </c>
      <c r="V171" s="165" t="s">
        <v>153</v>
      </c>
      <c r="W171" s="166">
        <v>29060</v>
      </c>
      <c r="X171" s="167" t="s">
        <v>3868</v>
      </c>
      <c r="Y171" s="168" t="s">
        <v>153</v>
      </c>
      <c r="Z171" s="169" t="s">
        <v>153</v>
      </c>
      <c r="AA171" s="170">
        <v>1925</v>
      </c>
      <c r="AB171" s="171" t="s">
        <v>2232</v>
      </c>
      <c r="AC171" s="172" t="s">
        <v>153</v>
      </c>
      <c r="AD171" s="173" t="s">
        <v>153</v>
      </c>
      <c r="AE171" s="174">
        <v>10710</v>
      </c>
      <c r="AF171" s="175">
        <v>4673</v>
      </c>
      <c r="AG171" s="176">
        <v>1052</v>
      </c>
      <c r="AH171" s="177" t="s">
        <v>153</v>
      </c>
      <c r="AI171" s="178">
        <v>3336</v>
      </c>
      <c r="AJ171" s="179">
        <v>1917</v>
      </c>
      <c r="AK171" s="180" t="s">
        <v>153</v>
      </c>
      <c r="AL171" s="181">
        <v>22751</v>
      </c>
      <c r="AM171" s="182">
        <v>-3.09</v>
      </c>
      <c r="AN171" s="183" t="s">
        <v>376</v>
      </c>
      <c r="AO171" s="184" t="s">
        <v>3869</v>
      </c>
      <c r="AP171" s="185" t="s">
        <v>3870</v>
      </c>
      <c r="AQ171" s="186" t="s">
        <v>3871</v>
      </c>
      <c r="AR171" s="187" t="s">
        <v>153</v>
      </c>
      <c r="AS171" s="188" t="s">
        <v>3872</v>
      </c>
      <c r="AT171" s="189" t="s">
        <v>1859</v>
      </c>
      <c r="AU171" s="190" t="s">
        <v>3873</v>
      </c>
      <c r="AV171" s="191" t="s">
        <v>153</v>
      </c>
      <c r="AW171" s="192" t="s">
        <v>1861</v>
      </c>
      <c r="AX171" s="193" t="s">
        <v>1862</v>
      </c>
      <c r="AY171" s="194" t="s">
        <v>3874</v>
      </c>
      <c r="AZ171" s="195" t="s">
        <v>215</v>
      </c>
      <c r="BA171" s="196" t="s">
        <v>3872</v>
      </c>
      <c r="BB171" s="197" t="s">
        <v>153</v>
      </c>
      <c r="BC171" s="198" t="s">
        <v>153</v>
      </c>
      <c r="BD171" s="199" t="s">
        <v>216</v>
      </c>
      <c r="BE171" s="200" t="s">
        <v>217</v>
      </c>
      <c r="BF171" s="201" t="s">
        <v>3875</v>
      </c>
      <c r="BG171" s="202" t="s">
        <v>153</v>
      </c>
      <c r="BH171" s="203" t="s">
        <v>153</v>
      </c>
      <c r="BI171" s="204" t="s">
        <v>2232</v>
      </c>
      <c r="BJ171" s="205" t="s">
        <v>3876</v>
      </c>
      <c r="BK171" s="206" t="s">
        <v>153</v>
      </c>
      <c r="BL171" s="207" t="s">
        <v>153</v>
      </c>
      <c r="BM171" s="208" t="s">
        <v>153</v>
      </c>
      <c r="BN171" s="209" t="s">
        <v>153</v>
      </c>
      <c r="BO171" s="210" t="s">
        <v>3877</v>
      </c>
      <c r="BP171" s="211" t="s">
        <v>3878</v>
      </c>
      <c r="BQ171" s="212">
        <v>36868</v>
      </c>
      <c r="BR171" s="213" t="s">
        <v>153</v>
      </c>
      <c r="BS171" s="214" t="s">
        <v>153</v>
      </c>
      <c r="BT171" s="215">
        <v>17000</v>
      </c>
      <c r="BU171" s="216" t="s">
        <v>187</v>
      </c>
      <c r="BV171" s="217" t="s">
        <v>748</v>
      </c>
      <c r="BW171" s="218" t="s">
        <v>153</v>
      </c>
      <c r="BX171" s="219" t="s">
        <v>153</v>
      </c>
      <c r="BY171" s="220" t="s">
        <v>225</v>
      </c>
      <c r="BZ171" s="221" t="s">
        <v>153</v>
      </c>
      <c r="CA171" s="222" t="s">
        <v>190</v>
      </c>
      <c r="CB171" s="223">
        <v>41092</v>
      </c>
      <c r="CC171" s="224">
        <v>18071</v>
      </c>
      <c r="CD171" s="225" t="s">
        <v>186</v>
      </c>
      <c r="CE171" s="226">
        <v>18071</v>
      </c>
      <c r="CF171" s="227" t="s">
        <v>187</v>
      </c>
      <c r="CG171" s="228" t="s">
        <v>226</v>
      </c>
      <c r="CH171" s="229" t="s">
        <v>153</v>
      </c>
      <c r="CI171" s="230" t="s">
        <v>153</v>
      </c>
      <c r="CJ171" s="231" t="s">
        <v>225</v>
      </c>
      <c r="CK171" s="232">
        <v>41092</v>
      </c>
      <c r="CL171" s="233" t="s">
        <v>153</v>
      </c>
      <c r="CM171" s="234" t="s">
        <v>153</v>
      </c>
      <c r="CN171" s="235" t="s">
        <v>190</v>
      </c>
      <c r="CO171" s="236" t="s">
        <v>153</v>
      </c>
      <c r="CP171" s="237" t="s">
        <v>153</v>
      </c>
      <c r="CQ171" s="238" t="s">
        <v>153</v>
      </c>
      <c r="CR171" s="239" t="s">
        <v>153</v>
      </c>
      <c r="CS171" s="240" t="s">
        <v>153</v>
      </c>
      <c r="CT171" s="241" t="s">
        <v>153</v>
      </c>
      <c r="CU171" s="242" t="s">
        <v>153</v>
      </c>
      <c r="CV171" s="243" t="s">
        <v>153</v>
      </c>
      <c r="CW171" s="244" t="s">
        <v>153</v>
      </c>
      <c r="CX171" s="245" t="s">
        <v>153</v>
      </c>
      <c r="CY171" s="246" t="s">
        <v>153</v>
      </c>
      <c r="CZ171" s="247" t="s">
        <v>153</v>
      </c>
      <c r="DA171" s="248" t="s">
        <v>153</v>
      </c>
      <c r="DB171" s="249" t="s">
        <v>153</v>
      </c>
      <c r="DC171" s="250" t="s">
        <v>153</v>
      </c>
      <c r="DD171" s="251" t="s">
        <v>153</v>
      </c>
      <c r="DE171" s="252" t="s">
        <v>153</v>
      </c>
      <c r="DF171" s="253" t="s">
        <v>153</v>
      </c>
      <c r="DG171" s="254" t="s">
        <v>153</v>
      </c>
      <c r="DH171" s="255" t="s">
        <v>153</v>
      </c>
      <c r="DI171" s="256" t="s">
        <v>153</v>
      </c>
      <c r="DJ171" s="257" t="s">
        <v>153</v>
      </c>
      <c r="DK171" s="258" t="s">
        <v>153</v>
      </c>
      <c r="DL171" s="259" t="s">
        <v>153</v>
      </c>
      <c r="DM171" s="260" t="s">
        <v>153</v>
      </c>
      <c r="DN171" s="261" t="s">
        <v>153</v>
      </c>
      <c r="DO171" s="262" t="s">
        <v>153</v>
      </c>
      <c r="DP171" s="263" t="s">
        <v>153</v>
      </c>
      <c r="DQ171" s="264" t="s">
        <v>153</v>
      </c>
      <c r="DR171" s="265" t="s">
        <v>153</v>
      </c>
      <c r="DS171" s="266" t="s">
        <v>153</v>
      </c>
      <c r="DT171" s="267" t="s">
        <v>153</v>
      </c>
      <c r="DU171" s="268" t="s">
        <v>153</v>
      </c>
      <c r="DV171" s="269" t="s">
        <v>153</v>
      </c>
      <c r="DW171" s="270" t="s">
        <v>153</v>
      </c>
      <c r="DX171" s="271" t="s">
        <v>153</v>
      </c>
      <c r="DY171" s="272" t="s">
        <v>153</v>
      </c>
      <c r="DZ171" s="273" t="s">
        <v>191</v>
      </c>
      <c r="EA171" s="274">
        <v>44341</v>
      </c>
      <c r="EB171" s="275">
        <v>18071</v>
      </c>
      <c r="EC171" s="276">
        <v>41092</v>
      </c>
      <c r="ED171" s="277" t="s">
        <v>226</v>
      </c>
      <c r="EE171" s="279" t="str">
        <f>HYPERLINK("https://my.pitchbook.com?c=11555-74", "View company online")</f>
        <v>View company online</v>
      </c>
    </row>
    <row r="172" spans="1:135" x14ac:dyDescent="0.45">
      <c r="A172" s="10" t="s">
        <v>3879</v>
      </c>
      <c r="B172" s="11" t="s">
        <v>3880</v>
      </c>
      <c r="C172" s="12" t="s">
        <v>153</v>
      </c>
      <c r="D172" s="13" t="s">
        <v>153</v>
      </c>
      <c r="E172" s="14" t="s">
        <v>3881</v>
      </c>
      <c r="F172" s="15" t="s">
        <v>153</v>
      </c>
      <c r="G172" s="16" t="s">
        <v>3882</v>
      </c>
      <c r="H172" s="17" t="s">
        <v>3883</v>
      </c>
      <c r="I172" s="18" t="s">
        <v>3879</v>
      </c>
      <c r="J172" s="19" t="s">
        <v>3884</v>
      </c>
      <c r="K172" s="20" t="s">
        <v>198</v>
      </c>
      <c r="L172" s="21" t="s">
        <v>199</v>
      </c>
      <c r="M172" s="22" t="s">
        <v>1389</v>
      </c>
      <c r="N172" s="23" t="s">
        <v>3885</v>
      </c>
      <c r="O172" s="24" t="s">
        <v>202</v>
      </c>
      <c r="P172" s="25" t="s">
        <v>3886</v>
      </c>
      <c r="Q172" s="26" t="s">
        <v>204</v>
      </c>
      <c r="R172" s="27" t="s">
        <v>153</v>
      </c>
      <c r="S172" s="28" t="s">
        <v>163</v>
      </c>
      <c r="T172" s="29" t="s">
        <v>164</v>
      </c>
      <c r="U172" s="30" t="s">
        <v>2000</v>
      </c>
      <c r="V172" s="31" t="s">
        <v>3887</v>
      </c>
      <c r="W172" s="32">
        <v>12461</v>
      </c>
      <c r="X172" s="33" t="s">
        <v>3888</v>
      </c>
      <c r="Y172" s="34" t="s">
        <v>153</v>
      </c>
      <c r="Z172" s="35" t="s">
        <v>153</v>
      </c>
      <c r="AA172" s="36">
        <v>2010</v>
      </c>
      <c r="AB172" s="37" t="s">
        <v>3889</v>
      </c>
      <c r="AC172" s="38" t="s">
        <v>153</v>
      </c>
      <c r="AD172" s="39" t="s">
        <v>153</v>
      </c>
      <c r="AE172" s="40">
        <v>9097.2000000000007</v>
      </c>
      <c r="AF172" s="41" t="s">
        <v>153</v>
      </c>
      <c r="AG172" s="42" t="s">
        <v>153</v>
      </c>
      <c r="AH172" s="43" t="s">
        <v>153</v>
      </c>
      <c r="AI172" s="44">
        <v>2783.58</v>
      </c>
      <c r="AJ172" s="45">
        <v>1830.92</v>
      </c>
      <c r="AK172" s="46" t="s">
        <v>153</v>
      </c>
      <c r="AL172" s="47">
        <v>0</v>
      </c>
      <c r="AM172" s="48">
        <v>-4.03</v>
      </c>
      <c r="AN172" s="49" t="s">
        <v>1765</v>
      </c>
      <c r="AO172" s="50" t="s">
        <v>3890</v>
      </c>
      <c r="AP172" s="51" t="s">
        <v>3891</v>
      </c>
      <c r="AQ172" s="52" t="s">
        <v>512</v>
      </c>
      <c r="AR172" s="53" t="s">
        <v>3892</v>
      </c>
      <c r="AS172" s="54" t="s">
        <v>153</v>
      </c>
      <c r="AT172" s="55" t="s">
        <v>3893</v>
      </c>
      <c r="AU172" s="56" t="s">
        <v>3894</v>
      </c>
      <c r="AV172" s="57" t="s">
        <v>3895</v>
      </c>
      <c r="AW172" s="58" t="s">
        <v>3896</v>
      </c>
      <c r="AX172" s="59" t="s">
        <v>177</v>
      </c>
      <c r="AY172" s="60" t="s">
        <v>3897</v>
      </c>
      <c r="AZ172" s="61" t="s">
        <v>179</v>
      </c>
      <c r="BA172" s="62" t="s">
        <v>153</v>
      </c>
      <c r="BB172" s="63" t="s">
        <v>153</v>
      </c>
      <c r="BC172" s="64" t="s">
        <v>153</v>
      </c>
      <c r="BD172" s="65" t="s">
        <v>180</v>
      </c>
      <c r="BE172" s="66" t="s">
        <v>181</v>
      </c>
      <c r="BF172" s="67" t="s">
        <v>3898</v>
      </c>
      <c r="BG172" s="68" t="s">
        <v>153</v>
      </c>
      <c r="BH172" s="69" t="s">
        <v>153</v>
      </c>
      <c r="BI172" s="70" t="s">
        <v>3889</v>
      </c>
      <c r="BJ172" s="71" t="s">
        <v>3899</v>
      </c>
      <c r="BK172" s="72" t="s">
        <v>3900</v>
      </c>
      <c r="BL172" s="73" t="s">
        <v>153</v>
      </c>
      <c r="BM172" s="74" t="s">
        <v>3901</v>
      </c>
      <c r="BN172" s="75" t="s">
        <v>3902</v>
      </c>
      <c r="BO172" s="76" t="s">
        <v>3903</v>
      </c>
      <c r="BP172" s="77" t="s">
        <v>153</v>
      </c>
      <c r="BQ172" s="78">
        <v>40269</v>
      </c>
      <c r="BR172" s="79" t="s">
        <v>153</v>
      </c>
      <c r="BS172" s="80" t="s">
        <v>153</v>
      </c>
      <c r="BT172" s="81" t="s">
        <v>153</v>
      </c>
      <c r="BU172" s="82" t="s">
        <v>153</v>
      </c>
      <c r="BV172" s="83" t="s">
        <v>589</v>
      </c>
      <c r="BW172" s="84" t="s">
        <v>153</v>
      </c>
      <c r="BX172" s="85" t="s">
        <v>153</v>
      </c>
      <c r="BY172" s="86" t="s">
        <v>165</v>
      </c>
      <c r="BZ172" s="87" t="s">
        <v>153</v>
      </c>
      <c r="CA172" s="88" t="s">
        <v>190</v>
      </c>
      <c r="CB172" s="89">
        <v>42398</v>
      </c>
      <c r="CC172" s="90">
        <v>18029.830000000002</v>
      </c>
      <c r="CD172" s="91" t="s">
        <v>186</v>
      </c>
      <c r="CE172" s="92">
        <v>18029.830000000002</v>
      </c>
      <c r="CF172" s="93" t="s">
        <v>186</v>
      </c>
      <c r="CG172" s="94" t="s">
        <v>226</v>
      </c>
      <c r="CH172" s="95" t="s">
        <v>729</v>
      </c>
      <c r="CI172" s="96" t="s">
        <v>153</v>
      </c>
      <c r="CJ172" s="97" t="s">
        <v>225</v>
      </c>
      <c r="CK172" s="98">
        <v>42398</v>
      </c>
      <c r="CL172" s="99" t="s">
        <v>153</v>
      </c>
      <c r="CM172" s="100" t="s">
        <v>153</v>
      </c>
      <c r="CN172" s="101" t="s">
        <v>190</v>
      </c>
      <c r="CO172" s="102">
        <v>0.43</v>
      </c>
      <c r="CP172" s="103">
        <v>93</v>
      </c>
      <c r="CQ172" s="104">
        <v>0.11</v>
      </c>
      <c r="CR172" s="105">
        <v>32.65</v>
      </c>
      <c r="CS172" s="106">
        <v>0.94</v>
      </c>
      <c r="CT172" s="107">
        <v>95</v>
      </c>
      <c r="CU172" s="108">
        <v>-0.08</v>
      </c>
      <c r="CV172" s="109">
        <v>24</v>
      </c>
      <c r="CW172" s="110" t="s">
        <v>153</v>
      </c>
      <c r="CX172" s="111" t="s">
        <v>153</v>
      </c>
      <c r="CY172" s="112">
        <v>0.94</v>
      </c>
      <c r="CZ172" s="113">
        <v>97</v>
      </c>
      <c r="DA172" s="114">
        <v>-0.08</v>
      </c>
      <c r="DB172" s="115">
        <v>24</v>
      </c>
      <c r="DC172" s="116">
        <v>574.29999999999995</v>
      </c>
      <c r="DD172" s="117">
        <v>100</v>
      </c>
      <c r="DE172" s="118">
        <v>3.67</v>
      </c>
      <c r="DF172" s="119">
        <v>0.64</v>
      </c>
      <c r="DG172" s="120">
        <v>19.13</v>
      </c>
      <c r="DH172" s="121">
        <v>95</v>
      </c>
      <c r="DI172" s="122">
        <v>1129.48</v>
      </c>
      <c r="DJ172" s="123">
        <v>100</v>
      </c>
      <c r="DK172" s="124" t="s">
        <v>153</v>
      </c>
      <c r="DL172" s="125" t="s">
        <v>153</v>
      </c>
      <c r="DM172" s="126">
        <v>19.13</v>
      </c>
      <c r="DN172" s="127">
        <v>95</v>
      </c>
      <c r="DO172" s="128">
        <v>1129.48</v>
      </c>
      <c r="DP172" s="129">
        <v>100</v>
      </c>
      <c r="DQ172" s="130" t="s">
        <v>153</v>
      </c>
      <c r="DR172" s="131" t="s">
        <v>153</v>
      </c>
      <c r="DS172" s="132" t="s">
        <v>153</v>
      </c>
      <c r="DT172" s="133">
        <v>305</v>
      </c>
      <c r="DU172" s="134">
        <v>3</v>
      </c>
      <c r="DV172" s="135">
        <v>0.99</v>
      </c>
      <c r="DW172" s="136">
        <v>354648</v>
      </c>
      <c r="DX172" s="137">
        <v>32</v>
      </c>
      <c r="DY172" s="138">
        <v>0.01</v>
      </c>
      <c r="DZ172" s="139" t="s">
        <v>191</v>
      </c>
      <c r="EA172" s="140">
        <v>44286</v>
      </c>
      <c r="EB172" s="141">
        <v>18029.830000000002</v>
      </c>
      <c r="EC172" s="142">
        <v>42398</v>
      </c>
      <c r="ED172" s="143" t="s">
        <v>226</v>
      </c>
      <c r="EE172" s="278" t="str">
        <f>HYPERLINK("https://my.pitchbook.com?c=54649-99", "View company online")</f>
        <v>View company online</v>
      </c>
    </row>
    <row r="173" spans="1:135" x14ac:dyDescent="0.45">
      <c r="A173" s="144" t="s">
        <v>3904</v>
      </c>
      <c r="B173" s="145" t="s">
        <v>3905</v>
      </c>
      <c r="C173" s="146" t="s">
        <v>153</v>
      </c>
      <c r="D173" s="147" t="s">
        <v>153</v>
      </c>
      <c r="E173" s="148" t="s">
        <v>153</v>
      </c>
      <c r="F173" s="149" t="s">
        <v>3906</v>
      </c>
      <c r="G173" s="150" t="s">
        <v>3907</v>
      </c>
      <c r="H173" s="151" t="s">
        <v>153</v>
      </c>
      <c r="I173" s="152" t="s">
        <v>3904</v>
      </c>
      <c r="J173" s="153" t="s">
        <v>3908</v>
      </c>
      <c r="K173" s="154" t="s">
        <v>257</v>
      </c>
      <c r="L173" s="155" t="s">
        <v>530</v>
      </c>
      <c r="M173" s="156" t="s">
        <v>531</v>
      </c>
      <c r="N173" s="157" t="s">
        <v>3909</v>
      </c>
      <c r="O173" s="158" t="s">
        <v>153</v>
      </c>
      <c r="P173" s="159" t="s">
        <v>3910</v>
      </c>
      <c r="Q173" s="160" t="s">
        <v>204</v>
      </c>
      <c r="R173" s="161" t="s">
        <v>153</v>
      </c>
      <c r="S173" s="162" t="s">
        <v>163</v>
      </c>
      <c r="T173" s="163" t="s">
        <v>164</v>
      </c>
      <c r="U173" s="164" t="s">
        <v>206</v>
      </c>
      <c r="V173" s="165" t="s">
        <v>3911</v>
      </c>
      <c r="W173" s="166">
        <v>4000</v>
      </c>
      <c r="X173" s="167" t="s">
        <v>3912</v>
      </c>
      <c r="Y173" s="168" t="s">
        <v>153</v>
      </c>
      <c r="Z173" s="169" t="s">
        <v>153</v>
      </c>
      <c r="AA173" s="170">
        <v>1927</v>
      </c>
      <c r="AB173" s="171" t="s">
        <v>3913</v>
      </c>
      <c r="AC173" s="172" t="s">
        <v>153</v>
      </c>
      <c r="AD173" s="173" t="s">
        <v>153</v>
      </c>
      <c r="AE173" s="174" t="s">
        <v>153</v>
      </c>
      <c r="AF173" s="175" t="s">
        <v>153</v>
      </c>
      <c r="AG173" s="176" t="s">
        <v>153</v>
      </c>
      <c r="AH173" s="177" t="s">
        <v>153</v>
      </c>
      <c r="AI173" s="178" t="s">
        <v>153</v>
      </c>
      <c r="AJ173" s="179" t="s">
        <v>153</v>
      </c>
      <c r="AK173" s="180" t="s">
        <v>153</v>
      </c>
      <c r="AL173" s="181" t="s">
        <v>153</v>
      </c>
      <c r="AM173" s="182" t="s">
        <v>153</v>
      </c>
      <c r="AN173" s="183" t="s">
        <v>209</v>
      </c>
      <c r="AO173" s="184" t="s">
        <v>3914</v>
      </c>
      <c r="AP173" s="185" t="s">
        <v>3915</v>
      </c>
      <c r="AQ173" s="186" t="s">
        <v>171</v>
      </c>
      <c r="AR173" s="187" t="s">
        <v>3916</v>
      </c>
      <c r="AS173" s="188" t="s">
        <v>153</v>
      </c>
      <c r="AT173" s="189" t="s">
        <v>3917</v>
      </c>
      <c r="AU173" s="190" t="s">
        <v>3918</v>
      </c>
      <c r="AV173" s="191" t="s">
        <v>3919</v>
      </c>
      <c r="AW173" s="192" t="s">
        <v>3920</v>
      </c>
      <c r="AX173" s="193" t="s">
        <v>153</v>
      </c>
      <c r="AY173" s="194" t="s">
        <v>3921</v>
      </c>
      <c r="AZ173" s="195" t="s">
        <v>3922</v>
      </c>
      <c r="BA173" s="196" t="s">
        <v>153</v>
      </c>
      <c r="BB173" s="197" t="s">
        <v>153</v>
      </c>
      <c r="BC173" s="198" t="s">
        <v>153</v>
      </c>
      <c r="BD173" s="199" t="s">
        <v>2547</v>
      </c>
      <c r="BE173" s="200" t="s">
        <v>2547</v>
      </c>
      <c r="BF173" s="201" t="s">
        <v>3923</v>
      </c>
      <c r="BG173" s="202" t="s">
        <v>153</v>
      </c>
      <c r="BH173" s="203" t="s">
        <v>153</v>
      </c>
      <c r="BI173" s="204" t="s">
        <v>3913</v>
      </c>
      <c r="BJ173" s="205" t="s">
        <v>3924</v>
      </c>
      <c r="BK173" s="206" t="s">
        <v>153</v>
      </c>
      <c r="BL173" s="207" t="s">
        <v>153</v>
      </c>
      <c r="BM173" s="208" t="s">
        <v>3925</v>
      </c>
      <c r="BN173" s="209" t="s">
        <v>153</v>
      </c>
      <c r="BO173" s="210" t="s">
        <v>153</v>
      </c>
      <c r="BP173" s="211" t="s">
        <v>153</v>
      </c>
      <c r="BQ173" s="212">
        <v>41974</v>
      </c>
      <c r="BR173" s="213">
        <v>18000</v>
      </c>
      <c r="BS173" s="214" t="s">
        <v>187</v>
      </c>
      <c r="BT173" s="215">
        <v>18000</v>
      </c>
      <c r="BU173" s="216" t="s">
        <v>187</v>
      </c>
      <c r="BV173" s="217" t="s">
        <v>226</v>
      </c>
      <c r="BW173" s="218" t="s">
        <v>729</v>
      </c>
      <c r="BX173" s="219" t="s">
        <v>153</v>
      </c>
      <c r="BY173" s="220" t="s">
        <v>225</v>
      </c>
      <c r="BZ173" s="221" t="s">
        <v>153</v>
      </c>
      <c r="CA173" s="222" t="s">
        <v>190</v>
      </c>
      <c r="CB173" s="223">
        <v>41974</v>
      </c>
      <c r="CC173" s="224">
        <v>18000</v>
      </c>
      <c r="CD173" s="225" t="s">
        <v>187</v>
      </c>
      <c r="CE173" s="226">
        <v>18000</v>
      </c>
      <c r="CF173" s="227" t="s">
        <v>187</v>
      </c>
      <c r="CG173" s="228" t="s">
        <v>226</v>
      </c>
      <c r="CH173" s="229" t="s">
        <v>729</v>
      </c>
      <c r="CI173" s="230" t="s">
        <v>153</v>
      </c>
      <c r="CJ173" s="231" t="s">
        <v>225</v>
      </c>
      <c r="CK173" s="232">
        <v>41974</v>
      </c>
      <c r="CL173" s="233" t="s">
        <v>153</v>
      </c>
      <c r="CM173" s="234" t="s">
        <v>153</v>
      </c>
      <c r="CN173" s="235" t="s">
        <v>190</v>
      </c>
      <c r="CO173" s="236">
        <v>1.53</v>
      </c>
      <c r="CP173" s="237">
        <v>97</v>
      </c>
      <c r="CQ173" s="238">
        <v>-0.5</v>
      </c>
      <c r="CR173" s="239">
        <v>-24.82</v>
      </c>
      <c r="CS173" s="240">
        <v>1.53</v>
      </c>
      <c r="CT173" s="241">
        <v>97</v>
      </c>
      <c r="CU173" s="242" t="s">
        <v>153</v>
      </c>
      <c r="CV173" s="243" t="s">
        <v>153</v>
      </c>
      <c r="CW173" s="244" t="s">
        <v>153</v>
      </c>
      <c r="CX173" s="245" t="s">
        <v>153</v>
      </c>
      <c r="CY173" s="246">
        <v>1.53</v>
      </c>
      <c r="CZ173" s="247">
        <v>99</v>
      </c>
      <c r="DA173" s="248" t="s">
        <v>153</v>
      </c>
      <c r="DB173" s="249" t="s">
        <v>153</v>
      </c>
      <c r="DC173" s="250">
        <v>10.56</v>
      </c>
      <c r="DD173" s="251">
        <v>92</v>
      </c>
      <c r="DE173" s="252">
        <v>-0.06</v>
      </c>
      <c r="DF173" s="253">
        <v>-0.59</v>
      </c>
      <c r="DG173" s="254">
        <v>10.56</v>
      </c>
      <c r="DH173" s="255">
        <v>92</v>
      </c>
      <c r="DI173" s="256" t="s">
        <v>153</v>
      </c>
      <c r="DJ173" s="257" t="s">
        <v>153</v>
      </c>
      <c r="DK173" s="258" t="s">
        <v>153</v>
      </c>
      <c r="DL173" s="259" t="s">
        <v>153</v>
      </c>
      <c r="DM173" s="260">
        <v>10.56</v>
      </c>
      <c r="DN173" s="261">
        <v>91</v>
      </c>
      <c r="DO173" s="262" t="s">
        <v>153</v>
      </c>
      <c r="DP173" s="263" t="s">
        <v>153</v>
      </c>
      <c r="DQ173" s="264" t="s">
        <v>153</v>
      </c>
      <c r="DR173" s="265" t="s">
        <v>153</v>
      </c>
      <c r="DS173" s="266" t="s">
        <v>153</v>
      </c>
      <c r="DT173" s="267">
        <v>169</v>
      </c>
      <c r="DU173" s="268">
        <v>-1</v>
      </c>
      <c r="DV173" s="269">
        <v>-0.59</v>
      </c>
      <c r="DW173" s="270" t="s">
        <v>153</v>
      </c>
      <c r="DX173" s="271" t="s">
        <v>153</v>
      </c>
      <c r="DY173" s="272" t="s">
        <v>153</v>
      </c>
      <c r="DZ173" s="273" t="s">
        <v>191</v>
      </c>
      <c r="EA173" s="274">
        <v>43755</v>
      </c>
      <c r="EB173" s="275">
        <v>18000</v>
      </c>
      <c r="EC173" s="276">
        <v>41974</v>
      </c>
      <c r="ED173" s="277" t="s">
        <v>226</v>
      </c>
      <c r="EE173" s="279" t="str">
        <f>HYPERLINK("https://my.pitchbook.com?c=144841-51", "View company online")</f>
        <v>View company online</v>
      </c>
    </row>
    <row r="174" spans="1:135" x14ac:dyDescent="0.45">
      <c r="A174" s="10" t="s">
        <v>3926</v>
      </c>
      <c r="B174" s="11" t="s">
        <v>3927</v>
      </c>
      <c r="C174" s="12" t="s">
        <v>153</v>
      </c>
      <c r="D174" s="13" t="s">
        <v>153</v>
      </c>
      <c r="E174" s="14" t="s">
        <v>3928</v>
      </c>
      <c r="F174" s="15" t="s">
        <v>153</v>
      </c>
      <c r="G174" s="16" t="s">
        <v>3929</v>
      </c>
      <c r="H174" s="17" t="s">
        <v>153</v>
      </c>
      <c r="I174" s="18" t="s">
        <v>3926</v>
      </c>
      <c r="J174" s="19" t="s">
        <v>3930</v>
      </c>
      <c r="K174" s="20" t="s">
        <v>792</v>
      </c>
      <c r="L174" s="21" t="s">
        <v>841</v>
      </c>
      <c r="M174" s="22" t="s">
        <v>842</v>
      </c>
      <c r="N174" s="23" t="s">
        <v>3931</v>
      </c>
      <c r="O174" s="24" t="s">
        <v>796</v>
      </c>
      <c r="P174" s="25" t="s">
        <v>3932</v>
      </c>
      <c r="Q174" s="26" t="s">
        <v>204</v>
      </c>
      <c r="R174" s="27" t="s">
        <v>153</v>
      </c>
      <c r="S174" s="28" t="s">
        <v>290</v>
      </c>
      <c r="T174" s="29" t="s">
        <v>205</v>
      </c>
      <c r="U174" s="30" t="s">
        <v>237</v>
      </c>
      <c r="V174" s="31" t="s">
        <v>153</v>
      </c>
      <c r="W174" s="32">
        <v>5962</v>
      </c>
      <c r="X174" s="33" t="s">
        <v>3933</v>
      </c>
      <c r="Y174" s="34" t="s">
        <v>153</v>
      </c>
      <c r="Z174" s="35" t="s">
        <v>153</v>
      </c>
      <c r="AA174" s="36">
        <v>1946</v>
      </c>
      <c r="AB174" s="37" t="s">
        <v>153</v>
      </c>
      <c r="AC174" s="38" t="s">
        <v>153</v>
      </c>
      <c r="AD174" s="39" t="s">
        <v>153</v>
      </c>
      <c r="AE174" s="40" t="s">
        <v>153</v>
      </c>
      <c r="AF174" s="41" t="s">
        <v>153</v>
      </c>
      <c r="AG174" s="42" t="s">
        <v>153</v>
      </c>
      <c r="AH174" s="43" t="s">
        <v>153</v>
      </c>
      <c r="AI174" s="44" t="s">
        <v>153</v>
      </c>
      <c r="AJ174" s="45" t="s">
        <v>153</v>
      </c>
      <c r="AK174" s="46" t="s">
        <v>153</v>
      </c>
      <c r="AL174" s="47" t="s">
        <v>153</v>
      </c>
      <c r="AM174" s="48" t="s">
        <v>153</v>
      </c>
      <c r="AN174" s="49" t="s">
        <v>1352</v>
      </c>
      <c r="AO174" s="50" t="s">
        <v>153</v>
      </c>
      <c r="AP174" s="51" t="s">
        <v>153</v>
      </c>
      <c r="AQ174" s="52" t="s">
        <v>153</v>
      </c>
      <c r="AR174" s="53" t="s">
        <v>153</v>
      </c>
      <c r="AS174" s="54" t="s">
        <v>153</v>
      </c>
      <c r="AT174" s="55" t="s">
        <v>1124</v>
      </c>
      <c r="AU174" s="56" t="s">
        <v>3934</v>
      </c>
      <c r="AV174" s="57" t="s">
        <v>153</v>
      </c>
      <c r="AW174" s="58" t="s">
        <v>1127</v>
      </c>
      <c r="AX174" s="59" t="s">
        <v>1128</v>
      </c>
      <c r="AY174" s="60" t="s">
        <v>3935</v>
      </c>
      <c r="AZ174" s="61" t="s">
        <v>215</v>
      </c>
      <c r="BA174" s="62" t="s">
        <v>153</v>
      </c>
      <c r="BB174" s="63" t="s">
        <v>153</v>
      </c>
      <c r="BC174" s="64" t="s">
        <v>153</v>
      </c>
      <c r="BD174" s="65" t="s">
        <v>216</v>
      </c>
      <c r="BE174" s="66" t="s">
        <v>217</v>
      </c>
      <c r="BF174" s="67" t="s">
        <v>3936</v>
      </c>
      <c r="BG174" s="68" t="s">
        <v>153</v>
      </c>
      <c r="BH174" s="69" t="s">
        <v>153</v>
      </c>
      <c r="BI174" s="70" t="s">
        <v>3937</v>
      </c>
      <c r="BJ174" s="71" t="s">
        <v>153</v>
      </c>
      <c r="BK174" s="72" t="s">
        <v>153</v>
      </c>
      <c r="BL174" s="73" t="s">
        <v>153</v>
      </c>
      <c r="BM174" s="74" t="s">
        <v>153</v>
      </c>
      <c r="BN174" s="75" t="s">
        <v>153</v>
      </c>
      <c r="BO174" s="76" t="s">
        <v>153</v>
      </c>
      <c r="BP174" s="77" t="s">
        <v>3938</v>
      </c>
      <c r="BQ174" s="78">
        <v>35591</v>
      </c>
      <c r="BR174" s="79" t="s">
        <v>153</v>
      </c>
      <c r="BS174" s="80" t="s">
        <v>153</v>
      </c>
      <c r="BT174" s="81" t="s">
        <v>153</v>
      </c>
      <c r="BU174" s="82" t="s">
        <v>153</v>
      </c>
      <c r="BV174" s="83" t="s">
        <v>251</v>
      </c>
      <c r="BW174" s="84" t="s">
        <v>153</v>
      </c>
      <c r="BX174" s="85" t="s">
        <v>153</v>
      </c>
      <c r="BY174" s="86" t="s">
        <v>252</v>
      </c>
      <c r="BZ174" s="87" t="s">
        <v>153</v>
      </c>
      <c r="CA174" s="88" t="s">
        <v>190</v>
      </c>
      <c r="CB174" s="89">
        <v>39409</v>
      </c>
      <c r="CC174" s="90">
        <v>18000</v>
      </c>
      <c r="CD174" s="91" t="s">
        <v>186</v>
      </c>
      <c r="CE174" s="92">
        <v>3000</v>
      </c>
      <c r="CF174" s="93" t="s">
        <v>186</v>
      </c>
      <c r="CG174" s="94" t="s">
        <v>226</v>
      </c>
      <c r="CH174" s="95" t="s">
        <v>153</v>
      </c>
      <c r="CI174" s="96" t="s">
        <v>153</v>
      </c>
      <c r="CJ174" s="97" t="s">
        <v>225</v>
      </c>
      <c r="CK174" s="98">
        <v>39409</v>
      </c>
      <c r="CL174" s="99">
        <v>15000</v>
      </c>
      <c r="CM174" s="100" t="s">
        <v>153</v>
      </c>
      <c r="CN174" s="101" t="s">
        <v>190</v>
      </c>
      <c r="CO174" s="102" t="s">
        <v>153</v>
      </c>
      <c r="CP174" s="103" t="s">
        <v>153</v>
      </c>
      <c r="CQ174" s="104" t="s">
        <v>153</v>
      </c>
      <c r="CR174" s="105" t="s">
        <v>153</v>
      </c>
      <c r="CS174" s="106" t="s">
        <v>153</v>
      </c>
      <c r="CT174" s="107" t="s">
        <v>153</v>
      </c>
      <c r="CU174" s="108" t="s">
        <v>153</v>
      </c>
      <c r="CV174" s="109" t="s">
        <v>153</v>
      </c>
      <c r="CW174" s="110" t="s">
        <v>153</v>
      </c>
      <c r="CX174" s="111" t="s">
        <v>153</v>
      </c>
      <c r="CY174" s="112" t="s">
        <v>153</v>
      </c>
      <c r="CZ174" s="113" t="s">
        <v>153</v>
      </c>
      <c r="DA174" s="114" t="s">
        <v>153</v>
      </c>
      <c r="DB174" s="115" t="s">
        <v>153</v>
      </c>
      <c r="DC174" s="116" t="s">
        <v>153</v>
      </c>
      <c r="DD174" s="117" t="s">
        <v>153</v>
      </c>
      <c r="DE174" s="118" t="s">
        <v>153</v>
      </c>
      <c r="DF174" s="119" t="s">
        <v>153</v>
      </c>
      <c r="DG174" s="120" t="s">
        <v>153</v>
      </c>
      <c r="DH174" s="121" t="s">
        <v>153</v>
      </c>
      <c r="DI174" s="122" t="s">
        <v>153</v>
      </c>
      <c r="DJ174" s="123" t="s">
        <v>153</v>
      </c>
      <c r="DK174" s="124" t="s">
        <v>153</v>
      </c>
      <c r="DL174" s="125" t="s">
        <v>153</v>
      </c>
      <c r="DM174" s="126" t="s">
        <v>153</v>
      </c>
      <c r="DN174" s="127" t="s">
        <v>153</v>
      </c>
      <c r="DO174" s="128" t="s">
        <v>153</v>
      </c>
      <c r="DP174" s="129" t="s">
        <v>153</v>
      </c>
      <c r="DQ174" s="130" t="s">
        <v>153</v>
      </c>
      <c r="DR174" s="131" t="s">
        <v>153</v>
      </c>
      <c r="DS174" s="132" t="s">
        <v>153</v>
      </c>
      <c r="DT174" s="133" t="s">
        <v>153</v>
      </c>
      <c r="DU174" s="134" t="s">
        <v>153</v>
      </c>
      <c r="DV174" s="135" t="s">
        <v>153</v>
      </c>
      <c r="DW174" s="136" t="s">
        <v>153</v>
      </c>
      <c r="DX174" s="137" t="s">
        <v>153</v>
      </c>
      <c r="DY174" s="138" t="s">
        <v>153</v>
      </c>
      <c r="DZ174" s="139" t="s">
        <v>191</v>
      </c>
      <c r="EA174" s="140">
        <v>44350</v>
      </c>
      <c r="EB174" s="141">
        <v>3000</v>
      </c>
      <c r="EC174" s="142">
        <v>39409</v>
      </c>
      <c r="ED174" s="143" t="s">
        <v>226</v>
      </c>
      <c r="EE174" s="278" t="str">
        <f>HYPERLINK("https://my.pitchbook.com?c=41088-52", "View company online")</f>
        <v>View company online</v>
      </c>
    </row>
    <row r="175" spans="1:135" x14ac:dyDescent="0.45">
      <c r="A175" s="144" t="s">
        <v>3939</v>
      </c>
      <c r="B175" s="145" t="s">
        <v>3940</v>
      </c>
      <c r="C175" s="146" t="s">
        <v>153</v>
      </c>
      <c r="D175" s="147" t="s">
        <v>153</v>
      </c>
      <c r="E175" s="148" t="s">
        <v>3941</v>
      </c>
      <c r="F175" s="149" t="s">
        <v>153</v>
      </c>
      <c r="G175" s="150" t="s">
        <v>3942</v>
      </c>
      <c r="H175" s="151" t="s">
        <v>3943</v>
      </c>
      <c r="I175" s="152" t="s">
        <v>3939</v>
      </c>
      <c r="J175" s="153" t="s">
        <v>3944</v>
      </c>
      <c r="K175" s="154" t="s">
        <v>792</v>
      </c>
      <c r="L175" s="155" t="s">
        <v>841</v>
      </c>
      <c r="M175" s="156" t="s">
        <v>913</v>
      </c>
      <c r="N175" s="157" t="s">
        <v>3945</v>
      </c>
      <c r="O175" s="158" t="s">
        <v>796</v>
      </c>
      <c r="P175" s="159" t="s">
        <v>3946</v>
      </c>
      <c r="Q175" s="160" t="s">
        <v>564</v>
      </c>
      <c r="R175" s="161">
        <v>1978.1</v>
      </c>
      <c r="S175" s="162" t="s">
        <v>290</v>
      </c>
      <c r="T175" s="163" t="s">
        <v>205</v>
      </c>
      <c r="U175" s="164" t="s">
        <v>1791</v>
      </c>
      <c r="V175" s="165" t="s">
        <v>153</v>
      </c>
      <c r="W175" s="166">
        <v>232</v>
      </c>
      <c r="X175" s="167" t="s">
        <v>3947</v>
      </c>
      <c r="Y175" s="168" t="s">
        <v>153</v>
      </c>
      <c r="Z175" s="169" t="s">
        <v>153</v>
      </c>
      <c r="AA175" s="170">
        <v>2003</v>
      </c>
      <c r="AB175" s="171" t="s">
        <v>153</v>
      </c>
      <c r="AC175" s="172" t="s">
        <v>153</v>
      </c>
      <c r="AD175" s="173" t="s">
        <v>153</v>
      </c>
      <c r="AE175" s="174" t="s">
        <v>153</v>
      </c>
      <c r="AF175" s="175" t="s">
        <v>153</v>
      </c>
      <c r="AG175" s="176" t="s">
        <v>153</v>
      </c>
      <c r="AH175" s="177" t="s">
        <v>153</v>
      </c>
      <c r="AI175" s="178" t="s">
        <v>153</v>
      </c>
      <c r="AJ175" s="179" t="s">
        <v>153</v>
      </c>
      <c r="AK175" s="180" t="s">
        <v>153</v>
      </c>
      <c r="AL175" s="181" t="s">
        <v>153</v>
      </c>
      <c r="AM175" s="182" t="s">
        <v>153</v>
      </c>
      <c r="AN175" s="183" t="s">
        <v>1046</v>
      </c>
      <c r="AO175" s="184" t="s">
        <v>153</v>
      </c>
      <c r="AP175" s="185" t="s">
        <v>153</v>
      </c>
      <c r="AQ175" s="186" t="s">
        <v>153</v>
      </c>
      <c r="AR175" s="187" t="s">
        <v>153</v>
      </c>
      <c r="AS175" s="188" t="s">
        <v>153</v>
      </c>
      <c r="AT175" s="189" t="s">
        <v>3124</v>
      </c>
      <c r="AU175" s="190" t="s">
        <v>3948</v>
      </c>
      <c r="AV175" s="191" t="s">
        <v>3949</v>
      </c>
      <c r="AW175" s="192" t="s">
        <v>3126</v>
      </c>
      <c r="AX175" s="193" t="s">
        <v>1128</v>
      </c>
      <c r="AY175" s="194" t="s">
        <v>3950</v>
      </c>
      <c r="AZ175" s="195" t="s">
        <v>215</v>
      </c>
      <c r="BA175" s="196" t="s">
        <v>153</v>
      </c>
      <c r="BB175" s="197" t="s">
        <v>153</v>
      </c>
      <c r="BC175" s="198" t="s">
        <v>153</v>
      </c>
      <c r="BD175" s="199" t="s">
        <v>216</v>
      </c>
      <c r="BE175" s="200" t="s">
        <v>217</v>
      </c>
      <c r="BF175" s="201" t="s">
        <v>3951</v>
      </c>
      <c r="BG175" s="202" t="s">
        <v>153</v>
      </c>
      <c r="BH175" s="203" t="s">
        <v>153</v>
      </c>
      <c r="BI175" s="204" t="s">
        <v>3115</v>
      </c>
      <c r="BJ175" s="205" t="s">
        <v>3952</v>
      </c>
      <c r="BK175" s="206" t="s">
        <v>153</v>
      </c>
      <c r="BL175" s="207" t="s">
        <v>153</v>
      </c>
      <c r="BM175" s="208" t="s">
        <v>3953</v>
      </c>
      <c r="BN175" s="209" t="s">
        <v>153</v>
      </c>
      <c r="BO175" s="210" t="s">
        <v>3954</v>
      </c>
      <c r="BP175" s="211" t="s">
        <v>3955</v>
      </c>
      <c r="BQ175" s="212">
        <v>37785</v>
      </c>
      <c r="BR175" s="213" t="s">
        <v>153</v>
      </c>
      <c r="BS175" s="214" t="s">
        <v>153</v>
      </c>
      <c r="BT175" s="215" t="s">
        <v>153</v>
      </c>
      <c r="BU175" s="216" t="s">
        <v>153</v>
      </c>
      <c r="BV175" s="217" t="s">
        <v>709</v>
      </c>
      <c r="BW175" s="218" t="s">
        <v>3593</v>
      </c>
      <c r="BX175" s="219" t="s">
        <v>153</v>
      </c>
      <c r="BY175" s="220" t="s">
        <v>165</v>
      </c>
      <c r="BZ175" s="221" t="s">
        <v>153</v>
      </c>
      <c r="CA175" s="222" t="s">
        <v>190</v>
      </c>
      <c r="CB175" s="223">
        <v>42124</v>
      </c>
      <c r="CC175" s="224">
        <v>18000</v>
      </c>
      <c r="CD175" s="225" t="s">
        <v>186</v>
      </c>
      <c r="CE175" s="226">
        <v>23076.92</v>
      </c>
      <c r="CF175" s="227" t="s">
        <v>187</v>
      </c>
      <c r="CG175" s="228" t="s">
        <v>226</v>
      </c>
      <c r="CH175" s="229" t="s">
        <v>153</v>
      </c>
      <c r="CI175" s="230" t="s">
        <v>153</v>
      </c>
      <c r="CJ175" s="231" t="s">
        <v>225</v>
      </c>
      <c r="CK175" s="232">
        <v>42124</v>
      </c>
      <c r="CL175" s="233" t="s">
        <v>153</v>
      </c>
      <c r="CM175" s="234" t="s">
        <v>153</v>
      </c>
      <c r="CN175" s="235" t="s">
        <v>190</v>
      </c>
      <c r="CO175" s="236" t="s">
        <v>153</v>
      </c>
      <c r="CP175" s="237" t="s">
        <v>153</v>
      </c>
      <c r="CQ175" s="238" t="s">
        <v>153</v>
      </c>
      <c r="CR175" s="239" t="s">
        <v>153</v>
      </c>
      <c r="CS175" s="240" t="s">
        <v>153</v>
      </c>
      <c r="CT175" s="241" t="s">
        <v>153</v>
      </c>
      <c r="CU175" s="242" t="s">
        <v>153</v>
      </c>
      <c r="CV175" s="243" t="s">
        <v>153</v>
      </c>
      <c r="CW175" s="244" t="s">
        <v>153</v>
      </c>
      <c r="CX175" s="245" t="s">
        <v>153</v>
      </c>
      <c r="CY175" s="246" t="s">
        <v>153</v>
      </c>
      <c r="CZ175" s="247" t="s">
        <v>153</v>
      </c>
      <c r="DA175" s="248" t="s">
        <v>153</v>
      </c>
      <c r="DB175" s="249" t="s">
        <v>153</v>
      </c>
      <c r="DC175" s="250" t="s">
        <v>153</v>
      </c>
      <c r="DD175" s="251" t="s">
        <v>153</v>
      </c>
      <c r="DE175" s="252" t="s">
        <v>153</v>
      </c>
      <c r="DF175" s="253" t="s">
        <v>153</v>
      </c>
      <c r="DG175" s="254" t="s">
        <v>153</v>
      </c>
      <c r="DH175" s="255" t="s">
        <v>153</v>
      </c>
      <c r="DI175" s="256" t="s">
        <v>153</v>
      </c>
      <c r="DJ175" s="257" t="s">
        <v>153</v>
      </c>
      <c r="DK175" s="258" t="s">
        <v>153</v>
      </c>
      <c r="DL175" s="259" t="s">
        <v>153</v>
      </c>
      <c r="DM175" s="260" t="s">
        <v>153</v>
      </c>
      <c r="DN175" s="261" t="s">
        <v>153</v>
      </c>
      <c r="DO175" s="262" t="s">
        <v>153</v>
      </c>
      <c r="DP175" s="263" t="s">
        <v>153</v>
      </c>
      <c r="DQ175" s="264" t="s">
        <v>153</v>
      </c>
      <c r="DR175" s="265" t="s">
        <v>153</v>
      </c>
      <c r="DS175" s="266" t="s">
        <v>153</v>
      </c>
      <c r="DT175" s="267" t="s">
        <v>153</v>
      </c>
      <c r="DU175" s="268" t="s">
        <v>153</v>
      </c>
      <c r="DV175" s="269" t="s">
        <v>153</v>
      </c>
      <c r="DW175" s="270" t="s">
        <v>153</v>
      </c>
      <c r="DX175" s="271" t="s">
        <v>153</v>
      </c>
      <c r="DY175" s="272" t="s">
        <v>153</v>
      </c>
      <c r="DZ175" s="273" t="s">
        <v>191</v>
      </c>
      <c r="EA175" s="274">
        <v>44371</v>
      </c>
      <c r="EB175" s="275">
        <v>23076.92</v>
      </c>
      <c r="EC175" s="276">
        <v>42124</v>
      </c>
      <c r="ED175" s="277" t="s">
        <v>226</v>
      </c>
      <c r="EE175" s="279" t="str">
        <f>HYPERLINK("https://my.pitchbook.com?c=10192-06", "View company online")</f>
        <v>View company online</v>
      </c>
    </row>
    <row r="176" spans="1:135" x14ac:dyDescent="0.45">
      <c r="A176" s="10" t="s">
        <v>3956</v>
      </c>
      <c r="B176" s="11" t="s">
        <v>3957</v>
      </c>
      <c r="C176" s="12" t="s">
        <v>153</v>
      </c>
      <c r="D176" s="13" t="s">
        <v>153</v>
      </c>
      <c r="E176" s="14" t="s">
        <v>3958</v>
      </c>
      <c r="F176" s="15" t="s">
        <v>3769</v>
      </c>
      <c r="G176" s="16" t="s">
        <v>3959</v>
      </c>
      <c r="H176" s="17" t="s">
        <v>3960</v>
      </c>
      <c r="I176" s="18" t="s">
        <v>3956</v>
      </c>
      <c r="J176" s="19" t="s">
        <v>3961</v>
      </c>
      <c r="K176" s="20" t="s">
        <v>232</v>
      </c>
      <c r="L176" s="21" t="s">
        <v>233</v>
      </c>
      <c r="M176" s="22" t="s">
        <v>3219</v>
      </c>
      <c r="N176" s="23" t="s">
        <v>3220</v>
      </c>
      <c r="O176" s="24" t="s">
        <v>153</v>
      </c>
      <c r="P176" s="25" t="s">
        <v>3962</v>
      </c>
      <c r="Q176" s="26" t="s">
        <v>204</v>
      </c>
      <c r="R176" s="27">
        <v>28437.68</v>
      </c>
      <c r="S176" s="28" t="s">
        <v>290</v>
      </c>
      <c r="T176" s="29" t="s">
        <v>291</v>
      </c>
      <c r="U176" s="30" t="s">
        <v>482</v>
      </c>
      <c r="V176" s="31" t="s">
        <v>3963</v>
      </c>
      <c r="W176" s="32">
        <v>459000</v>
      </c>
      <c r="X176" s="33" t="s">
        <v>3964</v>
      </c>
      <c r="Y176" s="34" t="s">
        <v>3965</v>
      </c>
      <c r="Z176" s="35" t="s">
        <v>3966</v>
      </c>
      <c r="AA176" s="36">
        <v>1951</v>
      </c>
      <c r="AB176" s="37" t="s">
        <v>153</v>
      </c>
      <c r="AC176" s="38" t="s">
        <v>153</v>
      </c>
      <c r="AD176" s="39" t="s">
        <v>153</v>
      </c>
      <c r="AE176" s="40">
        <v>97985.49</v>
      </c>
      <c r="AF176" s="41" t="s">
        <v>153</v>
      </c>
      <c r="AG176" s="42">
        <v>32064.55</v>
      </c>
      <c r="AH176" s="43" t="s">
        <v>153</v>
      </c>
      <c r="AI176" s="44" t="s">
        <v>153</v>
      </c>
      <c r="AJ176" s="45" t="s">
        <v>153</v>
      </c>
      <c r="AK176" s="46">
        <v>157857.59</v>
      </c>
      <c r="AL176" s="47">
        <v>3354448.35</v>
      </c>
      <c r="AM176" s="48">
        <v>3.74</v>
      </c>
      <c r="AN176" s="49" t="s">
        <v>376</v>
      </c>
      <c r="AO176" s="50" t="s">
        <v>3967</v>
      </c>
      <c r="AP176" s="51" t="s">
        <v>3968</v>
      </c>
      <c r="AQ176" s="52" t="s">
        <v>3969</v>
      </c>
      <c r="AR176" s="53" t="s">
        <v>3970</v>
      </c>
      <c r="AS176" s="54" t="s">
        <v>3971</v>
      </c>
      <c r="AT176" s="55" t="s">
        <v>3972</v>
      </c>
      <c r="AU176" s="56" t="s">
        <v>3973</v>
      </c>
      <c r="AV176" s="57" t="s">
        <v>153</v>
      </c>
      <c r="AW176" s="58" t="s">
        <v>3974</v>
      </c>
      <c r="AX176" s="59" t="s">
        <v>3975</v>
      </c>
      <c r="AY176" s="60" t="s">
        <v>3976</v>
      </c>
      <c r="AZ176" s="61" t="s">
        <v>1519</v>
      </c>
      <c r="BA176" s="62" t="s">
        <v>153</v>
      </c>
      <c r="BB176" s="63" t="s">
        <v>153</v>
      </c>
      <c r="BC176" s="64" t="s">
        <v>3977</v>
      </c>
      <c r="BD176" s="65" t="s">
        <v>1406</v>
      </c>
      <c r="BE176" s="66" t="s">
        <v>1407</v>
      </c>
      <c r="BF176" s="67" t="s">
        <v>3978</v>
      </c>
      <c r="BG176" s="68" t="s">
        <v>3979</v>
      </c>
      <c r="BH176" s="69">
        <v>7</v>
      </c>
      <c r="BI176" s="70" t="s">
        <v>153</v>
      </c>
      <c r="BJ176" s="71" t="s">
        <v>153</v>
      </c>
      <c r="BK176" s="72" t="s">
        <v>153</v>
      </c>
      <c r="BL176" s="73" t="s">
        <v>3980</v>
      </c>
      <c r="BM176" s="74" t="s">
        <v>153</v>
      </c>
      <c r="BN176" s="75" t="s">
        <v>153</v>
      </c>
      <c r="BO176" s="76" t="s">
        <v>3981</v>
      </c>
      <c r="BP176" s="77" t="s">
        <v>3982</v>
      </c>
      <c r="BQ176" s="78">
        <v>40374</v>
      </c>
      <c r="BR176" s="79">
        <v>10450.17</v>
      </c>
      <c r="BS176" s="80" t="s">
        <v>186</v>
      </c>
      <c r="BT176" s="81" t="s">
        <v>153</v>
      </c>
      <c r="BU176" s="82" t="s">
        <v>153</v>
      </c>
      <c r="BV176" s="83" t="s">
        <v>251</v>
      </c>
      <c r="BW176" s="84" t="s">
        <v>153</v>
      </c>
      <c r="BX176" s="85" t="s">
        <v>153</v>
      </c>
      <c r="BY176" s="86" t="s">
        <v>252</v>
      </c>
      <c r="BZ176" s="87" t="s">
        <v>153</v>
      </c>
      <c r="CA176" s="88" t="s">
        <v>190</v>
      </c>
      <c r="CB176" s="89">
        <v>43305</v>
      </c>
      <c r="CC176" s="90">
        <v>17987.509999999998</v>
      </c>
      <c r="CD176" s="91" t="s">
        <v>186</v>
      </c>
      <c r="CE176" s="92" t="s">
        <v>153</v>
      </c>
      <c r="CF176" s="93" t="s">
        <v>153</v>
      </c>
      <c r="CG176" s="94" t="s">
        <v>393</v>
      </c>
      <c r="CH176" s="95" t="s">
        <v>153</v>
      </c>
      <c r="CI176" s="96" t="s">
        <v>153</v>
      </c>
      <c r="CJ176" s="97" t="s">
        <v>225</v>
      </c>
      <c r="CK176" s="98">
        <v>43305</v>
      </c>
      <c r="CL176" s="99" t="s">
        <v>153</v>
      </c>
      <c r="CM176" s="100" t="s">
        <v>153</v>
      </c>
      <c r="CN176" s="101" t="s">
        <v>190</v>
      </c>
      <c r="CO176" s="102">
        <v>-2.0099999999999998</v>
      </c>
      <c r="CP176" s="103">
        <v>2</v>
      </c>
      <c r="CQ176" s="104">
        <v>0.08</v>
      </c>
      <c r="CR176" s="105">
        <v>3.86</v>
      </c>
      <c r="CS176" s="106">
        <v>-2.0099999999999998</v>
      </c>
      <c r="CT176" s="107">
        <v>2</v>
      </c>
      <c r="CU176" s="108" t="s">
        <v>153</v>
      </c>
      <c r="CV176" s="109" t="s">
        <v>153</v>
      </c>
      <c r="CW176" s="110">
        <v>-3.39</v>
      </c>
      <c r="CX176" s="111">
        <v>8</v>
      </c>
      <c r="CY176" s="112">
        <v>-0.62</v>
      </c>
      <c r="CZ176" s="113">
        <v>2</v>
      </c>
      <c r="DA176" s="114" t="s">
        <v>153</v>
      </c>
      <c r="DB176" s="115" t="s">
        <v>153</v>
      </c>
      <c r="DC176" s="116">
        <v>1785.22</v>
      </c>
      <c r="DD176" s="117">
        <v>100</v>
      </c>
      <c r="DE176" s="118">
        <v>-7.31</v>
      </c>
      <c r="DF176" s="119">
        <v>-0.41</v>
      </c>
      <c r="DG176" s="120">
        <v>1785.22</v>
      </c>
      <c r="DH176" s="121">
        <v>100</v>
      </c>
      <c r="DI176" s="122" t="s">
        <v>153</v>
      </c>
      <c r="DJ176" s="123" t="s">
        <v>153</v>
      </c>
      <c r="DK176" s="124">
        <v>382.81</v>
      </c>
      <c r="DL176" s="125">
        <v>99</v>
      </c>
      <c r="DM176" s="126">
        <v>3187.63</v>
      </c>
      <c r="DN176" s="127">
        <v>100</v>
      </c>
      <c r="DO176" s="128" t="s">
        <v>153</v>
      </c>
      <c r="DP176" s="129" t="s">
        <v>153</v>
      </c>
      <c r="DQ176" s="130">
        <v>229847</v>
      </c>
      <c r="DR176" s="131">
        <v>-10420</v>
      </c>
      <c r="DS176" s="132">
        <v>-4.34</v>
      </c>
      <c r="DT176" s="133">
        <v>51099</v>
      </c>
      <c r="DU176" s="134">
        <v>-254</v>
      </c>
      <c r="DV176" s="135">
        <v>-0.49</v>
      </c>
      <c r="DW176" s="136" t="s">
        <v>153</v>
      </c>
      <c r="DX176" s="137" t="s">
        <v>153</v>
      </c>
      <c r="DY176" s="138" t="s">
        <v>153</v>
      </c>
      <c r="DZ176" s="139" t="s">
        <v>191</v>
      </c>
      <c r="EA176" s="140">
        <v>44385</v>
      </c>
      <c r="EB176" s="141" t="s">
        <v>153</v>
      </c>
      <c r="EC176" s="142" t="s">
        <v>153</v>
      </c>
      <c r="ED176" s="143" t="s">
        <v>153</v>
      </c>
      <c r="EE176" s="278" t="str">
        <f>HYPERLINK("https://my.pitchbook.com?c=42947-74", "View company online")</f>
        <v>View company online</v>
      </c>
    </row>
    <row r="177" spans="1:135" x14ac:dyDescent="0.45">
      <c r="A177" s="144" t="s">
        <v>3983</v>
      </c>
      <c r="B177" s="145" t="s">
        <v>3984</v>
      </c>
      <c r="C177" s="146" t="s">
        <v>153</v>
      </c>
      <c r="D177" s="147" t="s">
        <v>153</v>
      </c>
      <c r="E177" s="148" t="s">
        <v>153</v>
      </c>
      <c r="F177" s="149" t="s">
        <v>153</v>
      </c>
      <c r="G177" s="150" t="s">
        <v>3985</v>
      </c>
      <c r="H177" s="151" t="s">
        <v>153</v>
      </c>
      <c r="I177" s="152" t="s">
        <v>3983</v>
      </c>
      <c r="J177" s="153" t="s">
        <v>3986</v>
      </c>
      <c r="K177" s="154" t="s">
        <v>792</v>
      </c>
      <c r="L177" s="155" t="s">
        <v>793</v>
      </c>
      <c r="M177" s="156" t="s">
        <v>1117</v>
      </c>
      <c r="N177" s="157" t="s">
        <v>1118</v>
      </c>
      <c r="O177" s="158" t="s">
        <v>796</v>
      </c>
      <c r="P177" s="159" t="s">
        <v>3987</v>
      </c>
      <c r="Q177" s="160" t="s">
        <v>204</v>
      </c>
      <c r="R177" s="161" t="s">
        <v>153</v>
      </c>
      <c r="S177" s="162" t="s">
        <v>163</v>
      </c>
      <c r="T177" s="163" t="s">
        <v>205</v>
      </c>
      <c r="U177" s="164" t="s">
        <v>237</v>
      </c>
      <c r="V177" s="165" t="s">
        <v>3988</v>
      </c>
      <c r="W177" s="166" t="s">
        <v>153</v>
      </c>
      <c r="X177" s="167" t="s">
        <v>153</v>
      </c>
      <c r="Y177" s="168" t="s">
        <v>153</v>
      </c>
      <c r="Z177" s="169" t="s">
        <v>153</v>
      </c>
      <c r="AA177" s="170">
        <v>1999</v>
      </c>
      <c r="AB177" s="171" t="s">
        <v>153</v>
      </c>
      <c r="AC177" s="172" t="s">
        <v>153</v>
      </c>
      <c r="AD177" s="173" t="s">
        <v>153</v>
      </c>
      <c r="AE177" s="174" t="s">
        <v>153</v>
      </c>
      <c r="AF177" s="175" t="s">
        <v>153</v>
      </c>
      <c r="AG177" s="176" t="s">
        <v>153</v>
      </c>
      <c r="AH177" s="177" t="s">
        <v>153</v>
      </c>
      <c r="AI177" s="178" t="s">
        <v>153</v>
      </c>
      <c r="AJ177" s="179" t="s">
        <v>153</v>
      </c>
      <c r="AK177" s="180" t="s">
        <v>153</v>
      </c>
      <c r="AL177" s="181" t="s">
        <v>153</v>
      </c>
      <c r="AM177" s="182" t="s">
        <v>153</v>
      </c>
      <c r="AN177" s="183" t="s">
        <v>153</v>
      </c>
      <c r="AO177" s="184" t="s">
        <v>153</v>
      </c>
      <c r="AP177" s="185" t="s">
        <v>153</v>
      </c>
      <c r="AQ177" s="186" t="s">
        <v>153</v>
      </c>
      <c r="AR177" s="187" t="s">
        <v>153</v>
      </c>
      <c r="AS177" s="188" t="s">
        <v>153</v>
      </c>
      <c r="AT177" s="189" t="s">
        <v>1071</v>
      </c>
      <c r="AU177" s="190" t="s">
        <v>3989</v>
      </c>
      <c r="AV177" s="191" t="s">
        <v>153</v>
      </c>
      <c r="AW177" s="192" t="s">
        <v>1074</v>
      </c>
      <c r="AX177" s="193" t="s">
        <v>177</v>
      </c>
      <c r="AY177" s="194" t="s">
        <v>3990</v>
      </c>
      <c r="AZ177" s="195" t="s">
        <v>179</v>
      </c>
      <c r="BA177" s="196" t="s">
        <v>153</v>
      </c>
      <c r="BB177" s="197" t="s">
        <v>153</v>
      </c>
      <c r="BC177" s="198" t="s">
        <v>153</v>
      </c>
      <c r="BD177" s="199" t="s">
        <v>180</v>
      </c>
      <c r="BE177" s="200" t="s">
        <v>181</v>
      </c>
      <c r="BF177" s="201" t="s">
        <v>3991</v>
      </c>
      <c r="BG177" s="202" t="s">
        <v>153</v>
      </c>
      <c r="BH177" s="203" t="s">
        <v>153</v>
      </c>
      <c r="BI177" s="204" t="s">
        <v>3992</v>
      </c>
      <c r="BJ177" s="205" t="s">
        <v>153</v>
      </c>
      <c r="BK177" s="206" t="s">
        <v>153</v>
      </c>
      <c r="BL177" s="207" t="s">
        <v>153</v>
      </c>
      <c r="BM177" s="208" t="s">
        <v>153</v>
      </c>
      <c r="BN177" s="209" t="s">
        <v>153</v>
      </c>
      <c r="BO177" s="210" t="s">
        <v>153</v>
      </c>
      <c r="BP177" s="211" t="s">
        <v>153</v>
      </c>
      <c r="BQ177" s="212">
        <v>36822</v>
      </c>
      <c r="BR177" s="213" t="s">
        <v>153</v>
      </c>
      <c r="BS177" s="214" t="s">
        <v>153</v>
      </c>
      <c r="BT177" s="215" t="s">
        <v>153</v>
      </c>
      <c r="BU177" s="216" t="s">
        <v>153</v>
      </c>
      <c r="BV177" s="217" t="s">
        <v>251</v>
      </c>
      <c r="BW177" s="218" t="s">
        <v>153</v>
      </c>
      <c r="BX177" s="219" t="s">
        <v>153</v>
      </c>
      <c r="BY177" s="220" t="s">
        <v>252</v>
      </c>
      <c r="BZ177" s="221" t="s">
        <v>153</v>
      </c>
      <c r="CA177" s="222" t="s">
        <v>190</v>
      </c>
      <c r="CB177" s="223">
        <v>37368</v>
      </c>
      <c r="CC177" s="224">
        <v>17955.03</v>
      </c>
      <c r="CD177" s="225" t="s">
        <v>186</v>
      </c>
      <c r="CE177" s="226">
        <v>17955.03</v>
      </c>
      <c r="CF177" s="227" t="s">
        <v>187</v>
      </c>
      <c r="CG177" s="228" t="s">
        <v>226</v>
      </c>
      <c r="CH177" s="229" t="s">
        <v>153</v>
      </c>
      <c r="CI177" s="230" t="s">
        <v>153</v>
      </c>
      <c r="CJ177" s="231" t="s">
        <v>225</v>
      </c>
      <c r="CK177" s="232">
        <v>37368</v>
      </c>
      <c r="CL177" s="233" t="s">
        <v>153</v>
      </c>
      <c r="CM177" s="234" t="s">
        <v>153</v>
      </c>
      <c r="CN177" s="235" t="s">
        <v>190</v>
      </c>
      <c r="CO177" s="236" t="s">
        <v>153</v>
      </c>
      <c r="CP177" s="237" t="s">
        <v>153</v>
      </c>
      <c r="CQ177" s="238" t="s">
        <v>153</v>
      </c>
      <c r="CR177" s="239" t="s">
        <v>153</v>
      </c>
      <c r="CS177" s="240" t="s">
        <v>153</v>
      </c>
      <c r="CT177" s="241" t="s">
        <v>153</v>
      </c>
      <c r="CU177" s="242" t="s">
        <v>153</v>
      </c>
      <c r="CV177" s="243" t="s">
        <v>153</v>
      </c>
      <c r="CW177" s="244" t="s">
        <v>153</v>
      </c>
      <c r="CX177" s="245" t="s">
        <v>153</v>
      </c>
      <c r="CY177" s="246" t="s">
        <v>153</v>
      </c>
      <c r="CZ177" s="247" t="s">
        <v>153</v>
      </c>
      <c r="DA177" s="248" t="s">
        <v>153</v>
      </c>
      <c r="DB177" s="249" t="s">
        <v>153</v>
      </c>
      <c r="DC177" s="250" t="s">
        <v>153</v>
      </c>
      <c r="DD177" s="251" t="s">
        <v>153</v>
      </c>
      <c r="DE177" s="252" t="s">
        <v>153</v>
      </c>
      <c r="DF177" s="253" t="s">
        <v>153</v>
      </c>
      <c r="DG177" s="254" t="s">
        <v>153</v>
      </c>
      <c r="DH177" s="255" t="s">
        <v>153</v>
      </c>
      <c r="DI177" s="256" t="s">
        <v>153</v>
      </c>
      <c r="DJ177" s="257" t="s">
        <v>153</v>
      </c>
      <c r="DK177" s="258" t="s">
        <v>153</v>
      </c>
      <c r="DL177" s="259" t="s">
        <v>153</v>
      </c>
      <c r="DM177" s="260" t="s">
        <v>153</v>
      </c>
      <c r="DN177" s="261" t="s">
        <v>153</v>
      </c>
      <c r="DO177" s="262" t="s">
        <v>153</v>
      </c>
      <c r="DP177" s="263" t="s">
        <v>153</v>
      </c>
      <c r="DQ177" s="264" t="s">
        <v>153</v>
      </c>
      <c r="DR177" s="265" t="s">
        <v>153</v>
      </c>
      <c r="DS177" s="266" t="s">
        <v>153</v>
      </c>
      <c r="DT177" s="267" t="s">
        <v>153</v>
      </c>
      <c r="DU177" s="268" t="s">
        <v>153</v>
      </c>
      <c r="DV177" s="269" t="s">
        <v>153</v>
      </c>
      <c r="DW177" s="270" t="s">
        <v>153</v>
      </c>
      <c r="DX177" s="271" t="s">
        <v>153</v>
      </c>
      <c r="DY177" s="272" t="s">
        <v>153</v>
      </c>
      <c r="DZ177" s="273" t="s">
        <v>191</v>
      </c>
      <c r="EA177" s="274">
        <v>44210</v>
      </c>
      <c r="EB177" s="275">
        <v>17955.03</v>
      </c>
      <c r="EC177" s="276">
        <v>37368</v>
      </c>
      <c r="ED177" s="277" t="s">
        <v>226</v>
      </c>
      <c r="EE177" s="279" t="str">
        <f>HYPERLINK("https://my.pitchbook.com?c=438970-33", "View company online")</f>
        <v>View company online</v>
      </c>
    </row>
    <row r="178" spans="1:135" x14ac:dyDescent="0.45">
      <c r="A178" s="10" t="s">
        <v>3993</v>
      </c>
      <c r="B178" s="11" t="s">
        <v>3994</v>
      </c>
      <c r="C178" s="12" t="s">
        <v>153</v>
      </c>
      <c r="D178" s="13" t="s">
        <v>153</v>
      </c>
      <c r="E178" s="14" t="s">
        <v>153</v>
      </c>
      <c r="F178" s="15" t="s">
        <v>3995</v>
      </c>
      <c r="G178" s="16" t="s">
        <v>3996</v>
      </c>
      <c r="H178" s="17" t="s">
        <v>3997</v>
      </c>
      <c r="I178" s="18" t="s">
        <v>3993</v>
      </c>
      <c r="J178" s="19" t="s">
        <v>3998</v>
      </c>
      <c r="K178" s="20" t="s">
        <v>157</v>
      </c>
      <c r="L178" s="21" t="s">
        <v>817</v>
      </c>
      <c r="M178" s="22" t="s">
        <v>863</v>
      </c>
      <c r="N178" s="23" t="s">
        <v>3999</v>
      </c>
      <c r="O178" s="24" t="s">
        <v>153</v>
      </c>
      <c r="P178" s="25" t="s">
        <v>4000</v>
      </c>
      <c r="Q178" s="26" t="s">
        <v>204</v>
      </c>
      <c r="R178" s="27">
        <v>720</v>
      </c>
      <c r="S178" s="28" t="s">
        <v>290</v>
      </c>
      <c r="T178" s="29" t="s">
        <v>164</v>
      </c>
      <c r="U178" s="30" t="s">
        <v>482</v>
      </c>
      <c r="V178" s="31" t="s">
        <v>4001</v>
      </c>
      <c r="W178" s="32">
        <v>7700</v>
      </c>
      <c r="X178" s="33" t="s">
        <v>4002</v>
      </c>
      <c r="Y178" s="34" t="s">
        <v>153</v>
      </c>
      <c r="Z178" s="35" t="s">
        <v>153</v>
      </c>
      <c r="AA178" s="36">
        <v>1905</v>
      </c>
      <c r="AB178" s="37" t="s">
        <v>4003</v>
      </c>
      <c r="AC178" s="38" t="s">
        <v>153</v>
      </c>
      <c r="AD178" s="39" t="s">
        <v>428</v>
      </c>
      <c r="AE178" s="40" t="s">
        <v>153</v>
      </c>
      <c r="AF178" s="41" t="s">
        <v>153</v>
      </c>
      <c r="AG178" s="42" t="s">
        <v>153</v>
      </c>
      <c r="AH178" s="43" t="s">
        <v>153</v>
      </c>
      <c r="AI178" s="44" t="s">
        <v>153</v>
      </c>
      <c r="AJ178" s="45" t="s">
        <v>153</v>
      </c>
      <c r="AK178" s="46" t="s">
        <v>153</v>
      </c>
      <c r="AL178" s="47" t="s">
        <v>153</v>
      </c>
      <c r="AM178" s="48" t="s">
        <v>153</v>
      </c>
      <c r="AN178" s="49" t="s">
        <v>2139</v>
      </c>
      <c r="AO178" s="50" t="s">
        <v>4004</v>
      </c>
      <c r="AP178" s="51" t="s">
        <v>4005</v>
      </c>
      <c r="AQ178" s="52" t="s">
        <v>4006</v>
      </c>
      <c r="AR178" s="53" t="s">
        <v>153</v>
      </c>
      <c r="AS178" s="54" t="s">
        <v>4007</v>
      </c>
      <c r="AT178" s="55" t="s">
        <v>780</v>
      </c>
      <c r="AU178" s="56" t="s">
        <v>4008</v>
      </c>
      <c r="AV178" s="57" t="s">
        <v>4009</v>
      </c>
      <c r="AW178" s="58" t="s">
        <v>782</v>
      </c>
      <c r="AX178" s="59" t="s">
        <v>783</v>
      </c>
      <c r="AY178" s="60" t="s">
        <v>2876</v>
      </c>
      <c r="AZ178" s="61" t="s">
        <v>215</v>
      </c>
      <c r="BA178" s="62" t="s">
        <v>4007</v>
      </c>
      <c r="BB178" s="63" t="s">
        <v>153</v>
      </c>
      <c r="BC178" s="64" t="s">
        <v>4010</v>
      </c>
      <c r="BD178" s="65" t="s">
        <v>216</v>
      </c>
      <c r="BE178" s="66" t="s">
        <v>217</v>
      </c>
      <c r="BF178" s="67" t="s">
        <v>4011</v>
      </c>
      <c r="BG178" s="68" t="s">
        <v>153</v>
      </c>
      <c r="BH178" s="69" t="s">
        <v>153</v>
      </c>
      <c r="BI178" s="70" t="s">
        <v>4003</v>
      </c>
      <c r="BJ178" s="71" t="s">
        <v>4012</v>
      </c>
      <c r="BK178" s="72" t="s">
        <v>153</v>
      </c>
      <c r="BL178" s="73" t="s">
        <v>153</v>
      </c>
      <c r="BM178" s="74" t="s">
        <v>4013</v>
      </c>
      <c r="BN178" s="75" t="s">
        <v>153</v>
      </c>
      <c r="BO178" s="76" t="s">
        <v>4014</v>
      </c>
      <c r="BP178" s="77" t="s">
        <v>4015</v>
      </c>
      <c r="BQ178" s="78">
        <v>39855</v>
      </c>
      <c r="BR178" s="79">
        <v>720</v>
      </c>
      <c r="BS178" s="80" t="s">
        <v>186</v>
      </c>
      <c r="BT178" s="81">
        <v>4800</v>
      </c>
      <c r="BU178" s="82" t="s">
        <v>187</v>
      </c>
      <c r="BV178" s="83" t="s">
        <v>251</v>
      </c>
      <c r="BW178" s="84" t="s">
        <v>153</v>
      </c>
      <c r="BX178" s="85" t="s">
        <v>153</v>
      </c>
      <c r="BY178" s="86" t="s">
        <v>252</v>
      </c>
      <c r="BZ178" s="87" t="s">
        <v>153</v>
      </c>
      <c r="CA178" s="88" t="s">
        <v>190</v>
      </c>
      <c r="CB178" s="89">
        <v>42901</v>
      </c>
      <c r="CC178" s="90">
        <v>17900</v>
      </c>
      <c r="CD178" s="91" t="s">
        <v>186</v>
      </c>
      <c r="CE178" s="92">
        <v>17900</v>
      </c>
      <c r="CF178" s="93" t="s">
        <v>186</v>
      </c>
      <c r="CG178" s="94" t="s">
        <v>226</v>
      </c>
      <c r="CH178" s="95" t="s">
        <v>153</v>
      </c>
      <c r="CI178" s="96" t="s">
        <v>153</v>
      </c>
      <c r="CJ178" s="97" t="s">
        <v>225</v>
      </c>
      <c r="CK178" s="98">
        <v>42901</v>
      </c>
      <c r="CL178" s="99" t="s">
        <v>153</v>
      </c>
      <c r="CM178" s="100" t="s">
        <v>153</v>
      </c>
      <c r="CN178" s="101" t="s">
        <v>190</v>
      </c>
      <c r="CO178" s="102">
        <v>-0.62</v>
      </c>
      <c r="CP178" s="103">
        <v>4</v>
      </c>
      <c r="CQ178" s="104">
        <v>-0.01</v>
      </c>
      <c r="CR178" s="105">
        <v>-1.18</v>
      </c>
      <c r="CS178" s="106">
        <v>-1.23</v>
      </c>
      <c r="CT178" s="107">
        <v>3</v>
      </c>
      <c r="CU178" s="108">
        <v>-0.01</v>
      </c>
      <c r="CV178" s="109">
        <v>40</v>
      </c>
      <c r="CW178" s="110">
        <v>-3.14</v>
      </c>
      <c r="CX178" s="111">
        <v>9</v>
      </c>
      <c r="CY178" s="112">
        <v>0.68</v>
      </c>
      <c r="CZ178" s="113">
        <v>96</v>
      </c>
      <c r="DA178" s="114">
        <v>-0.01</v>
      </c>
      <c r="DB178" s="115">
        <v>40</v>
      </c>
      <c r="DC178" s="116">
        <v>27</v>
      </c>
      <c r="DD178" s="117">
        <v>97</v>
      </c>
      <c r="DE178" s="118">
        <v>0.03</v>
      </c>
      <c r="DF178" s="119">
        <v>0.1</v>
      </c>
      <c r="DG178" s="120">
        <v>50.49</v>
      </c>
      <c r="DH178" s="121">
        <v>98</v>
      </c>
      <c r="DI178" s="122">
        <v>3.51</v>
      </c>
      <c r="DJ178" s="123">
        <v>73</v>
      </c>
      <c r="DK178" s="124">
        <v>5.85</v>
      </c>
      <c r="DL178" s="125">
        <v>80</v>
      </c>
      <c r="DM178" s="126">
        <v>95.13</v>
      </c>
      <c r="DN178" s="127">
        <v>99</v>
      </c>
      <c r="DO178" s="128">
        <v>3.51</v>
      </c>
      <c r="DP178" s="129">
        <v>73</v>
      </c>
      <c r="DQ178" s="130">
        <v>3496</v>
      </c>
      <c r="DR178" s="131">
        <v>-103</v>
      </c>
      <c r="DS178" s="132">
        <v>-2.86</v>
      </c>
      <c r="DT178" s="133">
        <v>1522</v>
      </c>
      <c r="DU178" s="134">
        <v>1</v>
      </c>
      <c r="DV178" s="135">
        <v>7.0000000000000007E-2</v>
      </c>
      <c r="DW178" s="136">
        <v>1103</v>
      </c>
      <c r="DX178" s="137">
        <v>0</v>
      </c>
      <c r="DY178" s="138">
        <v>0</v>
      </c>
      <c r="DZ178" s="139" t="s">
        <v>191</v>
      </c>
      <c r="EA178" s="140">
        <v>44229</v>
      </c>
      <c r="EB178" s="141">
        <v>17900</v>
      </c>
      <c r="EC178" s="142">
        <v>42901</v>
      </c>
      <c r="ED178" s="143" t="s">
        <v>226</v>
      </c>
      <c r="EE178" s="278" t="str">
        <f>HYPERLINK("https://my.pitchbook.com?c=41675-59", "View company online")</f>
        <v>View company online</v>
      </c>
    </row>
    <row r="179" spans="1:135" x14ac:dyDescent="0.45">
      <c r="A179" s="144" t="s">
        <v>4016</v>
      </c>
      <c r="B179" s="145" t="s">
        <v>4017</v>
      </c>
      <c r="C179" s="146" t="s">
        <v>153</v>
      </c>
      <c r="D179" s="147" t="s">
        <v>153</v>
      </c>
      <c r="E179" s="148" t="s">
        <v>4018</v>
      </c>
      <c r="F179" s="149" t="s">
        <v>4019</v>
      </c>
      <c r="G179" s="150" t="s">
        <v>4020</v>
      </c>
      <c r="H179" s="151" t="s">
        <v>153</v>
      </c>
      <c r="I179" s="152" t="s">
        <v>4016</v>
      </c>
      <c r="J179" s="153" t="s">
        <v>4021</v>
      </c>
      <c r="K179" s="154" t="s">
        <v>792</v>
      </c>
      <c r="L179" s="155" t="s">
        <v>841</v>
      </c>
      <c r="M179" s="156" t="s">
        <v>842</v>
      </c>
      <c r="N179" s="157" t="s">
        <v>3931</v>
      </c>
      <c r="O179" s="158" t="s">
        <v>796</v>
      </c>
      <c r="P179" s="159" t="s">
        <v>4022</v>
      </c>
      <c r="Q179" s="160" t="s">
        <v>204</v>
      </c>
      <c r="R179" s="161" t="s">
        <v>153</v>
      </c>
      <c r="S179" s="162" t="s">
        <v>163</v>
      </c>
      <c r="T179" s="163" t="s">
        <v>205</v>
      </c>
      <c r="U179" s="164" t="s">
        <v>237</v>
      </c>
      <c r="V179" s="165" t="s">
        <v>153</v>
      </c>
      <c r="W179" s="166">
        <v>3228</v>
      </c>
      <c r="X179" s="167" t="s">
        <v>4023</v>
      </c>
      <c r="Y179" s="168" t="s">
        <v>153</v>
      </c>
      <c r="Z179" s="169" t="s">
        <v>153</v>
      </c>
      <c r="AA179" s="170">
        <v>1970</v>
      </c>
      <c r="AB179" s="171" t="s">
        <v>153</v>
      </c>
      <c r="AC179" s="172" t="s">
        <v>153</v>
      </c>
      <c r="AD179" s="173" t="s">
        <v>153</v>
      </c>
      <c r="AE179" s="174" t="s">
        <v>153</v>
      </c>
      <c r="AF179" s="175" t="s">
        <v>153</v>
      </c>
      <c r="AG179" s="176" t="s">
        <v>153</v>
      </c>
      <c r="AH179" s="177" t="s">
        <v>153</v>
      </c>
      <c r="AI179" s="178" t="s">
        <v>153</v>
      </c>
      <c r="AJ179" s="179" t="s">
        <v>153</v>
      </c>
      <c r="AK179" s="180" t="s">
        <v>153</v>
      </c>
      <c r="AL179" s="181" t="s">
        <v>153</v>
      </c>
      <c r="AM179" s="182" t="s">
        <v>153</v>
      </c>
      <c r="AN179" s="183" t="s">
        <v>1421</v>
      </c>
      <c r="AO179" s="184" t="s">
        <v>153</v>
      </c>
      <c r="AP179" s="185" t="s">
        <v>153</v>
      </c>
      <c r="AQ179" s="186" t="s">
        <v>153</v>
      </c>
      <c r="AR179" s="187" t="s">
        <v>153</v>
      </c>
      <c r="AS179" s="188" t="s">
        <v>153</v>
      </c>
      <c r="AT179" s="189" t="s">
        <v>3419</v>
      </c>
      <c r="AU179" s="190" t="s">
        <v>4024</v>
      </c>
      <c r="AV179" s="191" t="s">
        <v>153</v>
      </c>
      <c r="AW179" s="192" t="s">
        <v>3422</v>
      </c>
      <c r="AX179" s="193" t="s">
        <v>3423</v>
      </c>
      <c r="AY179" s="194" t="s">
        <v>4025</v>
      </c>
      <c r="AZ179" s="195" t="s">
        <v>1358</v>
      </c>
      <c r="BA179" s="196" t="s">
        <v>4026</v>
      </c>
      <c r="BB179" s="197" t="s">
        <v>4027</v>
      </c>
      <c r="BC179" s="198" t="s">
        <v>153</v>
      </c>
      <c r="BD179" s="199" t="s">
        <v>216</v>
      </c>
      <c r="BE179" s="200" t="s">
        <v>217</v>
      </c>
      <c r="BF179" s="201" t="s">
        <v>4028</v>
      </c>
      <c r="BG179" s="202" t="s">
        <v>153</v>
      </c>
      <c r="BH179" s="203" t="s">
        <v>153</v>
      </c>
      <c r="BI179" s="204" t="s">
        <v>4029</v>
      </c>
      <c r="BJ179" s="205" t="s">
        <v>4030</v>
      </c>
      <c r="BK179" s="206" t="s">
        <v>153</v>
      </c>
      <c r="BL179" s="207" t="s">
        <v>153</v>
      </c>
      <c r="BM179" s="208" t="s">
        <v>4031</v>
      </c>
      <c r="BN179" s="209" t="s">
        <v>153</v>
      </c>
      <c r="BO179" s="210" t="s">
        <v>4032</v>
      </c>
      <c r="BP179" s="211" t="s">
        <v>4033</v>
      </c>
      <c r="BQ179" s="212">
        <v>36586</v>
      </c>
      <c r="BR179" s="213">
        <v>827.38</v>
      </c>
      <c r="BS179" s="214" t="s">
        <v>186</v>
      </c>
      <c r="BT179" s="215">
        <v>2833.79</v>
      </c>
      <c r="BU179" s="216" t="s">
        <v>186</v>
      </c>
      <c r="BV179" s="217" t="s">
        <v>906</v>
      </c>
      <c r="BW179" s="218" t="s">
        <v>153</v>
      </c>
      <c r="BX179" s="219" t="s">
        <v>153</v>
      </c>
      <c r="BY179" s="220" t="s">
        <v>225</v>
      </c>
      <c r="BZ179" s="221" t="s">
        <v>153</v>
      </c>
      <c r="CA179" s="222" t="s">
        <v>190</v>
      </c>
      <c r="CB179" s="223">
        <v>41331</v>
      </c>
      <c r="CC179" s="224">
        <v>17900</v>
      </c>
      <c r="CD179" s="225" t="s">
        <v>186</v>
      </c>
      <c r="CE179" s="226">
        <v>17900</v>
      </c>
      <c r="CF179" s="227" t="s">
        <v>186</v>
      </c>
      <c r="CG179" s="228" t="s">
        <v>226</v>
      </c>
      <c r="CH179" s="229" t="s">
        <v>153</v>
      </c>
      <c r="CI179" s="230" t="s">
        <v>153</v>
      </c>
      <c r="CJ179" s="231" t="s">
        <v>225</v>
      </c>
      <c r="CK179" s="232">
        <v>41331</v>
      </c>
      <c r="CL179" s="233" t="s">
        <v>153</v>
      </c>
      <c r="CM179" s="234" t="s">
        <v>153</v>
      </c>
      <c r="CN179" s="235" t="s">
        <v>190</v>
      </c>
      <c r="CO179" s="236" t="s">
        <v>153</v>
      </c>
      <c r="CP179" s="237" t="s">
        <v>153</v>
      </c>
      <c r="CQ179" s="238" t="s">
        <v>153</v>
      </c>
      <c r="CR179" s="239" t="s">
        <v>153</v>
      </c>
      <c r="CS179" s="240" t="s">
        <v>153</v>
      </c>
      <c r="CT179" s="241" t="s">
        <v>153</v>
      </c>
      <c r="CU179" s="242" t="s">
        <v>153</v>
      </c>
      <c r="CV179" s="243" t="s">
        <v>153</v>
      </c>
      <c r="CW179" s="244" t="s">
        <v>153</v>
      </c>
      <c r="CX179" s="245" t="s">
        <v>153</v>
      </c>
      <c r="CY179" s="246" t="s">
        <v>153</v>
      </c>
      <c r="CZ179" s="247" t="s">
        <v>153</v>
      </c>
      <c r="DA179" s="248" t="s">
        <v>153</v>
      </c>
      <c r="DB179" s="249" t="s">
        <v>153</v>
      </c>
      <c r="DC179" s="250" t="s">
        <v>153</v>
      </c>
      <c r="DD179" s="251" t="s">
        <v>153</v>
      </c>
      <c r="DE179" s="252" t="s">
        <v>153</v>
      </c>
      <c r="DF179" s="253" t="s">
        <v>153</v>
      </c>
      <c r="DG179" s="254" t="s">
        <v>153</v>
      </c>
      <c r="DH179" s="255" t="s">
        <v>153</v>
      </c>
      <c r="DI179" s="256" t="s">
        <v>153</v>
      </c>
      <c r="DJ179" s="257" t="s">
        <v>153</v>
      </c>
      <c r="DK179" s="258" t="s">
        <v>153</v>
      </c>
      <c r="DL179" s="259" t="s">
        <v>153</v>
      </c>
      <c r="DM179" s="260" t="s">
        <v>153</v>
      </c>
      <c r="DN179" s="261" t="s">
        <v>153</v>
      </c>
      <c r="DO179" s="262" t="s">
        <v>153</v>
      </c>
      <c r="DP179" s="263" t="s">
        <v>153</v>
      </c>
      <c r="DQ179" s="264" t="s">
        <v>153</v>
      </c>
      <c r="DR179" s="265" t="s">
        <v>153</v>
      </c>
      <c r="DS179" s="266" t="s">
        <v>153</v>
      </c>
      <c r="DT179" s="267" t="s">
        <v>153</v>
      </c>
      <c r="DU179" s="268" t="s">
        <v>153</v>
      </c>
      <c r="DV179" s="269" t="s">
        <v>153</v>
      </c>
      <c r="DW179" s="270" t="s">
        <v>153</v>
      </c>
      <c r="DX179" s="271" t="s">
        <v>153</v>
      </c>
      <c r="DY179" s="272" t="s">
        <v>153</v>
      </c>
      <c r="DZ179" s="273" t="s">
        <v>191</v>
      </c>
      <c r="EA179" s="274">
        <v>44217</v>
      </c>
      <c r="EB179" s="275">
        <v>17900</v>
      </c>
      <c r="EC179" s="276">
        <v>41331</v>
      </c>
      <c r="ED179" s="277" t="s">
        <v>226</v>
      </c>
      <c r="EE179" s="279" t="str">
        <f>HYPERLINK("https://my.pitchbook.com?c=41270-14", "View company online")</f>
        <v>View company online</v>
      </c>
    </row>
    <row r="180" spans="1:135" x14ac:dyDescent="0.45">
      <c r="A180" s="10" t="s">
        <v>4034</v>
      </c>
      <c r="B180" s="11" t="s">
        <v>4035</v>
      </c>
      <c r="C180" s="12" t="s">
        <v>153</v>
      </c>
      <c r="D180" s="13" t="s">
        <v>153</v>
      </c>
      <c r="E180" s="14" t="s">
        <v>153</v>
      </c>
      <c r="F180" s="15" t="s">
        <v>4036</v>
      </c>
      <c r="G180" s="16" t="s">
        <v>4037</v>
      </c>
      <c r="H180" s="17" t="s">
        <v>153</v>
      </c>
      <c r="I180" s="18" t="s">
        <v>4034</v>
      </c>
      <c r="J180" s="19" t="s">
        <v>4038</v>
      </c>
      <c r="K180" s="20" t="s">
        <v>232</v>
      </c>
      <c r="L180" s="21" t="s">
        <v>233</v>
      </c>
      <c r="M180" s="22" t="s">
        <v>4039</v>
      </c>
      <c r="N180" s="23" t="s">
        <v>4040</v>
      </c>
      <c r="O180" s="24" t="s">
        <v>153</v>
      </c>
      <c r="P180" s="25" t="s">
        <v>4041</v>
      </c>
      <c r="Q180" s="26" t="s">
        <v>204</v>
      </c>
      <c r="R180" s="27">
        <v>246.61</v>
      </c>
      <c r="S180" s="28" t="s">
        <v>163</v>
      </c>
      <c r="T180" s="29" t="s">
        <v>205</v>
      </c>
      <c r="U180" s="30" t="s">
        <v>237</v>
      </c>
      <c r="V180" s="31" t="s">
        <v>153</v>
      </c>
      <c r="W180" s="32">
        <v>5001</v>
      </c>
      <c r="X180" s="33" t="s">
        <v>4042</v>
      </c>
      <c r="Y180" s="34" t="s">
        <v>153</v>
      </c>
      <c r="Z180" s="35" t="s">
        <v>153</v>
      </c>
      <c r="AA180" s="36">
        <v>1998</v>
      </c>
      <c r="AB180" s="37" t="s">
        <v>153</v>
      </c>
      <c r="AC180" s="38" t="s">
        <v>153</v>
      </c>
      <c r="AD180" s="39" t="s">
        <v>153</v>
      </c>
      <c r="AE180" s="40" t="s">
        <v>153</v>
      </c>
      <c r="AF180" s="41" t="s">
        <v>153</v>
      </c>
      <c r="AG180" s="42" t="s">
        <v>153</v>
      </c>
      <c r="AH180" s="43" t="s">
        <v>153</v>
      </c>
      <c r="AI180" s="44" t="s">
        <v>153</v>
      </c>
      <c r="AJ180" s="45" t="s">
        <v>153</v>
      </c>
      <c r="AK180" s="46" t="s">
        <v>153</v>
      </c>
      <c r="AL180" s="47" t="s">
        <v>153</v>
      </c>
      <c r="AM180" s="48" t="s">
        <v>153</v>
      </c>
      <c r="AN180" s="49" t="s">
        <v>2064</v>
      </c>
      <c r="AO180" s="50" t="s">
        <v>153</v>
      </c>
      <c r="AP180" s="51" t="s">
        <v>153</v>
      </c>
      <c r="AQ180" s="52" t="s">
        <v>153</v>
      </c>
      <c r="AR180" s="53" t="s">
        <v>153</v>
      </c>
      <c r="AS180" s="54" t="s">
        <v>153</v>
      </c>
      <c r="AT180" s="55" t="s">
        <v>4043</v>
      </c>
      <c r="AU180" s="56" t="s">
        <v>4044</v>
      </c>
      <c r="AV180" s="57" t="s">
        <v>153</v>
      </c>
      <c r="AW180" s="58" t="s">
        <v>4045</v>
      </c>
      <c r="AX180" s="59" t="s">
        <v>153</v>
      </c>
      <c r="AY180" s="60" t="s">
        <v>4046</v>
      </c>
      <c r="AZ180" s="61" t="s">
        <v>681</v>
      </c>
      <c r="BA180" s="62" t="s">
        <v>153</v>
      </c>
      <c r="BB180" s="63" t="s">
        <v>153</v>
      </c>
      <c r="BC180" s="64" t="s">
        <v>153</v>
      </c>
      <c r="BD180" s="65" t="s">
        <v>180</v>
      </c>
      <c r="BE180" s="66" t="s">
        <v>684</v>
      </c>
      <c r="BF180" s="67" t="s">
        <v>4047</v>
      </c>
      <c r="BG180" s="68" t="s">
        <v>153</v>
      </c>
      <c r="BH180" s="69" t="s">
        <v>153</v>
      </c>
      <c r="BI180" s="70" t="s">
        <v>4048</v>
      </c>
      <c r="BJ180" s="71" t="s">
        <v>153</v>
      </c>
      <c r="BK180" s="72" t="s">
        <v>153</v>
      </c>
      <c r="BL180" s="73" t="s">
        <v>153</v>
      </c>
      <c r="BM180" s="74" t="s">
        <v>153</v>
      </c>
      <c r="BN180" s="75" t="s">
        <v>153</v>
      </c>
      <c r="BO180" s="76" t="s">
        <v>153</v>
      </c>
      <c r="BP180" s="77" t="s">
        <v>4049</v>
      </c>
      <c r="BQ180" s="78">
        <v>36160</v>
      </c>
      <c r="BR180" s="79" t="s">
        <v>153</v>
      </c>
      <c r="BS180" s="80" t="s">
        <v>153</v>
      </c>
      <c r="BT180" s="81" t="s">
        <v>153</v>
      </c>
      <c r="BU180" s="82" t="s">
        <v>153</v>
      </c>
      <c r="BV180" s="83" t="s">
        <v>589</v>
      </c>
      <c r="BW180" s="84" t="s">
        <v>153</v>
      </c>
      <c r="BX180" s="85" t="s">
        <v>153</v>
      </c>
      <c r="BY180" s="86" t="s">
        <v>225</v>
      </c>
      <c r="BZ180" s="87" t="s">
        <v>153</v>
      </c>
      <c r="CA180" s="88" t="s">
        <v>190</v>
      </c>
      <c r="CB180" s="89">
        <v>39173</v>
      </c>
      <c r="CC180" s="90">
        <v>17897.240000000002</v>
      </c>
      <c r="CD180" s="91" t="s">
        <v>186</v>
      </c>
      <c r="CE180" s="92">
        <v>17897.240000000002</v>
      </c>
      <c r="CF180" s="93" t="s">
        <v>186</v>
      </c>
      <c r="CG180" s="94" t="s">
        <v>226</v>
      </c>
      <c r="CH180" s="95" t="s">
        <v>153</v>
      </c>
      <c r="CI180" s="96" t="s">
        <v>153</v>
      </c>
      <c r="CJ180" s="97" t="s">
        <v>225</v>
      </c>
      <c r="CK180" s="98">
        <v>39173</v>
      </c>
      <c r="CL180" s="99" t="s">
        <v>153</v>
      </c>
      <c r="CM180" s="100" t="s">
        <v>153</v>
      </c>
      <c r="CN180" s="101" t="s">
        <v>190</v>
      </c>
      <c r="CO180" s="102" t="s">
        <v>153</v>
      </c>
      <c r="CP180" s="103" t="s">
        <v>153</v>
      </c>
      <c r="CQ180" s="104" t="s">
        <v>153</v>
      </c>
      <c r="CR180" s="105" t="s">
        <v>153</v>
      </c>
      <c r="CS180" s="106" t="s">
        <v>153</v>
      </c>
      <c r="CT180" s="107" t="s">
        <v>153</v>
      </c>
      <c r="CU180" s="108" t="s">
        <v>153</v>
      </c>
      <c r="CV180" s="109" t="s">
        <v>153</v>
      </c>
      <c r="CW180" s="110" t="s">
        <v>153</v>
      </c>
      <c r="CX180" s="111" t="s">
        <v>153</v>
      </c>
      <c r="CY180" s="112" t="s">
        <v>153</v>
      </c>
      <c r="CZ180" s="113" t="s">
        <v>153</v>
      </c>
      <c r="DA180" s="114" t="s">
        <v>153</v>
      </c>
      <c r="DB180" s="115" t="s">
        <v>153</v>
      </c>
      <c r="DC180" s="116" t="s">
        <v>153</v>
      </c>
      <c r="DD180" s="117" t="s">
        <v>153</v>
      </c>
      <c r="DE180" s="118" t="s">
        <v>153</v>
      </c>
      <c r="DF180" s="119" t="s">
        <v>153</v>
      </c>
      <c r="DG180" s="120" t="s">
        <v>153</v>
      </c>
      <c r="DH180" s="121" t="s">
        <v>153</v>
      </c>
      <c r="DI180" s="122" t="s">
        <v>153</v>
      </c>
      <c r="DJ180" s="123" t="s">
        <v>153</v>
      </c>
      <c r="DK180" s="124" t="s">
        <v>153</v>
      </c>
      <c r="DL180" s="125" t="s">
        <v>153</v>
      </c>
      <c r="DM180" s="126" t="s">
        <v>153</v>
      </c>
      <c r="DN180" s="127" t="s">
        <v>153</v>
      </c>
      <c r="DO180" s="128" t="s">
        <v>153</v>
      </c>
      <c r="DP180" s="129" t="s">
        <v>153</v>
      </c>
      <c r="DQ180" s="130" t="s">
        <v>153</v>
      </c>
      <c r="DR180" s="131" t="s">
        <v>153</v>
      </c>
      <c r="DS180" s="132" t="s">
        <v>153</v>
      </c>
      <c r="DT180" s="133" t="s">
        <v>153</v>
      </c>
      <c r="DU180" s="134" t="s">
        <v>153</v>
      </c>
      <c r="DV180" s="135" t="s">
        <v>153</v>
      </c>
      <c r="DW180" s="136" t="s">
        <v>153</v>
      </c>
      <c r="DX180" s="137" t="s">
        <v>153</v>
      </c>
      <c r="DY180" s="138" t="s">
        <v>153</v>
      </c>
      <c r="DZ180" s="139" t="s">
        <v>191</v>
      </c>
      <c r="EA180" s="140">
        <v>44302</v>
      </c>
      <c r="EB180" s="141">
        <v>17897.240000000002</v>
      </c>
      <c r="EC180" s="142">
        <v>39173</v>
      </c>
      <c r="ED180" s="143" t="s">
        <v>226</v>
      </c>
      <c r="EE180" s="278" t="str">
        <f>HYPERLINK("https://my.pitchbook.com?c=124675-57", "View company online")</f>
        <v>View company online</v>
      </c>
    </row>
    <row r="181" spans="1:135" x14ac:dyDescent="0.45">
      <c r="A181" s="144" t="s">
        <v>4050</v>
      </c>
      <c r="B181" s="145" t="s">
        <v>4051</v>
      </c>
      <c r="C181" s="146" t="s">
        <v>153</v>
      </c>
      <c r="D181" s="147" t="s">
        <v>153</v>
      </c>
      <c r="E181" s="148" t="s">
        <v>153</v>
      </c>
      <c r="F181" s="149" t="s">
        <v>153</v>
      </c>
      <c r="G181" s="150" t="s">
        <v>4052</v>
      </c>
      <c r="H181" s="151" t="s">
        <v>4053</v>
      </c>
      <c r="I181" s="152" t="s">
        <v>4050</v>
      </c>
      <c r="J181" s="153" t="s">
        <v>4054</v>
      </c>
      <c r="K181" s="154" t="s">
        <v>198</v>
      </c>
      <c r="L181" s="155" t="s">
        <v>199</v>
      </c>
      <c r="M181" s="156" t="s">
        <v>344</v>
      </c>
      <c r="N181" s="157" t="s">
        <v>4055</v>
      </c>
      <c r="O181" s="158" t="s">
        <v>153</v>
      </c>
      <c r="P181" s="159" t="s">
        <v>4056</v>
      </c>
      <c r="Q181" s="160" t="s">
        <v>204</v>
      </c>
      <c r="R181" s="161" t="s">
        <v>153</v>
      </c>
      <c r="S181" s="162" t="s">
        <v>163</v>
      </c>
      <c r="T181" s="163" t="s">
        <v>205</v>
      </c>
      <c r="U181" s="164" t="s">
        <v>237</v>
      </c>
      <c r="V181" s="165" t="s">
        <v>4057</v>
      </c>
      <c r="W181" s="166">
        <v>14177</v>
      </c>
      <c r="X181" s="167" t="s">
        <v>4058</v>
      </c>
      <c r="Y181" s="168" t="s">
        <v>153</v>
      </c>
      <c r="Z181" s="169" t="s">
        <v>153</v>
      </c>
      <c r="AA181" s="170">
        <v>1973</v>
      </c>
      <c r="AB181" s="171" t="s">
        <v>153</v>
      </c>
      <c r="AC181" s="172" t="s">
        <v>153</v>
      </c>
      <c r="AD181" s="173" t="s">
        <v>153</v>
      </c>
      <c r="AE181" s="174" t="s">
        <v>153</v>
      </c>
      <c r="AF181" s="175" t="s">
        <v>153</v>
      </c>
      <c r="AG181" s="176" t="s">
        <v>153</v>
      </c>
      <c r="AH181" s="177" t="s">
        <v>153</v>
      </c>
      <c r="AI181" s="178" t="s">
        <v>153</v>
      </c>
      <c r="AJ181" s="179" t="s">
        <v>153</v>
      </c>
      <c r="AK181" s="180" t="s">
        <v>153</v>
      </c>
      <c r="AL181" s="181" t="s">
        <v>153</v>
      </c>
      <c r="AM181" s="182" t="s">
        <v>153</v>
      </c>
      <c r="AN181" s="183" t="s">
        <v>429</v>
      </c>
      <c r="AO181" s="184" t="s">
        <v>4059</v>
      </c>
      <c r="AP181" s="185" t="s">
        <v>4060</v>
      </c>
      <c r="AQ181" s="186" t="s">
        <v>4061</v>
      </c>
      <c r="AR181" s="187" t="s">
        <v>4062</v>
      </c>
      <c r="AS181" s="188" t="s">
        <v>4063</v>
      </c>
      <c r="AT181" s="189" t="s">
        <v>4064</v>
      </c>
      <c r="AU181" s="190" t="s">
        <v>4065</v>
      </c>
      <c r="AV181" s="191" t="s">
        <v>153</v>
      </c>
      <c r="AW181" s="192" t="s">
        <v>4066</v>
      </c>
      <c r="AX181" s="193" t="s">
        <v>436</v>
      </c>
      <c r="AY181" s="194" t="s">
        <v>4067</v>
      </c>
      <c r="AZ181" s="195" t="s">
        <v>215</v>
      </c>
      <c r="BA181" s="196" t="s">
        <v>153</v>
      </c>
      <c r="BB181" s="197" t="s">
        <v>153</v>
      </c>
      <c r="BC181" s="198" t="s">
        <v>153</v>
      </c>
      <c r="BD181" s="199" t="s">
        <v>216</v>
      </c>
      <c r="BE181" s="200" t="s">
        <v>217</v>
      </c>
      <c r="BF181" s="201" t="s">
        <v>4068</v>
      </c>
      <c r="BG181" s="202" t="s">
        <v>153</v>
      </c>
      <c r="BH181" s="203" t="s">
        <v>153</v>
      </c>
      <c r="BI181" s="204" t="s">
        <v>4069</v>
      </c>
      <c r="BJ181" s="205" t="s">
        <v>153</v>
      </c>
      <c r="BK181" s="206" t="s">
        <v>153</v>
      </c>
      <c r="BL181" s="207" t="s">
        <v>153</v>
      </c>
      <c r="BM181" s="208" t="s">
        <v>153</v>
      </c>
      <c r="BN181" s="209" t="s">
        <v>153</v>
      </c>
      <c r="BO181" s="210" t="s">
        <v>4070</v>
      </c>
      <c r="BP181" s="211" t="s">
        <v>4071</v>
      </c>
      <c r="BQ181" s="212">
        <v>31429</v>
      </c>
      <c r="BR181" s="213" t="s">
        <v>153</v>
      </c>
      <c r="BS181" s="214" t="s">
        <v>153</v>
      </c>
      <c r="BT181" s="215" t="s">
        <v>153</v>
      </c>
      <c r="BU181" s="216" t="s">
        <v>153</v>
      </c>
      <c r="BV181" s="217" t="s">
        <v>251</v>
      </c>
      <c r="BW181" s="218" t="s">
        <v>153</v>
      </c>
      <c r="BX181" s="219" t="s">
        <v>153</v>
      </c>
      <c r="BY181" s="220" t="s">
        <v>252</v>
      </c>
      <c r="BZ181" s="221" t="s">
        <v>153</v>
      </c>
      <c r="CA181" s="222" t="s">
        <v>190</v>
      </c>
      <c r="CB181" s="223">
        <v>42542</v>
      </c>
      <c r="CC181" s="224">
        <v>17700</v>
      </c>
      <c r="CD181" s="225" t="s">
        <v>186</v>
      </c>
      <c r="CE181" s="226">
        <v>17700</v>
      </c>
      <c r="CF181" s="227" t="s">
        <v>186</v>
      </c>
      <c r="CG181" s="228" t="s">
        <v>226</v>
      </c>
      <c r="CH181" s="229" t="s">
        <v>153</v>
      </c>
      <c r="CI181" s="230" t="s">
        <v>153</v>
      </c>
      <c r="CJ181" s="231" t="s">
        <v>225</v>
      </c>
      <c r="CK181" s="232">
        <v>42542</v>
      </c>
      <c r="CL181" s="233" t="s">
        <v>153</v>
      </c>
      <c r="CM181" s="234" t="s">
        <v>153</v>
      </c>
      <c r="CN181" s="235" t="s">
        <v>190</v>
      </c>
      <c r="CO181" s="236" t="s">
        <v>153</v>
      </c>
      <c r="CP181" s="237" t="s">
        <v>153</v>
      </c>
      <c r="CQ181" s="238" t="s">
        <v>153</v>
      </c>
      <c r="CR181" s="239" t="s">
        <v>153</v>
      </c>
      <c r="CS181" s="240" t="s">
        <v>153</v>
      </c>
      <c r="CT181" s="241" t="s">
        <v>153</v>
      </c>
      <c r="CU181" s="242" t="s">
        <v>153</v>
      </c>
      <c r="CV181" s="243" t="s">
        <v>153</v>
      </c>
      <c r="CW181" s="244" t="s">
        <v>153</v>
      </c>
      <c r="CX181" s="245" t="s">
        <v>153</v>
      </c>
      <c r="CY181" s="246" t="s">
        <v>153</v>
      </c>
      <c r="CZ181" s="247" t="s">
        <v>153</v>
      </c>
      <c r="DA181" s="248" t="s">
        <v>153</v>
      </c>
      <c r="DB181" s="249" t="s">
        <v>153</v>
      </c>
      <c r="DC181" s="250" t="s">
        <v>153</v>
      </c>
      <c r="DD181" s="251" t="s">
        <v>153</v>
      </c>
      <c r="DE181" s="252" t="s">
        <v>153</v>
      </c>
      <c r="DF181" s="253" t="s">
        <v>153</v>
      </c>
      <c r="DG181" s="254" t="s">
        <v>153</v>
      </c>
      <c r="DH181" s="255" t="s">
        <v>153</v>
      </c>
      <c r="DI181" s="256" t="s">
        <v>153</v>
      </c>
      <c r="DJ181" s="257" t="s">
        <v>153</v>
      </c>
      <c r="DK181" s="258" t="s">
        <v>153</v>
      </c>
      <c r="DL181" s="259" t="s">
        <v>153</v>
      </c>
      <c r="DM181" s="260" t="s">
        <v>153</v>
      </c>
      <c r="DN181" s="261" t="s">
        <v>153</v>
      </c>
      <c r="DO181" s="262" t="s">
        <v>153</v>
      </c>
      <c r="DP181" s="263" t="s">
        <v>153</v>
      </c>
      <c r="DQ181" s="264" t="s">
        <v>153</v>
      </c>
      <c r="DR181" s="265" t="s">
        <v>153</v>
      </c>
      <c r="DS181" s="266" t="s">
        <v>153</v>
      </c>
      <c r="DT181" s="267" t="s">
        <v>153</v>
      </c>
      <c r="DU181" s="268" t="s">
        <v>153</v>
      </c>
      <c r="DV181" s="269" t="s">
        <v>153</v>
      </c>
      <c r="DW181" s="270" t="s">
        <v>153</v>
      </c>
      <c r="DX181" s="271" t="s">
        <v>153</v>
      </c>
      <c r="DY181" s="272" t="s">
        <v>153</v>
      </c>
      <c r="DZ181" s="273" t="s">
        <v>191</v>
      </c>
      <c r="EA181" s="274">
        <v>44217</v>
      </c>
      <c r="EB181" s="275">
        <v>17700</v>
      </c>
      <c r="EC181" s="276">
        <v>42542</v>
      </c>
      <c r="ED181" s="277" t="s">
        <v>226</v>
      </c>
      <c r="EE181" s="279" t="str">
        <f>HYPERLINK("https://my.pitchbook.com?c=231069-25", "View company online")</f>
        <v>View company online</v>
      </c>
    </row>
    <row r="182" spans="1:135" x14ac:dyDescent="0.45">
      <c r="A182" s="10" t="s">
        <v>4072</v>
      </c>
      <c r="B182" s="11" t="s">
        <v>4073</v>
      </c>
      <c r="C182" s="12" t="s">
        <v>153</v>
      </c>
      <c r="D182" s="13" t="s">
        <v>153</v>
      </c>
      <c r="E182" s="14" t="s">
        <v>153</v>
      </c>
      <c r="F182" s="15" t="s">
        <v>153</v>
      </c>
      <c r="G182" s="16" t="s">
        <v>153</v>
      </c>
      <c r="H182" s="17" t="s">
        <v>153</v>
      </c>
      <c r="I182" s="18" t="s">
        <v>4072</v>
      </c>
      <c r="J182" s="19" t="s">
        <v>4074</v>
      </c>
      <c r="K182" s="20" t="s">
        <v>792</v>
      </c>
      <c r="L182" s="21" t="s">
        <v>1516</v>
      </c>
      <c r="M182" s="22" t="s">
        <v>1516</v>
      </c>
      <c r="N182" s="23" t="s">
        <v>4075</v>
      </c>
      <c r="O182" s="24" t="s">
        <v>796</v>
      </c>
      <c r="P182" s="25" t="s">
        <v>4076</v>
      </c>
      <c r="Q182" s="26" t="s">
        <v>204</v>
      </c>
      <c r="R182" s="27" t="s">
        <v>153</v>
      </c>
      <c r="S182" s="28" t="s">
        <v>153</v>
      </c>
      <c r="T182" s="29" t="s">
        <v>205</v>
      </c>
      <c r="U182" s="30" t="s">
        <v>206</v>
      </c>
      <c r="V182" s="31" t="s">
        <v>153</v>
      </c>
      <c r="W182" s="32" t="s">
        <v>153</v>
      </c>
      <c r="X182" s="33" t="s">
        <v>153</v>
      </c>
      <c r="Y182" s="34" t="s">
        <v>153</v>
      </c>
      <c r="Z182" s="35" t="s">
        <v>153</v>
      </c>
      <c r="AA182" s="36">
        <v>2001</v>
      </c>
      <c r="AB182" s="37" t="s">
        <v>153</v>
      </c>
      <c r="AC182" s="38" t="s">
        <v>153</v>
      </c>
      <c r="AD182" s="39" t="s">
        <v>153</v>
      </c>
      <c r="AE182" s="40" t="s">
        <v>153</v>
      </c>
      <c r="AF182" s="41" t="s">
        <v>153</v>
      </c>
      <c r="AG182" s="42" t="s">
        <v>153</v>
      </c>
      <c r="AH182" s="43" t="s">
        <v>153</v>
      </c>
      <c r="AI182" s="44" t="s">
        <v>153</v>
      </c>
      <c r="AJ182" s="45" t="s">
        <v>153</v>
      </c>
      <c r="AK182" s="46" t="s">
        <v>153</v>
      </c>
      <c r="AL182" s="47" t="s">
        <v>153</v>
      </c>
      <c r="AM182" s="48" t="s">
        <v>153</v>
      </c>
      <c r="AN182" s="49" t="s">
        <v>153</v>
      </c>
      <c r="AO182" s="50" t="s">
        <v>153</v>
      </c>
      <c r="AP182" s="51" t="s">
        <v>153</v>
      </c>
      <c r="AQ182" s="52" t="s">
        <v>153</v>
      </c>
      <c r="AR182" s="53" t="s">
        <v>153</v>
      </c>
      <c r="AS182" s="54" t="s">
        <v>153</v>
      </c>
      <c r="AT182" s="55" t="s">
        <v>4077</v>
      </c>
      <c r="AU182" s="56" t="s">
        <v>153</v>
      </c>
      <c r="AV182" s="57" t="s">
        <v>153</v>
      </c>
      <c r="AW182" s="58" t="s">
        <v>4078</v>
      </c>
      <c r="AX182" s="59" t="s">
        <v>3423</v>
      </c>
      <c r="AY182" s="60" t="s">
        <v>153</v>
      </c>
      <c r="AZ182" s="61" t="s">
        <v>1358</v>
      </c>
      <c r="BA182" s="62" t="s">
        <v>153</v>
      </c>
      <c r="BB182" s="63" t="s">
        <v>153</v>
      </c>
      <c r="BC182" s="64" t="s">
        <v>153</v>
      </c>
      <c r="BD182" s="65" t="s">
        <v>216</v>
      </c>
      <c r="BE182" s="66" t="s">
        <v>217</v>
      </c>
      <c r="BF182" s="67" t="s">
        <v>4079</v>
      </c>
      <c r="BG182" s="68" t="s">
        <v>153</v>
      </c>
      <c r="BH182" s="69" t="s">
        <v>153</v>
      </c>
      <c r="BI182" s="70" t="s">
        <v>4080</v>
      </c>
      <c r="BJ182" s="71" t="s">
        <v>4081</v>
      </c>
      <c r="BK182" s="72" t="s">
        <v>153</v>
      </c>
      <c r="BL182" s="73" t="s">
        <v>153</v>
      </c>
      <c r="BM182" s="74" t="s">
        <v>4082</v>
      </c>
      <c r="BN182" s="75" t="s">
        <v>153</v>
      </c>
      <c r="BO182" s="76" t="s">
        <v>153</v>
      </c>
      <c r="BP182" s="77" t="s">
        <v>153</v>
      </c>
      <c r="BQ182" s="78">
        <v>39083</v>
      </c>
      <c r="BR182" s="79" t="s">
        <v>153</v>
      </c>
      <c r="BS182" s="80" t="s">
        <v>153</v>
      </c>
      <c r="BT182" s="81" t="s">
        <v>153</v>
      </c>
      <c r="BU182" s="82" t="s">
        <v>153</v>
      </c>
      <c r="BV182" s="83" t="s">
        <v>1524</v>
      </c>
      <c r="BW182" s="84" t="s">
        <v>1525</v>
      </c>
      <c r="BX182" s="85" t="s">
        <v>1526</v>
      </c>
      <c r="BY182" s="86" t="s">
        <v>225</v>
      </c>
      <c r="BZ182" s="87" t="s">
        <v>153</v>
      </c>
      <c r="CA182" s="88" t="s">
        <v>190</v>
      </c>
      <c r="CB182" s="89">
        <v>42872</v>
      </c>
      <c r="CC182" s="90">
        <v>17700</v>
      </c>
      <c r="CD182" s="91" t="s">
        <v>186</v>
      </c>
      <c r="CE182" s="92">
        <v>35400</v>
      </c>
      <c r="CF182" s="93" t="s">
        <v>187</v>
      </c>
      <c r="CG182" s="94" t="s">
        <v>1524</v>
      </c>
      <c r="CH182" s="95" t="s">
        <v>1525</v>
      </c>
      <c r="CI182" s="96" t="s">
        <v>1526</v>
      </c>
      <c r="CJ182" s="97" t="s">
        <v>225</v>
      </c>
      <c r="CK182" s="98">
        <v>42872</v>
      </c>
      <c r="CL182" s="99" t="s">
        <v>153</v>
      </c>
      <c r="CM182" s="100" t="s">
        <v>153</v>
      </c>
      <c r="CN182" s="101" t="s">
        <v>190</v>
      </c>
      <c r="CO182" s="102" t="s">
        <v>153</v>
      </c>
      <c r="CP182" s="103" t="s">
        <v>153</v>
      </c>
      <c r="CQ182" s="104" t="s">
        <v>153</v>
      </c>
      <c r="CR182" s="105" t="s">
        <v>153</v>
      </c>
      <c r="CS182" s="106" t="s">
        <v>153</v>
      </c>
      <c r="CT182" s="107" t="s">
        <v>153</v>
      </c>
      <c r="CU182" s="108" t="s">
        <v>153</v>
      </c>
      <c r="CV182" s="109" t="s">
        <v>153</v>
      </c>
      <c r="CW182" s="110" t="s">
        <v>153</v>
      </c>
      <c r="CX182" s="111" t="s">
        <v>153</v>
      </c>
      <c r="CY182" s="112" t="s">
        <v>153</v>
      </c>
      <c r="CZ182" s="113" t="s">
        <v>153</v>
      </c>
      <c r="DA182" s="114" t="s">
        <v>153</v>
      </c>
      <c r="DB182" s="115" t="s">
        <v>153</v>
      </c>
      <c r="DC182" s="116" t="s">
        <v>153</v>
      </c>
      <c r="DD182" s="117" t="s">
        <v>153</v>
      </c>
      <c r="DE182" s="118" t="s">
        <v>153</v>
      </c>
      <c r="DF182" s="119" t="s">
        <v>153</v>
      </c>
      <c r="DG182" s="120" t="s">
        <v>153</v>
      </c>
      <c r="DH182" s="121" t="s">
        <v>153</v>
      </c>
      <c r="DI182" s="122" t="s">
        <v>153</v>
      </c>
      <c r="DJ182" s="123" t="s">
        <v>153</v>
      </c>
      <c r="DK182" s="124" t="s">
        <v>153</v>
      </c>
      <c r="DL182" s="125" t="s">
        <v>153</v>
      </c>
      <c r="DM182" s="126" t="s">
        <v>153</v>
      </c>
      <c r="DN182" s="127" t="s">
        <v>153</v>
      </c>
      <c r="DO182" s="128" t="s">
        <v>153</v>
      </c>
      <c r="DP182" s="129" t="s">
        <v>153</v>
      </c>
      <c r="DQ182" s="130" t="s">
        <v>153</v>
      </c>
      <c r="DR182" s="131" t="s">
        <v>153</v>
      </c>
      <c r="DS182" s="132" t="s">
        <v>153</v>
      </c>
      <c r="DT182" s="133" t="s">
        <v>153</v>
      </c>
      <c r="DU182" s="134" t="s">
        <v>153</v>
      </c>
      <c r="DV182" s="135" t="s">
        <v>153</v>
      </c>
      <c r="DW182" s="136" t="s">
        <v>153</v>
      </c>
      <c r="DX182" s="137" t="s">
        <v>153</v>
      </c>
      <c r="DY182" s="138" t="s">
        <v>153</v>
      </c>
      <c r="DZ182" s="139" t="s">
        <v>191</v>
      </c>
      <c r="EA182" s="140">
        <v>44236</v>
      </c>
      <c r="EB182" s="141">
        <v>35400</v>
      </c>
      <c r="EC182" s="142">
        <v>42872</v>
      </c>
      <c r="ED182" s="143" t="s">
        <v>1524</v>
      </c>
      <c r="EE182" s="278" t="str">
        <f>HYPERLINK("https://my.pitchbook.com?c=179222-86", "View company online")</f>
        <v>View company online</v>
      </c>
    </row>
    <row r="183" spans="1:135" x14ac:dyDescent="0.45">
      <c r="A183" s="144" t="s">
        <v>4083</v>
      </c>
      <c r="B183" s="145" t="s">
        <v>4084</v>
      </c>
      <c r="C183" s="146" t="s">
        <v>153</v>
      </c>
      <c r="D183" s="147" t="s">
        <v>153</v>
      </c>
      <c r="E183" s="148" t="s">
        <v>153</v>
      </c>
      <c r="F183" s="149" t="s">
        <v>153</v>
      </c>
      <c r="G183" s="150" t="s">
        <v>4085</v>
      </c>
      <c r="H183" s="151" t="s">
        <v>153</v>
      </c>
      <c r="I183" s="152" t="s">
        <v>4083</v>
      </c>
      <c r="J183" s="153" t="s">
        <v>4086</v>
      </c>
      <c r="K183" s="154" t="s">
        <v>232</v>
      </c>
      <c r="L183" s="155" t="s">
        <v>2162</v>
      </c>
      <c r="M183" s="156" t="s">
        <v>4087</v>
      </c>
      <c r="N183" s="157" t="s">
        <v>4088</v>
      </c>
      <c r="O183" s="158" t="s">
        <v>153</v>
      </c>
      <c r="P183" s="159" t="s">
        <v>4089</v>
      </c>
      <c r="Q183" s="160" t="s">
        <v>204</v>
      </c>
      <c r="R183" s="161" t="s">
        <v>153</v>
      </c>
      <c r="S183" s="162" t="s">
        <v>290</v>
      </c>
      <c r="T183" s="163" t="s">
        <v>205</v>
      </c>
      <c r="U183" s="164" t="s">
        <v>237</v>
      </c>
      <c r="V183" s="165" t="s">
        <v>153</v>
      </c>
      <c r="W183" s="166">
        <v>32</v>
      </c>
      <c r="X183" s="167" t="s">
        <v>4090</v>
      </c>
      <c r="Y183" s="168" t="s">
        <v>153</v>
      </c>
      <c r="Z183" s="169" t="s">
        <v>153</v>
      </c>
      <c r="AA183" s="170">
        <v>1993</v>
      </c>
      <c r="AB183" s="171" t="s">
        <v>153</v>
      </c>
      <c r="AC183" s="172" t="s">
        <v>153</v>
      </c>
      <c r="AD183" s="173" t="s">
        <v>153</v>
      </c>
      <c r="AE183" s="174" t="s">
        <v>153</v>
      </c>
      <c r="AF183" s="175" t="s">
        <v>153</v>
      </c>
      <c r="AG183" s="176" t="s">
        <v>153</v>
      </c>
      <c r="AH183" s="177" t="s">
        <v>153</v>
      </c>
      <c r="AI183" s="178" t="s">
        <v>153</v>
      </c>
      <c r="AJ183" s="179" t="s">
        <v>153</v>
      </c>
      <c r="AK183" s="180" t="s">
        <v>153</v>
      </c>
      <c r="AL183" s="181" t="s">
        <v>153</v>
      </c>
      <c r="AM183" s="182" t="s">
        <v>153</v>
      </c>
      <c r="AN183" s="183" t="s">
        <v>599</v>
      </c>
      <c r="AO183" s="184" t="s">
        <v>4091</v>
      </c>
      <c r="AP183" s="185" t="s">
        <v>4092</v>
      </c>
      <c r="AQ183" s="186" t="s">
        <v>1241</v>
      </c>
      <c r="AR183" s="187" t="s">
        <v>153</v>
      </c>
      <c r="AS183" s="188" t="s">
        <v>4093</v>
      </c>
      <c r="AT183" s="189" t="s">
        <v>4094</v>
      </c>
      <c r="AU183" s="190" t="s">
        <v>4095</v>
      </c>
      <c r="AV183" s="191" t="s">
        <v>4096</v>
      </c>
      <c r="AW183" s="192" t="s">
        <v>4097</v>
      </c>
      <c r="AX183" s="193" t="s">
        <v>153</v>
      </c>
      <c r="AY183" s="194" t="s">
        <v>4098</v>
      </c>
      <c r="AZ183" s="195" t="s">
        <v>4099</v>
      </c>
      <c r="BA183" s="196" t="s">
        <v>4093</v>
      </c>
      <c r="BB183" s="197" t="s">
        <v>4100</v>
      </c>
      <c r="BC183" s="198" t="s">
        <v>4101</v>
      </c>
      <c r="BD183" s="199" t="s">
        <v>216</v>
      </c>
      <c r="BE183" s="200" t="s">
        <v>217</v>
      </c>
      <c r="BF183" s="201" t="s">
        <v>4102</v>
      </c>
      <c r="BG183" s="202" t="s">
        <v>153</v>
      </c>
      <c r="BH183" s="203" t="s">
        <v>153</v>
      </c>
      <c r="BI183" s="204" t="s">
        <v>4103</v>
      </c>
      <c r="BJ183" s="205" t="s">
        <v>153</v>
      </c>
      <c r="BK183" s="206" t="s">
        <v>153</v>
      </c>
      <c r="BL183" s="207" t="s">
        <v>153</v>
      </c>
      <c r="BM183" s="208" t="s">
        <v>153</v>
      </c>
      <c r="BN183" s="209" t="s">
        <v>153</v>
      </c>
      <c r="BO183" s="210" t="s">
        <v>153</v>
      </c>
      <c r="BP183" s="211" t="s">
        <v>4104</v>
      </c>
      <c r="BQ183" s="212">
        <v>40060</v>
      </c>
      <c r="BR183" s="213">
        <v>17700</v>
      </c>
      <c r="BS183" s="214" t="s">
        <v>186</v>
      </c>
      <c r="BT183" s="215">
        <v>17700</v>
      </c>
      <c r="BU183" s="216" t="s">
        <v>186</v>
      </c>
      <c r="BV183" s="217" t="s">
        <v>226</v>
      </c>
      <c r="BW183" s="218" t="s">
        <v>153</v>
      </c>
      <c r="BX183" s="219" t="s">
        <v>153</v>
      </c>
      <c r="BY183" s="220" t="s">
        <v>225</v>
      </c>
      <c r="BZ183" s="221" t="s">
        <v>153</v>
      </c>
      <c r="CA183" s="222" t="s">
        <v>190</v>
      </c>
      <c r="CB183" s="223">
        <v>40060</v>
      </c>
      <c r="CC183" s="224">
        <v>17700</v>
      </c>
      <c r="CD183" s="225" t="s">
        <v>186</v>
      </c>
      <c r="CE183" s="226">
        <v>17700</v>
      </c>
      <c r="CF183" s="227" t="s">
        <v>186</v>
      </c>
      <c r="CG183" s="228" t="s">
        <v>226</v>
      </c>
      <c r="CH183" s="229" t="s">
        <v>153</v>
      </c>
      <c r="CI183" s="230" t="s">
        <v>153</v>
      </c>
      <c r="CJ183" s="231" t="s">
        <v>225</v>
      </c>
      <c r="CK183" s="232">
        <v>40060</v>
      </c>
      <c r="CL183" s="233" t="s">
        <v>153</v>
      </c>
      <c r="CM183" s="234" t="s">
        <v>153</v>
      </c>
      <c r="CN183" s="235" t="s">
        <v>190</v>
      </c>
      <c r="CO183" s="236" t="s">
        <v>153</v>
      </c>
      <c r="CP183" s="237" t="s">
        <v>153</v>
      </c>
      <c r="CQ183" s="238" t="s">
        <v>153</v>
      </c>
      <c r="CR183" s="239" t="s">
        <v>153</v>
      </c>
      <c r="CS183" s="240" t="s">
        <v>153</v>
      </c>
      <c r="CT183" s="241" t="s">
        <v>153</v>
      </c>
      <c r="CU183" s="242" t="s">
        <v>153</v>
      </c>
      <c r="CV183" s="243" t="s">
        <v>153</v>
      </c>
      <c r="CW183" s="244" t="s">
        <v>153</v>
      </c>
      <c r="CX183" s="245" t="s">
        <v>153</v>
      </c>
      <c r="CY183" s="246" t="s">
        <v>153</v>
      </c>
      <c r="CZ183" s="247" t="s">
        <v>153</v>
      </c>
      <c r="DA183" s="248" t="s">
        <v>153</v>
      </c>
      <c r="DB183" s="249" t="s">
        <v>153</v>
      </c>
      <c r="DC183" s="250" t="s">
        <v>153</v>
      </c>
      <c r="DD183" s="251" t="s">
        <v>153</v>
      </c>
      <c r="DE183" s="252" t="s">
        <v>153</v>
      </c>
      <c r="DF183" s="253" t="s">
        <v>153</v>
      </c>
      <c r="DG183" s="254" t="s">
        <v>153</v>
      </c>
      <c r="DH183" s="255" t="s">
        <v>153</v>
      </c>
      <c r="DI183" s="256" t="s">
        <v>153</v>
      </c>
      <c r="DJ183" s="257" t="s">
        <v>153</v>
      </c>
      <c r="DK183" s="258" t="s">
        <v>153</v>
      </c>
      <c r="DL183" s="259" t="s">
        <v>153</v>
      </c>
      <c r="DM183" s="260" t="s">
        <v>153</v>
      </c>
      <c r="DN183" s="261" t="s">
        <v>153</v>
      </c>
      <c r="DO183" s="262" t="s">
        <v>153</v>
      </c>
      <c r="DP183" s="263" t="s">
        <v>153</v>
      </c>
      <c r="DQ183" s="264" t="s">
        <v>153</v>
      </c>
      <c r="DR183" s="265" t="s">
        <v>153</v>
      </c>
      <c r="DS183" s="266" t="s">
        <v>153</v>
      </c>
      <c r="DT183" s="267" t="s">
        <v>153</v>
      </c>
      <c r="DU183" s="268" t="s">
        <v>153</v>
      </c>
      <c r="DV183" s="269" t="s">
        <v>153</v>
      </c>
      <c r="DW183" s="270" t="s">
        <v>153</v>
      </c>
      <c r="DX183" s="271" t="s">
        <v>153</v>
      </c>
      <c r="DY183" s="272" t="s">
        <v>153</v>
      </c>
      <c r="DZ183" s="273" t="s">
        <v>191</v>
      </c>
      <c r="EA183" s="274">
        <v>44147</v>
      </c>
      <c r="EB183" s="275">
        <v>17700</v>
      </c>
      <c r="EC183" s="276">
        <v>40060</v>
      </c>
      <c r="ED183" s="277" t="s">
        <v>226</v>
      </c>
      <c r="EE183" s="279" t="str">
        <f>HYPERLINK("https://my.pitchbook.com?c=40443-94", "View company online")</f>
        <v>View company online</v>
      </c>
    </row>
    <row r="184" spans="1:135" x14ac:dyDescent="0.45">
      <c r="A184" s="10" t="s">
        <v>4105</v>
      </c>
      <c r="B184" s="11" t="s">
        <v>4106</v>
      </c>
      <c r="C184" s="12" t="s">
        <v>153</v>
      </c>
      <c r="D184" s="13" t="s">
        <v>153</v>
      </c>
      <c r="E184" s="14" t="s">
        <v>153</v>
      </c>
      <c r="F184" s="15" t="s">
        <v>4107</v>
      </c>
      <c r="G184" s="16" t="s">
        <v>4108</v>
      </c>
      <c r="H184" s="17" t="s">
        <v>153</v>
      </c>
      <c r="I184" s="18" t="s">
        <v>4105</v>
      </c>
      <c r="J184" s="19" t="s">
        <v>4109</v>
      </c>
      <c r="K184" s="20" t="s">
        <v>198</v>
      </c>
      <c r="L184" s="21" t="s">
        <v>199</v>
      </c>
      <c r="M184" s="22" t="s">
        <v>344</v>
      </c>
      <c r="N184" s="23" t="s">
        <v>4110</v>
      </c>
      <c r="O184" s="24" t="s">
        <v>399</v>
      </c>
      <c r="P184" s="25" t="s">
        <v>4111</v>
      </c>
      <c r="Q184" s="26" t="s">
        <v>204</v>
      </c>
      <c r="R184" s="27" t="s">
        <v>153</v>
      </c>
      <c r="S184" s="28" t="s">
        <v>290</v>
      </c>
      <c r="T184" s="29" t="s">
        <v>205</v>
      </c>
      <c r="U184" s="30" t="s">
        <v>237</v>
      </c>
      <c r="V184" s="31" t="s">
        <v>153</v>
      </c>
      <c r="W184" s="32">
        <v>31427</v>
      </c>
      <c r="X184" s="33" t="s">
        <v>4112</v>
      </c>
      <c r="Y184" s="34" t="s">
        <v>153</v>
      </c>
      <c r="Z184" s="35" t="s">
        <v>153</v>
      </c>
      <c r="AA184" s="36">
        <v>1996</v>
      </c>
      <c r="AB184" s="37" t="s">
        <v>153</v>
      </c>
      <c r="AC184" s="38" t="s">
        <v>153</v>
      </c>
      <c r="AD184" s="39" t="s">
        <v>153</v>
      </c>
      <c r="AE184" s="40" t="s">
        <v>153</v>
      </c>
      <c r="AF184" s="41" t="s">
        <v>153</v>
      </c>
      <c r="AG184" s="42" t="s">
        <v>153</v>
      </c>
      <c r="AH184" s="43" t="s">
        <v>153</v>
      </c>
      <c r="AI184" s="44" t="s">
        <v>153</v>
      </c>
      <c r="AJ184" s="45" t="s">
        <v>153</v>
      </c>
      <c r="AK184" s="46" t="s">
        <v>153</v>
      </c>
      <c r="AL184" s="47" t="s">
        <v>153</v>
      </c>
      <c r="AM184" s="48" t="s">
        <v>153</v>
      </c>
      <c r="AN184" s="49" t="s">
        <v>4113</v>
      </c>
      <c r="AO184" s="50" t="s">
        <v>153</v>
      </c>
      <c r="AP184" s="51" t="s">
        <v>153</v>
      </c>
      <c r="AQ184" s="52" t="s">
        <v>153</v>
      </c>
      <c r="AR184" s="53" t="s">
        <v>153</v>
      </c>
      <c r="AS184" s="54" t="s">
        <v>153</v>
      </c>
      <c r="AT184" s="55" t="s">
        <v>3509</v>
      </c>
      <c r="AU184" s="56" t="s">
        <v>4114</v>
      </c>
      <c r="AV184" s="57" t="s">
        <v>4115</v>
      </c>
      <c r="AW184" s="58" t="s">
        <v>3512</v>
      </c>
      <c r="AX184" s="59" t="s">
        <v>153</v>
      </c>
      <c r="AY184" s="60" t="s">
        <v>4116</v>
      </c>
      <c r="AZ184" s="61" t="s">
        <v>3061</v>
      </c>
      <c r="BA184" s="62" t="s">
        <v>4117</v>
      </c>
      <c r="BB184" s="63" t="s">
        <v>4118</v>
      </c>
      <c r="BC184" s="64" t="s">
        <v>153</v>
      </c>
      <c r="BD184" s="65" t="s">
        <v>216</v>
      </c>
      <c r="BE184" s="66" t="s">
        <v>217</v>
      </c>
      <c r="BF184" s="67" t="s">
        <v>4119</v>
      </c>
      <c r="BG184" s="68" t="s">
        <v>153</v>
      </c>
      <c r="BH184" s="69" t="s">
        <v>153</v>
      </c>
      <c r="BI184" s="70" t="s">
        <v>4120</v>
      </c>
      <c r="BJ184" s="71" t="s">
        <v>4121</v>
      </c>
      <c r="BK184" s="72" t="s">
        <v>153</v>
      </c>
      <c r="BL184" s="73" t="s">
        <v>153</v>
      </c>
      <c r="BM184" s="74" t="s">
        <v>4122</v>
      </c>
      <c r="BN184" s="75" t="s">
        <v>153</v>
      </c>
      <c r="BO184" s="76" t="s">
        <v>153</v>
      </c>
      <c r="BP184" s="77" t="s">
        <v>4123</v>
      </c>
      <c r="BQ184" s="78">
        <v>35240</v>
      </c>
      <c r="BR184" s="79" t="s">
        <v>153</v>
      </c>
      <c r="BS184" s="80" t="s">
        <v>153</v>
      </c>
      <c r="BT184" s="81" t="s">
        <v>153</v>
      </c>
      <c r="BU184" s="82" t="s">
        <v>153</v>
      </c>
      <c r="BV184" s="83" t="s">
        <v>251</v>
      </c>
      <c r="BW184" s="84" t="s">
        <v>524</v>
      </c>
      <c r="BX184" s="85" t="s">
        <v>153</v>
      </c>
      <c r="BY184" s="86" t="s">
        <v>252</v>
      </c>
      <c r="BZ184" s="87" t="s">
        <v>153</v>
      </c>
      <c r="CA184" s="88" t="s">
        <v>190</v>
      </c>
      <c r="CB184" s="89">
        <v>40345</v>
      </c>
      <c r="CC184" s="90">
        <v>17662.78</v>
      </c>
      <c r="CD184" s="91" t="s">
        <v>186</v>
      </c>
      <c r="CE184" s="92">
        <v>17762.25</v>
      </c>
      <c r="CF184" s="93" t="s">
        <v>186</v>
      </c>
      <c r="CG184" s="94" t="s">
        <v>226</v>
      </c>
      <c r="CH184" s="95" t="s">
        <v>153</v>
      </c>
      <c r="CI184" s="96" t="s">
        <v>153</v>
      </c>
      <c r="CJ184" s="97" t="s">
        <v>225</v>
      </c>
      <c r="CK184" s="98">
        <v>40345</v>
      </c>
      <c r="CL184" s="99" t="s">
        <v>153</v>
      </c>
      <c r="CM184" s="100" t="s">
        <v>153</v>
      </c>
      <c r="CN184" s="101" t="s">
        <v>190</v>
      </c>
      <c r="CO184" s="102" t="s">
        <v>153</v>
      </c>
      <c r="CP184" s="103" t="s">
        <v>153</v>
      </c>
      <c r="CQ184" s="104" t="s">
        <v>153</v>
      </c>
      <c r="CR184" s="105" t="s">
        <v>153</v>
      </c>
      <c r="CS184" s="106" t="s">
        <v>153</v>
      </c>
      <c r="CT184" s="107" t="s">
        <v>153</v>
      </c>
      <c r="CU184" s="108" t="s">
        <v>153</v>
      </c>
      <c r="CV184" s="109" t="s">
        <v>153</v>
      </c>
      <c r="CW184" s="110" t="s">
        <v>153</v>
      </c>
      <c r="CX184" s="111" t="s">
        <v>153</v>
      </c>
      <c r="CY184" s="112" t="s">
        <v>153</v>
      </c>
      <c r="CZ184" s="113" t="s">
        <v>153</v>
      </c>
      <c r="DA184" s="114" t="s">
        <v>153</v>
      </c>
      <c r="DB184" s="115" t="s">
        <v>153</v>
      </c>
      <c r="DC184" s="116" t="s">
        <v>153</v>
      </c>
      <c r="DD184" s="117" t="s">
        <v>153</v>
      </c>
      <c r="DE184" s="118" t="s">
        <v>153</v>
      </c>
      <c r="DF184" s="119" t="s">
        <v>153</v>
      </c>
      <c r="DG184" s="120" t="s">
        <v>153</v>
      </c>
      <c r="DH184" s="121" t="s">
        <v>153</v>
      </c>
      <c r="DI184" s="122" t="s">
        <v>153</v>
      </c>
      <c r="DJ184" s="123" t="s">
        <v>153</v>
      </c>
      <c r="DK184" s="124" t="s">
        <v>153</v>
      </c>
      <c r="DL184" s="125" t="s">
        <v>153</v>
      </c>
      <c r="DM184" s="126" t="s">
        <v>153</v>
      </c>
      <c r="DN184" s="127" t="s">
        <v>153</v>
      </c>
      <c r="DO184" s="128" t="s">
        <v>153</v>
      </c>
      <c r="DP184" s="129" t="s">
        <v>153</v>
      </c>
      <c r="DQ184" s="130" t="s">
        <v>153</v>
      </c>
      <c r="DR184" s="131" t="s">
        <v>153</v>
      </c>
      <c r="DS184" s="132" t="s">
        <v>153</v>
      </c>
      <c r="DT184" s="133" t="s">
        <v>153</v>
      </c>
      <c r="DU184" s="134" t="s">
        <v>153</v>
      </c>
      <c r="DV184" s="135" t="s">
        <v>153</v>
      </c>
      <c r="DW184" s="136" t="s">
        <v>153</v>
      </c>
      <c r="DX184" s="137" t="s">
        <v>153</v>
      </c>
      <c r="DY184" s="138" t="s">
        <v>153</v>
      </c>
      <c r="DZ184" s="139" t="s">
        <v>191</v>
      </c>
      <c r="EA184" s="140">
        <v>44217</v>
      </c>
      <c r="EB184" s="141">
        <v>17762.25</v>
      </c>
      <c r="EC184" s="142">
        <v>40345</v>
      </c>
      <c r="ED184" s="143" t="s">
        <v>226</v>
      </c>
      <c r="EE184" s="278" t="str">
        <f>HYPERLINK("https://my.pitchbook.com?c=59430-70", "View company online")</f>
        <v>View company online</v>
      </c>
    </row>
    <row r="185" spans="1:135" x14ac:dyDescent="0.45">
      <c r="A185" s="144" t="s">
        <v>4124</v>
      </c>
      <c r="B185" s="145" t="s">
        <v>4125</v>
      </c>
      <c r="C185" s="146" t="s">
        <v>153</v>
      </c>
      <c r="D185" s="147" t="s">
        <v>153</v>
      </c>
      <c r="E185" s="148" t="s">
        <v>4126</v>
      </c>
      <c r="F185" s="149" t="s">
        <v>4127</v>
      </c>
      <c r="G185" s="150" t="s">
        <v>4128</v>
      </c>
      <c r="H185" s="151" t="s">
        <v>4129</v>
      </c>
      <c r="I185" s="152" t="s">
        <v>4124</v>
      </c>
      <c r="J185" s="153" t="s">
        <v>4130</v>
      </c>
      <c r="K185" s="154" t="s">
        <v>232</v>
      </c>
      <c r="L185" s="155" t="s">
        <v>233</v>
      </c>
      <c r="M185" s="156" t="s">
        <v>3219</v>
      </c>
      <c r="N185" s="157" t="s">
        <v>3220</v>
      </c>
      <c r="O185" s="158" t="s">
        <v>153</v>
      </c>
      <c r="P185" s="159" t="s">
        <v>4131</v>
      </c>
      <c r="Q185" s="160" t="s">
        <v>204</v>
      </c>
      <c r="R185" s="161">
        <v>13238.31</v>
      </c>
      <c r="S185" s="162" t="s">
        <v>163</v>
      </c>
      <c r="T185" s="163" t="s">
        <v>164</v>
      </c>
      <c r="U185" s="164" t="s">
        <v>1706</v>
      </c>
      <c r="V185" s="165" t="s">
        <v>4132</v>
      </c>
      <c r="W185" s="166" t="s">
        <v>153</v>
      </c>
      <c r="X185" s="167" t="s">
        <v>153</v>
      </c>
      <c r="Y185" s="168" t="s">
        <v>153</v>
      </c>
      <c r="Z185" s="169" t="s">
        <v>153</v>
      </c>
      <c r="AA185" s="170">
        <v>1853</v>
      </c>
      <c r="AB185" s="171" t="s">
        <v>4133</v>
      </c>
      <c r="AC185" s="172" t="s">
        <v>153</v>
      </c>
      <c r="AD185" s="173" t="s">
        <v>153</v>
      </c>
      <c r="AE185" s="174" t="s">
        <v>153</v>
      </c>
      <c r="AF185" s="175" t="s">
        <v>153</v>
      </c>
      <c r="AG185" s="176" t="s">
        <v>153</v>
      </c>
      <c r="AH185" s="177" t="s">
        <v>153</v>
      </c>
      <c r="AI185" s="178" t="s">
        <v>153</v>
      </c>
      <c r="AJ185" s="179" t="s">
        <v>153</v>
      </c>
      <c r="AK185" s="180" t="s">
        <v>153</v>
      </c>
      <c r="AL185" s="181" t="s">
        <v>153</v>
      </c>
      <c r="AM185" s="182" t="s">
        <v>153</v>
      </c>
      <c r="AN185" s="183" t="s">
        <v>153</v>
      </c>
      <c r="AO185" s="184" t="s">
        <v>4134</v>
      </c>
      <c r="AP185" s="185" t="s">
        <v>4135</v>
      </c>
      <c r="AQ185" s="186" t="s">
        <v>4136</v>
      </c>
      <c r="AR185" s="187" t="s">
        <v>153</v>
      </c>
      <c r="AS185" s="188" t="s">
        <v>4137</v>
      </c>
      <c r="AT185" s="189" t="s">
        <v>4138</v>
      </c>
      <c r="AU185" s="190" t="s">
        <v>4139</v>
      </c>
      <c r="AV185" s="191" t="s">
        <v>153</v>
      </c>
      <c r="AW185" s="192" t="s">
        <v>4140</v>
      </c>
      <c r="AX185" s="193" t="s">
        <v>177</v>
      </c>
      <c r="AY185" s="194" t="s">
        <v>4141</v>
      </c>
      <c r="AZ185" s="195" t="s">
        <v>179</v>
      </c>
      <c r="BA185" s="196" t="s">
        <v>4137</v>
      </c>
      <c r="BB185" s="197" t="s">
        <v>153</v>
      </c>
      <c r="BC185" s="198" t="s">
        <v>4142</v>
      </c>
      <c r="BD185" s="199" t="s">
        <v>180</v>
      </c>
      <c r="BE185" s="200" t="s">
        <v>181</v>
      </c>
      <c r="BF185" s="201" t="s">
        <v>4143</v>
      </c>
      <c r="BG185" s="202" t="s">
        <v>153</v>
      </c>
      <c r="BH185" s="203" t="s">
        <v>153</v>
      </c>
      <c r="BI185" s="204" t="s">
        <v>4133</v>
      </c>
      <c r="BJ185" s="205" t="s">
        <v>4144</v>
      </c>
      <c r="BK185" s="206" t="s">
        <v>153</v>
      </c>
      <c r="BL185" s="207" t="s">
        <v>153</v>
      </c>
      <c r="BM185" s="208" t="s">
        <v>4145</v>
      </c>
      <c r="BN185" s="209" t="s">
        <v>153</v>
      </c>
      <c r="BO185" s="210" t="s">
        <v>4146</v>
      </c>
      <c r="BP185" s="211" t="s">
        <v>4147</v>
      </c>
      <c r="BQ185" s="212">
        <v>24838</v>
      </c>
      <c r="BR185" s="213" t="s">
        <v>153</v>
      </c>
      <c r="BS185" s="214" t="s">
        <v>153</v>
      </c>
      <c r="BT185" s="215" t="s">
        <v>153</v>
      </c>
      <c r="BU185" s="216" t="s">
        <v>153</v>
      </c>
      <c r="BV185" s="217" t="s">
        <v>226</v>
      </c>
      <c r="BW185" s="218" t="s">
        <v>153</v>
      </c>
      <c r="BX185" s="219" t="s">
        <v>153</v>
      </c>
      <c r="BY185" s="220" t="s">
        <v>225</v>
      </c>
      <c r="BZ185" s="221" t="s">
        <v>153</v>
      </c>
      <c r="CA185" s="222" t="s">
        <v>190</v>
      </c>
      <c r="CB185" s="223">
        <v>39832</v>
      </c>
      <c r="CC185" s="224">
        <v>17660.25</v>
      </c>
      <c r="CD185" s="225" t="s">
        <v>186</v>
      </c>
      <c r="CE185" s="226">
        <v>17660.25</v>
      </c>
      <c r="CF185" s="227" t="s">
        <v>187</v>
      </c>
      <c r="CG185" s="228" t="s">
        <v>226</v>
      </c>
      <c r="CH185" s="229" t="s">
        <v>153</v>
      </c>
      <c r="CI185" s="230" t="s">
        <v>153</v>
      </c>
      <c r="CJ185" s="231" t="s">
        <v>225</v>
      </c>
      <c r="CK185" s="232">
        <v>39832</v>
      </c>
      <c r="CL185" s="233" t="s">
        <v>153</v>
      </c>
      <c r="CM185" s="234" t="s">
        <v>153</v>
      </c>
      <c r="CN185" s="235" t="s">
        <v>190</v>
      </c>
      <c r="CO185" s="236">
        <v>0.41</v>
      </c>
      <c r="CP185" s="237">
        <v>92</v>
      </c>
      <c r="CQ185" s="238">
        <v>-0.04</v>
      </c>
      <c r="CR185" s="239">
        <v>-8.17</v>
      </c>
      <c r="CS185" s="240">
        <v>0.41</v>
      </c>
      <c r="CT185" s="241">
        <v>92</v>
      </c>
      <c r="CU185" s="242" t="s">
        <v>153</v>
      </c>
      <c r="CV185" s="243" t="s">
        <v>153</v>
      </c>
      <c r="CW185" s="244">
        <v>0.52</v>
      </c>
      <c r="CX185" s="245">
        <v>79</v>
      </c>
      <c r="CY185" s="246">
        <v>0.3</v>
      </c>
      <c r="CZ185" s="247">
        <v>93</v>
      </c>
      <c r="DA185" s="248" t="s">
        <v>153</v>
      </c>
      <c r="DB185" s="249" t="s">
        <v>153</v>
      </c>
      <c r="DC185" s="250">
        <v>1311</v>
      </c>
      <c r="DD185" s="251">
        <v>100</v>
      </c>
      <c r="DE185" s="252">
        <v>0.31</v>
      </c>
      <c r="DF185" s="253">
        <v>0.02</v>
      </c>
      <c r="DG185" s="254">
        <v>1311</v>
      </c>
      <c r="DH185" s="255">
        <v>100</v>
      </c>
      <c r="DI185" s="256" t="s">
        <v>153</v>
      </c>
      <c r="DJ185" s="257" t="s">
        <v>153</v>
      </c>
      <c r="DK185" s="258">
        <v>2318.44</v>
      </c>
      <c r="DL185" s="259">
        <v>100</v>
      </c>
      <c r="DM185" s="260">
        <v>303.56</v>
      </c>
      <c r="DN185" s="261">
        <v>100</v>
      </c>
      <c r="DO185" s="262" t="s">
        <v>153</v>
      </c>
      <c r="DP185" s="263" t="s">
        <v>153</v>
      </c>
      <c r="DQ185" s="264">
        <v>1368724</v>
      </c>
      <c r="DR185" s="265">
        <v>22401</v>
      </c>
      <c r="DS185" s="266">
        <v>1.66</v>
      </c>
      <c r="DT185" s="267">
        <v>4852</v>
      </c>
      <c r="DU185" s="268">
        <v>11</v>
      </c>
      <c r="DV185" s="269">
        <v>0.23</v>
      </c>
      <c r="DW185" s="270" t="s">
        <v>153</v>
      </c>
      <c r="DX185" s="271" t="s">
        <v>153</v>
      </c>
      <c r="DY185" s="272" t="s">
        <v>153</v>
      </c>
      <c r="DZ185" s="273" t="s">
        <v>191</v>
      </c>
      <c r="EA185" s="274">
        <v>44348</v>
      </c>
      <c r="EB185" s="275">
        <v>17660.25</v>
      </c>
      <c r="EC185" s="276">
        <v>39832</v>
      </c>
      <c r="ED185" s="277" t="s">
        <v>226</v>
      </c>
      <c r="EE185" s="279" t="str">
        <f>HYPERLINK("https://my.pitchbook.com?c=10409-32", "View company online")</f>
        <v>View company online</v>
      </c>
    </row>
    <row r="186" spans="1:135" x14ac:dyDescent="0.45">
      <c r="A186" s="10" t="s">
        <v>4148</v>
      </c>
      <c r="B186" s="11" t="s">
        <v>4149</v>
      </c>
      <c r="C186" s="12" t="s">
        <v>153</v>
      </c>
      <c r="D186" s="13" t="s">
        <v>153</v>
      </c>
      <c r="E186" s="14" t="s">
        <v>153</v>
      </c>
      <c r="F186" s="15" t="s">
        <v>153</v>
      </c>
      <c r="G186" s="16" t="s">
        <v>153</v>
      </c>
      <c r="H186" s="17" t="s">
        <v>153</v>
      </c>
      <c r="I186" s="18" t="s">
        <v>4148</v>
      </c>
      <c r="J186" s="19" t="s">
        <v>4150</v>
      </c>
      <c r="K186" s="20" t="s">
        <v>257</v>
      </c>
      <c r="L186" s="21" t="s">
        <v>258</v>
      </c>
      <c r="M186" s="22" t="s">
        <v>259</v>
      </c>
      <c r="N186" s="23" t="s">
        <v>4151</v>
      </c>
      <c r="O186" s="24" t="s">
        <v>261</v>
      </c>
      <c r="P186" s="25" t="s">
        <v>4152</v>
      </c>
      <c r="Q186" s="26" t="s">
        <v>204</v>
      </c>
      <c r="R186" s="27" t="s">
        <v>153</v>
      </c>
      <c r="S186" s="28" t="s">
        <v>4153</v>
      </c>
      <c r="T186" s="29" t="s">
        <v>205</v>
      </c>
      <c r="U186" s="30" t="s">
        <v>206</v>
      </c>
      <c r="V186" s="31" t="s">
        <v>153</v>
      </c>
      <c r="W186" s="32">
        <v>3800</v>
      </c>
      <c r="X186" s="33" t="s">
        <v>4154</v>
      </c>
      <c r="Y186" s="34" t="s">
        <v>153</v>
      </c>
      <c r="Z186" s="35" t="s">
        <v>153</v>
      </c>
      <c r="AA186" s="36" t="s">
        <v>153</v>
      </c>
      <c r="AB186" s="37" t="s">
        <v>153</v>
      </c>
      <c r="AC186" s="38" t="s">
        <v>153</v>
      </c>
      <c r="AD186" s="39" t="s">
        <v>153</v>
      </c>
      <c r="AE186" s="40" t="s">
        <v>153</v>
      </c>
      <c r="AF186" s="41" t="s">
        <v>153</v>
      </c>
      <c r="AG186" s="42" t="s">
        <v>153</v>
      </c>
      <c r="AH186" s="43" t="s">
        <v>153</v>
      </c>
      <c r="AI186" s="44" t="s">
        <v>153</v>
      </c>
      <c r="AJ186" s="45" t="s">
        <v>153</v>
      </c>
      <c r="AK186" s="46" t="s">
        <v>153</v>
      </c>
      <c r="AL186" s="47" t="s">
        <v>153</v>
      </c>
      <c r="AM186" s="48" t="s">
        <v>153</v>
      </c>
      <c r="AN186" s="49" t="s">
        <v>868</v>
      </c>
      <c r="AO186" s="50" t="s">
        <v>153</v>
      </c>
      <c r="AP186" s="51" t="s">
        <v>153</v>
      </c>
      <c r="AQ186" s="52" t="s">
        <v>153</v>
      </c>
      <c r="AR186" s="53" t="s">
        <v>153</v>
      </c>
      <c r="AS186" s="54" t="s">
        <v>153</v>
      </c>
      <c r="AT186" s="55" t="s">
        <v>4155</v>
      </c>
      <c r="AU186" s="56" t="s">
        <v>4156</v>
      </c>
      <c r="AV186" s="57" t="s">
        <v>153</v>
      </c>
      <c r="AW186" s="58" t="s">
        <v>4156</v>
      </c>
      <c r="AX186" s="59" t="s">
        <v>273</v>
      </c>
      <c r="AY186" s="60" t="s">
        <v>4157</v>
      </c>
      <c r="AZ186" s="61" t="s">
        <v>215</v>
      </c>
      <c r="BA186" s="62" t="s">
        <v>153</v>
      </c>
      <c r="BB186" s="63" t="s">
        <v>153</v>
      </c>
      <c r="BC186" s="64" t="s">
        <v>153</v>
      </c>
      <c r="BD186" s="65" t="s">
        <v>216</v>
      </c>
      <c r="BE186" s="66" t="s">
        <v>217</v>
      </c>
      <c r="BF186" s="67" t="s">
        <v>4158</v>
      </c>
      <c r="BG186" s="68" t="s">
        <v>153</v>
      </c>
      <c r="BH186" s="69" t="s">
        <v>153</v>
      </c>
      <c r="BI186" s="70" t="s">
        <v>655</v>
      </c>
      <c r="BJ186" s="71" t="s">
        <v>1201</v>
      </c>
      <c r="BK186" s="72" t="s">
        <v>4003</v>
      </c>
      <c r="BL186" s="73" t="s">
        <v>153</v>
      </c>
      <c r="BM186" s="74" t="s">
        <v>2213</v>
      </c>
      <c r="BN186" s="75" t="s">
        <v>4159</v>
      </c>
      <c r="BO186" s="76" t="s">
        <v>153</v>
      </c>
      <c r="BP186" s="77" t="s">
        <v>4160</v>
      </c>
      <c r="BQ186" s="78">
        <v>41914</v>
      </c>
      <c r="BR186" s="79">
        <v>17655.439999999999</v>
      </c>
      <c r="BS186" s="80" t="s">
        <v>186</v>
      </c>
      <c r="BT186" s="81">
        <v>17655.439999999999</v>
      </c>
      <c r="BU186" s="82" t="s">
        <v>186</v>
      </c>
      <c r="BV186" s="83" t="s">
        <v>226</v>
      </c>
      <c r="BW186" s="84" t="s">
        <v>729</v>
      </c>
      <c r="BX186" s="85" t="s">
        <v>153</v>
      </c>
      <c r="BY186" s="86" t="s">
        <v>225</v>
      </c>
      <c r="BZ186" s="87" t="s">
        <v>153</v>
      </c>
      <c r="CA186" s="88" t="s">
        <v>190</v>
      </c>
      <c r="CB186" s="89">
        <v>41914</v>
      </c>
      <c r="CC186" s="90">
        <v>17655.439999999999</v>
      </c>
      <c r="CD186" s="91" t="s">
        <v>186</v>
      </c>
      <c r="CE186" s="92">
        <v>17655.439999999999</v>
      </c>
      <c r="CF186" s="93" t="s">
        <v>186</v>
      </c>
      <c r="CG186" s="94" t="s">
        <v>226</v>
      </c>
      <c r="CH186" s="95" t="s">
        <v>729</v>
      </c>
      <c r="CI186" s="96" t="s">
        <v>153</v>
      </c>
      <c r="CJ186" s="97" t="s">
        <v>225</v>
      </c>
      <c r="CK186" s="98">
        <v>41914</v>
      </c>
      <c r="CL186" s="99" t="s">
        <v>153</v>
      </c>
      <c r="CM186" s="100" t="s">
        <v>153</v>
      </c>
      <c r="CN186" s="101" t="s">
        <v>190</v>
      </c>
      <c r="CO186" s="102" t="s">
        <v>153</v>
      </c>
      <c r="CP186" s="103" t="s">
        <v>153</v>
      </c>
      <c r="CQ186" s="104" t="s">
        <v>153</v>
      </c>
      <c r="CR186" s="105" t="s">
        <v>153</v>
      </c>
      <c r="CS186" s="106" t="s">
        <v>153</v>
      </c>
      <c r="CT186" s="107" t="s">
        <v>153</v>
      </c>
      <c r="CU186" s="108" t="s">
        <v>153</v>
      </c>
      <c r="CV186" s="109" t="s">
        <v>153</v>
      </c>
      <c r="CW186" s="110" t="s">
        <v>153</v>
      </c>
      <c r="CX186" s="111" t="s">
        <v>153</v>
      </c>
      <c r="CY186" s="112" t="s">
        <v>153</v>
      </c>
      <c r="CZ186" s="113" t="s">
        <v>153</v>
      </c>
      <c r="DA186" s="114" t="s">
        <v>153</v>
      </c>
      <c r="DB186" s="115" t="s">
        <v>153</v>
      </c>
      <c r="DC186" s="116" t="s">
        <v>153</v>
      </c>
      <c r="DD186" s="117" t="s">
        <v>153</v>
      </c>
      <c r="DE186" s="118" t="s">
        <v>153</v>
      </c>
      <c r="DF186" s="119" t="s">
        <v>153</v>
      </c>
      <c r="DG186" s="120" t="s">
        <v>153</v>
      </c>
      <c r="DH186" s="121" t="s">
        <v>153</v>
      </c>
      <c r="DI186" s="122" t="s">
        <v>153</v>
      </c>
      <c r="DJ186" s="123" t="s">
        <v>153</v>
      </c>
      <c r="DK186" s="124" t="s">
        <v>153</v>
      </c>
      <c r="DL186" s="125" t="s">
        <v>153</v>
      </c>
      <c r="DM186" s="126" t="s">
        <v>153</v>
      </c>
      <c r="DN186" s="127" t="s">
        <v>153</v>
      </c>
      <c r="DO186" s="128" t="s">
        <v>153</v>
      </c>
      <c r="DP186" s="129" t="s">
        <v>153</v>
      </c>
      <c r="DQ186" s="130" t="s">
        <v>153</v>
      </c>
      <c r="DR186" s="131" t="s">
        <v>153</v>
      </c>
      <c r="DS186" s="132" t="s">
        <v>153</v>
      </c>
      <c r="DT186" s="133" t="s">
        <v>153</v>
      </c>
      <c r="DU186" s="134" t="s">
        <v>153</v>
      </c>
      <c r="DV186" s="135" t="s">
        <v>153</v>
      </c>
      <c r="DW186" s="136" t="s">
        <v>153</v>
      </c>
      <c r="DX186" s="137" t="s">
        <v>153</v>
      </c>
      <c r="DY186" s="138" t="s">
        <v>153</v>
      </c>
      <c r="DZ186" s="139" t="s">
        <v>191</v>
      </c>
      <c r="EA186" s="140">
        <v>44358</v>
      </c>
      <c r="EB186" s="141">
        <v>17655.439999999999</v>
      </c>
      <c r="EC186" s="142">
        <v>41914</v>
      </c>
      <c r="ED186" s="143" t="s">
        <v>226</v>
      </c>
      <c r="EE186" s="278" t="str">
        <f>HYPERLINK("https://my.pitchbook.com?c=62719-39", "View company online")</f>
        <v>View company online</v>
      </c>
    </row>
    <row r="187" spans="1:135" x14ac:dyDescent="0.45">
      <c r="A187" s="144" t="s">
        <v>4161</v>
      </c>
      <c r="B187" s="145" t="s">
        <v>4162</v>
      </c>
      <c r="C187" s="146" t="s">
        <v>153</v>
      </c>
      <c r="D187" s="147" t="s">
        <v>153</v>
      </c>
      <c r="E187" s="148" t="s">
        <v>4163</v>
      </c>
      <c r="F187" s="149" t="s">
        <v>4164</v>
      </c>
      <c r="G187" s="150" t="s">
        <v>4165</v>
      </c>
      <c r="H187" s="151" t="s">
        <v>4166</v>
      </c>
      <c r="I187" s="152" t="s">
        <v>4161</v>
      </c>
      <c r="J187" s="153" t="s">
        <v>4167</v>
      </c>
      <c r="K187" s="154" t="s">
        <v>257</v>
      </c>
      <c r="L187" s="155" t="s">
        <v>530</v>
      </c>
      <c r="M187" s="156" t="s">
        <v>531</v>
      </c>
      <c r="N187" s="157" t="s">
        <v>532</v>
      </c>
      <c r="O187" s="158" t="s">
        <v>153</v>
      </c>
      <c r="P187" s="159" t="s">
        <v>4168</v>
      </c>
      <c r="Q187" s="160" t="s">
        <v>564</v>
      </c>
      <c r="R187" s="161">
        <v>668.22</v>
      </c>
      <c r="S187" s="162" t="s">
        <v>163</v>
      </c>
      <c r="T187" s="163" t="s">
        <v>205</v>
      </c>
      <c r="U187" s="164" t="s">
        <v>565</v>
      </c>
      <c r="V187" s="165" t="s">
        <v>4169</v>
      </c>
      <c r="W187" s="166">
        <v>3976</v>
      </c>
      <c r="X187" s="167" t="s">
        <v>4170</v>
      </c>
      <c r="Y187" s="168" t="s">
        <v>153</v>
      </c>
      <c r="Z187" s="169" t="s">
        <v>153</v>
      </c>
      <c r="AA187" s="170">
        <v>1985</v>
      </c>
      <c r="AB187" s="171" t="s">
        <v>153</v>
      </c>
      <c r="AC187" s="172" t="s">
        <v>153</v>
      </c>
      <c r="AD187" s="173" t="s">
        <v>428</v>
      </c>
      <c r="AE187" s="174" t="s">
        <v>153</v>
      </c>
      <c r="AF187" s="175" t="s">
        <v>153</v>
      </c>
      <c r="AG187" s="176" t="s">
        <v>153</v>
      </c>
      <c r="AH187" s="177" t="s">
        <v>153</v>
      </c>
      <c r="AI187" s="178" t="s">
        <v>153</v>
      </c>
      <c r="AJ187" s="179" t="s">
        <v>153</v>
      </c>
      <c r="AK187" s="180" t="s">
        <v>153</v>
      </c>
      <c r="AL187" s="181" t="s">
        <v>153</v>
      </c>
      <c r="AM187" s="182" t="s">
        <v>153</v>
      </c>
      <c r="AN187" s="183" t="s">
        <v>1908</v>
      </c>
      <c r="AO187" s="184" t="s">
        <v>4171</v>
      </c>
      <c r="AP187" s="185" t="s">
        <v>4172</v>
      </c>
      <c r="AQ187" s="186" t="s">
        <v>4173</v>
      </c>
      <c r="AR187" s="187" t="s">
        <v>153</v>
      </c>
      <c r="AS187" s="188" t="s">
        <v>153</v>
      </c>
      <c r="AT187" s="189" t="s">
        <v>4174</v>
      </c>
      <c r="AU187" s="190" t="s">
        <v>4175</v>
      </c>
      <c r="AV187" s="191" t="s">
        <v>153</v>
      </c>
      <c r="AW187" s="192" t="s">
        <v>4176</v>
      </c>
      <c r="AX187" s="193" t="s">
        <v>4177</v>
      </c>
      <c r="AY187" s="194" t="s">
        <v>4178</v>
      </c>
      <c r="AZ187" s="195" t="s">
        <v>215</v>
      </c>
      <c r="BA187" s="196" t="s">
        <v>153</v>
      </c>
      <c r="BB187" s="197" t="s">
        <v>153</v>
      </c>
      <c r="BC187" s="198" t="s">
        <v>153</v>
      </c>
      <c r="BD187" s="199" t="s">
        <v>216</v>
      </c>
      <c r="BE187" s="200" t="s">
        <v>217</v>
      </c>
      <c r="BF187" s="201" t="s">
        <v>4179</v>
      </c>
      <c r="BG187" s="202" t="s">
        <v>153</v>
      </c>
      <c r="BH187" s="203" t="s">
        <v>153</v>
      </c>
      <c r="BI187" s="204" t="s">
        <v>4180</v>
      </c>
      <c r="BJ187" s="205" t="s">
        <v>4181</v>
      </c>
      <c r="BK187" s="206" t="s">
        <v>153</v>
      </c>
      <c r="BL187" s="207" t="s">
        <v>153</v>
      </c>
      <c r="BM187" s="208" t="s">
        <v>4182</v>
      </c>
      <c r="BN187" s="209" t="s">
        <v>153</v>
      </c>
      <c r="BO187" s="210" t="s">
        <v>4183</v>
      </c>
      <c r="BP187" s="211" t="s">
        <v>4184</v>
      </c>
      <c r="BQ187" s="212">
        <v>37468</v>
      </c>
      <c r="BR187" s="213" t="s">
        <v>153</v>
      </c>
      <c r="BS187" s="214" t="s">
        <v>153</v>
      </c>
      <c r="BT187" s="215" t="s">
        <v>153</v>
      </c>
      <c r="BU187" s="216" t="s">
        <v>153</v>
      </c>
      <c r="BV187" s="217" t="s">
        <v>188</v>
      </c>
      <c r="BW187" s="218" t="s">
        <v>153</v>
      </c>
      <c r="BX187" s="219" t="s">
        <v>153</v>
      </c>
      <c r="BY187" s="220" t="s">
        <v>165</v>
      </c>
      <c r="BZ187" s="221" t="s">
        <v>153</v>
      </c>
      <c r="CA187" s="222" t="s">
        <v>190</v>
      </c>
      <c r="CB187" s="223">
        <v>43853</v>
      </c>
      <c r="CC187" s="224">
        <v>17605</v>
      </c>
      <c r="CD187" s="225" t="s">
        <v>186</v>
      </c>
      <c r="CE187" s="226">
        <v>17605</v>
      </c>
      <c r="CF187" s="227" t="s">
        <v>187</v>
      </c>
      <c r="CG187" s="228" t="s">
        <v>226</v>
      </c>
      <c r="CH187" s="229" t="s">
        <v>930</v>
      </c>
      <c r="CI187" s="230" t="s">
        <v>153</v>
      </c>
      <c r="CJ187" s="231" t="s">
        <v>225</v>
      </c>
      <c r="CK187" s="232">
        <v>43853</v>
      </c>
      <c r="CL187" s="233" t="s">
        <v>153</v>
      </c>
      <c r="CM187" s="234" t="s">
        <v>153</v>
      </c>
      <c r="CN187" s="235" t="s">
        <v>190</v>
      </c>
      <c r="CO187" s="236" t="s">
        <v>153</v>
      </c>
      <c r="CP187" s="237" t="s">
        <v>153</v>
      </c>
      <c r="CQ187" s="238" t="s">
        <v>153</v>
      </c>
      <c r="CR187" s="239" t="s">
        <v>153</v>
      </c>
      <c r="CS187" s="240" t="s">
        <v>153</v>
      </c>
      <c r="CT187" s="241" t="s">
        <v>153</v>
      </c>
      <c r="CU187" s="242" t="s">
        <v>153</v>
      </c>
      <c r="CV187" s="243" t="s">
        <v>153</v>
      </c>
      <c r="CW187" s="244" t="s">
        <v>153</v>
      </c>
      <c r="CX187" s="245" t="s">
        <v>153</v>
      </c>
      <c r="CY187" s="246" t="s">
        <v>153</v>
      </c>
      <c r="CZ187" s="247" t="s">
        <v>153</v>
      </c>
      <c r="DA187" s="248" t="s">
        <v>153</v>
      </c>
      <c r="DB187" s="249" t="s">
        <v>153</v>
      </c>
      <c r="DC187" s="250" t="s">
        <v>153</v>
      </c>
      <c r="DD187" s="251" t="s">
        <v>153</v>
      </c>
      <c r="DE187" s="252" t="s">
        <v>153</v>
      </c>
      <c r="DF187" s="253" t="s">
        <v>153</v>
      </c>
      <c r="DG187" s="254" t="s">
        <v>153</v>
      </c>
      <c r="DH187" s="255" t="s">
        <v>153</v>
      </c>
      <c r="DI187" s="256" t="s">
        <v>153</v>
      </c>
      <c r="DJ187" s="257" t="s">
        <v>153</v>
      </c>
      <c r="DK187" s="258" t="s">
        <v>153</v>
      </c>
      <c r="DL187" s="259" t="s">
        <v>153</v>
      </c>
      <c r="DM187" s="260" t="s">
        <v>153</v>
      </c>
      <c r="DN187" s="261" t="s">
        <v>153</v>
      </c>
      <c r="DO187" s="262" t="s">
        <v>153</v>
      </c>
      <c r="DP187" s="263" t="s">
        <v>153</v>
      </c>
      <c r="DQ187" s="264" t="s">
        <v>153</v>
      </c>
      <c r="DR187" s="265" t="s">
        <v>153</v>
      </c>
      <c r="DS187" s="266" t="s">
        <v>153</v>
      </c>
      <c r="DT187" s="267" t="s">
        <v>153</v>
      </c>
      <c r="DU187" s="268" t="s">
        <v>153</v>
      </c>
      <c r="DV187" s="269" t="s">
        <v>153</v>
      </c>
      <c r="DW187" s="270" t="s">
        <v>153</v>
      </c>
      <c r="DX187" s="271" t="s">
        <v>153</v>
      </c>
      <c r="DY187" s="272" t="s">
        <v>153</v>
      </c>
      <c r="DZ187" s="273" t="s">
        <v>191</v>
      </c>
      <c r="EA187" s="274">
        <v>44386</v>
      </c>
      <c r="EB187" s="275">
        <v>17605</v>
      </c>
      <c r="EC187" s="276">
        <v>43853</v>
      </c>
      <c r="ED187" s="277" t="s">
        <v>226</v>
      </c>
      <c r="EE187" s="279" t="str">
        <f>HYPERLINK("https://my.pitchbook.com?c=11850-40", "View company online")</f>
        <v>View company online</v>
      </c>
    </row>
    <row r="188" spans="1:135" x14ac:dyDescent="0.45">
      <c r="A188" s="10" t="s">
        <v>4185</v>
      </c>
      <c r="B188" s="11" t="s">
        <v>4186</v>
      </c>
      <c r="C188" s="12" t="s">
        <v>153</v>
      </c>
      <c r="D188" s="13" t="s">
        <v>153</v>
      </c>
      <c r="E188" s="14" t="s">
        <v>153</v>
      </c>
      <c r="F188" s="15" t="s">
        <v>153</v>
      </c>
      <c r="G188" s="16" t="s">
        <v>4187</v>
      </c>
      <c r="H188" s="17" t="s">
        <v>4188</v>
      </c>
      <c r="I188" s="18" t="s">
        <v>4185</v>
      </c>
      <c r="J188" s="19" t="s">
        <v>4189</v>
      </c>
      <c r="K188" s="20" t="s">
        <v>157</v>
      </c>
      <c r="L188" s="21" t="s">
        <v>4190</v>
      </c>
      <c r="M188" s="22" t="s">
        <v>4191</v>
      </c>
      <c r="N188" s="23" t="s">
        <v>4192</v>
      </c>
      <c r="O188" s="24" t="s">
        <v>153</v>
      </c>
      <c r="P188" s="25" t="s">
        <v>4193</v>
      </c>
      <c r="Q188" s="26" t="s">
        <v>367</v>
      </c>
      <c r="R188" s="27" t="s">
        <v>153</v>
      </c>
      <c r="S188" s="28" t="s">
        <v>290</v>
      </c>
      <c r="T188" s="29" t="s">
        <v>291</v>
      </c>
      <c r="U188" s="30" t="s">
        <v>565</v>
      </c>
      <c r="V188" s="31" t="s">
        <v>4194</v>
      </c>
      <c r="W188" s="32">
        <v>406000</v>
      </c>
      <c r="X188" s="33" t="s">
        <v>4195</v>
      </c>
      <c r="Y188" s="34" t="s">
        <v>372</v>
      </c>
      <c r="Z188" s="35" t="s">
        <v>4196</v>
      </c>
      <c r="AA188" s="36">
        <v>2016</v>
      </c>
      <c r="AB188" s="37" t="s">
        <v>153</v>
      </c>
      <c r="AC188" s="38" t="s">
        <v>570</v>
      </c>
      <c r="AD188" s="39" t="s">
        <v>1540</v>
      </c>
      <c r="AE188" s="40">
        <v>9066</v>
      </c>
      <c r="AF188" s="41">
        <v>1544</v>
      </c>
      <c r="AG188" s="42">
        <v>952</v>
      </c>
      <c r="AH188" s="43">
        <v>23285.3</v>
      </c>
      <c r="AI188" s="44">
        <v>1775</v>
      </c>
      <c r="AJ188" s="45">
        <v>1306</v>
      </c>
      <c r="AK188" s="46">
        <v>27826.81</v>
      </c>
      <c r="AL188" s="47">
        <v>-1760</v>
      </c>
      <c r="AM188" s="48">
        <v>10.210000000000001</v>
      </c>
      <c r="AN188" s="49" t="s">
        <v>376</v>
      </c>
      <c r="AO188" s="50" t="s">
        <v>4197</v>
      </c>
      <c r="AP188" s="51" t="s">
        <v>4198</v>
      </c>
      <c r="AQ188" s="52" t="s">
        <v>4199</v>
      </c>
      <c r="AR188" s="53" t="s">
        <v>4200</v>
      </c>
      <c r="AS188" s="54" t="s">
        <v>4201</v>
      </c>
      <c r="AT188" s="55" t="s">
        <v>4202</v>
      </c>
      <c r="AU188" s="56" t="s">
        <v>4203</v>
      </c>
      <c r="AV188" s="57" t="s">
        <v>4204</v>
      </c>
      <c r="AW188" s="58" t="s">
        <v>4205</v>
      </c>
      <c r="AX188" s="59" t="s">
        <v>153</v>
      </c>
      <c r="AY188" s="60" t="s">
        <v>4206</v>
      </c>
      <c r="AZ188" s="61" t="s">
        <v>1519</v>
      </c>
      <c r="BA188" s="62" t="s">
        <v>4201</v>
      </c>
      <c r="BB188" s="63" t="s">
        <v>4207</v>
      </c>
      <c r="BC188" s="64" t="s">
        <v>153</v>
      </c>
      <c r="BD188" s="65" t="s">
        <v>1406</v>
      </c>
      <c r="BE188" s="66" t="s">
        <v>1407</v>
      </c>
      <c r="BF188" s="67" t="s">
        <v>4208</v>
      </c>
      <c r="BG188" s="68" t="s">
        <v>4209</v>
      </c>
      <c r="BH188" s="69">
        <v>2</v>
      </c>
      <c r="BI188" s="70" t="s">
        <v>153</v>
      </c>
      <c r="BJ188" s="71" t="s">
        <v>4210</v>
      </c>
      <c r="BK188" s="72" t="s">
        <v>4211</v>
      </c>
      <c r="BL188" s="73" t="s">
        <v>4212</v>
      </c>
      <c r="BM188" s="74" t="s">
        <v>4213</v>
      </c>
      <c r="BN188" s="75" t="s">
        <v>4214</v>
      </c>
      <c r="BO188" s="76" t="s">
        <v>4215</v>
      </c>
      <c r="BP188" s="77" t="s">
        <v>4216</v>
      </c>
      <c r="BQ188" s="78">
        <v>42660</v>
      </c>
      <c r="BR188" s="79" t="s">
        <v>153</v>
      </c>
      <c r="BS188" s="80" t="s">
        <v>153</v>
      </c>
      <c r="BT188" s="81">
        <v>10000</v>
      </c>
      <c r="BU188" s="82" t="s">
        <v>186</v>
      </c>
      <c r="BV188" s="83" t="s">
        <v>251</v>
      </c>
      <c r="BW188" s="84" t="s">
        <v>524</v>
      </c>
      <c r="BX188" s="85" t="s">
        <v>153</v>
      </c>
      <c r="BY188" s="86" t="s">
        <v>252</v>
      </c>
      <c r="BZ188" s="87" t="s">
        <v>153</v>
      </c>
      <c r="CA188" s="88" t="s">
        <v>190</v>
      </c>
      <c r="CB188" s="89">
        <v>43340</v>
      </c>
      <c r="CC188" s="90">
        <v>17600</v>
      </c>
      <c r="CD188" s="91" t="s">
        <v>186</v>
      </c>
      <c r="CE188" s="92">
        <v>17600</v>
      </c>
      <c r="CF188" s="93" t="s">
        <v>186</v>
      </c>
      <c r="CG188" s="94" t="s">
        <v>188</v>
      </c>
      <c r="CH188" s="95" t="s">
        <v>930</v>
      </c>
      <c r="CI188" s="96" t="s">
        <v>153</v>
      </c>
      <c r="CJ188" s="97" t="s">
        <v>165</v>
      </c>
      <c r="CK188" s="98">
        <v>43340</v>
      </c>
      <c r="CL188" s="99" t="s">
        <v>153</v>
      </c>
      <c r="CM188" s="100" t="s">
        <v>153</v>
      </c>
      <c r="CN188" s="101" t="s">
        <v>394</v>
      </c>
      <c r="CO188" s="102">
        <v>0.65</v>
      </c>
      <c r="CP188" s="103">
        <v>94</v>
      </c>
      <c r="CQ188" s="104">
        <v>-0.05</v>
      </c>
      <c r="CR188" s="105">
        <v>-6.71</v>
      </c>
      <c r="CS188" s="106">
        <v>0.65</v>
      </c>
      <c r="CT188" s="107">
        <v>94</v>
      </c>
      <c r="CU188" s="108" t="s">
        <v>153</v>
      </c>
      <c r="CV188" s="109" t="s">
        <v>153</v>
      </c>
      <c r="CW188" s="110" t="s">
        <v>153</v>
      </c>
      <c r="CX188" s="111" t="s">
        <v>153</v>
      </c>
      <c r="CY188" s="112">
        <v>0.65</v>
      </c>
      <c r="CZ188" s="113">
        <v>96</v>
      </c>
      <c r="DA188" s="114" t="s">
        <v>153</v>
      </c>
      <c r="DB188" s="115" t="s">
        <v>153</v>
      </c>
      <c r="DC188" s="116">
        <v>18.75</v>
      </c>
      <c r="DD188" s="117">
        <v>96</v>
      </c>
      <c r="DE188" s="118">
        <v>-0.06</v>
      </c>
      <c r="DF188" s="119">
        <v>-0.33</v>
      </c>
      <c r="DG188" s="120">
        <v>18.75</v>
      </c>
      <c r="DH188" s="121">
        <v>95</v>
      </c>
      <c r="DI188" s="122" t="s">
        <v>153</v>
      </c>
      <c r="DJ188" s="123" t="s">
        <v>153</v>
      </c>
      <c r="DK188" s="124" t="s">
        <v>153</v>
      </c>
      <c r="DL188" s="125" t="s">
        <v>153</v>
      </c>
      <c r="DM188" s="126">
        <v>18.75</v>
      </c>
      <c r="DN188" s="127">
        <v>95</v>
      </c>
      <c r="DO188" s="128" t="s">
        <v>153</v>
      </c>
      <c r="DP188" s="129" t="s">
        <v>153</v>
      </c>
      <c r="DQ188" s="130" t="s">
        <v>153</v>
      </c>
      <c r="DR188" s="131" t="s">
        <v>153</v>
      </c>
      <c r="DS188" s="132" t="s">
        <v>153</v>
      </c>
      <c r="DT188" s="133">
        <v>300</v>
      </c>
      <c r="DU188" s="134">
        <v>1</v>
      </c>
      <c r="DV188" s="135">
        <v>0.33</v>
      </c>
      <c r="DW188" s="136" t="s">
        <v>153</v>
      </c>
      <c r="DX188" s="137" t="s">
        <v>153</v>
      </c>
      <c r="DY188" s="138" t="s">
        <v>153</v>
      </c>
      <c r="DZ188" s="139" t="s">
        <v>191</v>
      </c>
      <c r="EA188" s="140">
        <v>44400</v>
      </c>
      <c r="EB188" s="141">
        <v>17600</v>
      </c>
      <c r="EC188" s="142">
        <v>43340</v>
      </c>
      <c r="ED188" s="143" t="s">
        <v>188</v>
      </c>
      <c r="EE188" s="278" t="str">
        <f>HYPERLINK("https://my.pitchbook.com?c=126137-53", "View company online")</f>
        <v>View company online</v>
      </c>
    </row>
    <row r="189" spans="1:135" x14ac:dyDescent="0.45">
      <c r="A189" s="144" t="s">
        <v>4217</v>
      </c>
      <c r="B189" s="145" t="s">
        <v>4218</v>
      </c>
      <c r="C189" s="146" t="s">
        <v>153</v>
      </c>
      <c r="D189" s="147" t="s">
        <v>153</v>
      </c>
      <c r="E189" s="148" t="s">
        <v>153</v>
      </c>
      <c r="F189" s="149" t="s">
        <v>153</v>
      </c>
      <c r="G189" s="150" t="s">
        <v>153</v>
      </c>
      <c r="H189" s="151" t="s">
        <v>153</v>
      </c>
      <c r="I189" s="152" t="s">
        <v>4217</v>
      </c>
      <c r="J189" s="153" t="s">
        <v>4219</v>
      </c>
      <c r="K189" s="154" t="s">
        <v>198</v>
      </c>
      <c r="L189" s="155" t="s">
        <v>199</v>
      </c>
      <c r="M189" s="156" t="s">
        <v>4220</v>
      </c>
      <c r="N189" s="157" t="s">
        <v>4221</v>
      </c>
      <c r="O189" s="158" t="s">
        <v>1592</v>
      </c>
      <c r="P189" s="159" t="s">
        <v>4222</v>
      </c>
      <c r="Q189" s="160" t="s">
        <v>564</v>
      </c>
      <c r="R189" s="161">
        <v>60</v>
      </c>
      <c r="S189" s="162" t="s">
        <v>290</v>
      </c>
      <c r="T189" s="163" t="s">
        <v>205</v>
      </c>
      <c r="U189" s="164" t="s">
        <v>369</v>
      </c>
      <c r="V189" s="165" t="s">
        <v>153</v>
      </c>
      <c r="W189" s="166">
        <v>2450</v>
      </c>
      <c r="X189" s="167" t="s">
        <v>4223</v>
      </c>
      <c r="Y189" s="168" t="s">
        <v>153</v>
      </c>
      <c r="Z189" s="169" t="s">
        <v>153</v>
      </c>
      <c r="AA189" s="170">
        <v>1983</v>
      </c>
      <c r="AB189" s="171" t="s">
        <v>153</v>
      </c>
      <c r="AC189" s="172" t="s">
        <v>153</v>
      </c>
      <c r="AD189" s="173" t="s">
        <v>153</v>
      </c>
      <c r="AE189" s="174" t="s">
        <v>153</v>
      </c>
      <c r="AF189" s="175" t="s">
        <v>153</v>
      </c>
      <c r="AG189" s="176" t="s">
        <v>153</v>
      </c>
      <c r="AH189" s="177" t="s">
        <v>153</v>
      </c>
      <c r="AI189" s="178" t="s">
        <v>153</v>
      </c>
      <c r="AJ189" s="179" t="s">
        <v>153</v>
      </c>
      <c r="AK189" s="180" t="s">
        <v>153</v>
      </c>
      <c r="AL189" s="181" t="s">
        <v>153</v>
      </c>
      <c r="AM189" s="182" t="s">
        <v>153</v>
      </c>
      <c r="AN189" s="183" t="s">
        <v>4224</v>
      </c>
      <c r="AO189" s="184" t="s">
        <v>4225</v>
      </c>
      <c r="AP189" s="185" t="s">
        <v>4226</v>
      </c>
      <c r="AQ189" s="186" t="s">
        <v>2928</v>
      </c>
      <c r="AR189" s="187" t="s">
        <v>153</v>
      </c>
      <c r="AS189" s="188" t="s">
        <v>4227</v>
      </c>
      <c r="AT189" s="189" t="s">
        <v>1379</v>
      </c>
      <c r="AU189" s="190" t="s">
        <v>4228</v>
      </c>
      <c r="AV189" s="191" t="s">
        <v>153</v>
      </c>
      <c r="AW189" s="192" t="s">
        <v>1380</v>
      </c>
      <c r="AX189" s="193" t="s">
        <v>308</v>
      </c>
      <c r="AY189" s="194" t="s">
        <v>4229</v>
      </c>
      <c r="AZ189" s="195" t="s">
        <v>215</v>
      </c>
      <c r="BA189" s="196" t="s">
        <v>4227</v>
      </c>
      <c r="BB189" s="197" t="s">
        <v>153</v>
      </c>
      <c r="BC189" s="198" t="s">
        <v>153</v>
      </c>
      <c r="BD189" s="199" t="s">
        <v>216</v>
      </c>
      <c r="BE189" s="200" t="s">
        <v>217</v>
      </c>
      <c r="BF189" s="201" t="s">
        <v>4230</v>
      </c>
      <c r="BG189" s="202" t="s">
        <v>153</v>
      </c>
      <c r="BH189" s="203" t="s">
        <v>153</v>
      </c>
      <c r="BI189" s="204" t="s">
        <v>1382</v>
      </c>
      <c r="BJ189" s="205" t="s">
        <v>4231</v>
      </c>
      <c r="BK189" s="206" t="s">
        <v>153</v>
      </c>
      <c r="BL189" s="207" t="s">
        <v>153</v>
      </c>
      <c r="BM189" s="208" t="s">
        <v>4232</v>
      </c>
      <c r="BN189" s="209" t="s">
        <v>153</v>
      </c>
      <c r="BO189" s="210" t="s">
        <v>153</v>
      </c>
      <c r="BP189" s="211" t="s">
        <v>4233</v>
      </c>
      <c r="BQ189" s="212">
        <v>35612</v>
      </c>
      <c r="BR189" s="213">
        <v>120</v>
      </c>
      <c r="BS189" s="214" t="s">
        <v>186</v>
      </c>
      <c r="BT189" s="215">
        <v>200</v>
      </c>
      <c r="BU189" s="216" t="s">
        <v>186</v>
      </c>
      <c r="BV189" s="217" t="s">
        <v>188</v>
      </c>
      <c r="BW189" s="218" t="s">
        <v>4234</v>
      </c>
      <c r="BX189" s="219" t="s">
        <v>153</v>
      </c>
      <c r="BY189" s="220" t="s">
        <v>165</v>
      </c>
      <c r="BZ189" s="221" t="s">
        <v>153</v>
      </c>
      <c r="CA189" s="222" t="s">
        <v>190</v>
      </c>
      <c r="CB189" s="223">
        <v>36707</v>
      </c>
      <c r="CC189" s="224">
        <v>17506.400000000001</v>
      </c>
      <c r="CD189" s="225" t="s">
        <v>186</v>
      </c>
      <c r="CE189" s="226">
        <v>17506.400000000001</v>
      </c>
      <c r="CF189" s="227" t="s">
        <v>186</v>
      </c>
      <c r="CG189" s="228" t="s">
        <v>226</v>
      </c>
      <c r="CH189" s="229" t="s">
        <v>153</v>
      </c>
      <c r="CI189" s="230" t="s">
        <v>153</v>
      </c>
      <c r="CJ189" s="231" t="s">
        <v>225</v>
      </c>
      <c r="CK189" s="232">
        <v>36707</v>
      </c>
      <c r="CL189" s="233" t="s">
        <v>153</v>
      </c>
      <c r="CM189" s="234" t="s">
        <v>153</v>
      </c>
      <c r="CN189" s="235" t="s">
        <v>190</v>
      </c>
      <c r="CO189" s="236" t="s">
        <v>153</v>
      </c>
      <c r="CP189" s="237" t="s">
        <v>153</v>
      </c>
      <c r="CQ189" s="238" t="s">
        <v>153</v>
      </c>
      <c r="CR189" s="239" t="s">
        <v>153</v>
      </c>
      <c r="CS189" s="240" t="s">
        <v>153</v>
      </c>
      <c r="CT189" s="241" t="s">
        <v>153</v>
      </c>
      <c r="CU189" s="242" t="s">
        <v>153</v>
      </c>
      <c r="CV189" s="243" t="s">
        <v>153</v>
      </c>
      <c r="CW189" s="244" t="s">
        <v>153</v>
      </c>
      <c r="CX189" s="245" t="s">
        <v>153</v>
      </c>
      <c r="CY189" s="246" t="s">
        <v>153</v>
      </c>
      <c r="CZ189" s="247" t="s">
        <v>153</v>
      </c>
      <c r="DA189" s="248" t="s">
        <v>153</v>
      </c>
      <c r="DB189" s="249" t="s">
        <v>153</v>
      </c>
      <c r="DC189" s="250" t="s">
        <v>153</v>
      </c>
      <c r="DD189" s="251" t="s">
        <v>153</v>
      </c>
      <c r="DE189" s="252" t="s">
        <v>153</v>
      </c>
      <c r="DF189" s="253" t="s">
        <v>153</v>
      </c>
      <c r="DG189" s="254" t="s">
        <v>153</v>
      </c>
      <c r="DH189" s="255" t="s">
        <v>153</v>
      </c>
      <c r="DI189" s="256" t="s">
        <v>153</v>
      </c>
      <c r="DJ189" s="257" t="s">
        <v>153</v>
      </c>
      <c r="DK189" s="258" t="s">
        <v>153</v>
      </c>
      <c r="DL189" s="259" t="s">
        <v>153</v>
      </c>
      <c r="DM189" s="260" t="s">
        <v>153</v>
      </c>
      <c r="DN189" s="261" t="s">
        <v>153</v>
      </c>
      <c r="DO189" s="262" t="s">
        <v>153</v>
      </c>
      <c r="DP189" s="263" t="s">
        <v>153</v>
      </c>
      <c r="DQ189" s="264" t="s">
        <v>153</v>
      </c>
      <c r="DR189" s="265" t="s">
        <v>153</v>
      </c>
      <c r="DS189" s="266" t="s">
        <v>153</v>
      </c>
      <c r="DT189" s="267" t="s">
        <v>153</v>
      </c>
      <c r="DU189" s="268" t="s">
        <v>153</v>
      </c>
      <c r="DV189" s="269" t="s">
        <v>153</v>
      </c>
      <c r="DW189" s="270" t="s">
        <v>153</v>
      </c>
      <c r="DX189" s="271" t="s">
        <v>153</v>
      </c>
      <c r="DY189" s="272" t="s">
        <v>153</v>
      </c>
      <c r="DZ189" s="273" t="s">
        <v>191</v>
      </c>
      <c r="EA189" s="274">
        <v>44326</v>
      </c>
      <c r="EB189" s="275">
        <v>17506.400000000001</v>
      </c>
      <c r="EC189" s="276">
        <v>36707</v>
      </c>
      <c r="ED189" s="277" t="s">
        <v>226</v>
      </c>
      <c r="EE189" s="279" t="str">
        <f>HYPERLINK("https://my.pitchbook.com?c=13101-76", "View company online")</f>
        <v>View company online</v>
      </c>
    </row>
    <row r="190" spans="1:135" x14ac:dyDescent="0.45">
      <c r="A190" s="10" t="s">
        <v>4235</v>
      </c>
      <c r="B190" s="11" t="s">
        <v>4236</v>
      </c>
      <c r="C190" s="12" t="s">
        <v>153</v>
      </c>
      <c r="D190" s="13" t="s">
        <v>153</v>
      </c>
      <c r="E190" s="14" t="s">
        <v>4237</v>
      </c>
      <c r="F190" s="15" t="s">
        <v>4238</v>
      </c>
      <c r="G190" s="16" t="s">
        <v>4239</v>
      </c>
      <c r="H190" s="17" t="s">
        <v>4240</v>
      </c>
      <c r="I190" s="18" t="s">
        <v>4235</v>
      </c>
      <c r="J190" s="19" t="s">
        <v>4241</v>
      </c>
      <c r="K190" s="20" t="s">
        <v>882</v>
      </c>
      <c r="L190" s="21" t="s">
        <v>1257</v>
      </c>
      <c r="M190" s="22" t="s">
        <v>4242</v>
      </c>
      <c r="N190" s="23" t="s">
        <v>4243</v>
      </c>
      <c r="O190" s="24" t="s">
        <v>153</v>
      </c>
      <c r="P190" s="25" t="s">
        <v>4244</v>
      </c>
      <c r="Q190" s="26" t="s">
        <v>162</v>
      </c>
      <c r="R190" s="27">
        <v>2431.5300000000002</v>
      </c>
      <c r="S190" s="28" t="s">
        <v>290</v>
      </c>
      <c r="T190" s="29" t="s">
        <v>291</v>
      </c>
      <c r="U190" s="30" t="s">
        <v>2534</v>
      </c>
      <c r="V190" s="31" t="s">
        <v>4245</v>
      </c>
      <c r="W190" s="32">
        <v>23715</v>
      </c>
      <c r="X190" s="33" t="s">
        <v>4246</v>
      </c>
      <c r="Y190" s="34" t="s">
        <v>295</v>
      </c>
      <c r="Z190" s="35" t="s">
        <v>4238</v>
      </c>
      <c r="AA190" s="36">
        <v>1985</v>
      </c>
      <c r="AB190" s="37" t="s">
        <v>153</v>
      </c>
      <c r="AC190" s="38" t="s">
        <v>153</v>
      </c>
      <c r="AD190" s="39" t="s">
        <v>4247</v>
      </c>
      <c r="AE190" s="40">
        <v>4987.3900000000003</v>
      </c>
      <c r="AF190" s="41">
        <v>1911.42</v>
      </c>
      <c r="AG190" s="42">
        <v>215.41</v>
      </c>
      <c r="AH190" s="43">
        <v>16978.88</v>
      </c>
      <c r="AI190" s="44">
        <v>757.34</v>
      </c>
      <c r="AJ190" s="45">
        <v>471.4</v>
      </c>
      <c r="AK190" s="46">
        <v>16211.19</v>
      </c>
      <c r="AL190" s="47">
        <v>3596.05</v>
      </c>
      <c r="AM190" s="48">
        <v>20.48</v>
      </c>
      <c r="AN190" s="49" t="s">
        <v>376</v>
      </c>
      <c r="AO190" s="50" t="s">
        <v>4248</v>
      </c>
      <c r="AP190" s="51" t="s">
        <v>4249</v>
      </c>
      <c r="AQ190" s="52" t="s">
        <v>4250</v>
      </c>
      <c r="AR190" s="53" t="s">
        <v>4251</v>
      </c>
      <c r="AS190" s="54" t="s">
        <v>4252</v>
      </c>
      <c r="AT190" s="55" t="s">
        <v>4253</v>
      </c>
      <c r="AU190" s="56" t="s">
        <v>4254</v>
      </c>
      <c r="AV190" s="57" t="s">
        <v>153</v>
      </c>
      <c r="AW190" s="58" t="s">
        <v>4255</v>
      </c>
      <c r="AX190" s="59" t="s">
        <v>1862</v>
      </c>
      <c r="AY190" s="60" t="s">
        <v>4256</v>
      </c>
      <c r="AZ190" s="61" t="s">
        <v>215</v>
      </c>
      <c r="BA190" s="62" t="s">
        <v>4252</v>
      </c>
      <c r="BB190" s="63" t="s">
        <v>153</v>
      </c>
      <c r="BC190" s="64" t="s">
        <v>153</v>
      </c>
      <c r="BD190" s="65" t="s">
        <v>216</v>
      </c>
      <c r="BE190" s="66" t="s">
        <v>217</v>
      </c>
      <c r="BF190" s="67" t="s">
        <v>4257</v>
      </c>
      <c r="BG190" s="68" t="s">
        <v>4258</v>
      </c>
      <c r="BH190" s="69">
        <v>4</v>
      </c>
      <c r="BI190" s="70" t="s">
        <v>153</v>
      </c>
      <c r="BJ190" s="71" t="s">
        <v>153</v>
      </c>
      <c r="BK190" s="72" t="s">
        <v>4259</v>
      </c>
      <c r="BL190" s="73" t="s">
        <v>4260</v>
      </c>
      <c r="BM190" s="74" t="s">
        <v>153</v>
      </c>
      <c r="BN190" s="75" t="s">
        <v>4261</v>
      </c>
      <c r="BO190" s="76" t="s">
        <v>4262</v>
      </c>
      <c r="BP190" s="77" t="s">
        <v>4263</v>
      </c>
      <c r="BQ190" s="78">
        <v>35088</v>
      </c>
      <c r="BR190" s="79" t="s">
        <v>153</v>
      </c>
      <c r="BS190" s="80" t="s">
        <v>153</v>
      </c>
      <c r="BT190" s="81" t="s">
        <v>153</v>
      </c>
      <c r="BU190" s="82" t="s">
        <v>153</v>
      </c>
      <c r="BV190" s="83" t="s">
        <v>251</v>
      </c>
      <c r="BW190" s="84" t="s">
        <v>153</v>
      </c>
      <c r="BX190" s="85" t="s">
        <v>153</v>
      </c>
      <c r="BY190" s="86" t="s">
        <v>252</v>
      </c>
      <c r="BZ190" s="87" t="s">
        <v>153</v>
      </c>
      <c r="CA190" s="88" t="s">
        <v>190</v>
      </c>
      <c r="CB190" s="89">
        <v>44301</v>
      </c>
      <c r="CC190" s="90">
        <v>17400</v>
      </c>
      <c r="CD190" s="91" t="s">
        <v>186</v>
      </c>
      <c r="CE190" s="92">
        <v>17400</v>
      </c>
      <c r="CF190" s="93" t="s">
        <v>187</v>
      </c>
      <c r="CG190" s="94" t="s">
        <v>226</v>
      </c>
      <c r="CH190" s="95" t="s">
        <v>153</v>
      </c>
      <c r="CI190" s="96" t="s">
        <v>153</v>
      </c>
      <c r="CJ190" s="97" t="s">
        <v>225</v>
      </c>
      <c r="CK190" s="98">
        <v>44301</v>
      </c>
      <c r="CL190" s="99" t="s">
        <v>153</v>
      </c>
      <c r="CM190" s="100" t="s">
        <v>153</v>
      </c>
      <c r="CN190" s="101" t="s">
        <v>1278</v>
      </c>
      <c r="CO190" s="102">
        <v>2.4900000000000002</v>
      </c>
      <c r="CP190" s="103">
        <v>99</v>
      </c>
      <c r="CQ190" s="104">
        <v>-0.27</v>
      </c>
      <c r="CR190" s="105">
        <v>-9.83</v>
      </c>
      <c r="CS190" s="106">
        <v>4.3899999999999997</v>
      </c>
      <c r="CT190" s="107">
        <v>100</v>
      </c>
      <c r="CU190" s="108">
        <v>0.59</v>
      </c>
      <c r="CV190" s="109">
        <v>97</v>
      </c>
      <c r="CW190" s="110">
        <v>0.51</v>
      </c>
      <c r="CX190" s="111">
        <v>79</v>
      </c>
      <c r="CY190" s="112">
        <v>8.26</v>
      </c>
      <c r="CZ190" s="113">
        <v>100</v>
      </c>
      <c r="DA190" s="114">
        <v>0.59</v>
      </c>
      <c r="DB190" s="115">
        <v>97</v>
      </c>
      <c r="DC190" s="116">
        <v>44.52</v>
      </c>
      <c r="DD190" s="117">
        <v>98</v>
      </c>
      <c r="DE190" s="118">
        <v>-10.029999999999999</v>
      </c>
      <c r="DF190" s="119">
        <v>-18.39</v>
      </c>
      <c r="DG190" s="120">
        <v>54.89</v>
      </c>
      <c r="DH190" s="121">
        <v>99</v>
      </c>
      <c r="DI190" s="122">
        <v>34.15</v>
      </c>
      <c r="DJ190" s="123">
        <v>94</v>
      </c>
      <c r="DK190" s="124">
        <v>46.59</v>
      </c>
      <c r="DL190" s="125">
        <v>95</v>
      </c>
      <c r="DM190" s="126">
        <v>63.19</v>
      </c>
      <c r="DN190" s="127">
        <v>99</v>
      </c>
      <c r="DO190" s="128">
        <v>34.15</v>
      </c>
      <c r="DP190" s="129">
        <v>94</v>
      </c>
      <c r="DQ190" s="130">
        <v>27813</v>
      </c>
      <c r="DR190" s="131">
        <v>-673</v>
      </c>
      <c r="DS190" s="132">
        <v>-2.36</v>
      </c>
      <c r="DT190" s="133">
        <v>1281</v>
      </c>
      <c r="DU190" s="134">
        <v>-341</v>
      </c>
      <c r="DV190" s="135">
        <v>-21.02</v>
      </c>
      <c r="DW190" s="136">
        <v>10718</v>
      </c>
      <c r="DX190" s="137">
        <v>10</v>
      </c>
      <c r="DY190" s="138">
        <v>0.09</v>
      </c>
      <c r="DZ190" s="139" t="s">
        <v>191</v>
      </c>
      <c r="EA190" s="140">
        <v>44403</v>
      </c>
      <c r="EB190" s="141">
        <v>17400</v>
      </c>
      <c r="EC190" s="142">
        <v>44301</v>
      </c>
      <c r="ED190" s="143" t="s">
        <v>226</v>
      </c>
      <c r="EE190" s="278" t="str">
        <f>HYPERLINK("https://my.pitchbook.com?c=41179-15", "View company online")</f>
        <v>View company online</v>
      </c>
    </row>
    <row r="191" spans="1:135" x14ac:dyDescent="0.45">
      <c r="A191" s="144" t="s">
        <v>4264</v>
      </c>
      <c r="B191" s="145" t="s">
        <v>4265</v>
      </c>
      <c r="C191" s="146" t="s">
        <v>153</v>
      </c>
      <c r="D191" s="147" t="s">
        <v>153</v>
      </c>
      <c r="E191" s="148" t="s">
        <v>153</v>
      </c>
      <c r="F191" s="149" t="s">
        <v>153</v>
      </c>
      <c r="G191" s="150" t="s">
        <v>153</v>
      </c>
      <c r="H191" s="151" t="s">
        <v>4266</v>
      </c>
      <c r="I191" s="152" t="s">
        <v>4264</v>
      </c>
      <c r="J191" s="153" t="s">
        <v>4267</v>
      </c>
      <c r="K191" s="154" t="s">
        <v>257</v>
      </c>
      <c r="L191" s="155" t="s">
        <v>258</v>
      </c>
      <c r="M191" s="156" t="s">
        <v>259</v>
      </c>
      <c r="N191" s="157" t="s">
        <v>4268</v>
      </c>
      <c r="O191" s="158" t="s">
        <v>1139</v>
      </c>
      <c r="P191" s="159" t="s">
        <v>4269</v>
      </c>
      <c r="Q191" s="160" t="s">
        <v>367</v>
      </c>
      <c r="R191" s="161">
        <v>17208.259999999998</v>
      </c>
      <c r="S191" s="162" t="s">
        <v>290</v>
      </c>
      <c r="T191" s="163" t="s">
        <v>291</v>
      </c>
      <c r="U191" s="164" t="s">
        <v>4270</v>
      </c>
      <c r="V191" s="165" t="s">
        <v>4271</v>
      </c>
      <c r="W191" s="166">
        <v>109000</v>
      </c>
      <c r="X191" s="167" t="s">
        <v>4272</v>
      </c>
      <c r="Y191" s="168" t="s">
        <v>372</v>
      </c>
      <c r="Z191" s="169" t="s">
        <v>4273</v>
      </c>
      <c r="AA191" s="170">
        <v>1888</v>
      </c>
      <c r="AB191" s="171" t="s">
        <v>153</v>
      </c>
      <c r="AC191" s="172" t="s">
        <v>570</v>
      </c>
      <c r="AD191" s="173" t="s">
        <v>1676</v>
      </c>
      <c r="AE191" s="174">
        <v>40233</v>
      </c>
      <c r="AF191" s="175">
        <v>22426</v>
      </c>
      <c r="AG191" s="176">
        <v>6376</v>
      </c>
      <c r="AH191" s="177">
        <v>216284.76</v>
      </c>
      <c r="AI191" s="178">
        <v>9732</v>
      </c>
      <c r="AJ191" s="179">
        <v>7701</v>
      </c>
      <c r="AK191" s="180">
        <v>214639.87</v>
      </c>
      <c r="AL191" s="181">
        <v>0</v>
      </c>
      <c r="AM191" s="182">
        <v>27.95</v>
      </c>
      <c r="AN191" s="183" t="s">
        <v>299</v>
      </c>
      <c r="AO191" s="184" t="s">
        <v>4274</v>
      </c>
      <c r="AP191" s="185" t="s">
        <v>4275</v>
      </c>
      <c r="AQ191" s="186" t="s">
        <v>4276</v>
      </c>
      <c r="AR191" s="187" t="s">
        <v>4277</v>
      </c>
      <c r="AS191" s="188" t="s">
        <v>4278</v>
      </c>
      <c r="AT191" s="189" t="s">
        <v>4279</v>
      </c>
      <c r="AU191" s="190" t="s">
        <v>4280</v>
      </c>
      <c r="AV191" s="191" t="s">
        <v>4281</v>
      </c>
      <c r="AW191" s="192" t="s">
        <v>4282</v>
      </c>
      <c r="AX191" s="193" t="s">
        <v>783</v>
      </c>
      <c r="AY191" s="194" t="s">
        <v>4283</v>
      </c>
      <c r="AZ191" s="195" t="s">
        <v>215</v>
      </c>
      <c r="BA191" s="196" t="s">
        <v>4278</v>
      </c>
      <c r="BB191" s="197" t="s">
        <v>153</v>
      </c>
      <c r="BC191" s="198" t="s">
        <v>153</v>
      </c>
      <c r="BD191" s="199" t="s">
        <v>216</v>
      </c>
      <c r="BE191" s="200" t="s">
        <v>217</v>
      </c>
      <c r="BF191" s="201" t="s">
        <v>4284</v>
      </c>
      <c r="BG191" s="202" t="s">
        <v>4285</v>
      </c>
      <c r="BH191" s="203">
        <v>1</v>
      </c>
      <c r="BI191" s="204" t="s">
        <v>153</v>
      </c>
      <c r="BJ191" s="205" t="s">
        <v>153</v>
      </c>
      <c r="BK191" s="206" t="s">
        <v>153</v>
      </c>
      <c r="BL191" s="207" t="s">
        <v>4286</v>
      </c>
      <c r="BM191" s="208" t="s">
        <v>153</v>
      </c>
      <c r="BN191" s="209" t="s">
        <v>153</v>
      </c>
      <c r="BO191" s="210" t="s">
        <v>4287</v>
      </c>
      <c r="BP191" s="211" t="s">
        <v>4288</v>
      </c>
      <c r="BQ191" s="212">
        <v>13575</v>
      </c>
      <c r="BR191" s="213" t="s">
        <v>153</v>
      </c>
      <c r="BS191" s="214" t="s">
        <v>153</v>
      </c>
      <c r="BT191" s="215" t="s">
        <v>153</v>
      </c>
      <c r="BU191" s="216" t="s">
        <v>153</v>
      </c>
      <c r="BV191" s="217" t="s">
        <v>251</v>
      </c>
      <c r="BW191" s="218" t="s">
        <v>153</v>
      </c>
      <c r="BX191" s="219" t="s">
        <v>153</v>
      </c>
      <c r="BY191" s="220" t="s">
        <v>252</v>
      </c>
      <c r="BZ191" s="221" t="s">
        <v>153</v>
      </c>
      <c r="CA191" s="222" t="s">
        <v>190</v>
      </c>
      <c r="CB191" s="223">
        <v>42489</v>
      </c>
      <c r="CC191" s="224">
        <v>17200</v>
      </c>
      <c r="CD191" s="225" t="s">
        <v>186</v>
      </c>
      <c r="CE191" s="226" t="s">
        <v>153</v>
      </c>
      <c r="CF191" s="227" t="s">
        <v>153</v>
      </c>
      <c r="CG191" s="228" t="s">
        <v>4289</v>
      </c>
      <c r="CH191" s="229" t="s">
        <v>3593</v>
      </c>
      <c r="CI191" s="230" t="s">
        <v>153</v>
      </c>
      <c r="CJ191" s="231" t="s">
        <v>4290</v>
      </c>
      <c r="CK191" s="232">
        <v>42489</v>
      </c>
      <c r="CL191" s="233">
        <v>17200</v>
      </c>
      <c r="CM191" s="234" t="s">
        <v>4291</v>
      </c>
      <c r="CN191" s="235" t="s">
        <v>190</v>
      </c>
      <c r="CO191" s="236">
        <v>0.2</v>
      </c>
      <c r="CP191" s="237">
        <v>90</v>
      </c>
      <c r="CQ191" s="238">
        <v>0</v>
      </c>
      <c r="CR191" s="239">
        <v>0</v>
      </c>
      <c r="CS191" s="240">
        <v>0.49</v>
      </c>
      <c r="CT191" s="241">
        <v>93</v>
      </c>
      <c r="CU191" s="242">
        <v>-0.09</v>
      </c>
      <c r="CV191" s="243">
        <v>21</v>
      </c>
      <c r="CW191" s="244">
        <v>0.49</v>
      </c>
      <c r="CX191" s="245">
        <v>79</v>
      </c>
      <c r="CY191" s="246" t="s">
        <v>153</v>
      </c>
      <c r="CZ191" s="247" t="s">
        <v>153</v>
      </c>
      <c r="DA191" s="248">
        <v>-0.09</v>
      </c>
      <c r="DB191" s="249">
        <v>21</v>
      </c>
      <c r="DC191" s="250">
        <v>202.39</v>
      </c>
      <c r="DD191" s="251">
        <v>100</v>
      </c>
      <c r="DE191" s="252">
        <v>0.35</v>
      </c>
      <c r="DF191" s="253">
        <v>0.17</v>
      </c>
      <c r="DG191" s="254">
        <v>293.60000000000002</v>
      </c>
      <c r="DH191" s="255">
        <v>100</v>
      </c>
      <c r="DI191" s="256">
        <v>111.19</v>
      </c>
      <c r="DJ191" s="257">
        <v>98</v>
      </c>
      <c r="DK191" s="258">
        <v>293.60000000000002</v>
      </c>
      <c r="DL191" s="259">
        <v>99</v>
      </c>
      <c r="DM191" s="260" t="s">
        <v>153</v>
      </c>
      <c r="DN191" s="261" t="s">
        <v>153</v>
      </c>
      <c r="DO191" s="262">
        <v>111.19</v>
      </c>
      <c r="DP191" s="263">
        <v>98</v>
      </c>
      <c r="DQ191" s="264">
        <v>173202</v>
      </c>
      <c r="DR191" s="265">
        <v>3300</v>
      </c>
      <c r="DS191" s="266">
        <v>1.94</v>
      </c>
      <c r="DT191" s="267" t="s">
        <v>153</v>
      </c>
      <c r="DU191" s="268" t="s">
        <v>153</v>
      </c>
      <c r="DV191" s="269" t="s">
        <v>153</v>
      </c>
      <c r="DW191" s="270">
        <v>34916</v>
      </c>
      <c r="DX191" s="271">
        <v>-6</v>
      </c>
      <c r="DY191" s="272">
        <v>-0.02</v>
      </c>
      <c r="DZ191" s="273" t="s">
        <v>191</v>
      </c>
      <c r="EA191" s="274">
        <v>44400</v>
      </c>
      <c r="EB191" s="275" t="s">
        <v>153</v>
      </c>
      <c r="EC191" s="276" t="s">
        <v>153</v>
      </c>
      <c r="ED191" s="277" t="s">
        <v>153</v>
      </c>
      <c r="EE191" s="279" t="str">
        <f>HYPERLINK("https://my.pitchbook.com?c=11906-65", "View company online")</f>
        <v>View company online</v>
      </c>
    </row>
    <row r="192" spans="1:135" x14ac:dyDescent="0.45">
      <c r="A192" s="10" t="s">
        <v>4292</v>
      </c>
      <c r="B192" s="11" t="s">
        <v>4293</v>
      </c>
      <c r="C192" s="12" t="s">
        <v>153</v>
      </c>
      <c r="D192" s="13" t="s">
        <v>153</v>
      </c>
      <c r="E192" s="14" t="s">
        <v>153</v>
      </c>
      <c r="F192" s="15" t="s">
        <v>153</v>
      </c>
      <c r="G192" s="16" t="s">
        <v>4294</v>
      </c>
      <c r="H192" s="17" t="s">
        <v>4295</v>
      </c>
      <c r="I192" s="18" t="s">
        <v>4292</v>
      </c>
      <c r="J192" s="19" t="s">
        <v>4296</v>
      </c>
      <c r="K192" s="20" t="s">
        <v>198</v>
      </c>
      <c r="L192" s="21" t="s">
        <v>984</v>
      </c>
      <c r="M192" s="22" t="s">
        <v>2281</v>
      </c>
      <c r="N192" s="23" t="s">
        <v>4297</v>
      </c>
      <c r="O192" s="24" t="s">
        <v>202</v>
      </c>
      <c r="P192" s="25" t="s">
        <v>4298</v>
      </c>
      <c r="Q192" s="26" t="s">
        <v>289</v>
      </c>
      <c r="R192" s="27">
        <v>61.11</v>
      </c>
      <c r="S192" s="28" t="s">
        <v>163</v>
      </c>
      <c r="T192" s="29" t="s">
        <v>164</v>
      </c>
      <c r="U192" s="30" t="s">
        <v>887</v>
      </c>
      <c r="V192" s="31" t="s">
        <v>4299</v>
      </c>
      <c r="W192" s="32">
        <v>400</v>
      </c>
      <c r="X192" s="33" t="s">
        <v>4300</v>
      </c>
      <c r="Y192" s="34" t="s">
        <v>153</v>
      </c>
      <c r="Z192" s="35" t="s">
        <v>153</v>
      </c>
      <c r="AA192" s="36">
        <v>2009</v>
      </c>
      <c r="AB192" s="37" t="s">
        <v>4301</v>
      </c>
      <c r="AC192" s="38" t="s">
        <v>4302</v>
      </c>
      <c r="AD192" s="39" t="s">
        <v>4303</v>
      </c>
      <c r="AE192" s="40">
        <v>5000</v>
      </c>
      <c r="AF192" s="41" t="s">
        <v>153</v>
      </c>
      <c r="AG192" s="42" t="s">
        <v>153</v>
      </c>
      <c r="AH192" s="43" t="s">
        <v>153</v>
      </c>
      <c r="AI192" s="44" t="s">
        <v>153</v>
      </c>
      <c r="AJ192" s="45" t="s">
        <v>153</v>
      </c>
      <c r="AK192" s="46" t="s">
        <v>153</v>
      </c>
      <c r="AL192" s="47" t="s">
        <v>153</v>
      </c>
      <c r="AM192" s="48" t="s">
        <v>153</v>
      </c>
      <c r="AN192" s="49" t="s">
        <v>168</v>
      </c>
      <c r="AO192" s="50" t="s">
        <v>4304</v>
      </c>
      <c r="AP192" s="51" t="s">
        <v>4305</v>
      </c>
      <c r="AQ192" s="52" t="s">
        <v>3351</v>
      </c>
      <c r="AR192" s="53" t="s">
        <v>4306</v>
      </c>
      <c r="AS192" s="54" t="s">
        <v>153</v>
      </c>
      <c r="AT192" s="55" t="s">
        <v>4307</v>
      </c>
      <c r="AU192" s="56" t="s">
        <v>4308</v>
      </c>
      <c r="AV192" s="57" t="s">
        <v>4309</v>
      </c>
      <c r="AW192" s="58" t="s">
        <v>4310</v>
      </c>
      <c r="AX192" s="59" t="s">
        <v>308</v>
      </c>
      <c r="AY192" s="60" t="s">
        <v>4311</v>
      </c>
      <c r="AZ192" s="61" t="s">
        <v>215</v>
      </c>
      <c r="BA192" s="62" t="s">
        <v>153</v>
      </c>
      <c r="BB192" s="63" t="s">
        <v>153</v>
      </c>
      <c r="BC192" s="64" t="s">
        <v>4312</v>
      </c>
      <c r="BD192" s="65" t="s">
        <v>216</v>
      </c>
      <c r="BE192" s="66" t="s">
        <v>217</v>
      </c>
      <c r="BF192" s="67" t="s">
        <v>4313</v>
      </c>
      <c r="BG192" s="68" t="s">
        <v>153</v>
      </c>
      <c r="BH192" s="69" t="s">
        <v>153</v>
      </c>
      <c r="BI192" s="70" t="s">
        <v>4301</v>
      </c>
      <c r="BJ192" s="71" t="s">
        <v>4314</v>
      </c>
      <c r="BK192" s="72" t="s">
        <v>4315</v>
      </c>
      <c r="BL192" s="73" t="s">
        <v>153</v>
      </c>
      <c r="BM192" s="74" t="s">
        <v>4316</v>
      </c>
      <c r="BN192" s="75" t="s">
        <v>4317</v>
      </c>
      <c r="BO192" s="76" t="s">
        <v>4318</v>
      </c>
      <c r="BP192" s="77" t="s">
        <v>4319</v>
      </c>
      <c r="BQ192" s="78">
        <v>40268</v>
      </c>
      <c r="BR192" s="79">
        <v>0.26</v>
      </c>
      <c r="BS192" s="80" t="s">
        <v>186</v>
      </c>
      <c r="BT192" s="81" t="s">
        <v>153</v>
      </c>
      <c r="BU192" s="82" t="s">
        <v>153</v>
      </c>
      <c r="BV192" s="83" t="s">
        <v>1007</v>
      </c>
      <c r="BW192" s="84" t="s">
        <v>1007</v>
      </c>
      <c r="BX192" s="85" t="s">
        <v>153</v>
      </c>
      <c r="BY192" s="86" t="s">
        <v>472</v>
      </c>
      <c r="BZ192" s="87" t="s">
        <v>153</v>
      </c>
      <c r="CA192" s="88" t="s">
        <v>190</v>
      </c>
      <c r="CB192" s="89">
        <v>41918</v>
      </c>
      <c r="CC192" s="90">
        <v>17193</v>
      </c>
      <c r="CD192" s="91" t="s">
        <v>186</v>
      </c>
      <c r="CE192" s="92">
        <v>17193</v>
      </c>
      <c r="CF192" s="93" t="s">
        <v>186</v>
      </c>
      <c r="CG192" s="94" t="s">
        <v>226</v>
      </c>
      <c r="CH192" s="95" t="s">
        <v>153</v>
      </c>
      <c r="CI192" s="96" t="s">
        <v>153</v>
      </c>
      <c r="CJ192" s="97" t="s">
        <v>225</v>
      </c>
      <c r="CK192" s="98">
        <v>41918</v>
      </c>
      <c r="CL192" s="99" t="s">
        <v>153</v>
      </c>
      <c r="CM192" s="100" t="s">
        <v>153</v>
      </c>
      <c r="CN192" s="101" t="s">
        <v>190</v>
      </c>
      <c r="CO192" s="102" t="s">
        <v>153</v>
      </c>
      <c r="CP192" s="103" t="s">
        <v>153</v>
      </c>
      <c r="CQ192" s="104" t="s">
        <v>153</v>
      </c>
      <c r="CR192" s="105" t="s">
        <v>153</v>
      </c>
      <c r="CS192" s="106" t="s">
        <v>153</v>
      </c>
      <c r="CT192" s="107" t="s">
        <v>153</v>
      </c>
      <c r="CU192" s="108" t="s">
        <v>153</v>
      </c>
      <c r="CV192" s="109" t="s">
        <v>153</v>
      </c>
      <c r="CW192" s="110" t="s">
        <v>153</v>
      </c>
      <c r="CX192" s="111" t="s">
        <v>153</v>
      </c>
      <c r="CY192" s="112" t="s">
        <v>153</v>
      </c>
      <c r="CZ192" s="113" t="s">
        <v>153</v>
      </c>
      <c r="DA192" s="114" t="s">
        <v>153</v>
      </c>
      <c r="DB192" s="115" t="s">
        <v>153</v>
      </c>
      <c r="DC192" s="116" t="s">
        <v>153</v>
      </c>
      <c r="DD192" s="117" t="s">
        <v>153</v>
      </c>
      <c r="DE192" s="118" t="s">
        <v>153</v>
      </c>
      <c r="DF192" s="119" t="s">
        <v>153</v>
      </c>
      <c r="DG192" s="120" t="s">
        <v>153</v>
      </c>
      <c r="DH192" s="121" t="s">
        <v>153</v>
      </c>
      <c r="DI192" s="122" t="s">
        <v>153</v>
      </c>
      <c r="DJ192" s="123" t="s">
        <v>153</v>
      </c>
      <c r="DK192" s="124" t="s">
        <v>153</v>
      </c>
      <c r="DL192" s="125" t="s">
        <v>153</v>
      </c>
      <c r="DM192" s="126" t="s">
        <v>153</v>
      </c>
      <c r="DN192" s="127" t="s">
        <v>153</v>
      </c>
      <c r="DO192" s="128" t="s">
        <v>153</v>
      </c>
      <c r="DP192" s="129" t="s">
        <v>153</v>
      </c>
      <c r="DQ192" s="130" t="s">
        <v>153</v>
      </c>
      <c r="DR192" s="131" t="s">
        <v>153</v>
      </c>
      <c r="DS192" s="132" t="s">
        <v>153</v>
      </c>
      <c r="DT192" s="133" t="s">
        <v>153</v>
      </c>
      <c r="DU192" s="134" t="s">
        <v>153</v>
      </c>
      <c r="DV192" s="135" t="s">
        <v>153</v>
      </c>
      <c r="DW192" s="136" t="s">
        <v>153</v>
      </c>
      <c r="DX192" s="137" t="s">
        <v>153</v>
      </c>
      <c r="DY192" s="138" t="s">
        <v>153</v>
      </c>
      <c r="DZ192" s="139" t="s">
        <v>191</v>
      </c>
      <c r="EA192" s="140">
        <v>44393</v>
      </c>
      <c r="EB192" s="141">
        <v>17193</v>
      </c>
      <c r="EC192" s="142">
        <v>41918</v>
      </c>
      <c r="ED192" s="143" t="s">
        <v>226</v>
      </c>
      <c r="EE192" s="278" t="str">
        <f>HYPERLINK("https://my.pitchbook.com?c=55258-48", "View company online")</f>
        <v>View company online</v>
      </c>
    </row>
    <row r="193" spans="1:135" x14ac:dyDescent="0.45">
      <c r="A193" s="144" t="s">
        <v>4320</v>
      </c>
      <c r="B193" s="145" t="s">
        <v>4321</v>
      </c>
      <c r="C193" s="146" t="s">
        <v>153</v>
      </c>
      <c r="D193" s="147" t="s">
        <v>153</v>
      </c>
      <c r="E193" s="148" t="s">
        <v>4322</v>
      </c>
      <c r="F193" s="149" t="s">
        <v>4323</v>
      </c>
      <c r="G193" s="150" t="s">
        <v>4324</v>
      </c>
      <c r="H193" s="151" t="s">
        <v>4325</v>
      </c>
      <c r="I193" s="152" t="s">
        <v>4320</v>
      </c>
      <c r="J193" s="153" t="s">
        <v>4326</v>
      </c>
      <c r="K193" s="154" t="s">
        <v>157</v>
      </c>
      <c r="L193" s="155" t="s">
        <v>421</v>
      </c>
      <c r="M193" s="156" t="s">
        <v>4327</v>
      </c>
      <c r="N193" s="157" t="s">
        <v>4328</v>
      </c>
      <c r="O193" s="158" t="s">
        <v>399</v>
      </c>
      <c r="P193" s="159" t="s">
        <v>4329</v>
      </c>
      <c r="Q193" s="160" t="s">
        <v>204</v>
      </c>
      <c r="R193" s="161" t="s">
        <v>153</v>
      </c>
      <c r="S193" s="162" t="s">
        <v>163</v>
      </c>
      <c r="T193" s="163" t="s">
        <v>164</v>
      </c>
      <c r="U193" s="164" t="s">
        <v>237</v>
      </c>
      <c r="V193" s="165" t="s">
        <v>4330</v>
      </c>
      <c r="W193" s="166">
        <v>7000</v>
      </c>
      <c r="X193" s="167" t="s">
        <v>4331</v>
      </c>
      <c r="Y193" s="168" t="s">
        <v>153</v>
      </c>
      <c r="Z193" s="169" t="s">
        <v>153</v>
      </c>
      <c r="AA193" s="170">
        <v>1851</v>
      </c>
      <c r="AB193" s="171" t="s">
        <v>4332</v>
      </c>
      <c r="AC193" s="172" t="s">
        <v>4333</v>
      </c>
      <c r="AD193" s="173" t="s">
        <v>4334</v>
      </c>
      <c r="AE193" s="174" t="s">
        <v>153</v>
      </c>
      <c r="AF193" s="175" t="s">
        <v>153</v>
      </c>
      <c r="AG193" s="176" t="s">
        <v>153</v>
      </c>
      <c r="AH193" s="177" t="s">
        <v>153</v>
      </c>
      <c r="AI193" s="178" t="s">
        <v>153</v>
      </c>
      <c r="AJ193" s="179" t="s">
        <v>153</v>
      </c>
      <c r="AK193" s="180" t="s">
        <v>153</v>
      </c>
      <c r="AL193" s="181" t="s">
        <v>153</v>
      </c>
      <c r="AM193" s="182" t="s">
        <v>153</v>
      </c>
      <c r="AN193" s="183" t="s">
        <v>456</v>
      </c>
      <c r="AO193" s="184" t="s">
        <v>4335</v>
      </c>
      <c r="AP193" s="185" t="s">
        <v>4336</v>
      </c>
      <c r="AQ193" s="186" t="s">
        <v>4337</v>
      </c>
      <c r="AR193" s="187" t="s">
        <v>4338</v>
      </c>
      <c r="AS193" s="188" t="s">
        <v>4339</v>
      </c>
      <c r="AT193" s="189" t="s">
        <v>1071</v>
      </c>
      <c r="AU193" s="190" t="s">
        <v>4340</v>
      </c>
      <c r="AV193" s="191" t="s">
        <v>153</v>
      </c>
      <c r="AW193" s="192" t="s">
        <v>1074</v>
      </c>
      <c r="AX193" s="193" t="s">
        <v>177</v>
      </c>
      <c r="AY193" s="194" t="s">
        <v>4341</v>
      </c>
      <c r="AZ193" s="195" t="s">
        <v>179</v>
      </c>
      <c r="BA193" s="196" t="s">
        <v>4339</v>
      </c>
      <c r="BB193" s="197" t="s">
        <v>4342</v>
      </c>
      <c r="BC193" s="198" t="s">
        <v>153</v>
      </c>
      <c r="BD193" s="199" t="s">
        <v>180</v>
      </c>
      <c r="BE193" s="200" t="s">
        <v>181</v>
      </c>
      <c r="BF193" s="201" t="s">
        <v>4343</v>
      </c>
      <c r="BG193" s="202" t="s">
        <v>153</v>
      </c>
      <c r="BH193" s="203" t="s">
        <v>153</v>
      </c>
      <c r="BI193" s="204" t="s">
        <v>4332</v>
      </c>
      <c r="BJ193" s="205" t="s">
        <v>153</v>
      </c>
      <c r="BK193" s="206" t="s">
        <v>153</v>
      </c>
      <c r="BL193" s="207" t="s">
        <v>153</v>
      </c>
      <c r="BM193" s="208" t="s">
        <v>153</v>
      </c>
      <c r="BN193" s="209" t="s">
        <v>153</v>
      </c>
      <c r="BO193" s="210" t="s">
        <v>4344</v>
      </c>
      <c r="BP193" s="211" t="s">
        <v>153</v>
      </c>
      <c r="BQ193" s="212">
        <v>30682</v>
      </c>
      <c r="BR193" s="213" t="s">
        <v>153</v>
      </c>
      <c r="BS193" s="214" t="s">
        <v>153</v>
      </c>
      <c r="BT193" s="215" t="s">
        <v>153</v>
      </c>
      <c r="BU193" s="216" t="s">
        <v>153</v>
      </c>
      <c r="BV193" s="217" t="s">
        <v>251</v>
      </c>
      <c r="BW193" s="218" t="s">
        <v>153</v>
      </c>
      <c r="BX193" s="219" t="s">
        <v>153</v>
      </c>
      <c r="BY193" s="220" t="s">
        <v>252</v>
      </c>
      <c r="BZ193" s="221" t="s">
        <v>153</v>
      </c>
      <c r="CA193" s="222" t="s">
        <v>190</v>
      </c>
      <c r="CB193" s="223">
        <v>39555</v>
      </c>
      <c r="CC193" s="224">
        <v>17009</v>
      </c>
      <c r="CD193" s="225" t="s">
        <v>186</v>
      </c>
      <c r="CE193" s="226">
        <v>17009</v>
      </c>
      <c r="CF193" s="227" t="s">
        <v>186</v>
      </c>
      <c r="CG193" s="228" t="s">
        <v>226</v>
      </c>
      <c r="CH193" s="229" t="s">
        <v>153</v>
      </c>
      <c r="CI193" s="230" t="s">
        <v>153</v>
      </c>
      <c r="CJ193" s="231" t="s">
        <v>225</v>
      </c>
      <c r="CK193" s="232">
        <v>39555</v>
      </c>
      <c r="CL193" s="233" t="s">
        <v>153</v>
      </c>
      <c r="CM193" s="234" t="s">
        <v>153</v>
      </c>
      <c r="CN193" s="235" t="s">
        <v>190</v>
      </c>
      <c r="CO193" s="236">
        <v>0.27</v>
      </c>
      <c r="CP193" s="237">
        <v>91</v>
      </c>
      <c r="CQ193" s="238">
        <v>0</v>
      </c>
      <c r="CR193" s="239">
        <v>0.33</v>
      </c>
      <c r="CS193" s="240">
        <v>0.63</v>
      </c>
      <c r="CT193" s="241">
        <v>94</v>
      </c>
      <c r="CU193" s="242">
        <v>0.05</v>
      </c>
      <c r="CV193" s="243">
        <v>81</v>
      </c>
      <c r="CW193" s="244">
        <v>0.89</v>
      </c>
      <c r="CX193" s="245">
        <v>81</v>
      </c>
      <c r="CY193" s="246">
        <v>0.38</v>
      </c>
      <c r="CZ193" s="247">
        <v>93</v>
      </c>
      <c r="DA193" s="248">
        <v>0.05</v>
      </c>
      <c r="DB193" s="249">
        <v>81</v>
      </c>
      <c r="DC193" s="250">
        <v>32572.400000000001</v>
      </c>
      <c r="DD193" s="251">
        <v>100</v>
      </c>
      <c r="DE193" s="252">
        <v>179.8</v>
      </c>
      <c r="DF193" s="253">
        <v>0.56000000000000005</v>
      </c>
      <c r="DG193" s="254">
        <v>22617.37</v>
      </c>
      <c r="DH193" s="255">
        <v>100</v>
      </c>
      <c r="DI193" s="256">
        <v>75012.570000000007</v>
      </c>
      <c r="DJ193" s="257">
        <v>100</v>
      </c>
      <c r="DK193" s="258">
        <v>21520.99</v>
      </c>
      <c r="DL193" s="259">
        <v>100</v>
      </c>
      <c r="DM193" s="260">
        <v>23713.75</v>
      </c>
      <c r="DN193" s="261">
        <v>100</v>
      </c>
      <c r="DO193" s="262">
        <v>75012.570000000007</v>
      </c>
      <c r="DP193" s="263">
        <v>100</v>
      </c>
      <c r="DQ193" s="264">
        <v>12777996</v>
      </c>
      <c r="DR193" s="265">
        <v>-58857</v>
      </c>
      <c r="DS193" s="266">
        <v>-0.46</v>
      </c>
      <c r="DT193" s="267">
        <v>379002</v>
      </c>
      <c r="DU193" s="268">
        <v>1085</v>
      </c>
      <c r="DV193" s="269">
        <v>0.28999999999999998</v>
      </c>
      <c r="DW193" s="270">
        <v>23550457</v>
      </c>
      <c r="DX193" s="271">
        <v>17059</v>
      </c>
      <c r="DY193" s="272">
        <v>7.0000000000000007E-2</v>
      </c>
      <c r="DZ193" s="273" t="s">
        <v>191</v>
      </c>
      <c r="EA193" s="274">
        <v>44354</v>
      </c>
      <c r="EB193" s="275">
        <v>17009</v>
      </c>
      <c r="EC193" s="276">
        <v>39555</v>
      </c>
      <c r="ED193" s="277" t="s">
        <v>226</v>
      </c>
      <c r="EE193" s="279" t="str">
        <f>HYPERLINK("https://my.pitchbook.com?c=43104-52", "View company online")</f>
        <v>View company online</v>
      </c>
    </row>
    <row r="194" spans="1:135" x14ac:dyDescent="0.45">
      <c r="A194" s="10" t="s">
        <v>4345</v>
      </c>
      <c r="B194" s="11" t="s">
        <v>4346</v>
      </c>
      <c r="C194" s="12" t="s">
        <v>153</v>
      </c>
      <c r="D194" s="13" t="s">
        <v>153</v>
      </c>
      <c r="E194" s="14" t="s">
        <v>153</v>
      </c>
      <c r="F194" s="15" t="s">
        <v>153</v>
      </c>
      <c r="G194" s="16" t="s">
        <v>4347</v>
      </c>
      <c r="H194" s="17" t="s">
        <v>153</v>
      </c>
      <c r="I194" s="18" t="s">
        <v>4345</v>
      </c>
      <c r="J194" s="19" t="s">
        <v>4348</v>
      </c>
      <c r="K194" s="20" t="s">
        <v>198</v>
      </c>
      <c r="L194" s="21" t="s">
        <v>199</v>
      </c>
      <c r="M194" s="22" t="s">
        <v>2967</v>
      </c>
      <c r="N194" s="23" t="s">
        <v>4349</v>
      </c>
      <c r="O194" s="24" t="s">
        <v>399</v>
      </c>
      <c r="P194" s="25" t="s">
        <v>4350</v>
      </c>
      <c r="Q194" s="26" t="s">
        <v>564</v>
      </c>
      <c r="R194" s="27">
        <v>118</v>
      </c>
      <c r="S194" s="28" t="s">
        <v>368</v>
      </c>
      <c r="T194" s="29" t="s">
        <v>1392</v>
      </c>
      <c r="U194" s="30" t="s">
        <v>1063</v>
      </c>
      <c r="V194" s="31" t="s">
        <v>4351</v>
      </c>
      <c r="W194" s="32">
        <v>181</v>
      </c>
      <c r="X194" s="33" t="s">
        <v>4352</v>
      </c>
      <c r="Y194" s="34" t="s">
        <v>153</v>
      </c>
      <c r="Z194" s="35" t="s">
        <v>153</v>
      </c>
      <c r="AA194" s="36">
        <v>1952</v>
      </c>
      <c r="AB194" s="37" t="s">
        <v>153</v>
      </c>
      <c r="AC194" s="38" t="s">
        <v>153</v>
      </c>
      <c r="AD194" s="39" t="s">
        <v>153</v>
      </c>
      <c r="AE194" s="40" t="s">
        <v>153</v>
      </c>
      <c r="AF194" s="41" t="s">
        <v>153</v>
      </c>
      <c r="AG194" s="42" t="s">
        <v>153</v>
      </c>
      <c r="AH194" s="43" t="s">
        <v>153</v>
      </c>
      <c r="AI194" s="44" t="s">
        <v>153</v>
      </c>
      <c r="AJ194" s="45" t="s">
        <v>153</v>
      </c>
      <c r="AK194" s="46" t="s">
        <v>153</v>
      </c>
      <c r="AL194" s="47" t="s">
        <v>153</v>
      </c>
      <c r="AM194" s="48" t="s">
        <v>153</v>
      </c>
      <c r="AN194" s="49" t="s">
        <v>403</v>
      </c>
      <c r="AO194" s="50" t="s">
        <v>153</v>
      </c>
      <c r="AP194" s="51" t="s">
        <v>153</v>
      </c>
      <c r="AQ194" s="52" t="s">
        <v>153</v>
      </c>
      <c r="AR194" s="53" t="s">
        <v>153</v>
      </c>
      <c r="AS194" s="54" t="s">
        <v>153</v>
      </c>
      <c r="AT194" s="55" t="s">
        <v>4353</v>
      </c>
      <c r="AU194" s="56" t="s">
        <v>4354</v>
      </c>
      <c r="AV194" s="57" t="s">
        <v>153</v>
      </c>
      <c r="AW194" s="58" t="s">
        <v>4355</v>
      </c>
      <c r="AX194" s="59" t="s">
        <v>1291</v>
      </c>
      <c r="AY194" s="60" t="s">
        <v>4356</v>
      </c>
      <c r="AZ194" s="61" t="s">
        <v>215</v>
      </c>
      <c r="BA194" s="62" t="s">
        <v>153</v>
      </c>
      <c r="BB194" s="63" t="s">
        <v>153</v>
      </c>
      <c r="BC194" s="64" t="s">
        <v>153</v>
      </c>
      <c r="BD194" s="65" t="s">
        <v>216</v>
      </c>
      <c r="BE194" s="66" t="s">
        <v>217</v>
      </c>
      <c r="BF194" s="67" t="s">
        <v>4357</v>
      </c>
      <c r="BG194" s="68" t="s">
        <v>153</v>
      </c>
      <c r="BH194" s="69" t="s">
        <v>153</v>
      </c>
      <c r="BI194" s="70" t="s">
        <v>4358</v>
      </c>
      <c r="BJ194" s="71" t="s">
        <v>4359</v>
      </c>
      <c r="BK194" s="72" t="s">
        <v>4360</v>
      </c>
      <c r="BL194" s="73" t="s">
        <v>153</v>
      </c>
      <c r="BM194" s="74" t="s">
        <v>4361</v>
      </c>
      <c r="BN194" s="75" t="s">
        <v>4362</v>
      </c>
      <c r="BO194" s="76" t="s">
        <v>4363</v>
      </c>
      <c r="BP194" s="77" t="s">
        <v>4364</v>
      </c>
      <c r="BQ194" s="78">
        <v>37377</v>
      </c>
      <c r="BR194" s="79">
        <v>118</v>
      </c>
      <c r="BS194" s="80" t="s">
        <v>186</v>
      </c>
      <c r="BT194" s="81" t="s">
        <v>153</v>
      </c>
      <c r="BU194" s="82" t="s">
        <v>153</v>
      </c>
      <c r="BV194" s="83" t="s">
        <v>4289</v>
      </c>
      <c r="BW194" s="84" t="s">
        <v>153</v>
      </c>
      <c r="BX194" s="85" t="s">
        <v>153</v>
      </c>
      <c r="BY194" s="86" t="s">
        <v>4290</v>
      </c>
      <c r="BZ194" s="87" t="s">
        <v>153</v>
      </c>
      <c r="CA194" s="88" t="s">
        <v>190</v>
      </c>
      <c r="CB194" s="89">
        <v>38929</v>
      </c>
      <c r="CC194" s="90">
        <v>17000</v>
      </c>
      <c r="CD194" s="91" t="s">
        <v>186</v>
      </c>
      <c r="CE194" s="92">
        <v>17000</v>
      </c>
      <c r="CF194" s="93" t="s">
        <v>153</v>
      </c>
      <c r="CG194" s="94" t="s">
        <v>226</v>
      </c>
      <c r="CH194" s="95" t="s">
        <v>153</v>
      </c>
      <c r="CI194" s="96" t="s">
        <v>153</v>
      </c>
      <c r="CJ194" s="97" t="s">
        <v>225</v>
      </c>
      <c r="CK194" s="98">
        <v>38929</v>
      </c>
      <c r="CL194" s="99" t="s">
        <v>153</v>
      </c>
      <c r="CM194" s="100" t="s">
        <v>153</v>
      </c>
      <c r="CN194" s="101" t="s">
        <v>190</v>
      </c>
      <c r="CO194" s="102" t="s">
        <v>153</v>
      </c>
      <c r="CP194" s="103" t="s">
        <v>153</v>
      </c>
      <c r="CQ194" s="104" t="s">
        <v>153</v>
      </c>
      <c r="CR194" s="105" t="s">
        <v>153</v>
      </c>
      <c r="CS194" s="106" t="s">
        <v>153</v>
      </c>
      <c r="CT194" s="107" t="s">
        <v>153</v>
      </c>
      <c r="CU194" s="108" t="s">
        <v>153</v>
      </c>
      <c r="CV194" s="109" t="s">
        <v>153</v>
      </c>
      <c r="CW194" s="110" t="s">
        <v>153</v>
      </c>
      <c r="CX194" s="111" t="s">
        <v>153</v>
      </c>
      <c r="CY194" s="112" t="s">
        <v>153</v>
      </c>
      <c r="CZ194" s="113" t="s">
        <v>153</v>
      </c>
      <c r="DA194" s="114" t="s">
        <v>153</v>
      </c>
      <c r="DB194" s="115" t="s">
        <v>153</v>
      </c>
      <c r="DC194" s="116" t="s">
        <v>153</v>
      </c>
      <c r="DD194" s="117" t="s">
        <v>153</v>
      </c>
      <c r="DE194" s="118" t="s">
        <v>153</v>
      </c>
      <c r="DF194" s="119" t="s">
        <v>153</v>
      </c>
      <c r="DG194" s="120" t="s">
        <v>153</v>
      </c>
      <c r="DH194" s="121" t="s">
        <v>153</v>
      </c>
      <c r="DI194" s="122" t="s">
        <v>153</v>
      </c>
      <c r="DJ194" s="123" t="s">
        <v>153</v>
      </c>
      <c r="DK194" s="124" t="s">
        <v>153</v>
      </c>
      <c r="DL194" s="125" t="s">
        <v>153</v>
      </c>
      <c r="DM194" s="126" t="s">
        <v>153</v>
      </c>
      <c r="DN194" s="127" t="s">
        <v>153</v>
      </c>
      <c r="DO194" s="128" t="s">
        <v>153</v>
      </c>
      <c r="DP194" s="129" t="s">
        <v>153</v>
      </c>
      <c r="DQ194" s="130" t="s">
        <v>153</v>
      </c>
      <c r="DR194" s="131" t="s">
        <v>153</v>
      </c>
      <c r="DS194" s="132" t="s">
        <v>153</v>
      </c>
      <c r="DT194" s="133" t="s">
        <v>153</v>
      </c>
      <c r="DU194" s="134" t="s">
        <v>153</v>
      </c>
      <c r="DV194" s="135" t="s">
        <v>153</v>
      </c>
      <c r="DW194" s="136" t="s">
        <v>153</v>
      </c>
      <c r="DX194" s="137" t="s">
        <v>153</v>
      </c>
      <c r="DY194" s="138" t="s">
        <v>153</v>
      </c>
      <c r="DZ194" s="139" t="s">
        <v>191</v>
      </c>
      <c r="EA194" s="140">
        <v>44293</v>
      </c>
      <c r="EB194" s="141">
        <v>17000</v>
      </c>
      <c r="EC194" s="142">
        <v>38929</v>
      </c>
      <c r="ED194" s="143" t="s">
        <v>226</v>
      </c>
      <c r="EE194" s="278" t="str">
        <f>HYPERLINK("https://my.pitchbook.com?c=12851-02", "View company online")</f>
        <v>View company online</v>
      </c>
    </row>
    <row r="195" spans="1:135" x14ac:dyDescent="0.45">
      <c r="A195" s="144" t="s">
        <v>4365</v>
      </c>
      <c r="B195" s="145" t="s">
        <v>4366</v>
      </c>
      <c r="C195" s="146" t="s">
        <v>153</v>
      </c>
      <c r="D195" s="147" t="s">
        <v>153</v>
      </c>
      <c r="E195" s="148" t="s">
        <v>153</v>
      </c>
      <c r="F195" s="149" t="s">
        <v>153</v>
      </c>
      <c r="G195" s="150" t="s">
        <v>4367</v>
      </c>
      <c r="H195" s="151" t="s">
        <v>4368</v>
      </c>
      <c r="I195" s="152" t="s">
        <v>4365</v>
      </c>
      <c r="J195" s="153" t="s">
        <v>4369</v>
      </c>
      <c r="K195" s="154" t="s">
        <v>198</v>
      </c>
      <c r="L195" s="155" t="s">
        <v>1589</v>
      </c>
      <c r="M195" s="156" t="s">
        <v>1590</v>
      </c>
      <c r="N195" s="157" t="s">
        <v>1591</v>
      </c>
      <c r="O195" s="158" t="s">
        <v>1592</v>
      </c>
      <c r="P195" s="159" t="s">
        <v>4370</v>
      </c>
      <c r="Q195" s="160" t="s">
        <v>564</v>
      </c>
      <c r="R195" s="161" t="s">
        <v>153</v>
      </c>
      <c r="S195" s="162" t="s">
        <v>290</v>
      </c>
      <c r="T195" s="163" t="s">
        <v>205</v>
      </c>
      <c r="U195" s="164" t="s">
        <v>452</v>
      </c>
      <c r="V195" s="165" t="s">
        <v>4371</v>
      </c>
      <c r="W195" s="166">
        <v>3089</v>
      </c>
      <c r="X195" s="167" t="s">
        <v>4372</v>
      </c>
      <c r="Y195" s="168" t="s">
        <v>153</v>
      </c>
      <c r="Z195" s="169" t="s">
        <v>153</v>
      </c>
      <c r="AA195" s="170">
        <v>1983</v>
      </c>
      <c r="AB195" s="171" t="s">
        <v>4373</v>
      </c>
      <c r="AC195" s="172" t="s">
        <v>153</v>
      </c>
      <c r="AD195" s="173" t="s">
        <v>428</v>
      </c>
      <c r="AE195" s="174" t="s">
        <v>153</v>
      </c>
      <c r="AF195" s="175" t="s">
        <v>153</v>
      </c>
      <c r="AG195" s="176" t="s">
        <v>153</v>
      </c>
      <c r="AH195" s="177" t="s">
        <v>153</v>
      </c>
      <c r="AI195" s="178" t="s">
        <v>153</v>
      </c>
      <c r="AJ195" s="179" t="s">
        <v>153</v>
      </c>
      <c r="AK195" s="180" t="s">
        <v>153</v>
      </c>
      <c r="AL195" s="181" t="s">
        <v>153</v>
      </c>
      <c r="AM195" s="182" t="s">
        <v>153</v>
      </c>
      <c r="AN195" s="183" t="s">
        <v>1595</v>
      </c>
      <c r="AO195" s="184" t="s">
        <v>4374</v>
      </c>
      <c r="AP195" s="185" t="s">
        <v>4375</v>
      </c>
      <c r="AQ195" s="186" t="s">
        <v>4376</v>
      </c>
      <c r="AR195" s="187" t="s">
        <v>4377</v>
      </c>
      <c r="AS195" s="188" t="s">
        <v>4378</v>
      </c>
      <c r="AT195" s="189" t="s">
        <v>1379</v>
      </c>
      <c r="AU195" s="190" t="s">
        <v>4379</v>
      </c>
      <c r="AV195" s="191" t="s">
        <v>153</v>
      </c>
      <c r="AW195" s="192" t="s">
        <v>1380</v>
      </c>
      <c r="AX195" s="193" t="s">
        <v>308</v>
      </c>
      <c r="AY195" s="194" t="s">
        <v>3272</v>
      </c>
      <c r="AZ195" s="195" t="s">
        <v>215</v>
      </c>
      <c r="BA195" s="196" t="s">
        <v>4378</v>
      </c>
      <c r="BB195" s="197" t="s">
        <v>153</v>
      </c>
      <c r="BC195" s="198" t="s">
        <v>153</v>
      </c>
      <c r="BD195" s="199" t="s">
        <v>216</v>
      </c>
      <c r="BE195" s="200" t="s">
        <v>217</v>
      </c>
      <c r="BF195" s="201" t="s">
        <v>4380</v>
      </c>
      <c r="BG195" s="202" t="s">
        <v>153</v>
      </c>
      <c r="BH195" s="203" t="s">
        <v>153</v>
      </c>
      <c r="BI195" s="204" t="s">
        <v>4373</v>
      </c>
      <c r="BJ195" s="205" t="s">
        <v>4381</v>
      </c>
      <c r="BK195" s="206" t="s">
        <v>153</v>
      </c>
      <c r="BL195" s="207" t="s">
        <v>153</v>
      </c>
      <c r="BM195" s="208" t="s">
        <v>4382</v>
      </c>
      <c r="BN195" s="209" t="s">
        <v>153</v>
      </c>
      <c r="BO195" s="210" t="s">
        <v>4383</v>
      </c>
      <c r="BP195" s="211" t="s">
        <v>4384</v>
      </c>
      <c r="BQ195" s="212" t="s">
        <v>153</v>
      </c>
      <c r="BR195" s="213" t="s">
        <v>153</v>
      </c>
      <c r="BS195" s="214" t="s">
        <v>153</v>
      </c>
      <c r="BT195" s="215" t="s">
        <v>153</v>
      </c>
      <c r="BU195" s="216" t="s">
        <v>153</v>
      </c>
      <c r="BV195" s="217" t="s">
        <v>471</v>
      </c>
      <c r="BW195" s="218" t="s">
        <v>153</v>
      </c>
      <c r="BX195" s="219" t="s">
        <v>153</v>
      </c>
      <c r="BY195" s="220" t="s">
        <v>472</v>
      </c>
      <c r="BZ195" s="221" t="s">
        <v>153</v>
      </c>
      <c r="CA195" s="222" t="s">
        <v>190</v>
      </c>
      <c r="CB195" s="223">
        <v>42366</v>
      </c>
      <c r="CC195" s="224">
        <v>17000</v>
      </c>
      <c r="CD195" s="225" t="s">
        <v>186</v>
      </c>
      <c r="CE195" s="226">
        <v>17000</v>
      </c>
      <c r="CF195" s="227" t="s">
        <v>186</v>
      </c>
      <c r="CG195" s="228" t="s">
        <v>226</v>
      </c>
      <c r="CH195" s="229" t="s">
        <v>153</v>
      </c>
      <c r="CI195" s="230" t="s">
        <v>153</v>
      </c>
      <c r="CJ195" s="231" t="s">
        <v>225</v>
      </c>
      <c r="CK195" s="232">
        <v>42366</v>
      </c>
      <c r="CL195" s="233" t="s">
        <v>153</v>
      </c>
      <c r="CM195" s="234" t="s">
        <v>153</v>
      </c>
      <c r="CN195" s="235" t="s">
        <v>190</v>
      </c>
      <c r="CO195" s="236" t="s">
        <v>153</v>
      </c>
      <c r="CP195" s="237" t="s">
        <v>153</v>
      </c>
      <c r="CQ195" s="238" t="s">
        <v>153</v>
      </c>
      <c r="CR195" s="239" t="s">
        <v>153</v>
      </c>
      <c r="CS195" s="240" t="s">
        <v>153</v>
      </c>
      <c r="CT195" s="241" t="s">
        <v>153</v>
      </c>
      <c r="CU195" s="242" t="s">
        <v>153</v>
      </c>
      <c r="CV195" s="243" t="s">
        <v>153</v>
      </c>
      <c r="CW195" s="244" t="s">
        <v>153</v>
      </c>
      <c r="CX195" s="245" t="s">
        <v>153</v>
      </c>
      <c r="CY195" s="246" t="s">
        <v>153</v>
      </c>
      <c r="CZ195" s="247" t="s">
        <v>153</v>
      </c>
      <c r="DA195" s="248" t="s">
        <v>153</v>
      </c>
      <c r="DB195" s="249" t="s">
        <v>153</v>
      </c>
      <c r="DC195" s="250" t="s">
        <v>153</v>
      </c>
      <c r="DD195" s="251" t="s">
        <v>153</v>
      </c>
      <c r="DE195" s="252" t="s">
        <v>153</v>
      </c>
      <c r="DF195" s="253" t="s">
        <v>153</v>
      </c>
      <c r="DG195" s="254" t="s">
        <v>153</v>
      </c>
      <c r="DH195" s="255" t="s">
        <v>153</v>
      </c>
      <c r="DI195" s="256" t="s">
        <v>153</v>
      </c>
      <c r="DJ195" s="257" t="s">
        <v>153</v>
      </c>
      <c r="DK195" s="258" t="s">
        <v>153</v>
      </c>
      <c r="DL195" s="259" t="s">
        <v>153</v>
      </c>
      <c r="DM195" s="260" t="s">
        <v>153</v>
      </c>
      <c r="DN195" s="261" t="s">
        <v>153</v>
      </c>
      <c r="DO195" s="262" t="s">
        <v>153</v>
      </c>
      <c r="DP195" s="263" t="s">
        <v>153</v>
      </c>
      <c r="DQ195" s="264" t="s">
        <v>153</v>
      </c>
      <c r="DR195" s="265" t="s">
        <v>153</v>
      </c>
      <c r="DS195" s="266" t="s">
        <v>153</v>
      </c>
      <c r="DT195" s="267" t="s">
        <v>153</v>
      </c>
      <c r="DU195" s="268" t="s">
        <v>153</v>
      </c>
      <c r="DV195" s="269" t="s">
        <v>153</v>
      </c>
      <c r="DW195" s="270" t="s">
        <v>153</v>
      </c>
      <c r="DX195" s="271" t="s">
        <v>153</v>
      </c>
      <c r="DY195" s="272" t="s">
        <v>153</v>
      </c>
      <c r="DZ195" s="273" t="s">
        <v>191</v>
      </c>
      <c r="EA195" s="274">
        <v>44393</v>
      </c>
      <c r="EB195" s="275">
        <v>17000</v>
      </c>
      <c r="EC195" s="276">
        <v>42366</v>
      </c>
      <c r="ED195" s="277" t="s">
        <v>226</v>
      </c>
      <c r="EE195" s="279" t="str">
        <f>HYPERLINK("https://my.pitchbook.com?c=12342-97", "View company online")</f>
        <v>View company online</v>
      </c>
    </row>
    <row r="196" spans="1:135" x14ac:dyDescent="0.45">
      <c r="A196" s="10" t="s">
        <v>4385</v>
      </c>
      <c r="B196" s="11" t="s">
        <v>4386</v>
      </c>
      <c r="C196" s="12" t="s">
        <v>153</v>
      </c>
      <c r="D196" s="13" t="s">
        <v>153</v>
      </c>
      <c r="E196" s="14" t="s">
        <v>4387</v>
      </c>
      <c r="F196" s="15" t="s">
        <v>153</v>
      </c>
      <c r="G196" s="16" t="s">
        <v>4388</v>
      </c>
      <c r="H196" s="17" t="s">
        <v>4389</v>
      </c>
      <c r="I196" s="18" t="s">
        <v>4385</v>
      </c>
      <c r="J196" s="19" t="s">
        <v>4390</v>
      </c>
      <c r="K196" s="20" t="s">
        <v>257</v>
      </c>
      <c r="L196" s="21" t="s">
        <v>258</v>
      </c>
      <c r="M196" s="22" t="s">
        <v>448</v>
      </c>
      <c r="N196" s="23" t="s">
        <v>4391</v>
      </c>
      <c r="O196" s="24" t="s">
        <v>4392</v>
      </c>
      <c r="P196" s="25" t="s">
        <v>4393</v>
      </c>
      <c r="Q196" s="26" t="s">
        <v>204</v>
      </c>
      <c r="R196" s="27" t="s">
        <v>153</v>
      </c>
      <c r="S196" s="28" t="s">
        <v>163</v>
      </c>
      <c r="T196" s="29" t="s">
        <v>164</v>
      </c>
      <c r="U196" s="30" t="s">
        <v>237</v>
      </c>
      <c r="V196" s="31" t="s">
        <v>4394</v>
      </c>
      <c r="W196" s="32">
        <v>22000</v>
      </c>
      <c r="X196" s="33" t="s">
        <v>4395</v>
      </c>
      <c r="Y196" s="34" t="s">
        <v>153</v>
      </c>
      <c r="Z196" s="35" t="s">
        <v>153</v>
      </c>
      <c r="AA196" s="36">
        <v>1975</v>
      </c>
      <c r="AB196" s="37" t="s">
        <v>3080</v>
      </c>
      <c r="AC196" s="38" t="s">
        <v>428</v>
      </c>
      <c r="AD196" s="39" t="s">
        <v>428</v>
      </c>
      <c r="AE196" s="40" t="s">
        <v>153</v>
      </c>
      <c r="AF196" s="41" t="s">
        <v>153</v>
      </c>
      <c r="AG196" s="42" t="s">
        <v>153</v>
      </c>
      <c r="AH196" s="43" t="s">
        <v>153</v>
      </c>
      <c r="AI196" s="44" t="s">
        <v>153</v>
      </c>
      <c r="AJ196" s="45" t="s">
        <v>153</v>
      </c>
      <c r="AK196" s="46" t="s">
        <v>153</v>
      </c>
      <c r="AL196" s="47" t="s">
        <v>153</v>
      </c>
      <c r="AM196" s="48" t="s">
        <v>153</v>
      </c>
      <c r="AN196" s="49" t="s">
        <v>1595</v>
      </c>
      <c r="AO196" s="50" t="s">
        <v>4396</v>
      </c>
      <c r="AP196" s="51" t="s">
        <v>4397</v>
      </c>
      <c r="AQ196" s="52" t="s">
        <v>4398</v>
      </c>
      <c r="AR196" s="53" t="s">
        <v>153</v>
      </c>
      <c r="AS196" s="54" t="s">
        <v>4399</v>
      </c>
      <c r="AT196" s="55" t="s">
        <v>649</v>
      </c>
      <c r="AU196" s="56" t="s">
        <v>4400</v>
      </c>
      <c r="AV196" s="57" t="s">
        <v>153</v>
      </c>
      <c r="AW196" s="58" t="s">
        <v>651</v>
      </c>
      <c r="AX196" s="59" t="s">
        <v>652</v>
      </c>
      <c r="AY196" s="60" t="s">
        <v>4401</v>
      </c>
      <c r="AZ196" s="61" t="s">
        <v>215</v>
      </c>
      <c r="BA196" s="62" t="s">
        <v>4399</v>
      </c>
      <c r="BB196" s="63" t="s">
        <v>4402</v>
      </c>
      <c r="BC196" s="64" t="s">
        <v>153</v>
      </c>
      <c r="BD196" s="65" t="s">
        <v>216</v>
      </c>
      <c r="BE196" s="66" t="s">
        <v>217</v>
      </c>
      <c r="BF196" s="67" t="s">
        <v>4403</v>
      </c>
      <c r="BG196" s="68" t="s">
        <v>153</v>
      </c>
      <c r="BH196" s="69" t="s">
        <v>153</v>
      </c>
      <c r="BI196" s="70" t="s">
        <v>3080</v>
      </c>
      <c r="BJ196" s="71" t="s">
        <v>153</v>
      </c>
      <c r="BK196" s="72" t="s">
        <v>153</v>
      </c>
      <c r="BL196" s="73" t="s">
        <v>153</v>
      </c>
      <c r="BM196" s="74" t="s">
        <v>153</v>
      </c>
      <c r="BN196" s="75" t="s">
        <v>153</v>
      </c>
      <c r="BO196" s="76" t="s">
        <v>4404</v>
      </c>
      <c r="BP196" s="77" t="s">
        <v>4405</v>
      </c>
      <c r="BQ196" s="78">
        <v>32958</v>
      </c>
      <c r="BR196" s="79" t="s">
        <v>153</v>
      </c>
      <c r="BS196" s="80" t="s">
        <v>153</v>
      </c>
      <c r="BT196" s="81" t="s">
        <v>153</v>
      </c>
      <c r="BU196" s="82" t="s">
        <v>153</v>
      </c>
      <c r="BV196" s="83" t="s">
        <v>251</v>
      </c>
      <c r="BW196" s="84" t="s">
        <v>153</v>
      </c>
      <c r="BX196" s="85" t="s">
        <v>153</v>
      </c>
      <c r="BY196" s="86" t="s">
        <v>252</v>
      </c>
      <c r="BZ196" s="87" t="s">
        <v>153</v>
      </c>
      <c r="CA196" s="88" t="s">
        <v>190</v>
      </c>
      <c r="CB196" s="89">
        <v>42326</v>
      </c>
      <c r="CC196" s="90">
        <v>17000</v>
      </c>
      <c r="CD196" s="91" t="s">
        <v>186</v>
      </c>
      <c r="CE196" s="92">
        <v>17000</v>
      </c>
      <c r="CF196" s="93" t="s">
        <v>187</v>
      </c>
      <c r="CG196" s="94" t="s">
        <v>226</v>
      </c>
      <c r="CH196" s="95" t="s">
        <v>153</v>
      </c>
      <c r="CI196" s="96" t="s">
        <v>153</v>
      </c>
      <c r="CJ196" s="97" t="s">
        <v>225</v>
      </c>
      <c r="CK196" s="98">
        <v>42326</v>
      </c>
      <c r="CL196" s="99" t="s">
        <v>153</v>
      </c>
      <c r="CM196" s="100" t="s">
        <v>153</v>
      </c>
      <c r="CN196" s="101" t="s">
        <v>190</v>
      </c>
      <c r="CO196" s="102">
        <v>-3.84</v>
      </c>
      <c r="CP196" s="103">
        <v>1</v>
      </c>
      <c r="CQ196" s="104">
        <v>-0.77</v>
      </c>
      <c r="CR196" s="105">
        <v>-24.89</v>
      </c>
      <c r="CS196" s="106">
        <v>-1.04</v>
      </c>
      <c r="CT196" s="107">
        <v>4</v>
      </c>
      <c r="CU196" s="108">
        <v>-0.04</v>
      </c>
      <c r="CV196" s="109">
        <v>34</v>
      </c>
      <c r="CW196" s="110">
        <v>-2.04</v>
      </c>
      <c r="CX196" s="111">
        <v>12</v>
      </c>
      <c r="CY196" s="112">
        <v>-0.03</v>
      </c>
      <c r="CZ196" s="113">
        <v>5</v>
      </c>
      <c r="DA196" s="114">
        <v>-0.04</v>
      </c>
      <c r="DB196" s="115">
        <v>34</v>
      </c>
      <c r="DC196" s="116">
        <v>794.44</v>
      </c>
      <c r="DD196" s="117">
        <v>100</v>
      </c>
      <c r="DE196" s="118">
        <v>-33.76</v>
      </c>
      <c r="DF196" s="119">
        <v>-4.08</v>
      </c>
      <c r="DG196" s="120">
        <v>1727.38</v>
      </c>
      <c r="DH196" s="121">
        <v>100</v>
      </c>
      <c r="DI196" s="122">
        <v>61.35</v>
      </c>
      <c r="DJ196" s="123">
        <v>97</v>
      </c>
      <c r="DK196" s="124">
        <v>2648.76</v>
      </c>
      <c r="DL196" s="125">
        <v>100</v>
      </c>
      <c r="DM196" s="126">
        <v>806</v>
      </c>
      <c r="DN196" s="127">
        <v>100</v>
      </c>
      <c r="DO196" s="128">
        <v>61.35</v>
      </c>
      <c r="DP196" s="129">
        <v>97</v>
      </c>
      <c r="DQ196" s="130">
        <v>1580576</v>
      </c>
      <c r="DR196" s="131">
        <v>-36155</v>
      </c>
      <c r="DS196" s="132">
        <v>-2.2400000000000002</v>
      </c>
      <c r="DT196" s="133">
        <v>12886</v>
      </c>
      <c r="DU196" s="134">
        <v>27</v>
      </c>
      <c r="DV196" s="135">
        <v>0.21</v>
      </c>
      <c r="DW196" s="136">
        <v>19264</v>
      </c>
      <c r="DX196" s="137">
        <v>11</v>
      </c>
      <c r="DY196" s="138">
        <v>0.06</v>
      </c>
      <c r="DZ196" s="139" t="s">
        <v>191</v>
      </c>
      <c r="EA196" s="140">
        <v>44393</v>
      </c>
      <c r="EB196" s="141">
        <v>17000</v>
      </c>
      <c r="EC196" s="142">
        <v>42326</v>
      </c>
      <c r="ED196" s="143" t="s">
        <v>226</v>
      </c>
      <c r="EE196" s="278" t="str">
        <f>HYPERLINK("https://my.pitchbook.com?c=41177-98", "View company online")</f>
        <v>View company online</v>
      </c>
    </row>
    <row r="197" spans="1:135" x14ac:dyDescent="0.45">
      <c r="A197" s="144" t="s">
        <v>4406</v>
      </c>
      <c r="B197" s="145" t="s">
        <v>4407</v>
      </c>
      <c r="C197" s="146" t="s">
        <v>153</v>
      </c>
      <c r="D197" s="147" t="s">
        <v>153</v>
      </c>
      <c r="E197" s="148" t="s">
        <v>153</v>
      </c>
      <c r="F197" s="149" t="s">
        <v>153</v>
      </c>
      <c r="G197" s="150" t="s">
        <v>4408</v>
      </c>
      <c r="H197" s="151" t="s">
        <v>153</v>
      </c>
      <c r="I197" s="152" t="s">
        <v>4406</v>
      </c>
      <c r="J197" s="153" t="s">
        <v>4409</v>
      </c>
      <c r="K197" s="154" t="s">
        <v>157</v>
      </c>
      <c r="L197" s="155" t="s">
        <v>817</v>
      </c>
      <c r="M197" s="156" t="s">
        <v>863</v>
      </c>
      <c r="N197" s="157" t="s">
        <v>4410</v>
      </c>
      <c r="O197" s="158" t="s">
        <v>261</v>
      </c>
      <c r="P197" s="159" t="s">
        <v>4411</v>
      </c>
      <c r="Q197" s="160" t="s">
        <v>204</v>
      </c>
      <c r="R197" s="161" t="s">
        <v>153</v>
      </c>
      <c r="S197" s="162" t="s">
        <v>290</v>
      </c>
      <c r="T197" s="163" t="s">
        <v>205</v>
      </c>
      <c r="U197" s="164" t="s">
        <v>237</v>
      </c>
      <c r="V197" s="165" t="s">
        <v>4412</v>
      </c>
      <c r="W197" s="166">
        <v>692</v>
      </c>
      <c r="X197" s="167" t="s">
        <v>4413</v>
      </c>
      <c r="Y197" s="168" t="s">
        <v>153</v>
      </c>
      <c r="Z197" s="169" t="s">
        <v>153</v>
      </c>
      <c r="AA197" s="170">
        <v>1896</v>
      </c>
      <c r="AB197" s="171" t="s">
        <v>153</v>
      </c>
      <c r="AC197" s="172" t="s">
        <v>153</v>
      </c>
      <c r="AD197" s="173" t="s">
        <v>153</v>
      </c>
      <c r="AE197" s="174" t="s">
        <v>153</v>
      </c>
      <c r="AF197" s="175" t="s">
        <v>153</v>
      </c>
      <c r="AG197" s="176" t="s">
        <v>153</v>
      </c>
      <c r="AH197" s="177" t="s">
        <v>153</v>
      </c>
      <c r="AI197" s="178" t="s">
        <v>153</v>
      </c>
      <c r="AJ197" s="179" t="s">
        <v>153</v>
      </c>
      <c r="AK197" s="180" t="s">
        <v>153</v>
      </c>
      <c r="AL197" s="181" t="s">
        <v>153</v>
      </c>
      <c r="AM197" s="182" t="s">
        <v>153</v>
      </c>
      <c r="AN197" s="183" t="s">
        <v>4414</v>
      </c>
      <c r="AO197" s="184" t="s">
        <v>4415</v>
      </c>
      <c r="AP197" s="185" t="s">
        <v>4416</v>
      </c>
      <c r="AQ197" s="186" t="s">
        <v>171</v>
      </c>
      <c r="AR197" s="187" t="s">
        <v>153</v>
      </c>
      <c r="AS197" s="188" t="s">
        <v>153</v>
      </c>
      <c r="AT197" s="189" t="s">
        <v>4417</v>
      </c>
      <c r="AU197" s="190" t="s">
        <v>4418</v>
      </c>
      <c r="AV197" s="191" t="s">
        <v>153</v>
      </c>
      <c r="AW197" s="192" t="s">
        <v>4419</v>
      </c>
      <c r="AX197" s="193" t="s">
        <v>153</v>
      </c>
      <c r="AY197" s="194" t="s">
        <v>4420</v>
      </c>
      <c r="AZ197" s="195" t="s">
        <v>335</v>
      </c>
      <c r="BA197" s="196" t="s">
        <v>153</v>
      </c>
      <c r="BB197" s="197" t="s">
        <v>153</v>
      </c>
      <c r="BC197" s="198" t="s">
        <v>153</v>
      </c>
      <c r="BD197" s="199" t="s">
        <v>180</v>
      </c>
      <c r="BE197" s="200" t="s">
        <v>181</v>
      </c>
      <c r="BF197" s="201" t="s">
        <v>4421</v>
      </c>
      <c r="BG197" s="202" t="s">
        <v>153</v>
      </c>
      <c r="BH197" s="203" t="s">
        <v>153</v>
      </c>
      <c r="BI197" s="204" t="s">
        <v>4422</v>
      </c>
      <c r="BJ197" s="205" t="s">
        <v>153</v>
      </c>
      <c r="BK197" s="206" t="s">
        <v>153</v>
      </c>
      <c r="BL197" s="207" t="s">
        <v>153</v>
      </c>
      <c r="BM197" s="208" t="s">
        <v>153</v>
      </c>
      <c r="BN197" s="209" t="s">
        <v>153</v>
      </c>
      <c r="BO197" s="210" t="s">
        <v>153</v>
      </c>
      <c r="BP197" s="211" t="s">
        <v>153</v>
      </c>
      <c r="BQ197" s="212">
        <v>24108</v>
      </c>
      <c r="BR197" s="213" t="s">
        <v>153</v>
      </c>
      <c r="BS197" s="214" t="s">
        <v>153</v>
      </c>
      <c r="BT197" s="215" t="s">
        <v>153</v>
      </c>
      <c r="BU197" s="216" t="s">
        <v>153</v>
      </c>
      <c r="BV197" s="217" t="s">
        <v>251</v>
      </c>
      <c r="BW197" s="218" t="s">
        <v>153</v>
      </c>
      <c r="BX197" s="219" t="s">
        <v>153</v>
      </c>
      <c r="BY197" s="220" t="s">
        <v>252</v>
      </c>
      <c r="BZ197" s="221" t="s">
        <v>153</v>
      </c>
      <c r="CA197" s="222" t="s">
        <v>190</v>
      </c>
      <c r="CB197" s="223">
        <v>39387</v>
      </c>
      <c r="CC197" s="224">
        <v>17000</v>
      </c>
      <c r="CD197" s="225" t="s">
        <v>187</v>
      </c>
      <c r="CE197" s="226">
        <v>17000</v>
      </c>
      <c r="CF197" s="227" t="s">
        <v>187</v>
      </c>
      <c r="CG197" s="228" t="s">
        <v>226</v>
      </c>
      <c r="CH197" s="229" t="s">
        <v>153</v>
      </c>
      <c r="CI197" s="230" t="s">
        <v>153</v>
      </c>
      <c r="CJ197" s="231" t="s">
        <v>225</v>
      </c>
      <c r="CK197" s="232">
        <v>39387</v>
      </c>
      <c r="CL197" s="233" t="s">
        <v>153</v>
      </c>
      <c r="CM197" s="234" t="s">
        <v>153</v>
      </c>
      <c r="CN197" s="235" t="s">
        <v>190</v>
      </c>
      <c r="CO197" s="236" t="s">
        <v>153</v>
      </c>
      <c r="CP197" s="237" t="s">
        <v>153</v>
      </c>
      <c r="CQ197" s="238" t="s">
        <v>153</v>
      </c>
      <c r="CR197" s="239" t="s">
        <v>153</v>
      </c>
      <c r="CS197" s="240" t="s">
        <v>153</v>
      </c>
      <c r="CT197" s="241" t="s">
        <v>153</v>
      </c>
      <c r="CU197" s="242" t="s">
        <v>153</v>
      </c>
      <c r="CV197" s="243" t="s">
        <v>153</v>
      </c>
      <c r="CW197" s="244" t="s">
        <v>153</v>
      </c>
      <c r="CX197" s="245" t="s">
        <v>153</v>
      </c>
      <c r="CY197" s="246" t="s">
        <v>153</v>
      </c>
      <c r="CZ197" s="247" t="s">
        <v>153</v>
      </c>
      <c r="DA197" s="248" t="s">
        <v>153</v>
      </c>
      <c r="DB197" s="249" t="s">
        <v>153</v>
      </c>
      <c r="DC197" s="250" t="s">
        <v>153</v>
      </c>
      <c r="DD197" s="251" t="s">
        <v>153</v>
      </c>
      <c r="DE197" s="252" t="s">
        <v>153</v>
      </c>
      <c r="DF197" s="253" t="s">
        <v>153</v>
      </c>
      <c r="DG197" s="254" t="s">
        <v>153</v>
      </c>
      <c r="DH197" s="255" t="s">
        <v>153</v>
      </c>
      <c r="DI197" s="256" t="s">
        <v>153</v>
      </c>
      <c r="DJ197" s="257" t="s">
        <v>153</v>
      </c>
      <c r="DK197" s="258" t="s">
        <v>153</v>
      </c>
      <c r="DL197" s="259" t="s">
        <v>153</v>
      </c>
      <c r="DM197" s="260" t="s">
        <v>153</v>
      </c>
      <c r="DN197" s="261" t="s">
        <v>153</v>
      </c>
      <c r="DO197" s="262" t="s">
        <v>153</v>
      </c>
      <c r="DP197" s="263" t="s">
        <v>153</v>
      </c>
      <c r="DQ197" s="264" t="s">
        <v>153</v>
      </c>
      <c r="DR197" s="265" t="s">
        <v>153</v>
      </c>
      <c r="DS197" s="266" t="s">
        <v>153</v>
      </c>
      <c r="DT197" s="267" t="s">
        <v>153</v>
      </c>
      <c r="DU197" s="268" t="s">
        <v>153</v>
      </c>
      <c r="DV197" s="269" t="s">
        <v>153</v>
      </c>
      <c r="DW197" s="270" t="s">
        <v>153</v>
      </c>
      <c r="DX197" s="271" t="s">
        <v>153</v>
      </c>
      <c r="DY197" s="272" t="s">
        <v>153</v>
      </c>
      <c r="DZ197" s="273" t="s">
        <v>191</v>
      </c>
      <c r="EA197" s="274">
        <v>44217</v>
      </c>
      <c r="EB197" s="275">
        <v>17000</v>
      </c>
      <c r="EC197" s="276">
        <v>39387</v>
      </c>
      <c r="ED197" s="277" t="s">
        <v>226</v>
      </c>
      <c r="EE197" s="279" t="str">
        <f>HYPERLINK("https://my.pitchbook.com?c=124029-28", "View company online")</f>
        <v>View company online</v>
      </c>
    </row>
    <row r="198" spans="1:135" x14ac:dyDescent="0.45">
      <c r="A198" s="10" t="s">
        <v>4423</v>
      </c>
      <c r="B198" s="11" t="s">
        <v>4424</v>
      </c>
      <c r="C198" s="12" t="s">
        <v>153</v>
      </c>
      <c r="D198" s="13" t="s">
        <v>153</v>
      </c>
      <c r="E198" s="14" t="s">
        <v>4425</v>
      </c>
      <c r="F198" s="15" t="s">
        <v>4426</v>
      </c>
      <c r="G198" s="16" t="s">
        <v>4427</v>
      </c>
      <c r="H198" s="17" t="s">
        <v>4428</v>
      </c>
      <c r="I198" s="18" t="s">
        <v>4423</v>
      </c>
      <c r="J198" s="19" t="s">
        <v>4429</v>
      </c>
      <c r="K198" s="20" t="s">
        <v>882</v>
      </c>
      <c r="L198" s="21" t="s">
        <v>1231</v>
      </c>
      <c r="M198" s="22" t="s">
        <v>1997</v>
      </c>
      <c r="N198" s="23" t="s">
        <v>4430</v>
      </c>
      <c r="O198" s="24" t="s">
        <v>1234</v>
      </c>
      <c r="P198" s="25" t="s">
        <v>4431</v>
      </c>
      <c r="Q198" s="26" t="s">
        <v>4432</v>
      </c>
      <c r="R198" s="27">
        <v>894.21</v>
      </c>
      <c r="S198" s="28" t="s">
        <v>368</v>
      </c>
      <c r="T198" s="29" t="s">
        <v>291</v>
      </c>
      <c r="U198" s="30" t="s">
        <v>1063</v>
      </c>
      <c r="V198" s="31" t="s">
        <v>4433</v>
      </c>
      <c r="W198" s="32">
        <v>5743</v>
      </c>
      <c r="X198" s="33" t="s">
        <v>4434</v>
      </c>
      <c r="Y198" s="34" t="s">
        <v>4435</v>
      </c>
      <c r="Z198" s="35" t="s">
        <v>4436</v>
      </c>
      <c r="AA198" s="36">
        <v>1920</v>
      </c>
      <c r="AB198" s="37" t="s">
        <v>153</v>
      </c>
      <c r="AC198" s="38" t="s">
        <v>153</v>
      </c>
      <c r="AD198" s="39" t="s">
        <v>153</v>
      </c>
      <c r="AE198" s="40">
        <v>549.76</v>
      </c>
      <c r="AF198" s="41">
        <v>536.35</v>
      </c>
      <c r="AG198" s="42">
        <v>-100.14</v>
      </c>
      <c r="AH198" s="43">
        <v>19425.099999999999</v>
      </c>
      <c r="AI198" s="44">
        <v>129.99</v>
      </c>
      <c r="AJ198" s="45">
        <v>-172.91</v>
      </c>
      <c r="AK198" s="46">
        <v>15534.95</v>
      </c>
      <c r="AL198" s="47">
        <v>6247.36</v>
      </c>
      <c r="AM198" s="48">
        <v>-51.04</v>
      </c>
      <c r="AN198" s="49" t="s">
        <v>168</v>
      </c>
      <c r="AO198" s="50" t="s">
        <v>4437</v>
      </c>
      <c r="AP198" s="51" t="s">
        <v>4438</v>
      </c>
      <c r="AQ198" s="52" t="s">
        <v>512</v>
      </c>
      <c r="AR198" s="53" t="s">
        <v>4439</v>
      </c>
      <c r="AS198" s="54" t="s">
        <v>4440</v>
      </c>
      <c r="AT198" s="55" t="s">
        <v>2540</v>
      </c>
      <c r="AU198" s="56" t="s">
        <v>4441</v>
      </c>
      <c r="AV198" s="57" t="s">
        <v>4442</v>
      </c>
      <c r="AW198" s="58" t="s">
        <v>2543</v>
      </c>
      <c r="AX198" s="59" t="s">
        <v>2544</v>
      </c>
      <c r="AY198" s="60" t="s">
        <v>4443</v>
      </c>
      <c r="AZ198" s="61" t="s">
        <v>2546</v>
      </c>
      <c r="BA198" s="62" t="s">
        <v>4440</v>
      </c>
      <c r="BB198" s="63" t="s">
        <v>4444</v>
      </c>
      <c r="BC198" s="64" t="s">
        <v>4445</v>
      </c>
      <c r="BD198" s="65" t="s">
        <v>2547</v>
      </c>
      <c r="BE198" s="66" t="s">
        <v>2547</v>
      </c>
      <c r="BF198" s="67" t="s">
        <v>4446</v>
      </c>
      <c r="BG198" s="68" t="s">
        <v>4447</v>
      </c>
      <c r="BH198" s="69">
        <v>3</v>
      </c>
      <c r="BI198" s="70" t="s">
        <v>153</v>
      </c>
      <c r="BJ198" s="71" t="s">
        <v>4448</v>
      </c>
      <c r="BK198" s="72" t="s">
        <v>4449</v>
      </c>
      <c r="BL198" s="73" t="s">
        <v>4450</v>
      </c>
      <c r="BM198" s="74" t="s">
        <v>4451</v>
      </c>
      <c r="BN198" s="75" t="s">
        <v>4452</v>
      </c>
      <c r="BO198" s="76" t="s">
        <v>4453</v>
      </c>
      <c r="BP198" s="77" t="s">
        <v>4454</v>
      </c>
      <c r="BQ198" s="78">
        <v>37348</v>
      </c>
      <c r="BR198" s="79" t="s">
        <v>153</v>
      </c>
      <c r="BS198" s="80" t="s">
        <v>153</v>
      </c>
      <c r="BT198" s="81" t="s">
        <v>153</v>
      </c>
      <c r="BU198" s="82" t="s">
        <v>153</v>
      </c>
      <c r="BV198" s="83" t="s">
        <v>251</v>
      </c>
      <c r="BW198" s="84" t="s">
        <v>153</v>
      </c>
      <c r="BX198" s="85" t="s">
        <v>153</v>
      </c>
      <c r="BY198" s="86" t="s">
        <v>252</v>
      </c>
      <c r="BZ198" s="87" t="s">
        <v>153</v>
      </c>
      <c r="CA198" s="88" t="s">
        <v>190</v>
      </c>
      <c r="CB198" s="89">
        <v>44381</v>
      </c>
      <c r="CC198" s="90">
        <v>16939.87</v>
      </c>
      <c r="CD198" s="91" t="s">
        <v>186</v>
      </c>
      <c r="CE198" s="92">
        <v>16939.87</v>
      </c>
      <c r="CF198" s="93" t="s">
        <v>187</v>
      </c>
      <c r="CG198" s="94" t="s">
        <v>188</v>
      </c>
      <c r="CH198" s="95" t="s">
        <v>153</v>
      </c>
      <c r="CI198" s="96" t="s">
        <v>153</v>
      </c>
      <c r="CJ198" s="97" t="s">
        <v>165</v>
      </c>
      <c r="CK198" s="98">
        <v>44381</v>
      </c>
      <c r="CL198" s="99">
        <v>5890.14</v>
      </c>
      <c r="CM198" s="100" t="s">
        <v>4455</v>
      </c>
      <c r="CN198" s="101" t="s">
        <v>394</v>
      </c>
      <c r="CO198" s="102">
        <v>0.32</v>
      </c>
      <c r="CP198" s="103">
        <v>92</v>
      </c>
      <c r="CQ198" s="104">
        <v>-0.05</v>
      </c>
      <c r="CR198" s="105">
        <v>-14.07</v>
      </c>
      <c r="CS198" s="106">
        <v>0.65</v>
      </c>
      <c r="CT198" s="107">
        <v>94</v>
      </c>
      <c r="CU198" s="108">
        <v>0</v>
      </c>
      <c r="CV198" s="109">
        <v>41</v>
      </c>
      <c r="CW198" s="110">
        <v>1.29</v>
      </c>
      <c r="CX198" s="111">
        <v>83</v>
      </c>
      <c r="CY198" s="112">
        <v>0</v>
      </c>
      <c r="CZ198" s="113">
        <v>5</v>
      </c>
      <c r="DA198" s="114">
        <v>0</v>
      </c>
      <c r="DB198" s="115">
        <v>41</v>
      </c>
      <c r="DC198" s="116">
        <v>128.59</v>
      </c>
      <c r="DD198" s="117">
        <v>100</v>
      </c>
      <c r="DE198" s="118">
        <v>-0.27</v>
      </c>
      <c r="DF198" s="119">
        <v>-0.21</v>
      </c>
      <c r="DG198" s="120">
        <v>155.46</v>
      </c>
      <c r="DH198" s="121">
        <v>100</v>
      </c>
      <c r="DI198" s="122">
        <v>101.71</v>
      </c>
      <c r="DJ198" s="123">
        <v>98</v>
      </c>
      <c r="DK198" s="124">
        <v>73.540000000000006</v>
      </c>
      <c r="DL198" s="125">
        <v>96</v>
      </c>
      <c r="DM198" s="126">
        <v>237.38</v>
      </c>
      <c r="DN198" s="127">
        <v>100</v>
      </c>
      <c r="DO198" s="128">
        <v>101.71</v>
      </c>
      <c r="DP198" s="129">
        <v>98</v>
      </c>
      <c r="DQ198" s="130">
        <v>43476</v>
      </c>
      <c r="DR198" s="131">
        <v>497</v>
      </c>
      <c r="DS198" s="132">
        <v>1.1599999999999999</v>
      </c>
      <c r="DT198" s="133">
        <v>3813</v>
      </c>
      <c r="DU198" s="134">
        <v>-23</v>
      </c>
      <c r="DV198" s="135">
        <v>-0.6</v>
      </c>
      <c r="DW198" s="136">
        <v>31938</v>
      </c>
      <c r="DX198" s="137">
        <v>4</v>
      </c>
      <c r="DY198" s="138">
        <v>0.01</v>
      </c>
      <c r="DZ198" s="139" t="s">
        <v>191</v>
      </c>
      <c r="EA198" s="140">
        <v>44402</v>
      </c>
      <c r="EB198" s="141">
        <v>16939.87</v>
      </c>
      <c r="EC198" s="142">
        <v>44381</v>
      </c>
      <c r="ED198" s="143" t="s">
        <v>188</v>
      </c>
      <c r="EE198" s="278" t="str">
        <f>HYPERLINK("https://my.pitchbook.com?c=54598-60", "View company online")</f>
        <v>View company online</v>
      </c>
    </row>
    <row r="199" spans="1:135" x14ac:dyDescent="0.45">
      <c r="A199" s="144" t="s">
        <v>4456</v>
      </c>
      <c r="B199" s="145" t="s">
        <v>4457</v>
      </c>
      <c r="C199" s="146" t="s">
        <v>153</v>
      </c>
      <c r="D199" s="147" t="s">
        <v>153</v>
      </c>
      <c r="E199" s="148" t="s">
        <v>4458</v>
      </c>
      <c r="F199" s="149" t="s">
        <v>4459</v>
      </c>
      <c r="G199" s="150" t="s">
        <v>4460</v>
      </c>
      <c r="H199" s="151" t="s">
        <v>153</v>
      </c>
      <c r="I199" s="152" t="s">
        <v>4456</v>
      </c>
      <c r="J199" s="153" t="s">
        <v>4461</v>
      </c>
      <c r="K199" s="154" t="s">
        <v>157</v>
      </c>
      <c r="L199" s="155" t="s">
        <v>421</v>
      </c>
      <c r="M199" s="156" t="s">
        <v>422</v>
      </c>
      <c r="N199" s="157" t="s">
        <v>3773</v>
      </c>
      <c r="O199" s="158" t="s">
        <v>399</v>
      </c>
      <c r="P199" s="159" t="s">
        <v>4462</v>
      </c>
      <c r="Q199" s="160" t="s">
        <v>204</v>
      </c>
      <c r="R199" s="161" t="s">
        <v>153</v>
      </c>
      <c r="S199" s="162" t="s">
        <v>163</v>
      </c>
      <c r="T199" s="163" t="s">
        <v>205</v>
      </c>
      <c r="U199" s="164" t="s">
        <v>206</v>
      </c>
      <c r="V199" s="165" t="s">
        <v>153</v>
      </c>
      <c r="W199" s="166" t="s">
        <v>153</v>
      </c>
      <c r="X199" s="167" t="s">
        <v>153</v>
      </c>
      <c r="Y199" s="168" t="s">
        <v>153</v>
      </c>
      <c r="Z199" s="169" t="s">
        <v>153</v>
      </c>
      <c r="AA199" s="170">
        <v>1997</v>
      </c>
      <c r="AB199" s="171" t="s">
        <v>153</v>
      </c>
      <c r="AC199" s="172" t="s">
        <v>153</v>
      </c>
      <c r="AD199" s="173" t="s">
        <v>153</v>
      </c>
      <c r="AE199" s="174" t="s">
        <v>153</v>
      </c>
      <c r="AF199" s="175" t="s">
        <v>153</v>
      </c>
      <c r="AG199" s="176" t="s">
        <v>153</v>
      </c>
      <c r="AH199" s="177" t="s">
        <v>153</v>
      </c>
      <c r="AI199" s="178" t="s">
        <v>153</v>
      </c>
      <c r="AJ199" s="179" t="s">
        <v>153</v>
      </c>
      <c r="AK199" s="180" t="s">
        <v>153</v>
      </c>
      <c r="AL199" s="181" t="s">
        <v>153</v>
      </c>
      <c r="AM199" s="182" t="s">
        <v>153</v>
      </c>
      <c r="AN199" s="183" t="s">
        <v>153</v>
      </c>
      <c r="AO199" s="184" t="s">
        <v>4463</v>
      </c>
      <c r="AP199" s="185" t="s">
        <v>4464</v>
      </c>
      <c r="AQ199" s="186" t="s">
        <v>171</v>
      </c>
      <c r="AR199" s="187" t="s">
        <v>153</v>
      </c>
      <c r="AS199" s="188" t="s">
        <v>153</v>
      </c>
      <c r="AT199" s="189" t="s">
        <v>3124</v>
      </c>
      <c r="AU199" s="190" t="s">
        <v>4465</v>
      </c>
      <c r="AV199" s="191" t="s">
        <v>4466</v>
      </c>
      <c r="AW199" s="192" t="s">
        <v>3126</v>
      </c>
      <c r="AX199" s="193" t="s">
        <v>1128</v>
      </c>
      <c r="AY199" s="194" t="s">
        <v>3950</v>
      </c>
      <c r="AZ199" s="195" t="s">
        <v>215</v>
      </c>
      <c r="BA199" s="196" t="s">
        <v>153</v>
      </c>
      <c r="BB199" s="197" t="s">
        <v>153</v>
      </c>
      <c r="BC199" s="198" t="s">
        <v>153</v>
      </c>
      <c r="BD199" s="199" t="s">
        <v>216</v>
      </c>
      <c r="BE199" s="200" t="s">
        <v>217</v>
      </c>
      <c r="BF199" s="201" t="s">
        <v>4467</v>
      </c>
      <c r="BG199" s="202" t="s">
        <v>153</v>
      </c>
      <c r="BH199" s="203" t="s">
        <v>153</v>
      </c>
      <c r="BI199" s="204" t="s">
        <v>4468</v>
      </c>
      <c r="BJ199" s="205" t="s">
        <v>153</v>
      </c>
      <c r="BK199" s="206" t="s">
        <v>153</v>
      </c>
      <c r="BL199" s="207" t="s">
        <v>153</v>
      </c>
      <c r="BM199" s="208" t="s">
        <v>153</v>
      </c>
      <c r="BN199" s="209" t="s">
        <v>153</v>
      </c>
      <c r="BO199" s="210" t="s">
        <v>153</v>
      </c>
      <c r="BP199" s="211" t="s">
        <v>4469</v>
      </c>
      <c r="BQ199" s="212">
        <v>36768</v>
      </c>
      <c r="BR199" s="213">
        <v>16700</v>
      </c>
      <c r="BS199" s="214" t="s">
        <v>186</v>
      </c>
      <c r="BT199" s="215">
        <v>16700</v>
      </c>
      <c r="BU199" s="216" t="s">
        <v>186</v>
      </c>
      <c r="BV199" s="217" t="s">
        <v>226</v>
      </c>
      <c r="BW199" s="218" t="s">
        <v>153</v>
      </c>
      <c r="BX199" s="219" t="s">
        <v>153</v>
      </c>
      <c r="BY199" s="220" t="s">
        <v>225</v>
      </c>
      <c r="BZ199" s="221" t="s">
        <v>153</v>
      </c>
      <c r="CA199" s="222" t="s">
        <v>190</v>
      </c>
      <c r="CB199" s="223">
        <v>36768</v>
      </c>
      <c r="CC199" s="224">
        <v>16700</v>
      </c>
      <c r="CD199" s="225" t="s">
        <v>186</v>
      </c>
      <c r="CE199" s="226">
        <v>16700</v>
      </c>
      <c r="CF199" s="227" t="s">
        <v>186</v>
      </c>
      <c r="CG199" s="228" t="s">
        <v>226</v>
      </c>
      <c r="CH199" s="229" t="s">
        <v>153</v>
      </c>
      <c r="CI199" s="230" t="s">
        <v>153</v>
      </c>
      <c r="CJ199" s="231" t="s">
        <v>225</v>
      </c>
      <c r="CK199" s="232">
        <v>36768</v>
      </c>
      <c r="CL199" s="233" t="s">
        <v>153</v>
      </c>
      <c r="CM199" s="234" t="s">
        <v>153</v>
      </c>
      <c r="CN199" s="235" t="s">
        <v>190</v>
      </c>
      <c r="CO199" s="236" t="s">
        <v>153</v>
      </c>
      <c r="CP199" s="237" t="s">
        <v>153</v>
      </c>
      <c r="CQ199" s="238" t="s">
        <v>153</v>
      </c>
      <c r="CR199" s="239" t="s">
        <v>153</v>
      </c>
      <c r="CS199" s="240" t="s">
        <v>153</v>
      </c>
      <c r="CT199" s="241" t="s">
        <v>153</v>
      </c>
      <c r="CU199" s="242" t="s">
        <v>153</v>
      </c>
      <c r="CV199" s="243" t="s">
        <v>153</v>
      </c>
      <c r="CW199" s="244" t="s">
        <v>153</v>
      </c>
      <c r="CX199" s="245" t="s">
        <v>153</v>
      </c>
      <c r="CY199" s="246" t="s">
        <v>153</v>
      </c>
      <c r="CZ199" s="247" t="s">
        <v>153</v>
      </c>
      <c r="DA199" s="248" t="s">
        <v>153</v>
      </c>
      <c r="DB199" s="249" t="s">
        <v>153</v>
      </c>
      <c r="DC199" s="250" t="s">
        <v>153</v>
      </c>
      <c r="DD199" s="251" t="s">
        <v>153</v>
      </c>
      <c r="DE199" s="252" t="s">
        <v>153</v>
      </c>
      <c r="DF199" s="253" t="s">
        <v>153</v>
      </c>
      <c r="DG199" s="254" t="s">
        <v>153</v>
      </c>
      <c r="DH199" s="255" t="s">
        <v>153</v>
      </c>
      <c r="DI199" s="256" t="s">
        <v>153</v>
      </c>
      <c r="DJ199" s="257" t="s">
        <v>153</v>
      </c>
      <c r="DK199" s="258" t="s">
        <v>153</v>
      </c>
      <c r="DL199" s="259" t="s">
        <v>153</v>
      </c>
      <c r="DM199" s="260" t="s">
        <v>153</v>
      </c>
      <c r="DN199" s="261" t="s">
        <v>153</v>
      </c>
      <c r="DO199" s="262" t="s">
        <v>153</v>
      </c>
      <c r="DP199" s="263" t="s">
        <v>153</v>
      </c>
      <c r="DQ199" s="264" t="s">
        <v>153</v>
      </c>
      <c r="DR199" s="265" t="s">
        <v>153</v>
      </c>
      <c r="DS199" s="266" t="s">
        <v>153</v>
      </c>
      <c r="DT199" s="267" t="s">
        <v>153</v>
      </c>
      <c r="DU199" s="268" t="s">
        <v>153</v>
      </c>
      <c r="DV199" s="269" t="s">
        <v>153</v>
      </c>
      <c r="DW199" s="270" t="s">
        <v>153</v>
      </c>
      <c r="DX199" s="271" t="s">
        <v>153</v>
      </c>
      <c r="DY199" s="272" t="s">
        <v>153</v>
      </c>
      <c r="DZ199" s="273" t="s">
        <v>191</v>
      </c>
      <c r="EA199" s="274">
        <v>44147</v>
      </c>
      <c r="EB199" s="275">
        <v>16700</v>
      </c>
      <c r="EC199" s="276">
        <v>36768</v>
      </c>
      <c r="ED199" s="277" t="s">
        <v>226</v>
      </c>
      <c r="EE199" s="279" t="str">
        <f>HYPERLINK("https://my.pitchbook.com?c=125251-03", "View company online")</f>
        <v>View company online</v>
      </c>
    </row>
    <row r="200" spans="1:135" x14ac:dyDescent="0.45">
      <c r="A200" s="10" t="s">
        <v>4470</v>
      </c>
      <c r="B200" s="11" t="s">
        <v>4471</v>
      </c>
      <c r="C200" s="12" t="s">
        <v>153</v>
      </c>
      <c r="D200" s="13" t="s">
        <v>153</v>
      </c>
      <c r="E200" s="14" t="s">
        <v>153</v>
      </c>
      <c r="F200" s="15" t="s">
        <v>153</v>
      </c>
      <c r="G200" s="16" t="s">
        <v>153</v>
      </c>
      <c r="H200" s="17" t="s">
        <v>153</v>
      </c>
      <c r="I200" s="18" t="s">
        <v>4470</v>
      </c>
      <c r="J200" s="19" t="s">
        <v>4472</v>
      </c>
      <c r="K200" s="20" t="s">
        <v>257</v>
      </c>
      <c r="L200" s="21" t="s">
        <v>258</v>
      </c>
      <c r="M200" s="22" t="s">
        <v>259</v>
      </c>
      <c r="N200" s="23" t="s">
        <v>4473</v>
      </c>
      <c r="O200" s="24" t="s">
        <v>153</v>
      </c>
      <c r="P200" s="25" t="s">
        <v>4474</v>
      </c>
      <c r="Q200" s="26" t="s">
        <v>204</v>
      </c>
      <c r="R200" s="27" t="s">
        <v>153</v>
      </c>
      <c r="S200" s="28" t="s">
        <v>290</v>
      </c>
      <c r="T200" s="29" t="s">
        <v>205</v>
      </c>
      <c r="U200" s="30" t="s">
        <v>206</v>
      </c>
      <c r="V200" s="31" t="s">
        <v>153</v>
      </c>
      <c r="W200" s="32">
        <v>19000</v>
      </c>
      <c r="X200" s="33" t="s">
        <v>4475</v>
      </c>
      <c r="Y200" s="34" t="s">
        <v>153</v>
      </c>
      <c r="Z200" s="35" t="s">
        <v>153</v>
      </c>
      <c r="AA200" s="36" t="s">
        <v>153</v>
      </c>
      <c r="AB200" s="37" t="s">
        <v>153</v>
      </c>
      <c r="AC200" s="38" t="s">
        <v>153</v>
      </c>
      <c r="AD200" s="39" t="s">
        <v>153</v>
      </c>
      <c r="AE200" s="40" t="s">
        <v>153</v>
      </c>
      <c r="AF200" s="41" t="s">
        <v>153</v>
      </c>
      <c r="AG200" s="42" t="s">
        <v>153</v>
      </c>
      <c r="AH200" s="43" t="s">
        <v>153</v>
      </c>
      <c r="AI200" s="44" t="s">
        <v>153</v>
      </c>
      <c r="AJ200" s="45" t="s">
        <v>153</v>
      </c>
      <c r="AK200" s="46" t="s">
        <v>153</v>
      </c>
      <c r="AL200" s="47" t="s">
        <v>153</v>
      </c>
      <c r="AM200" s="48" t="s">
        <v>153</v>
      </c>
      <c r="AN200" s="49" t="s">
        <v>2064</v>
      </c>
      <c r="AO200" s="50" t="s">
        <v>153</v>
      </c>
      <c r="AP200" s="51" t="s">
        <v>153</v>
      </c>
      <c r="AQ200" s="52" t="s">
        <v>153</v>
      </c>
      <c r="AR200" s="53" t="s">
        <v>153</v>
      </c>
      <c r="AS200" s="54" t="s">
        <v>153</v>
      </c>
      <c r="AT200" s="55" t="s">
        <v>433</v>
      </c>
      <c r="AU200" s="56" t="s">
        <v>4476</v>
      </c>
      <c r="AV200" s="57" t="s">
        <v>153</v>
      </c>
      <c r="AW200" s="58" t="s">
        <v>436</v>
      </c>
      <c r="AX200" s="59" t="s">
        <v>436</v>
      </c>
      <c r="AY200" s="60" t="s">
        <v>4477</v>
      </c>
      <c r="AZ200" s="61" t="s">
        <v>215</v>
      </c>
      <c r="BA200" s="62" t="s">
        <v>153</v>
      </c>
      <c r="BB200" s="63" t="s">
        <v>153</v>
      </c>
      <c r="BC200" s="64" t="s">
        <v>153</v>
      </c>
      <c r="BD200" s="65" t="s">
        <v>216</v>
      </c>
      <c r="BE200" s="66" t="s">
        <v>217</v>
      </c>
      <c r="BF200" s="67" t="s">
        <v>4478</v>
      </c>
      <c r="BG200" s="68" t="s">
        <v>153</v>
      </c>
      <c r="BH200" s="69" t="s">
        <v>153</v>
      </c>
      <c r="BI200" s="70" t="s">
        <v>2138</v>
      </c>
      <c r="BJ200" s="71" t="s">
        <v>265</v>
      </c>
      <c r="BK200" s="72" t="s">
        <v>153</v>
      </c>
      <c r="BL200" s="73" t="s">
        <v>153</v>
      </c>
      <c r="BM200" s="74" t="s">
        <v>633</v>
      </c>
      <c r="BN200" s="75" t="s">
        <v>153</v>
      </c>
      <c r="BO200" s="76" t="s">
        <v>4479</v>
      </c>
      <c r="BP200" s="77" t="s">
        <v>153</v>
      </c>
      <c r="BQ200" s="78">
        <v>39071</v>
      </c>
      <c r="BR200" s="79">
        <v>16600</v>
      </c>
      <c r="BS200" s="80" t="s">
        <v>186</v>
      </c>
      <c r="BT200" s="81">
        <v>16600</v>
      </c>
      <c r="BU200" s="82" t="s">
        <v>186</v>
      </c>
      <c r="BV200" s="83" t="s">
        <v>226</v>
      </c>
      <c r="BW200" s="84" t="s">
        <v>729</v>
      </c>
      <c r="BX200" s="85" t="s">
        <v>153</v>
      </c>
      <c r="BY200" s="86" t="s">
        <v>225</v>
      </c>
      <c r="BZ200" s="87" t="s">
        <v>153</v>
      </c>
      <c r="CA200" s="88" t="s">
        <v>190</v>
      </c>
      <c r="CB200" s="89">
        <v>39071</v>
      </c>
      <c r="CC200" s="90">
        <v>16600</v>
      </c>
      <c r="CD200" s="91" t="s">
        <v>186</v>
      </c>
      <c r="CE200" s="92">
        <v>16600</v>
      </c>
      <c r="CF200" s="93" t="s">
        <v>186</v>
      </c>
      <c r="CG200" s="94" t="s">
        <v>226</v>
      </c>
      <c r="CH200" s="95" t="s">
        <v>729</v>
      </c>
      <c r="CI200" s="96" t="s">
        <v>153</v>
      </c>
      <c r="CJ200" s="97" t="s">
        <v>225</v>
      </c>
      <c r="CK200" s="98">
        <v>39071</v>
      </c>
      <c r="CL200" s="99" t="s">
        <v>153</v>
      </c>
      <c r="CM200" s="100" t="s">
        <v>153</v>
      </c>
      <c r="CN200" s="101" t="s">
        <v>190</v>
      </c>
      <c r="CO200" s="102" t="s">
        <v>153</v>
      </c>
      <c r="CP200" s="103" t="s">
        <v>153</v>
      </c>
      <c r="CQ200" s="104" t="s">
        <v>153</v>
      </c>
      <c r="CR200" s="105" t="s">
        <v>153</v>
      </c>
      <c r="CS200" s="106" t="s">
        <v>153</v>
      </c>
      <c r="CT200" s="107" t="s">
        <v>153</v>
      </c>
      <c r="CU200" s="108" t="s">
        <v>153</v>
      </c>
      <c r="CV200" s="109" t="s">
        <v>153</v>
      </c>
      <c r="CW200" s="110" t="s">
        <v>153</v>
      </c>
      <c r="CX200" s="111" t="s">
        <v>153</v>
      </c>
      <c r="CY200" s="112" t="s">
        <v>153</v>
      </c>
      <c r="CZ200" s="113" t="s">
        <v>153</v>
      </c>
      <c r="DA200" s="114" t="s">
        <v>153</v>
      </c>
      <c r="DB200" s="115" t="s">
        <v>153</v>
      </c>
      <c r="DC200" s="116" t="s">
        <v>153</v>
      </c>
      <c r="DD200" s="117" t="s">
        <v>153</v>
      </c>
      <c r="DE200" s="118" t="s">
        <v>153</v>
      </c>
      <c r="DF200" s="119" t="s">
        <v>153</v>
      </c>
      <c r="DG200" s="120" t="s">
        <v>153</v>
      </c>
      <c r="DH200" s="121" t="s">
        <v>153</v>
      </c>
      <c r="DI200" s="122" t="s">
        <v>153</v>
      </c>
      <c r="DJ200" s="123" t="s">
        <v>153</v>
      </c>
      <c r="DK200" s="124" t="s">
        <v>153</v>
      </c>
      <c r="DL200" s="125" t="s">
        <v>153</v>
      </c>
      <c r="DM200" s="126" t="s">
        <v>153</v>
      </c>
      <c r="DN200" s="127" t="s">
        <v>153</v>
      </c>
      <c r="DO200" s="128" t="s">
        <v>153</v>
      </c>
      <c r="DP200" s="129" t="s">
        <v>153</v>
      </c>
      <c r="DQ200" s="130" t="s">
        <v>153</v>
      </c>
      <c r="DR200" s="131" t="s">
        <v>153</v>
      </c>
      <c r="DS200" s="132" t="s">
        <v>153</v>
      </c>
      <c r="DT200" s="133" t="s">
        <v>153</v>
      </c>
      <c r="DU200" s="134" t="s">
        <v>153</v>
      </c>
      <c r="DV200" s="135" t="s">
        <v>153</v>
      </c>
      <c r="DW200" s="136" t="s">
        <v>153</v>
      </c>
      <c r="DX200" s="137" t="s">
        <v>153</v>
      </c>
      <c r="DY200" s="138" t="s">
        <v>153</v>
      </c>
      <c r="DZ200" s="139" t="s">
        <v>191</v>
      </c>
      <c r="EA200" s="140">
        <v>44300</v>
      </c>
      <c r="EB200" s="141">
        <v>16600</v>
      </c>
      <c r="EC200" s="142">
        <v>39071</v>
      </c>
      <c r="ED200" s="143" t="s">
        <v>226</v>
      </c>
      <c r="EE200" s="278" t="str">
        <f>HYPERLINK("https://my.pitchbook.com?c=153339-22", "View company online")</f>
        <v>View company online</v>
      </c>
    </row>
    <row r="201" spans="1:135" x14ac:dyDescent="0.45">
      <c r="A201" s="144" t="s">
        <v>4480</v>
      </c>
      <c r="B201" s="145" t="s">
        <v>4481</v>
      </c>
      <c r="C201" s="146" t="s">
        <v>153</v>
      </c>
      <c r="D201" s="147" t="s">
        <v>153</v>
      </c>
      <c r="E201" s="148" t="s">
        <v>153</v>
      </c>
      <c r="F201" s="149" t="s">
        <v>153</v>
      </c>
      <c r="G201" s="150" t="s">
        <v>4482</v>
      </c>
      <c r="H201" s="151" t="s">
        <v>153</v>
      </c>
      <c r="I201" s="152" t="s">
        <v>4480</v>
      </c>
      <c r="J201" s="153" t="s">
        <v>4483</v>
      </c>
      <c r="K201" s="154" t="s">
        <v>257</v>
      </c>
      <c r="L201" s="155" t="s">
        <v>258</v>
      </c>
      <c r="M201" s="156" t="s">
        <v>259</v>
      </c>
      <c r="N201" s="157" t="s">
        <v>260</v>
      </c>
      <c r="O201" s="158" t="s">
        <v>153</v>
      </c>
      <c r="P201" s="159" t="s">
        <v>4484</v>
      </c>
      <c r="Q201" s="160" t="s">
        <v>204</v>
      </c>
      <c r="R201" s="161" t="s">
        <v>153</v>
      </c>
      <c r="S201" s="162" t="s">
        <v>290</v>
      </c>
      <c r="T201" s="163" t="s">
        <v>164</v>
      </c>
      <c r="U201" s="164" t="s">
        <v>206</v>
      </c>
      <c r="V201" s="165" t="s">
        <v>4485</v>
      </c>
      <c r="W201" s="166" t="s">
        <v>153</v>
      </c>
      <c r="X201" s="167" t="s">
        <v>153</v>
      </c>
      <c r="Y201" s="168" t="s">
        <v>153</v>
      </c>
      <c r="Z201" s="169" t="s">
        <v>153</v>
      </c>
      <c r="AA201" s="170">
        <v>1982</v>
      </c>
      <c r="AB201" s="171" t="s">
        <v>4486</v>
      </c>
      <c r="AC201" s="172" t="s">
        <v>153</v>
      </c>
      <c r="AD201" s="173" t="s">
        <v>153</v>
      </c>
      <c r="AE201" s="174" t="s">
        <v>153</v>
      </c>
      <c r="AF201" s="175" t="s">
        <v>153</v>
      </c>
      <c r="AG201" s="176" t="s">
        <v>153</v>
      </c>
      <c r="AH201" s="177" t="s">
        <v>153</v>
      </c>
      <c r="AI201" s="178" t="s">
        <v>153</v>
      </c>
      <c r="AJ201" s="179" t="s">
        <v>153</v>
      </c>
      <c r="AK201" s="180" t="s">
        <v>153</v>
      </c>
      <c r="AL201" s="181" t="s">
        <v>153</v>
      </c>
      <c r="AM201" s="182" t="s">
        <v>153</v>
      </c>
      <c r="AN201" s="183" t="s">
        <v>3444</v>
      </c>
      <c r="AO201" s="184" t="s">
        <v>4487</v>
      </c>
      <c r="AP201" s="185" t="s">
        <v>4488</v>
      </c>
      <c r="AQ201" s="186" t="s">
        <v>968</v>
      </c>
      <c r="AR201" s="187" t="s">
        <v>4489</v>
      </c>
      <c r="AS201" s="188" t="s">
        <v>4490</v>
      </c>
      <c r="AT201" s="189" t="s">
        <v>4491</v>
      </c>
      <c r="AU201" s="190" t="s">
        <v>4492</v>
      </c>
      <c r="AV201" s="191" t="s">
        <v>4493</v>
      </c>
      <c r="AW201" s="192" t="s">
        <v>4494</v>
      </c>
      <c r="AX201" s="193" t="s">
        <v>153</v>
      </c>
      <c r="AY201" s="194" t="s">
        <v>153</v>
      </c>
      <c r="AZ201" s="195" t="s">
        <v>1404</v>
      </c>
      <c r="BA201" s="196" t="s">
        <v>4490</v>
      </c>
      <c r="BB201" s="197" t="s">
        <v>4495</v>
      </c>
      <c r="BC201" s="198" t="s">
        <v>153</v>
      </c>
      <c r="BD201" s="199" t="s">
        <v>1406</v>
      </c>
      <c r="BE201" s="200" t="s">
        <v>1407</v>
      </c>
      <c r="BF201" s="201" t="s">
        <v>4496</v>
      </c>
      <c r="BG201" s="202" t="s">
        <v>153</v>
      </c>
      <c r="BH201" s="203" t="s">
        <v>153</v>
      </c>
      <c r="BI201" s="204" t="s">
        <v>4486</v>
      </c>
      <c r="BJ201" s="205" t="s">
        <v>4497</v>
      </c>
      <c r="BK201" s="206" t="s">
        <v>153</v>
      </c>
      <c r="BL201" s="207" t="s">
        <v>153</v>
      </c>
      <c r="BM201" s="208" t="s">
        <v>4498</v>
      </c>
      <c r="BN201" s="209" t="s">
        <v>153</v>
      </c>
      <c r="BO201" s="210" t="s">
        <v>153</v>
      </c>
      <c r="BP201" s="211" t="s">
        <v>4499</v>
      </c>
      <c r="BQ201" s="212">
        <v>40360</v>
      </c>
      <c r="BR201" s="213">
        <v>16531.169999999998</v>
      </c>
      <c r="BS201" s="214" t="s">
        <v>186</v>
      </c>
      <c r="BT201" s="215">
        <v>18367.96</v>
      </c>
      <c r="BU201" s="216" t="s">
        <v>186</v>
      </c>
      <c r="BV201" s="217" t="s">
        <v>226</v>
      </c>
      <c r="BW201" s="218" t="s">
        <v>729</v>
      </c>
      <c r="BX201" s="219" t="s">
        <v>153</v>
      </c>
      <c r="BY201" s="220" t="s">
        <v>225</v>
      </c>
      <c r="BZ201" s="221" t="s">
        <v>153</v>
      </c>
      <c r="CA201" s="222" t="s">
        <v>190</v>
      </c>
      <c r="CB201" s="223">
        <v>40360</v>
      </c>
      <c r="CC201" s="224">
        <v>16531.169999999998</v>
      </c>
      <c r="CD201" s="225" t="s">
        <v>186</v>
      </c>
      <c r="CE201" s="226">
        <v>18367.96</v>
      </c>
      <c r="CF201" s="227" t="s">
        <v>186</v>
      </c>
      <c r="CG201" s="228" t="s">
        <v>226</v>
      </c>
      <c r="CH201" s="229" t="s">
        <v>729</v>
      </c>
      <c r="CI201" s="230" t="s">
        <v>153</v>
      </c>
      <c r="CJ201" s="231" t="s">
        <v>225</v>
      </c>
      <c r="CK201" s="232">
        <v>40360</v>
      </c>
      <c r="CL201" s="233" t="s">
        <v>153</v>
      </c>
      <c r="CM201" s="234" t="s">
        <v>153</v>
      </c>
      <c r="CN201" s="235" t="s">
        <v>190</v>
      </c>
      <c r="CO201" s="236">
        <v>0</v>
      </c>
      <c r="CP201" s="237">
        <v>11</v>
      </c>
      <c r="CQ201" s="238">
        <v>0</v>
      </c>
      <c r="CR201" s="239">
        <v>0</v>
      </c>
      <c r="CS201" s="240">
        <v>0</v>
      </c>
      <c r="CT201" s="241">
        <v>8</v>
      </c>
      <c r="CU201" s="242" t="s">
        <v>153</v>
      </c>
      <c r="CV201" s="243" t="s">
        <v>153</v>
      </c>
      <c r="CW201" s="244" t="s">
        <v>153</v>
      </c>
      <c r="CX201" s="245" t="s">
        <v>153</v>
      </c>
      <c r="CY201" s="246">
        <v>0</v>
      </c>
      <c r="CZ201" s="247">
        <v>5</v>
      </c>
      <c r="DA201" s="248" t="s">
        <v>153</v>
      </c>
      <c r="DB201" s="249" t="s">
        <v>153</v>
      </c>
      <c r="DC201" s="250">
        <v>0.44</v>
      </c>
      <c r="DD201" s="251">
        <v>31</v>
      </c>
      <c r="DE201" s="252">
        <v>0</v>
      </c>
      <c r="DF201" s="253">
        <v>0</v>
      </c>
      <c r="DG201" s="254">
        <v>0.44</v>
      </c>
      <c r="DH201" s="255">
        <v>31</v>
      </c>
      <c r="DI201" s="256" t="s">
        <v>153</v>
      </c>
      <c r="DJ201" s="257" t="s">
        <v>153</v>
      </c>
      <c r="DK201" s="258" t="s">
        <v>153</v>
      </c>
      <c r="DL201" s="259" t="s">
        <v>153</v>
      </c>
      <c r="DM201" s="260">
        <v>0.44</v>
      </c>
      <c r="DN201" s="261">
        <v>30</v>
      </c>
      <c r="DO201" s="262" t="s">
        <v>153</v>
      </c>
      <c r="DP201" s="263" t="s">
        <v>153</v>
      </c>
      <c r="DQ201" s="264" t="s">
        <v>153</v>
      </c>
      <c r="DR201" s="265" t="s">
        <v>153</v>
      </c>
      <c r="DS201" s="266" t="s">
        <v>153</v>
      </c>
      <c r="DT201" s="267">
        <v>7</v>
      </c>
      <c r="DU201" s="268">
        <v>0</v>
      </c>
      <c r="DV201" s="269">
        <v>0</v>
      </c>
      <c r="DW201" s="270" t="s">
        <v>153</v>
      </c>
      <c r="DX201" s="271" t="s">
        <v>153</v>
      </c>
      <c r="DY201" s="272" t="s">
        <v>153</v>
      </c>
      <c r="DZ201" s="273" t="s">
        <v>191</v>
      </c>
      <c r="EA201" s="274">
        <v>44147</v>
      </c>
      <c r="EB201" s="275">
        <v>18367.96</v>
      </c>
      <c r="EC201" s="276">
        <v>40360</v>
      </c>
      <c r="ED201" s="277" t="s">
        <v>226</v>
      </c>
      <c r="EE201" s="279" t="str">
        <f>HYPERLINK("https://my.pitchbook.com?c=157334-77", "View company online")</f>
        <v>View company online</v>
      </c>
    </row>
    <row r="202" spans="1:135" x14ac:dyDescent="0.45">
      <c r="A202" s="10" t="s">
        <v>4500</v>
      </c>
      <c r="B202" s="11" t="s">
        <v>4501</v>
      </c>
      <c r="C202" s="12" t="s">
        <v>153</v>
      </c>
      <c r="D202" s="13" t="s">
        <v>153</v>
      </c>
      <c r="E202" s="14" t="s">
        <v>4502</v>
      </c>
      <c r="F202" s="15" t="s">
        <v>153</v>
      </c>
      <c r="G202" s="16" t="s">
        <v>4503</v>
      </c>
      <c r="H202" s="17" t="s">
        <v>153</v>
      </c>
      <c r="I202" s="18" t="s">
        <v>4500</v>
      </c>
      <c r="J202" s="19" t="s">
        <v>4504</v>
      </c>
      <c r="K202" s="20" t="s">
        <v>882</v>
      </c>
      <c r="L202" s="21" t="s">
        <v>883</v>
      </c>
      <c r="M202" s="22" t="s">
        <v>1615</v>
      </c>
      <c r="N202" s="23" t="s">
        <v>1924</v>
      </c>
      <c r="O202" s="24" t="s">
        <v>1234</v>
      </c>
      <c r="P202" s="25" t="s">
        <v>4505</v>
      </c>
      <c r="Q202" s="26" t="s">
        <v>204</v>
      </c>
      <c r="R202" s="27" t="s">
        <v>153</v>
      </c>
      <c r="S202" s="28" t="s">
        <v>290</v>
      </c>
      <c r="T202" s="29" t="s">
        <v>205</v>
      </c>
      <c r="U202" s="30" t="s">
        <v>237</v>
      </c>
      <c r="V202" s="31" t="s">
        <v>153</v>
      </c>
      <c r="W202" s="32">
        <v>27000</v>
      </c>
      <c r="X202" s="33" t="s">
        <v>4506</v>
      </c>
      <c r="Y202" s="34" t="s">
        <v>153</v>
      </c>
      <c r="Z202" s="35" t="s">
        <v>153</v>
      </c>
      <c r="AA202" s="36">
        <v>1870</v>
      </c>
      <c r="AB202" s="37" t="s">
        <v>153</v>
      </c>
      <c r="AC202" s="38" t="s">
        <v>153</v>
      </c>
      <c r="AD202" s="39" t="s">
        <v>153</v>
      </c>
      <c r="AE202" s="40" t="s">
        <v>153</v>
      </c>
      <c r="AF202" s="41" t="s">
        <v>153</v>
      </c>
      <c r="AG202" s="42" t="s">
        <v>153</v>
      </c>
      <c r="AH202" s="43" t="s">
        <v>153</v>
      </c>
      <c r="AI202" s="44" t="s">
        <v>153</v>
      </c>
      <c r="AJ202" s="45" t="s">
        <v>153</v>
      </c>
      <c r="AK202" s="46" t="s">
        <v>153</v>
      </c>
      <c r="AL202" s="47" t="s">
        <v>153</v>
      </c>
      <c r="AM202" s="48" t="s">
        <v>153</v>
      </c>
      <c r="AN202" s="49" t="s">
        <v>2906</v>
      </c>
      <c r="AO202" s="50" t="s">
        <v>153</v>
      </c>
      <c r="AP202" s="51" t="s">
        <v>153</v>
      </c>
      <c r="AQ202" s="52" t="s">
        <v>153</v>
      </c>
      <c r="AR202" s="53" t="s">
        <v>153</v>
      </c>
      <c r="AS202" s="54" t="s">
        <v>153</v>
      </c>
      <c r="AT202" s="55" t="s">
        <v>2806</v>
      </c>
      <c r="AU202" s="56" t="s">
        <v>2807</v>
      </c>
      <c r="AV202" s="57" t="s">
        <v>2808</v>
      </c>
      <c r="AW202" s="58" t="s">
        <v>2809</v>
      </c>
      <c r="AX202" s="59" t="s">
        <v>1862</v>
      </c>
      <c r="AY202" s="60" t="s">
        <v>2810</v>
      </c>
      <c r="AZ202" s="61" t="s">
        <v>215</v>
      </c>
      <c r="BA202" s="62" t="s">
        <v>2805</v>
      </c>
      <c r="BB202" s="63" t="s">
        <v>2811</v>
      </c>
      <c r="BC202" s="64" t="s">
        <v>153</v>
      </c>
      <c r="BD202" s="65" t="s">
        <v>216</v>
      </c>
      <c r="BE202" s="66" t="s">
        <v>217</v>
      </c>
      <c r="BF202" s="67" t="s">
        <v>4507</v>
      </c>
      <c r="BG202" s="68" t="s">
        <v>153</v>
      </c>
      <c r="BH202" s="69" t="s">
        <v>153</v>
      </c>
      <c r="BI202" s="70" t="s">
        <v>1934</v>
      </c>
      <c r="BJ202" s="71" t="s">
        <v>153</v>
      </c>
      <c r="BK202" s="72" t="s">
        <v>153</v>
      </c>
      <c r="BL202" s="73" t="s">
        <v>153</v>
      </c>
      <c r="BM202" s="74" t="s">
        <v>153</v>
      </c>
      <c r="BN202" s="75" t="s">
        <v>153</v>
      </c>
      <c r="BO202" s="76" t="s">
        <v>4508</v>
      </c>
      <c r="BP202" s="77" t="s">
        <v>4509</v>
      </c>
      <c r="BQ202" s="78">
        <v>28593</v>
      </c>
      <c r="BR202" s="79" t="s">
        <v>153</v>
      </c>
      <c r="BS202" s="80" t="s">
        <v>153</v>
      </c>
      <c r="BT202" s="81" t="s">
        <v>153</v>
      </c>
      <c r="BU202" s="82" t="s">
        <v>153</v>
      </c>
      <c r="BV202" s="83" t="s">
        <v>251</v>
      </c>
      <c r="BW202" s="84" t="s">
        <v>153</v>
      </c>
      <c r="BX202" s="85" t="s">
        <v>153</v>
      </c>
      <c r="BY202" s="86" t="s">
        <v>252</v>
      </c>
      <c r="BZ202" s="87" t="s">
        <v>153</v>
      </c>
      <c r="CA202" s="88" t="s">
        <v>190</v>
      </c>
      <c r="CB202" s="89">
        <v>41116</v>
      </c>
      <c r="CC202" s="90">
        <v>16500</v>
      </c>
      <c r="CD202" s="91" t="s">
        <v>186</v>
      </c>
      <c r="CE202" s="92">
        <v>16500</v>
      </c>
      <c r="CF202" s="93" t="s">
        <v>186</v>
      </c>
      <c r="CG202" s="94" t="s">
        <v>226</v>
      </c>
      <c r="CH202" s="95" t="s">
        <v>153</v>
      </c>
      <c r="CI202" s="96" t="s">
        <v>153</v>
      </c>
      <c r="CJ202" s="97" t="s">
        <v>225</v>
      </c>
      <c r="CK202" s="98">
        <v>41116</v>
      </c>
      <c r="CL202" s="99" t="s">
        <v>153</v>
      </c>
      <c r="CM202" s="100" t="s">
        <v>153</v>
      </c>
      <c r="CN202" s="101" t="s">
        <v>190</v>
      </c>
      <c r="CO202" s="102" t="s">
        <v>153</v>
      </c>
      <c r="CP202" s="103" t="s">
        <v>153</v>
      </c>
      <c r="CQ202" s="104" t="s">
        <v>153</v>
      </c>
      <c r="CR202" s="105" t="s">
        <v>153</v>
      </c>
      <c r="CS202" s="106" t="s">
        <v>153</v>
      </c>
      <c r="CT202" s="107" t="s">
        <v>153</v>
      </c>
      <c r="CU202" s="108" t="s">
        <v>153</v>
      </c>
      <c r="CV202" s="109" t="s">
        <v>153</v>
      </c>
      <c r="CW202" s="110" t="s">
        <v>153</v>
      </c>
      <c r="CX202" s="111" t="s">
        <v>153</v>
      </c>
      <c r="CY202" s="112" t="s">
        <v>153</v>
      </c>
      <c r="CZ202" s="113" t="s">
        <v>153</v>
      </c>
      <c r="DA202" s="114" t="s">
        <v>153</v>
      </c>
      <c r="DB202" s="115" t="s">
        <v>153</v>
      </c>
      <c r="DC202" s="116" t="s">
        <v>153</v>
      </c>
      <c r="DD202" s="117" t="s">
        <v>153</v>
      </c>
      <c r="DE202" s="118" t="s">
        <v>153</v>
      </c>
      <c r="DF202" s="119" t="s">
        <v>153</v>
      </c>
      <c r="DG202" s="120" t="s">
        <v>153</v>
      </c>
      <c r="DH202" s="121" t="s">
        <v>153</v>
      </c>
      <c r="DI202" s="122" t="s">
        <v>153</v>
      </c>
      <c r="DJ202" s="123" t="s">
        <v>153</v>
      </c>
      <c r="DK202" s="124" t="s">
        <v>153</v>
      </c>
      <c r="DL202" s="125" t="s">
        <v>153</v>
      </c>
      <c r="DM202" s="126" t="s">
        <v>153</v>
      </c>
      <c r="DN202" s="127" t="s">
        <v>153</v>
      </c>
      <c r="DO202" s="128" t="s">
        <v>153</v>
      </c>
      <c r="DP202" s="129" t="s">
        <v>153</v>
      </c>
      <c r="DQ202" s="130" t="s">
        <v>153</v>
      </c>
      <c r="DR202" s="131" t="s">
        <v>153</v>
      </c>
      <c r="DS202" s="132" t="s">
        <v>153</v>
      </c>
      <c r="DT202" s="133" t="s">
        <v>153</v>
      </c>
      <c r="DU202" s="134" t="s">
        <v>153</v>
      </c>
      <c r="DV202" s="135" t="s">
        <v>153</v>
      </c>
      <c r="DW202" s="136" t="s">
        <v>153</v>
      </c>
      <c r="DX202" s="137" t="s">
        <v>153</v>
      </c>
      <c r="DY202" s="138" t="s">
        <v>153</v>
      </c>
      <c r="DZ202" s="139" t="s">
        <v>191</v>
      </c>
      <c r="EA202" s="140">
        <v>44358</v>
      </c>
      <c r="EB202" s="141">
        <v>16500</v>
      </c>
      <c r="EC202" s="142">
        <v>41116</v>
      </c>
      <c r="ED202" s="143" t="s">
        <v>226</v>
      </c>
      <c r="EE202" s="278" t="str">
        <f>HYPERLINK("https://my.pitchbook.com?c=12490-39", "View company online")</f>
        <v>View company online</v>
      </c>
    </row>
    <row r="203" spans="1:135" x14ac:dyDescent="0.45">
      <c r="A203" s="144" t="s">
        <v>4510</v>
      </c>
      <c r="B203" s="145" t="s">
        <v>4511</v>
      </c>
      <c r="C203" s="146" t="s">
        <v>153</v>
      </c>
      <c r="D203" s="147" t="s">
        <v>153</v>
      </c>
      <c r="E203" s="148" t="s">
        <v>153</v>
      </c>
      <c r="F203" s="149" t="s">
        <v>153</v>
      </c>
      <c r="G203" s="150" t="s">
        <v>4512</v>
      </c>
      <c r="H203" s="151" t="s">
        <v>153</v>
      </c>
      <c r="I203" s="152" t="s">
        <v>4510</v>
      </c>
      <c r="J203" s="153" t="s">
        <v>4513</v>
      </c>
      <c r="K203" s="154" t="s">
        <v>157</v>
      </c>
      <c r="L203" s="155" t="s">
        <v>2713</v>
      </c>
      <c r="M203" s="156" t="s">
        <v>4514</v>
      </c>
      <c r="N203" s="157" t="s">
        <v>4515</v>
      </c>
      <c r="O203" s="158" t="s">
        <v>153</v>
      </c>
      <c r="P203" s="159" t="s">
        <v>4516</v>
      </c>
      <c r="Q203" s="160" t="s">
        <v>204</v>
      </c>
      <c r="R203" s="161" t="s">
        <v>153</v>
      </c>
      <c r="S203" s="162" t="s">
        <v>163</v>
      </c>
      <c r="T203" s="163" t="s">
        <v>205</v>
      </c>
      <c r="U203" s="164" t="s">
        <v>237</v>
      </c>
      <c r="V203" s="165" t="s">
        <v>4517</v>
      </c>
      <c r="W203" s="166">
        <v>682</v>
      </c>
      <c r="X203" s="167" t="s">
        <v>4518</v>
      </c>
      <c r="Y203" s="168" t="s">
        <v>153</v>
      </c>
      <c r="Z203" s="169" t="s">
        <v>153</v>
      </c>
      <c r="AA203" s="170">
        <v>1979</v>
      </c>
      <c r="AB203" s="171" t="s">
        <v>153</v>
      </c>
      <c r="AC203" s="172" t="s">
        <v>153</v>
      </c>
      <c r="AD203" s="173" t="s">
        <v>153</v>
      </c>
      <c r="AE203" s="174" t="s">
        <v>153</v>
      </c>
      <c r="AF203" s="175" t="s">
        <v>153</v>
      </c>
      <c r="AG203" s="176" t="s">
        <v>153</v>
      </c>
      <c r="AH203" s="177" t="s">
        <v>153</v>
      </c>
      <c r="AI203" s="178" t="s">
        <v>153</v>
      </c>
      <c r="AJ203" s="179" t="s">
        <v>153</v>
      </c>
      <c r="AK203" s="180" t="s">
        <v>153</v>
      </c>
      <c r="AL203" s="181" t="s">
        <v>153</v>
      </c>
      <c r="AM203" s="182" t="s">
        <v>153</v>
      </c>
      <c r="AN203" s="183" t="s">
        <v>3725</v>
      </c>
      <c r="AO203" s="184" t="s">
        <v>153</v>
      </c>
      <c r="AP203" s="185" t="s">
        <v>153</v>
      </c>
      <c r="AQ203" s="186" t="s">
        <v>153</v>
      </c>
      <c r="AR203" s="187" t="s">
        <v>153</v>
      </c>
      <c r="AS203" s="188" t="s">
        <v>153</v>
      </c>
      <c r="AT203" s="189" t="s">
        <v>4519</v>
      </c>
      <c r="AU203" s="190" t="s">
        <v>4520</v>
      </c>
      <c r="AV203" s="191" t="s">
        <v>4521</v>
      </c>
      <c r="AW203" s="192" t="s">
        <v>4522</v>
      </c>
      <c r="AX203" s="193" t="s">
        <v>153</v>
      </c>
      <c r="AY203" s="194" t="s">
        <v>4523</v>
      </c>
      <c r="AZ203" s="195" t="s">
        <v>335</v>
      </c>
      <c r="BA203" s="196" t="s">
        <v>153</v>
      </c>
      <c r="BB203" s="197" t="s">
        <v>153</v>
      </c>
      <c r="BC203" s="198" t="s">
        <v>153</v>
      </c>
      <c r="BD203" s="199" t="s">
        <v>180</v>
      </c>
      <c r="BE203" s="200" t="s">
        <v>181</v>
      </c>
      <c r="BF203" s="201" t="s">
        <v>4524</v>
      </c>
      <c r="BG203" s="202" t="s">
        <v>153</v>
      </c>
      <c r="BH203" s="203" t="s">
        <v>153</v>
      </c>
      <c r="BI203" s="204" t="s">
        <v>2549</v>
      </c>
      <c r="BJ203" s="205" t="s">
        <v>153</v>
      </c>
      <c r="BK203" s="206" t="s">
        <v>153</v>
      </c>
      <c r="BL203" s="207" t="s">
        <v>153</v>
      </c>
      <c r="BM203" s="208" t="s">
        <v>153</v>
      </c>
      <c r="BN203" s="209" t="s">
        <v>153</v>
      </c>
      <c r="BO203" s="210" t="s">
        <v>153</v>
      </c>
      <c r="BP203" s="211" t="s">
        <v>4525</v>
      </c>
      <c r="BQ203" s="212">
        <v>36161</v>
      </c>
      <c r="BR203" s="213" t="s">
        <v>153</v>
      </c>
      <c r="BS203" s="214" t="s">
        <v>153</v>
      </c>
      <c r="BT203" s="215" t="s">
        <v>153</v>
      </c>
      <c r="BU203" s="216" t="s">
        <v>153</v>
      </c>
      <c r="BV203" s="217" t="s">
        <v>251</v>
      </c>
      <c r="BW203" s="218" t="s">
        <v>153</v>
      </c>
      <c r="BX203" s="219" t="s">
        <v>153</v>
      </c>
      <c r="BY203" s="220" t="s">
        <v>252</v>
      </c>
      <c r="BZ203" s="221" t="s">
        <v>153</v>
      </c>
      <c r="CA203" s="222" t="s">
        <v>190</v>
      </c>
      <c r="CB203" s="223">
        <v>39430</v>
      </c>
      <c r="CC203" s="224">
        <v>16466.86</v>
      </c>
      <c r="CD203" s="225" t="s">
        <v>186</v>
      </c>
      <c r="CE203" s="226">
        <v>20687.009999999998</v>
      </c>
      <c r="CF203" s="227" t="s">
        <v>153</v>
      </c>
      <c r="CG203" s="228" t="s">
        <v>226</v>
      </c>
      <c r="CH203" s="229" t="s">
        <v>153</v>
      </c>
      <c r="CI203" s="230" t="s">
        <v>153</v>
      </c>
      <c r="CJ203" s="231" t="s">
        <v>225</v>
      </c>
      <c r="CK203" s="232">
        <v>39430</v>
      </c>
      <c r="CL203" s="233" t="s">
        <v>153</v>
      </c>
      <c r="CM203" s="234" t="s">
        <v>153</v>
      </c>
      <c r="CN203" s="235" t="s">
        <v>190</v>
      </c>
      <c r="CO203" s="236" t="s">
        <v>153</v>
      </c>
      <c r="CP203" s="237" t="s">
        <v>153</v>
      </c>
      <c r="CQ203" s="238" t="s">
        <v>153</v>
      </c>
      <c r="CR203" s="239" t="s">
        <v>153</v>
      </c>
      <c r="CS203" s="240" t="s">
        <v>153</v>
      </c>
      <c r="CT203" s="241" t="s">
        <v>153</v>
      </c>
      <c r="CU203" s="242" t="s">
        <v>153</v>
      </c>
      <c r="CV203" s="243" t="s">
        <v>153</v>
      </c>
      <c r="CW203" s="244" t="s">
        <v>153</v>
      </c>
      <c r="CX203" s="245" t="s">
        <v>153</v>
      </c>
      <c r="CY203" s="246" t="s">
        <v>153</v>
      </c>
      <c r="CZ203" s="247" t="s">
        <v>153</v>
      </c>
      <c r="DA203" s="248" t="s">
        <v>153</v>
      </c>
      <c r="DB203" s="249" t="s">
        <v>153</v>
      </c>
      <c r="DC203" s="250" t="s">
        <v>153</v>
      </c>
      <c r="DD203" s="251" t="s">
        <v>153</v>
      </c>
      <c r="DE203" s="252" t="s">
        <v>153</v>
      </c>
      <c r="DF203" s="253" t="s">
        <v>153</v>
      </c>
      <c r="DG203" s="254" t="s">
        <v>153</v>
      </c>
      <c r="DH203" s="255" t="s">
        <v>153</v>
      </c>
      <c r="DI203" s="256" t="s">
        <v>153</v>
      </c>
      <c r="DJ203" s="257" t="s">
        <v>153</v>
      </c>
      <c r="DK203" s="258" t="s">
        <v>153</v>
      </c>
      <c r="DL203" s="259" t="s">
        <v>153</v>
      </c>
      <c r="DM203" s="260" t="s">
        <v>153</v>
      </c>
      <c r="DN203" s="261" t="s">
        <v>153</v>
      </c>
      <c r="DO203" s="262" t="s">
        <v>153</v>
      </c>
      <c r="DP203" s="263" t="s">
        <v>153</v>
      </c>
      <c r="DQ203" s="264" t="s">
        <v>153</v>
      </c>
      <c r="DR203" s="265" t="s">
        <v>153</v>
      </c>
      <c r="DS203" s="266" t="s">
        <v>153</v>
      </c>
      <c r="DT203" s="267" t="s">
        <v>153</v>
      </c>
      <c r="DU203" s="268" t="s">
        <v>153</v>
      </c>
      <c r="DV203" s="269" t="s">
        <v>153</v>
      </c>
      <c r="DW203" s="270" t="s">
        <v>153</v>
      </c>
      <c r="DX203" s="271" t="s">
        <v>153</v>
      </c>
      <c r="DY203" s="272" t="s">
        <v>153</v>
      </c>
      <c r="DZ203" s="273" t="s">
        <v>191</v>
      </c>
      <c r="EA203" s="274">
        <v>43755</v>
      </c>
      <c r="EB203" s="275">
        <v>20687.009999999998</v>
      </c>
      <c r="EC203" s="276">
        <v>39430</v>
      </c>
      <c r="ED203" s="277" t="s">
        <v>226</v>
      </c>
      <c r="EE203" s="279" t="str">
        <f>HYPERLINK("https://my.pitchbook.com?c=56898-37", "View company online")</f>
        <v>View company online</v>
      </c>
    </row>
    <row r="204" spans="1:135" x14ac:dyDescent="0.45">
      <c r="A204" s="10" t="s">
        <v>4526</v>
      </c>
      <c r="B204" s="11" t="s">
        <v>4527</v>
      </c>
      <c r="C204" s="12" t="s">
        <v>153</v>
      </c>
      <c r="D204" s="13" t="s">
        <v>153</v>
      </c>
      <c r="E204" s="14" t="s">
        <v>4528</v>
      </c>
      <c r="F204" s="15" t="s">
        <v>4529</v>
      </c>
      <c r="G204" s="16" t="s">
        <v>4530</v>
      </c>
      <c r="H204" s="17" t="s">
        <v>153</v>
      </c>
      <c r="I204" s="18" t="s">
        <v>4526</v>
      </c>
      <c r="J204" s="19" t="s">
        <v>4531</v>
      </c>
      <c r="K204" s="20" t="s">
        <v>792</v>
      </c>
      <c r="L204" s="21" t="s">
        <v>841</v>
      </c>
      <c r="M204" s="22" t="s">
        <v>842</v>
      </c>
      <c r="N204" s="23" t="s">
        <v>843</v>
      </c>
      <c r="O204" s="24" t="s">
        <v>796</v>
      </c>
      <c r="P204" s="25" t="s">
        <v>4532</v>
      </c>
      <c r="Q204" s="26" t="s">
        <v>204</v>
      </c>
      <c r="R204" s="27" t="s">
        <v>153</v>
      </c>
      <c r="S204" s="28" t="s">
        <v>163</v>
      </c>
      <c r="T204" s="29" t="s">
        <v>205</v>
      </c>
      <c r="U204" s="30" t="s">
        <v>237</v>
      </c>
      <c r="V204" s="31" t="s">
        <v>4533</v>
      </c>
      <c r="W204" s="32">
        <v>6000</v>
      </c>
      <c r="X204" s="33" t="s">
        <v>4534</v>
      </c>
      <c r="Y204" s="34" t="s">
        <v>153</v>
      </c>
      <c r="Z204" s="35" t="s">
        <v>153</v>
      </c>
      <c r="AA204" s="36">
        <v>1890</v>
      </c>
      <c r="AB204" s="37" t="s">
        <v>153</v>
      </c>
      <c r="AC204" s="38" t="s">
        <v>153</v>
      </c>
      <c r="AD204" s="39" t="s">
        <v>153</v>
      </c>
      <c r="AE204" s="40" t="s">
        <v>153</v>
      </c>
      <c r="AF204" s="41" t="s">
        <v>153</v>
      </c>
      <c r="AG204" s="42" t="s">
        <v>153</v>
      </c>
      <c r="AH204" s="43" t="s">
        <v>153</v>
      </c>
      <c r="AI204" s="44" t="s">
        <v>153</v>
      </c>
      <c r="AJ204" s="45" t="s">
        <v>153</v>
      </c>
      <c r="AK204" s="46" t="s">
        <v>153</v>
      </c>
      <c r="AL204" s="47" t="s">
        <v>153</v>
      </c>
      <c r="AM204" s="48" t="s">
        <v>153</v>
      </c>
      <c r="AN204" s="49" t="s">
        <v>825</v>
      </c>
      <c r="AO204" s="50" t="s">
        <v>153</v>
      </c>
      <c r="AP204" s="51" t="s">
        <v>153</v>
      </c>
      <c r="AQ204" s="52" t="s">
        <v>153</v>
      </c>
      <c r="AR204" s="53" t="s">
        <v>153</v>
      </c>
      <c r="AS204" s="54" t="s">
        <v>153</v>
      </c>
      <c r="AT204" s="55" t="s">
        <v>4535</v>
      </c>
      <c r="AU204" s="56" t="s">
        <v>4536</v>
      </c>
      <c r="AV204" s="57" t="s">
        <v>4537</v>
      </c>
      <c r="AW204" s="58" t="s">
        <v>4538</v>
      </c>
      <c r="AX204" s="59" t="s">
        <v>308</v>
      </c>
      <c r="AY204" s="60" t="s">
        <v>4539</v>
      </c>
      <c r="AZ204" s="61" t="s">
        <v>215</v>
      </c>
      <c r="BA204" s="62" t="s">
        <v>153</v>
      </c>
      <c r="BB204" s="63" t="s">
        <v>153</v>
      </c>
      <c r="BC204" s="64" t="s">
        <v>153</v>
      </c>
      <c r="BD204" s="65" t="s">
        <v>216</v>
      </c>
      <c r="BE204" s="66" t="s">
        <v>217</v>
      </c>
      <c r="BF204" s="67" t="s">
        <v>4540</v>
      </c>
      <c r="BG204" s="68" t="s">
        <v>153</v>
      </c>
      <c r="BH204" s="69" t="s">
        <v>153</v>
      </c>
      <c r="BI204" s="70" t="s">
        <v>1216</v>
      </c>
      <c r="BJ204" s="71" t="s">
        <v>153</v>
      </c>
      <c r="BK204" s="72" t="s">
        <v>153</v>
      </c>
      <c r="BL204" s="73" t="s">
        <v>153</v>
      </c>
      <c r="BM204" s="74" t="s">
        <v>153</v>
      </c>
      <c r="BN204" s="75" t="s">
        <v>153</v>
      </c>
      <c r="BO204" s="76" t="s">
        <v>4541</v>
      </c>
      <c r="BP204" s="77" t="s">
        <v>153</v>
      </c>
      <c r="BQ204" s="78">
        <v>38446</v>
      </c>
      <c r="BR204" s="79">
        <v>16400</v>
      </c>
      <c r="BS204" s="80" t="s">
        <v>187</v>
      </c>
      <c r="BT204" s="81">
        <v>16400</v>
      </c>
      <c r="BU204" s="82" t="s">
        <v>187</v>
      </c>
      <c r="BV204" s="83" t="s">
        <v>226</v>
      </c>
      <c r="BW204" s="84" t="s">
        <v>153</v>
      </c>
      <c r="BX204" s="85" t="s">
        <v>153</v>
      </c>
      <c r="BY204" s="86" t="s">
        <v>225</v>
      </c>
      <c r="BZ204" s="87" t="s">
        <v>153</v>
      </c>
      <c r="CA204" s="88" t="s">
        <v>190</v>
      </c>
      <c r="CB204" s="89">
        <v>38446</v>
      </c>
      <c r="CC204" s="90">
        <v>16400</v>
      </c>
      <c r="CD204" s="91" t="s">
        <v>187</v>
      </c>
      <c r="CE204" s="92">
        <v>16400</v>
      </c>
      <c r="CF204" s="93" t="s">
        <v>187</v>
      </c>
      <c r="CG204" s="94" t="s">
        <v>226</v>
      </c>
      <c r="CH204" s="95" t="s">
        <v>153</v>
      </c>
      <c r="CI204" s="96" t="s">
        <v>153</v>
      </c>
      <c r="CJ204" s="97" t="s">
        <v>225</v>
      </c>
      <c r="CK204" s="98">
        <v>38446</v>
      </c>
      <c r="CL204" s="99" t="s">
        <v>153</v>
      </c>
      <c r="CM204" s="100" t="s">
        <v>153</v>
      </c>
      <c r="CN204" s="101" t="s">
        <v>190</v>
      </c>
      <c r="CO204" s="102" t="s">
        <v>153</v>
      </c>
      <c r="CP204" s="103" t="s">
        <v>153</v>
      </c>
      <c r="CQ204" s="104" t="s">
        <v>153</v>
      </c>
      <c r="CR204" s="105" t="s">
        <v>153</v>
      </c>
      <c r="CS204" s="106" t="s">
        <v>153</v>
      </c>
      <c r="CT204" s="107" t="s">
        <v>153</v>
      </c>
      <c r="CU204" s="108" t="s">
        <v>153</v>
      </c>
      <c r="CV204" s="109" t="s">
        <v>153</v>
      </c>
      <c r="CW204" s="110" t="s">
        <v>153</v>
      </c>
      <c r="CX204" s="111" t="s">
        <v>153</v>
      </c>
      <c r="CY204" s="112" t="s">
        <v>153</v>
      </c>
      <c r="CZ204" s="113" t="s">
        <v>153</v>
      </c>
      <c r="DA204" s="114" t="s">
        <v>153</v>
      </c>
      <c r="DB204" s="115" t="s">
        <v>153</v>
      </c>
      <c r="DC204" s="116" t="s">
        <v>153</v>
      </c>
      <c r="DD204" s="117" t="s">
        <v>153</v>
      </c>
      <c r="DE204" s="118" t="s">
        <v>153</v>
      </c>
      <c r="DF204" s="119" t="s">
        <v>153</v>
      </c>
      <c r="DG204" s="120" t="s">
        <v>153</v>
      </c>
      <c r="DH204" s="121" t="s">
        <v>153</v>
      </c>
      <c r="DI204" s="122" t="s">
        <v>153</v>
      </c>
      <c r="DJ204" s="123" t="s">
        <v>153</v>
      </c>
      <c r="DK204" s="124" t="s">
        <v>153</v>
      </c>
      <c r="DL204" s="125" t="s">
        <v>153</v>
      </c>
      <c r="DM204" s="126" t="s">
        <v>153</v>
      </c>
      <c r="DN204" s="127" t="s">
        <v>153</v>
      </c>
      <c r="DO204" s="128" t="s">
        <v>153</v>
      </c>
      <c r="DP204" s="129" t="s">
        <v>153</v>
      </c>
      <c r="DQ204" s="130" t="s">
        <v>153</v>
      </c>
      <c r="DR204" s="131" t="s">
        <v>153</v>
      </c>
      <c r="DS204" s="132" t="s">
        <v>153</v>
      </c>
      <c r="DT204" s="133" t="s">
        <v>153</v>
      </c>
      <c r="DU204" s="134" t="s">
        <v>153</v>
      </c>
      <c r="DV204" s="135" t="s">
        <v>153</v>
      </c>
      <c r="DW204" s="136" t="s">
        <v>153</v>
      </c>
      <c r="DX204" s="137" t="s">
        <v>153</v>
      </c>
      <c r="DY204" s="138" t="s">
        <v>153</v>
      </c>
      <c r="DZ204" s="139" t="s">
        <v>191</v>
      </c>
      <c r="EA204" s="140">
        <v>44217</v>
      </c>
      <c r="EB204" s="141">
        <v>16400</v>
      </c>
      <c r="EC204" s="142">
        <v>38446</v>
      </c>
      <c r="ED204" s="143" t="s">
        <v>226</v>
      </c>
      <c r="EE204" s="278" t="str">
        <f>HYPERLINK("https://my.pitchbook.com?c=41221-36", "View company online")</f>
        <v>View company online</v>
      </c>
    </row>
    <row r="205" spans="1:135" x14ac:dyDescent="0.45">
      <c r="A205" s="144" t="s">
        <v>4542</v>
      </c>
      <c r="B205" s="145" t="s">
        <v>4543</v>
      </c>
      <c r="C205" s="146" t="s">
        <v>153</v>
      </c>
      <c r="D205" s="147" t="s">
        <v>153</v>
      </c>
      <c r="E205" s="148" t="s">
        <v>4544</v>
      </c>
      <c r="F205" s="149" t="s">
        <v>4545</v>
      </c>
      <c r="G205" s="150" t="s">
        <v>4546</v>
      </c>
      <c r="H205" s="151" t="s">
        <v>4547</v>
      </c>
      <c r="I205" s="152" t="s">
        <v>4542</v>
      </c>
      <c r="J205" s="153" t="s">
        <v>4548</v>
      </c>
      <c r="K205" s="154" t="s">
        <v>257</v>
      </c>
      <c r="L205" s="155" t="s">
        <v>478</v>
      </c>
      <c r="M205" s="156" t="s">
        <v>2752</v>
      </c>
      <c r="N205" s="157" t="s">
        <v>4549</v>
      </c>
      <c r="O205" s="158" t="s">
        <v>1139</v>
      </c>
      <c r="P205" s="159" t="s">
        <v>4550</v>
      </c>
      <c r="Q205" s="160" t="s">
        <v>204</v>
      </c>
      <c r="R205" s="161" t="s">
        <v>153</v>
      </c>
      <c r="S205" s="162" t="s">
        <v>290</v>
      </c>
      <c r="T205" s="163" t="s">
        <v>164</v>
      </c>
      <c r="U205" s="164" t="s">
        <v>237</v>
      </c>
      <c r="V205" s="165" t="s">
        <v>4551</v>
      </c>
      <c r="W205" s="166">
        <v>11000</v>
      </c>
      <c r="X205" s="167" t="s">
        <v>4552</v>
      </c>
      <c r="Y205" s="168" t="s">
        <v>153</v>
      </c>
      <c r="Z205" s="169" t="s">
        <v>153</v>
      </c>
      <c r="AA205" s="170">
        <v>1948</v>
      </c>
      <c r="AB205" s="171" t="s">
        <v>4553</v>
      </c>
      <c r="AC205" s="172" t="s">
        <v>153</v>
      </c>
      <c r="AD205" s="173" t="s">
        <v>153</v>
      </c>
      <c r="AE205" s="174">
        <v>3118.1</v>
      </c>
      <c r="AF205" s="175">
        <v>1369.4</v>
      </c>
      <c r="AG205" s="176">
        <v>277.5</v>
      </c>
      <c r="AH205" s="177">
        <v>15690.81</v>
      </c>
      <c r="AI205" s="178">
        <v>430.5</v>
      </c>
      <c r="AJ205" s="179">
        <v>370.4</v>
      </c>
      <c r="AK205" s="180" t="s">
        <v>153</v>
      </c>
      <c r="AL205" s="181">
        <v>-461.6</v>
      </c>
      <c r="AM205" s="182">
        <v>-5.88</v>
      </c>
      <c r="AN205" s="183" t="s">
        <v>376</v>
      </c>
      <c r="AO205" s="184" t="s">
        <v>4554</v>
      </c>
      <c r="AP205" s="185" t="s">
        <v>4555</v>
      </c>
      <c r="AQ205" s="186" t="s">
        <v>4556</v>
      </c>
      <c r="AR205" s="187" t="s">
        <v>4557</v>
      </c>
      <c r="AS205" s="188" t="s">
        <v>4558</v>
      </c>
      <c r="AT205" s="189" t="s">
        <v>4559</v>
      </c>
      <c r="AU205" s="190" t="s">
        <v>4560</v>
      </c>
      <c r="AV205" s="191" t="s">
        <v>4561</v>
      </c>
      <c r="AW205" s="192" t="s">
        <v>4562</v>
      </c>
      <c r="AX205" s="193" t="s">
        <v>308</v>
      </c>
      <c r="AY205" s="194" t="s">
        <v>4563</v>
      </c>
      <c r="AZ205" s="195" t="s">
        <v>215</v>
      </c>
      <c r="BA205" s="196" t="s">
        <v>4558</v>
      </c>
      <c r="BB205" s="197" t="s">
        <v>153</v>
      </c>
      <c r="BC205" s="198" t="s">
        <v>4564</v>
      </c>
      <c r="BD205" s="199" t="s">
        <v>216</v>
      </c>
      <c r="BE205" s="200" t="s">
        <v>217</v>
      </c>
      <c r="BF205" s="201" t="s">
        <v>4565</v>
      </c>
      <c r="BG205" s="202" t="s">
        <v>153</v>
      </c>
      <c r="BH205" s="203" t="s">
        <v>153</v>
      </c>
      <c r="BI205" s="204" t="s">
        <v>4553</v>
      </c>
      <c r="BJ205" s="205" t="s">
        <v>153</v>
      </c>
      <c r="BK205" s="206" t="s">
        <v>153</v>
      </c>
      <c r="BL205" s="207" t="s">
        <v>153</v>
      </c>
      <c r="BM205" s="208" t="s">
        <v>153</v>
      </c>
      <c r="BN205" s="209" t="s">
        <v>153</v>
      </c>
      <c r="BO205" s="210" t="s">
        <v>4566</v>
      </c>
      <c r="BP205" s="211" t="s">
        <v>4567</v>
      </c>
      <c r="BQ205" s="212">
        <v>29297</v>
      </c>
      <c r="BR205" s="213" t="s">
        <v>153</v>
      </c>
      <c r="BS205" s="214" t="s">
        <v>153</v>
      </c>
      <c r="BT205" s="215" t="s">
        <v>153</v>
      </c>
      <c r="BU205" s="216" t="s">
        <v>153</v>
      </c>
      <c r="BV205" s="217" t="s">
        <v>251</v>
      </c>
      <c r="BW205" s="218" t="s">
        <v>153</v>
      </c>
      <c r="BX205" s="219" t="s">
        <v>153</v>
      </c>
      <c r="BY205" s="220" t="s">
        <v>252</v>
      </c>
      <c r="BZ205" s="221" t="s">
        <v>153</v>
      </c>
      <c r="CA205" s="222" t="s">
        <v>190</v>
      </c>
      <c r="CB205" s="223">
        <v>44301</v>
      </c>
      <c r="CC205" s="224">
        <v>16400</v>
      </c>
      <c r="CD205" s="225" t="s">
        <v>186</v>
      </c>
      <c r="CE205" s="226">
        <v>16400</v>
      </c>
      <c r="CF205" s="227" t="s">
        <v>187</v>
      </c>
      <c r="CG205" s="228" t="s">
        <v>226</v>
      </c>
      <c r="CH205" s="229" t="s">
        <v>153</v>
      </c>
      <c r="CI205" s="230" t="s">
        <v>153</v>
      </c>
      <c r="CJ205" s="231" t="s">
        <v>225</v>
      </c>
      <c r="CK205" s="232">
        <v>44301</v>
      </c>
      <c r="CL205" s="233" t="s">
        <v>153</v>
      </c>
      <c r="CM205" s="234" t="s">
        <v>153</v>
      </c>
      <c r="CN205" s="235" t="s">
        <v>190</v>
      </c>
      <c r="CO205" s="236">
        <v>0.19</v>
      </c>
      <c r="CP205" s="237">
        <v>90</v>
      </c>
      <c r="CQ205" s="238">
        <v>-0.02</v>
      </c>
      <c r="CR205" s="239">
        <v>-8.43</v>
      </c>
      <c r="CS205" s="240">
        <v>0.25</v>
      </c>
      <c r="CT205" s="241">
        <v>91</v>
      </c>
      <c r="CU205" s="242">
        <v>0.13</v>
      </c>
      <c r="CV205" s="243">
        <v>88</v>
      </c>
      <c r="CW205" s="244">
        <v>0.31</v>
      </c>
      <c r="CX205" s="245">
        <v>78</v>
      </c>
      <c r="CY205" s="246">
        <v>0.18</v>
      </c>
      <c r="CZ205" s="247">
        <v>91</v>
      </c>
      <c r="DA205" s="248">
        <v>0.13</v>
      </c>
      <c r="DB205" s="249">
        <v>88</v>
      </c>
      <c r="DC205" s="250">
        <v>147.27000000000001</v>
      </c>
      <c r="DD205" s="251">
        <v>100</v>
      </c>
      <c r="DE205" s="252">
        <v>0.09</v>
      </c>
      <c r="DF205" s="253">
        <v>0.06</v>
      </c>
      <c r="DG205" s="254">
        <v>117.16</v>
      </c>
      <c r="DH205" s="255">
        <v>100</v>
      </c>
      <c r="DI205" s="256">
        <v>27.36</v>
      </c>
      <c r="DJ205" s="257">
        <v>93</v>
      </c>
      <c r="DK205" s="258">
        <v>41.5</v>
      </c>
      <c r="DL205" s="259">
        <v>94</v>
      </c>
      <c r="DM205" s="260">
        <v>192.81</v>
      </c>
      <c r="DN205" s="261">
        <v>100</v>
      </c>
      <c r="DO205" s="262">
        <v>27.36</v>
      </c>
      <c r="DP205" s="263">
        <v>93</v>
      </c>
      <c r="DQ205" s="264">
        <v>24584</v>
      </c>
      <c r="DR205" s="265">
        <v>100</v>
      </c>
      <c r="DS205" s="266">
        <v>0.41</v>
      </c>
      <c r="DT205" s="267">
        <v>3084</v>
      </c>
      <c r="DU205" s="268">
        <v>4</v>
      </c>
      <c r="DV205" s="269">
        <v>0.13</v>
      </c>
      <c r="DW205" s="270">
        <v>8590</v>
      </c>
      <c r="DX205" s="271">
        <v>5</v>
      </c>
      <c r="DY205" s="272">
        <v>0.06</v>
      </c>
      <c r="DZ205" s="273" t="s">
        <v>191</v>
      </c>
      <c r="EA205" s="274">
        <v>44364</v>
      </c>
      <c r="EB205" s="275">
        <v>16400</v>
      </c>
      <c r="EC205" s="276">
        <v>44301</v>
      </c>
      <c r="ED205" s="277" t="s">
        <v>226</v>
      </c>
      <c r="EE205" s="279" t="str">
        <f>HYPERLINK("https://my.pitchbook.com?c=41271-40", "View company online")</f>
        <v>View company online</v>
      </c>
    </row>
    <row r="206" spans="1:135" x14ac:dyDescent="0.45">
      <c r="A206" s="10" t="s">
        <v>4568</v>
      </c>
      <c r="B206" s="11" t="s">
        <v>4569</v>
      </c>
      <c r="C206" s="12" t="s">
        <v>153</v>
      </c>
      <c r="D206" s="13" t="s">
        <v>153</v>
      </c>
      <c r="E206" s="14" t="s">
        <v>153</v>
      </c>
      <c r="F206" s="15" t="s">
        <v>153</v>
      </c>
      <c r="G206" s="16" t="s">
        <v>4570</v>
      </c>
      <c r="H206" s="17" t="s">
        <v>153</v>
      </c>
      <c r="I206" s="18" t="s">
        <v>4568</v>
      </c>
      <c r="J206" s="19" t="s">
        <v>4571</v>
      </c>
      <c r="K206" s="20" t="s">
        <v>559</v>
      </c>
      <c r="L206" s="21" t="s">
        <v>560</v>
      </c>
      <c r="M206" s="22" t="s">
        <v>4572</v>
      </c>
      <c r="N206" s="23" t="s">
        <v>4573</v>
      </c>
      <c r="O206" s="24" t="s">
        <v>261</v>
      </c>
      <c r="P206" s="25" t="s">
        <v>4574</v>
      </c>
      <c r="Q206" s="26" t="s">
        <v>204</v>
      </c>
      <c r="R206" s="27" t="s">
        <v>153</v>
      </c>
      <c r="S206" s="28" t="s">
        <v>163</v>
      </c>
      <c r="T206" s="29" t="s">
        <v>205</v>
      </c>
      <c r="U206" s="30" t="s">
        <v>237</v>
      </c>
      <c r="V206" s="31" t="s">
        <v>153</v>
      </c>
      <c r="W206" s="32">
        <v>15490</v>
      </c>
      <c r="X206" s="33" t="s">
        <v>4575</v>
      </c>
      <c r="Y206" s="34" t="s">
        <v>153</v>
      </c>
      <c r="Z206" s="35" t="s">
        <v>153</v>
      </c>
      <c r="AA206" s="36">
        <v>1909</v>
      </c>
      <c r="AB206" s="37" t="s">
        <v>153</v>
      </c>
      <c r="AC206" s="38" t="s">
        <v>153</v>
      </c>
      <c r="AD206" s="39" t="s">
        <v>153</v>
      </c>
      <c r="AE206" s="40" t="s">
        <v>153</v>
      </c>
      <c r="AF206" s="41" t="s">
        <v>153</v>
      </c>
      <c r="AG206" s="42" t="s">
        <v>153</v>
      </c>
      <c r="AH206" s="43" t="s">
        <v>153</v>
      </c>
      <c r="AI206" s="44" t="s">
        <v>153</v>
      </c>
      <c r="AJ206" s="45" t="s">
        <v>153</v>
      </c>
      <c r="AK206" s="46" t="s">
        <v>153</v>
      </c>
      <c r="AL206" s="47" t="s">
        <v>153</v>
      </c>
      <c r="AM206" s="48" t="s">
        <v>153</v>
      </c>
      <c r="AN206" s="49" t="s">
        <v>1144</v>
      </c>
      <c r="AO206" s="50" t="s">
        <v>4576</v>
      </c>
      <c r="AP206" s="51" t="s">
        <v>4577</v>
      </c>
      <c r="AQ206" s="52" t="s">
        <v>4578</v>
      </c>
      <c r="AR206" s="53" t="s">
        <v>153</v>
      </c>
      <c r="AS206" s="54" t="s">
        <v>4579</v>
      </c>
      <c r="AT206" s="55" t="s">
        <v>4580</v>
      </c>
      <c r="AU206" s="56" t="s">
        <v>4581</v>
      </c>
      <c r="AV206" s="57" t="s">
        <v>153</v>
      </c>
      <c r="AW206" s="58" t="s">
        <v>4582</v>
      </c>
      <c r="AX206" s="59" t="s">
        <v>2727</v>
      </c>
      <c r="AY206" s="60" t="s">
        <v>4583</v>
      </c>
      <c r="AZ206" s="61" t="s">
        <v>215</v>
      </c>
      <c r="BA206" s="62" t="s">
        <v>4579</v>
      </c>
      <c r="BB206" s="63" t="s">
        <v>4584</v>
      </c>
      <c r="BC206" s="64" t="s">
        <v>153</v>
      </c>
      <c r="BD206" s="65" t="s">
        <v>216</v>
      </c>
      <c r="BE206" s="66" t="s">
        <v>217</v>
      </c>
      <c r="BF206" s="67" t="s">
        <v>4585</v>
      </c>
      <c r="BG206" s="68" t="s">
        <v>153</v>
      </c>
      <c r="BH206" s="69" t="s">
        <v>153</v>
      </c>
      <c r="BI206" s="70" t="s">
        <v>4586</v>
      </c>
      <c r="BJ206" s="71" t="s">
        <v>153</v>
      </c>
      <c r="BK206" s="72" t="s">
        <v>153</v>
      </c>
      <c r="BL206" s="73" t="s">
        <v>153</v>
      </c>
      <c r="BM206" s="74" t="s">
        <v>153</v>
      </c>
      <c r="BN206" s="75" t="s">
        <v>153</v>
      </c>
      <c r="BO206" s="76" t="s">
        <v>4587</v>
      </c>
      <c r="BP206" s="77" t="s">
        <v>4588</v>
      </c>
      <c r="BQ206" s="78">
        <v>39904</v>
      </c>
      <c r="BR206" s="79">
        <v>16300</v>
      </c>
      <c r="BS206" s="80" t="s">
        <v>186</v>
      </c>
      <c r="BT206" s="81">
        <v>16300</v>
      </c>
      <c r="BU206" s="82" t="s">
        <v>186</v>
      </c>
      <c r="BV206" s="83" t="s">
        <v>226</v>
      </c>
      <c r="BW206" s="84" t="s">
        <v>153</v>
      </c>
      <c r="BX206" s="85" t="s">
        <v>153</v>
      </c>
      <c r="BY206" s="86" t="s">
        <v>225</v>
      </c>
      <c r="BZ206" s="87" t="s">
        <v>153</v>
      </c>
      <c r="CA206" s="88" t="s">
        <v>190</v>
      </c>
      <c r="CB206" s="89">
        <v>39904</v>
      </c>
      <c r="CC206" s="90">
        <v>16300</v>
      </c>
      <c r="CD206" s="91" t="s">
        <v>186</v>
      </c>
      <c r="CE206" s="92">
        <v>16300</v>
      </c>
      <c r="CF206" s="93" t="s">
        <v>186</v>
      </c>
      <c r="CG206" s="94" t="s">
        <v>226</v>
      </c>
      <c r="CH206" s="95" t="s">
        <v>153</v>
      </c>
      <c r="CI206" s="96" t="s">
        <v>153</v>
      </c>
      <c r="CJ206" s="97" t="s">
        <v>225</v>
      </c>
      <c r="CK206" s="98">
        <v>39904</v>
      </c>
      <c r="CL206" s="99" t="s">
        <v>153</v>
      </c>
      <c r="CM206" s="100" t="s">
        <v>153</v>
      </c>
      <c r="CN206" s="101" t="s">
        <v>190</v>
      </c>
      <c r="CO206" s="102" t="s">
        <v>153</v>
      </c>
      <c r="CP206" s="103" t="s">
        <v>153</v>
      </c>
      <c r="CQ206" s="104" t="s">
        <v>153</v>
      </c>
      <c r="CR206" s="105" t="s">
        <v>153</v>
      </c>
      <c r="CS206" s="106" t="s">
        <v>153</v>
      </c>
      <c r="CT206" s="107" t="s">
        <v>153</v>
      </c>
      <c r="CU206" s="108" t="s">
        <v>153</v>
      </c>
      <c r="CV206" s="109" t="s">
        <v>153</v>
      </c>
      <c r="CW206" s="110" t="s">
        <v>153</v>
      </c>
      <c r="CX206" s="111" t="s">
        <v>153</v>
      </c>
      <c r="CY206" s="112" t="s">
        <v>153</v>
      </c>
      <c r="CZ206" s="113" t="s">
        <v>153</v>
      </c>
      <c r="DA206" s="114" t="s">
        <v>153</v>
      </c>
      <c r="DB206" s="115" t="s">
        <v>153</v>
      </c>
      <c r="DC206" s="116" t="s">
        <v>153</v>
      </c>
      <c r="DD206" s="117" t="s">
        <v>153</v>
      </c>
      <c r="DE206" s="118" t="s">
        <v>153</v>
      </c>
      <c r="DF206" s="119" t="s">
        <v>153</v>
      </c>
      <c r="DG206" s="120" t="s">
        <v>153</v>
      </c>
      <c r="DH206" s="121" t="s">
        <v>153</v>
      </c>
      <c r="DI206" s="122" t="s">
        <v>153</v>
      </c>
      <c r="DJ206" s="123" t="s">
        <v>153</v>
      </c>
      <c r="DK206" s="124" t="s">
        <v>153</v>
      </c>
      <c r="DL206" s="125" t="s">
        <v>153</v>
      </c>
      <c r="DM206" s="126" t="s">
        <v>153</v>
      </c>
      <c r="DN206" s="127" t="s">
        <v>153</v>
      </c>
      <c r="DO206" s="128" t="s">
        <v>153</v>
      </c>
      <c r="DP206" s="129" t="s">
        <v>153</v>
      </c>
      <c r="DQ206" s="130" t="s">
        <v>153</v>
      </c>
      <c r="DR206" s="131" t="s">
        <v>153</v>
      </c>
      <c r="DS206" s="132" t="s">
        <v>153</v>
      </c>
      <c r="DT206" s="133" t="s">
        <v>153</v>
      </c>
      <c r="DU206" s="134" t="s">
        <v>153</v>
      </c>
      <c r="DV206" s="135" t="s">
        <v>153</v>
      </c>
      <c r="DW206" s="136" t="s">
        <v>153</v>
      </c>
      <c r="DX206" s="137" t="s">
        <v>153</v>
      </c>
      <c r="DY206" s="138" t="s">
        <v>153</v>
      </c>
      <c r="DZ206" s="139" t="s">
        <v>191</v>
      </c>
      <c r="EA206" s="140">
        <v>44217</v>
      </c>
      <c r="EB206" s="141">
        <v>16300</v>
      </c>
      <c r="EC206" s="142">
        <v>39904</v>
      </c>
      <c r="ED206" s="143" t="s">
        <v>226</v>
      </c>
      <c r="EE206" s="278" t="str">
        <f>HYPERLINK("https://my.pitchbook.com?c=40413-34", "View company online")</f>
        <v>View company online</v>
      </c>
    </row>
    <row r="207" spans="1:135" x14ac:dyDescent="0.45">
      <c r="A207" s="144" t="s">
        <v>4589</v>
      </c>
      <c r="B207" s="145" t="s">
        <v>4590</v>
      </c>
      <c r="C207" s="146" t="s">
        <v>153</v>
      </c>
      <c r="D207" s="147" t="s">
        <v>153</v>
      </c>
      <c r="E207" s="148" t="s">
        <v>153</v>
      </c>
      <c r="F207" s="149" t="s">
        <v>4591</v>
      </c>
      <c r="G207" s="150" t="s">
        <v>4592</v>
      </c>
      <c r="H207" s="151" t="s">
        <v>4593</v>
      </c>
      <c r="I207" s="152" t="s">
        <v>4589</v>
      </c>
      <c r="J207" s="153" t="s">
        <v>4594</v>
      </c>
      <c r="K207" s="154" t="s">
        <v>157</v>
      </c>
      <c r="L207" s="155" t="s">
        <v>2713</v>
      </c>
      <c r="M207" s="156" t="s">
        <v>2922</v>
      </c>
      <c r="N207" s="157" t="s">
        <v>4595</v>
      </c>
      <c r="O207" s="158" t="s">
        <v>450</v>
      </c>
      <c r="P207" s="159" t="s">
        <v>4596</v>
      </c>
      <c r="Q207" s="160" t="s">
        <v>204</v>
      </c>
      <c r="R207" s="161" t="s">
        <v>153</v>
      </c>
      <c r="S207" s="162" t="s">
        <v>163</v>
      </c>
      <c r="T207" s="163" t="s">
        <v>164</v>
      </c>
      <c r="U207" s="164" t="s">
        <v>206</v>
      </c>
      <c r="V207" s="165" t="s">
        <v>4597</v>
      </c>
      <c r="W207" s="166">
        <v>44000</v>
      </c>
      <c r="X207" s="167" t="s">
        <v>4598</v>
      </c>
      <c r="Y207" s="168" t="s">
        <v>153</v>
      </c>
      <c r="Z207" s="169" t="s">
        <v>153</v>
      </c>
      <c r="AA207" s="170">
        <v>1849</v>
      </c>
      <c r="AB207" s="171" t="s">
        <v>4599</v>
      </c>
      <c r="AC207" s="172" t="s">
        <v>570</v>
      </c>
      <c r="AD207" s="173" t="s">
        <v>1067</v>
      </c>
      <c r="AE207" s="174">
        <v>219.5</v>
      </c>
      <c r="AF207" s="175" t="s">
        <v>153</v>
      </c>
      <c r="AG207" s="176" t="s">
        <v>153</v>
      </c>
      <c r="AH207" s="177" t="s">
        <v>153</v>
      </c>
      <c r="AI207" s="178">
        <v>119.27</v>
      </c>
      <c r="AJ207" s="179">
        <v>100.23</v>
      </c>
      <c r="AK207" s="180" t="s">
        <v>153</v>
      </c>
      <c r="AL207" s="181">
        <v>0</v>
      </c>
      <c r="AM207" s="182">
        <v>-5.46</v>
      </c>
      <c r="AN207" s="183" t="s">
        <v>168</v>
      </c>
      <c r="AO207" s="184" t="s">
        <v>4600</v>
      </c>
      <c r="AP207" s="185" t="s">
        <v>4601</v>
      </c>
      <c r="AQ207" s="186" t="s">
        <v>512</v>
      </c>
      <c r="AR207" s="187" t="s">
        <v>4602</v>
      </c>
      <c r="AS207" s="188" t="s">
        <v>4603</v>
      </c>
      <c r="AT207" s="189" t="s">
        <v>4604</v>
      </c>
      <c r="AU207" s="190" t="s">
        <v>4605</v>
      </c>
      <c r="AV207" s="191" t="s">
        <v>153</v>
      </c>
      <c r="AW207" s="192" t="s">
        <v>4606</v>
      </c>
      <c r="AX207" s="193" t="s">
        <v>177</v>
      </c>
      <c r="AY207" s="194" t="s">
        <v>4607</v>
      </c>
      <c r="AZ207" s="195" t="s">
        <v>179</v>
      </c>
      <c r="BA207" s="196" t="s">
        <v>4603</v>
      </c>
      <c r="BB207" s="197" t="s">
        <v>153</v>
      </c>
      <c r="BC207" s="198" t="s">
        <v>153</v>
      </c>
      <c r="BD207" s="199" t="s">
        <v>180</v>
      </c>
      <c r="BE207" s="200" t="s">
        <v>181</v>
      </c>
      <c r="BF207" s="201" t="s">
        <v>4608</v>
      </c>
      <c r="BG207" s="202" t="s">
        <v>153</v>
      </c>
      <c r="BH207" s="203" t="s">
        <v>153</v>
      </c>
      <c r="BI207" s="204" t="s">
        <v>4599</v>
      </c>
      <c r="BJ207" s="205" t="s">
        <v>153</v>
      </c>
      <c r="BK207" s="206" t="s">
        <v>153</v>
      </c>
      <c r="BL207" s="207" t="s">
        <v>153</v>
      </c>
      <c r="BM207" s="208" t="s">
        <v>153</v>
      </c>
      <c r="BN207" s="209" t="s">
        <v>153</v>
      </c>
      <c r="BO207" s="210" t="s">
        <v>4609</v>
      </c>
      <c r="BP207" s="211" t="s">
        <v>4609</v>
      </c>
      <c r="BQ207" s="212">
        <v>41640</v>
      </c>
      <c r="BR207" s="213">
        <v>16200</v>
      </c>
      <c r="BS207" s="214" t="s">
        <v>186</v>
      </c>
      <c r="BT207" s="215">
        <v>16200</v>
      </c>
      <c r="BU207" s="216" t="s">
        <v>187</v>
      </c>
      <c r="BV207" s="217" t="s">
        <v>226</v>
      </c>
      <c r="BW207" s="218" t="s">
        <v>153</v>
      </c>
      <c r="BX207" s="219" t="s">
        <v>153</v>
      </c>
      <c r="BY207" s="220" t="s">
        <v>225</v>
      </c>
      <c r="BZ207" s="221" t="s">
        <v>153</v>
      </c>
      <c r="CA207" s="222" t="s">
        <v>190</v>
      </c>
      <c r="CB207" s="223">
        <v>41640</v>
      </c>
      <c r="CC207" s="224">
        <v>16200</v>
      </c>
      <c r="CD207" s="225" t="s">
        <v>186</v>
      </c>
      <c r="CE207" s="226">
        <v>16200</v>
      </c>
      <c r="CF207" s="227" t="s">
        <v>187</v>
      </c>
      <c r="CG207" s="228" t="s">
        <v>226</v>
      </c>
      <c r="CH207" s="229" t="s">
        <v>153</v>
      </c>
      <c r="CI207" s="230" t="s">
        <v>153</v>
      </c>
      <c r="CJ207" s="231" t="s">
        <v>225</v>
      </c>
      <c r="CK207" s="232">
        <v>41640</v>
      </c>
      <c r="CL207" s="233" t="s">
        <v>153</v>
      </c>
      <c r="CM207" s="234" t="s">
        <v>153</v>
      </c>
      <c r="CN207" s="235" t="s">
        <v>190</v>
      </c>
      <c r="CO207" s="236">
        <v>1.34</v>
      </c>
      <c r="CP207" s="237">
        <v>97</v>
      </c>
      <c r="CQ207" s="238">
        <v>-0.05</v>
      </c>
      <c r="CR207" s="239">
        <v>-3.33</v>
      </c>
      <c r="CS207" s="240">
        <v>4.3</v>
      </c>
      <c r="CT207" s="241">
        <v>100</v>
      </c>
      <c r="CU207" s="242">
        <v>0.21</v>
      </c>
      <c r="CV207" s="243">
        <v>91</v>
      </c>
      <c r="CW207" s="244">
        <v>8.26</v>
      </c>
      <c r="CX207" s="245">
        <v>98</v>
      </c>
      <c r="CY207" s="246">
        <v>0.35</v>
      </c>
      <c r="CZ207" s="247">
        <v>93</v>
      </c>
      <c r="DA207" s="248">
        <v>0.21</v>
      </c>
      <c r="DB207" s="249">
        <v>91</v>
      </c>
      <c r="DC207" s="250">
        <v>427.48</v>
      </c>
      <c r="DD207" s="251">
        <v>100</v>
      </c>
      <c r="DE207" s="252">
        <v>-0.01</v>
      </c>
      <c r="DF207" s="253">
        <v>0</v>
      </c>
      <c r="DG207" s="254">
        <v>87.37</v>
      </c>
      <c r="DH207" s="255">
        <v>99</v>
      </c>
      <c r="DI207" s="256">
        <v>5.87</v>
      </c>
      <c r="DJ207" s="257">
        <v>80</v>
      </c>
      <c r="DK207" s="258">
        <v>97.99</v>
      </c>
      <c r="DL207" s="259">
        <v>97</v>
      </c>
      <c r="DM207" s="260">
        <v>76.75</v>
      </c>
      <c r="DN207" s="261">
        <v>99</v>
      </c>
      <c r="DO207" s="262">
        <v>5.87</v>
      </c>
      <c r="DP207" s="263">
        <v>80</v>
      </c>
      <c r="DQ207" s="264">
        <v>57186</v>
      </c>
      <c r="DR207" s="265">
        <v>3385</v>
      </c>
      <c r="DS207" s="266">
        <v>6.29</v>
      </c>
      <c r="DT207" s="267">
        <v>1229</v>
      </c>
      <c r="DU207" s="268">
        <v>-2</v>
      </c>
      <c r="DV207" s="269">
        <v>-0.16</v>
      </c>
      <c r="DW207" s="270">
        <v>1843</v>
      </c>
      <c r="DX207" s="271">
        <v>2</v>
      </c>
      <c r="DY207" s="272">
        <v>0.11</v>
      </c>
      <c r="DZ207" s="273" t="s">
        <v>191</v>
      </c>
      <c r="EA207" s="274">
        <v>44350</v>
      </c>
      <c r="EB207" s="275">
        <v>16200</v>
      </c>
      <c r="EC207" s="276">
        <v>41640</v>
      </c>
      <c r="ED207" s="277" t="s">
        <v>226</v>
      </c>
      <c r="EE207" s="279" t="str">
        <f>HYPERLINK("https://my.pitchbook.com?c=100972-09", "View company online")</f>
        <v>View company online</v>
      </c>
    </row>
    <row r="208" spans="1:135" x14ac:dyDescent="0.45">
      <c r="A208" s="10" t="s">
        <v>4610</v>
      </c>
      <c r="B208" s="11" t="s">
        <v>4611</v>
      </c>
      <c r="C208" s="12" t="s">
        <v>153</v>
      </c>
      <c r="D208" s="13" t="s">
        <v>153</v>
      </c>
      <c r="E208" s="14" t="s">
        <v>4612</v>
      </c>
      <c r="F208" s="15" t="s">
        <v>4613</v>
      </c>
      <c r="G208" s="16" t="s">
        <v>4614</v>
      </c>
      <c r="H208" s="17" t="s">
        <v>4615</v>
      </c>
      <c r="I208" s="18" t="s">
        <v>4610</v>
      </c>
      <c r="J208" s="19" t="s">
        <v>4616</v>
      </c>
      <c r="K208" s="20" t="s">
        <v>559</v>
      </c>
      <c r="L208" s="21" t="s">
        <v>1345</v>
      </c>
      <c r="M208" s="22" t="s">
        <v>2470</v>
      </c>
      <c r="N208" s="23" t="s">
        <v>4617</v>
      </c>
      <c r="O208" s="24" t="s">
        <v>365</v>
      </c>
      <c r="P208" s="25" t="s">
        <v>4618</v>
      </c>
      <c r="Q208" s="26" t="s">
        <v>204</v>
      </c>
      <c r="R208" s="27" t="s">
        <v>153</v>
      </c>
      <c r="S208" s="28" t="s">
        <v>290</v>
      </c>
      <c r="T208" s="29" t="s">
        <v>164</v>
      </c>
      <c r="U208" s="30" t="s">
        <v>237</v>
      </c>
      <c r="V208" s="31" t="s">
        <v>4619</v>
      </c>
      <c r="W208" s="32">
        <v>13</v>
      </c>
      <c r="X208" s="33" t="s">
        <v>4620</v>
      </c>
      <c r="Y208" s="34" t="s">
        <v>153</v>
      </c>
      <c r="Z208" s="35" t="s">
        <v>153</v>
      </c>
      <c r="AA208" s="36">
        <v>1964</v>
      </c>
      <c r="AB208" s="37" t="s">
        <v>4621</v>
      </c>
      <c r="AC208" s="38" t="s">
        <v>153</v>
      </c>
      <c r="AD208" s="39" t="s">
        <v>508</v>
      </c>
      <c r="AE208" s="40" t="s">
        <v>153</v>
      </c>
      <c r="AF208" s="41" t="s">
        <v>153</v>
      </c>
      <c r="AG208" s="42" t="s">
        <v>153</v>
      </c>
      <c r="AH208" s="43" t="s">
        <v>153</v>
      </c>
      <c r="AI208" s="44" t="s">
        <v>153</v>
      </c>
      <c r="AJ208" s="45" t="s">
        <v>153</v>
      </c>
      <c r="AK208" s="46" t="s">
        <v>153</v>
      </c>
      <c r="AL208" s="47" t="s">
        <v>153</v>
      </c>
      <c r="AM208" s="48" t="s">
        <v>153</v>
      </c>
      <c r="AN208" s="49" t="s">
        <v>4622</v>
      </c>
      <c r="AO208" s="50" t="s">
        <v>4623</v>
      </c>
      <c r="AP208" s="51" t="s">
        <v>4624</v>
      </c>
      <c r="AQ208" s="52" t="s">
        <v>4625</v>
      </c>
      <c r="AR208" s="53" t="s">
        <v>4626</v>
      </c>
      <c r="AS208" s="54" t="s">
        <v>4627</v>
      </c>
      <c r="AT208" s="55" t="s">
        <v>4628</v>
      </c>
      <c r="AU208" s="56" t="s">
        <v>4629</v>
      </c>
      <c r="AV208" s="57" t="s">
        <v>153</v>
      </c>
      <c r="AW208" s="58" t="s">
        <v>4630</v>
      </c>
      <c r="AX208" s="59" t="s">
        <v>177</v>
      </c>
      <c r="AY208" s="60" t="s">
        <v>4631</v>
      </c>
      <c r="AZ208" s="61" t="s">
        <v>179</v>
      </c>
      <c r="BA208" s="62" t="s">
        <v>4627</v>
      </c>
      <c r="BB208" s="63" t="s">
        <v>153</v>
      </c>
      <c r="BC208" s="64" t="s">
        <v>153</v>
      </c>
      <c r="BD208" s="65" t="s">
        <v>180</v>
      </c>
      <c r="BE208" s="66" t="s">
        <v>181</v>
      </c>
      <c r="BF208" s="67" t="s">
        <v>4632</v>
      </c>
      <c r="BG208" s="68" t="s">
        <v>153</v>
      </c>
      <c r="BH208" s="69" t="s">
        <v>153</v>
      </c>
      <c r="BI208" s="70" t="s">
        <v>4621</v>
      </c>
      <c r="BJ208" s="71" t="s">
        <v>153</v>
      </c>
      <c r="BK208" s="72" t="s">
        <v>153</v>
      </c>
      <c r="BL208" s="73" t="s">
        <v>153</v>
      </c>
      <c r="BM208" s="74" t="s">
        <v>153</v>
      </c>
      <c r="BN208" s="75" t="s">
        <v>153</v>
      </c>
      <c r="BO208" s="76" t="s">
        <v>4633</v>
      </c>
      <c r="BP208" s="77" t="s">
        <v>153</v>
      </c>
      <c r="BQ208" s="78">
        <v>23447</v>
      </c>
      <c r="BR208" s="79" t="s">
        <v>153</v>
      </c>
      <c r="BS208" s="80" t="s">
        <v>153</v>
      </c>
      <c r="BT208" s="81" t="s">
        <v>153</v>
      </c>
      <c r="BU208" s="82" t="s">
        <v>153</v>
      </c>
      <c r="BV208" s="83" t="s">
        <v>251</v>
      </c>
      <c r="BW208" s="84" t="s">
        <v>153</v>
      </c>
      <c r="BX208" s="85" t="s">
        <v>153</v>
      </c>
      <c r="BY208" s="86" t="s">
        <v>252</v>
      </c>
      <c r="BZ208" s="87" t="s">
        <v>153</v>
      </c>
      <c r="CA208" s="88" t="s">
        <v>190</v>
      </c>
      <c r="CB208" s="89">
        <v>39326</v>
      </c>
      <c r="CC208" s="90">
        <v>16079.42</v>
      </c>
      <c r="CD208" s="91" t="s">
        <v>186</v>
      </c>
      <c r="CE208" s="92">
        <v>16079.42</v>
      </c>
      <c r="CF208" s="93" t="s">
        <v>153</v>
      </c>
      <c r="CG208" s="94" t="s">
        <v>226</v>
      </c>
      <c r="CH208" s="95" t="s">
        <v>153</v>
      </c>
      <c r="CI208" s="96" t="s">
        <v>153</v>
      </c>
      <c r="CJ208" s="97" t="s">
        <v>225</v>
      </c>
      <c r="CK208" s="98">
        <v>39326</v>
      </c>
      <c r="CL208" s="99" t="s">
        <v>153</v>
      </c>
      <c r="CM208" s="100" t="s">
        <v>153</v>
      </c>
      <c r="CN208" s="101" t="s">
        <v>190</v>
      </c>
      <c r="CO208" s="102">
        <v>0.17</v>
      </c>
      <c r="CP208" s="103">
        <v>90</v>
      </c>
      <c r="CQ208" s="104">
        <v>-0.13</v>
      </c>
      <c r="CR208" s="105">
        <v>-43.14</v>
      </c>
      <c r="CS208" s="106">
        <v>0.34</v>
      </c>
      <c r="CT208" s="107">
        <v>92</v>
      </c>
      <c r="CU208" s="108">
        <v>0</v>
      </c>
      <c r="CV208" s="109">
        <v>41</v>
      </c>
      <c r="CW208" s="110" t="s">
        <v>153</v>
      </c>
      <c r="CX208" s="111" t="s">
        <v>153</v>
      </c>
      <c r="CY208" s="112">
        <v>0.34</v>
      </c>
      <c r="CZ208" s="113">
        <v>93</v>
      </c>
      <c r="DA208" s="114">
        <v>0</v>
      </c>
      <c r="DB208" s="115">
        <v>41</v>
      </c>
      <c r="DC208" s="116">
        <v>37.229999999999997</v>
      </c>
      <c r="DD208" s="117">
        <v>98</v>
      </c>
      <c r="DE208" s="118">
        <v>-0.06</v>
      </c>
      <c r="DF208" s="119">
        <v>-0.17</v>
      </c>
      <c r="DG208" s="120">
        <v>47.31</v>
      </c>
      <c r="DH208" s="121">
        <v>98</v>
      </c>
      <c r="DI208" s="122">
        <v>27.14</v>
      </c>
      <c r="DJ208" s="123">
        <v>93</v>
      </c>
      <c r="DK208" s="124" t="s">
        <v>153</v>
      </c>
      <c r="DL208" s="125" t="s">
        <v>153</v>
      </c>
      <c r="DM208" s="126">
        <v>47.31</v>
      </c>
      <c r="DN208" s="127">
        <v>98</v>
      </c>
      <c r="DO208" s="128">
        <v>27.14</v>
      </c>
      <c r="DP208" s="129">
        <v>93</v>
      </c>
      <c r="DQ208" s="130" t="s">
        <v>153</v>
      </c>
      <c r="DR208" s="131" t="s">
        <v>153</v>
      </c>
      <c r="DS208" s="132" t="s">
        <v>153</v>
      </c>
      <c r="DT208" s="133">
        <v>759</v>
      </c>
      <c r="DU208" s="134">
        <v>-3</v>
      </c>
      <c r="DV208" s="135">
        <v>-0.39</v>
      </c>
      <c r="DW208" s="136">
        <v>8521</v>
      </c>
      <c r="DX208" s="137">
        <v>5</v>
      </c>
      <c r="DY208" s="138">
        <v>0.06</v>
      </c>
      <c r="DZ208" s="139" t="s">
        <v>191</v>
      </c>
      <c r="EA208" s="140">
        <v>44217</v>
      </c>
      <c r="EB208" s="141">
        <v>16079.42</v>
      </c>
      <c r="EC208" s="142">
        <v>39326</v>
      </c>
      <c r="ED208" s="143" t="s">
        <v>226</v>
      </c>
      <c r="EE208" s="278" t="str">
        <f>HYPERLINK("https://my.pitchbook.com?c=126045-55", "View company online")</f>
        <v>View company online</v>
      </c>
    </row>
    <row r="209" spans="1:135" x14ac:dyDescent="0.45">
      <c r="A209" s="144" t="s">
        <v>4634</v>
      </c>
      <c r="B209" s="145" t="s">
        <v>4635</v>
      </c>
      <c r="C209" s="146" t="s">
        <v>153</v>
      </c>
      <c r="D209" s="147" t="s">
        <v>153</v>
      </c>
      <c r="E209" s="148" t="s">
        <v>153</v>
      </c>
      <c r="F209" s="149" t="s">
        <v>4636</v>
      </c>
      <c r="G209" s="150" t="s">
        <v>4637</v>
      </c>
      <c r="H209" s="151" t="s">
        <v>153</v>
      </c>
      <c r="I209" s="152" t="s">
        <v>4634</v>
      </c>
      <c r="J209" s="153" t="s">
        <v>4638</v>
      </c>
      <c r="K209" s="154" t="s">
        <v>559</v>
      </c>
      <c r="L209" s="155" t="s">
        <v>560</v>
      </c>
      <c r="M209" s="156" t="s">
        <v>4639</v>
      </c>
      <c r="N209" s="157" t="s">
        <v>4640</v>
      </c>
      <c r="O209" s="158" t="s">
        <v>261</v>
      </c>
      <c r="P209" s="159" t="s">
        <v>4641</v>
      </c>
      <c r="Q209" s="160" t="s">
        <v>204</v>
      </c>
      <c r="R209" s="161" t="s">
        <v>153</v>
      </c>
      <c r="S209" s="162" t="s">
        <v>290</v>
      </c>
      <c r="T209" s="163" t="s">
        <v>205</v>
      </c>
      <c r="U209" s="164" t="s">
        <v>237</v>
      </c>
      <c r="V209" s="165" t="s">
        <v>4642</v>
      </c>
      <c r="W209" s="166">
        <v>1125</v>
      </c>
      <c r="X209" s="167" t="s">
        <v>4643</v>
      </c>
      <c r="Y209" s="168" t="s">
        <v>153</v>
      </c>
      <c r="Z209" s="169" t="s">
        <v>153</v>
      </c>
      <c r="AA209" s="170">
        <v>1926</v>
      </c>
      <c r="AB209" s="171" t="s">
        <v>153</v>
      </c>
      <c r="AC209" s="172" t="s">
        <v>153</v>
      </c>
      <c r="AD209" s="173" t="s">
        <v>153</v>
      </c>
      <c r="AE209" s="174" t="s">
        <v>153</v>
      </c>
      <c r="AF209" s="175" t="s">
        <v>153</v>
      </c>
      <c r="AG209" s="176" t="s">
        <v>153</v>
      </c>
      <c r="AH209" s="177" t="s">
        <v>153</v>
      </c>
      <c r="AI209" s="178" t="s">
        <v>153</v>
      </c>
      <c r="AJ209" s="179" t="s">
        <v>153</v>
      </c>
      <c r="AK209" s="180" t="s">
        <v>153</v>
      </c>
      <c r="AL209" s="181" t="s">
        <v>153</v>
      </c>
      <c r="AM209" s="182" t="s">
        <v>153</v>
      </c>
      <c r="AN209" s="183" t="s">
        <v>2438</v>
      </c>
      <c r="AO209" s="184" t="s">
        <v>153</v>
      </c>
      <c r="AP209" s="185" t="s">
        <v>153</v>
      </c>
      <c r="AQ209" s="186" t="s">
        <v>153</v>
      </c>
      <c r="AR209" s="187" t="s">
        <v>153</v>
      </c>
      <c r="AS209" s="188" t="s">
        <v>153</v>
      </c>
      <c r="AT209" s="189" t="s">
        <v>1071</v>
      </c>
      <c r="AU209" s="190" t="s">
        <v>4644</v>
      </c>
      <c r="AV209" s="191" t="s">
        <v>153</v>
      </c>
      <c r="AW209" s="192" t="s">
        <v>1074</v>
      </c>
      <c r="AX209" s="193" t="s">
        <v>177</v>
      </c>
      <c r="AY209" s="194" t="s">
        <v>4645</v>
      </c>
      <c r="AZ209" s="195" t="s">
        <v>179</v>
      </c>
      <c r="BA209" s="196" t="s">
        <v>153</v>
      </c>
      <c r="BB209" s="197" t="s">
        <v>153</v>
      </c>
      <c r="BC209" s="198" t="s">
        <v>153</v>
      </c>
      <c r="BD209" s="199" t="s">
        <v>180</v>
      </c>
      <c r="BE209" s="200" t="s">
        <v>181</v>
      </c>
      <c r="BF209" s="201" t="s">
        <v>4646</v>
      </c>
      <c r="BG209" s="202" t="s">
        <v>153</v>
      </c>
      <c r="BH209" s="203" t="s">
        <v>153</v>
      </c>
      <c r="BI209" s="204" t="s">
        <v>4647</v>
      </c>
      <c r="BJ209" s="205" t="s">
        <v>153</v>
      </c>
      <c r="BK209" s="206" t="s">
        <v>153</v>
      </c>
      <c r="BL209" s="207" t="s">
        <v>153</v>
      </c>
      <c r="BM209" s="208" t="s">
        <v>153</v>
      </c>
      <c r="BN209" s="209" t="s">
        <v>153</v>
      </c>
      <c r="BO209" s="210" t="s">
        <v>4648</v>
      </c>
      <c r="BP209" s="211" t="s">
        <v>4649</v>
      </c>
      <c r="BQ209" s="212">
        <v>16986</v>
      </c>
      <c r="BR209" s="213" t="s">
        <v>153</v>
      </c>
      <c r="BS209" s="214" t="s">
        <v>153</v>
      </c>
      <c r="BT209" s="215" t="s">
        <v>153</v>
      </c>
      <c r="BU209" s="216" t="s">
        <v>153</v>
      </c>
      <c r="BV209" s="217" t="s">
        <v>251</v>
      </c>
      <c r="BW209" s="218" t="s">
        <v>153</v>
      </c>
      <c r="BX209" s="219" t="s">
        <v>153</v>
      </c>
      <c r="BY209" s="220" t="s">
        <v>252</v>
      </c>
      <c r="BZ209" s="221" t="s">
        <v>153</v>
      </c>
      <c r="CA209" s="222" t="s">
        <v>190</v>
      </c>
      <c r="CB209" s="223">
        <v>39449</v>
      </c>
      <c r="CC209" s="224">
        <v>16045.58</v>
      </c>
      <c r="CD209" s="225" t="s">
        <v>187</v>
      </c>
      <c r="CE209" s="226">
        <v>16045.58</v>
      </c>
      <c r="CF209" s="227" t="s">
        <v>187</v>
      </c>
      <c r="CG209" s="228" t="s">
        <v>226</v>
      </c>
      <c r="CH209" s="229" t="s">
        <v>153</v>
      </c>
      <c r="CI209" s="230" t="s">
        <v>153</v>
      </c>
      <c r="CJ209" s="231" t="s">
        <v>225</v>
      </c>
      <c r="CK209" s="232">
        <v>39449</v>
      </c>
      <c r="CL209" s="233" t="s">
        <v>153</v>
      </c>
      <c r="CM209" s="234" t="s">
        <v>1607</v>
      </c>
      <c r="CN209" s="235" t="s">
        <v>190</v>
      </c>
      <c r="CO209" s="236" t="s">
        <v>153</v>
      </c>
      <c r="CP209" s="237" t="s">
        <v>153</v>
      </c>
      <c r="CQ209" s="238" t="s">
        <v>153</v>
      </c>
      <c r="CR209" s="239" t="s">
        <v>153</v>
      </c>
      <c r="CS209" s="240" t="s">
        <v>153</v>
      </c>
      <c r="CT209" s="241" t="s">
        <v>153</v>
      </c>
      <c r="CU209" s="242" t="s">
        <v>153</v>
      </c>
      <c r="CV209" s="243" t="s">
        <v>153</v>
      </c>
      <c r="CW209" s="244" t="s">
        <v>153</v>
      </c>
      <c r="CX209" s="245" t="s">
        <v>153</v>
      </c>
      <c r="CY209" s="246" t="s">
        <v>153</v>
      </c>
      <c r="CZ209" s="247" t="s">
        <v>153</v>
      </c>
      <c r="DA209" s="248" t="s">
        <v>153</v>
      </c>
      <c r="DB209" s="249" t="s">
        <v>153</v>
      </c>
      <c r="DC209" s="250" t="s">
        <v>153</v>
      </c>
      <c r="DD209" s="251" t="s">
        <v>153</v>
      </c>
      <c r="DE209" s="252" t="s">
        <v>153</v>
      </c>
      <c r="DF209" s="253" t="s">
        <v>153</v>
      </c>
      <c r="DG209" s="254" t="s">
        <v>153</v>
      </c>
      <c r="DH209" s="255" t="s">
        <v>153</v>
      </c>
      <c r="DI209" s="256" t="s">
        <v>153</v>
      </c>
      <c r="DJ209" s="257" t="s">
        <v>153</v>
      </c>
      <c r="DK209" s="258" t="s">
        <v>153</v>
      </c>
      <c r="DL209" s="259" t="s">
        <v>153</v>
      </c>
      <c r="DM209" s="260" t="s">
        <v>153</v>
      </c>
      <c r="DN209" s="261" t="s">
        <v>153</v>
      </c>
      <c r="DO209" s="262" t="s">
        <v>153</v>
      </c>
      <c r="DP209" s="263" t="s">
        <v>153</v>
      </c>
      <c r="DQ209" s="264" t="s">
        <v>153</v>
      </c>
      <c r="DR209" s="265" t="s">
        <v>153</v>
      </c>
      <c r="DS209" s="266" t="s">
        <v>153</v>
      </c>
      <c r="DT209" s="267" t="s">
        <v>153</v>
      </c>
      <c r="DU209" s="268" t="s">
        <v>153</v>
      </c>
      <c r="DV209" s="269" t="s">
        <v>153</v>
      </c>
      <c r="DW209" s="270" t="s">
        <v>153</v>
      </c>
      <c r="DX209" s="271" t="s">
        <v>153</v>
      </c>
      <c r="DY209" s="272" t="s">
        <v>153</v>
      </c>
      <c r="DZ209" s="273" t="s">
        <v>191</v>
      </c>
      <c r="EA209" s="274">
        <v>43865</v>
      </c>
      <c r="EB209" s="275">
        <v>16045.58</v>
      </c>
      <c r="EC209" s="276">
        <v>39449</v>
      </c>
      <c r="ED209" s="277" t="s">
        <v>226</v>
      </c>
      <c r="EE209" s="279" t="str">
        <f>HYPERLINK("https://my.pitchbook.com?c=61581-88", "View company online")</f>
        <v>View company online</v>
      </c>
    </row>
    <row r="210" spans="1:135" x14ac:dyDescent="0.45">
      <c r="A210" s="10" t="s">
        <v>4650</v>
      </c>
      <c r="B210" s="11" t="s">
        <v>4651</v>
      </c>
      <c r="C210" s="12" t="s">
        <v>153</v>
      </c>
      <c r="D210" s="13" t="s">
        <v>153</v>
      </c>
      <c r="E210" s="14" t="s">
        <v>4652</v>
      </c>
      <c r="F210" s="15" t="s">
        <v>4653</v>
      </c>
      <c r="G210" s="16" t="s">
        <v>153</v>
      </c>
      <c r="H210" s="17" t="s">
        <v>4654</v>
      </c>
      <c r="I210" s="18" t="s">
        <v>4650</v>
      </c>
      <c r="J210" s="19" t="s">
        <v>4655</v>
      </c>
      <c r="K210" s="20" t="s">
        <v>232</v>
      </c>
      <c r="L210" s="21" t="s">
        <v>362</v>
      </c>
      <c r="M210" s="22" t="s">
        <v>4656</v>
      </c>
      <c r="N210" s="23" t="s">
        <v>4657</v>
      </c>
      <c r="O210" s="24" t="s">
        <v>153</v>
      </c>
      <c r="P210" s="25" t="s">
        <v>4658</v>
      </c>
      <c r="Q210" s="26" t="s">
        <v>564</v>
      </c>
      <c r="R210" s="27">
        <v>485</v>
      </c>
      <c r="S210" s="28" t="s">
        <v>290</v>
      </c>
      <c r="T210" s="29" t="s">
        <v>205</v>
      </c>
      <c r="U210" s="30" t="s">
        <v>1063</v>
      </c>
      <c r="V210" s="31" t="s">
        <v>153</v>
      </c>
      <c r="W210" s="32">
        <v>2659</v>
      </c>
      <c r="X210" s="33" t="s">
        <v>4659</v>
      </c>
      <c r="Y210" s="34" t="s">
        <v>153</v>
      </c>
      <c r="Z210" s="35" t="s">
        <v>153</v>
      </c>
      <c r="AA210" s="36">
        <v>1963</v>
      </c>
      <c r="AB210" s="37" t="s">
        <v>153</v>
      </c>
      <c r="AC210" s="38" t="s">
        <v>153</v>
      </c>
      <c r="AD210" s="39" t="s">
        <v>153</v>
      </c>
      <c r="AE210" s="40" t="s">
        <v>153</v>
      </c>
      <c r="AF210" s="41" t="s">
        <v>153</v>
      </c>
      <c r="AG210" s="42" t="s">
        <v>153</v>
      </c>
      <c r="AH210" s="43" t="s">
        <v>153</v>
      </c>
      <c r="AI210" s="44" t="s">
        <v>153</v>
      </c>
      <c r="AJ210" s="45" t="s">
        <v>153</v>
      </c>
      <c r="AK210" s="46" t="s">
        <v>153</v>
      </c>
      <c r="AL210" s="47" t="s">
        <v>153</v>
      </c>
      <c r="AM210" s="48" t="s">
        <v>153</v>
      </c>
      <c r="AN210" s="49" t="s">
        <v>4414</v>
      </c>
      <c r="AO210" s="50" t="s">
        <v>153</v>
      </c>
      <c r="AP210" s="51" t="s">
        <v>153</v>
      </c>
      <c r="AQ210" s="52" t="s">
        <v>153</v>
      </c>
      <c r="AR210" s="53" t="s">
        <v>153</v>
      </c>
      <c r="AS210" s="54" t="s">
        <v>153</v>
      </c>
      <c r="AT210" s="55" t="s">
        <v>4660</v>
      </c>
      <c r="AU210" s="56" t="s">
        <v>4661</v>
      </c>
      <c r="AV210" s="57" t="s">
        <v>1577</v>
      </c>
      <c r="AW210" s="58" t="s">
        <v>4662</v>
      </c>
      <c r="AX210" s="59" t="s">
        <v>1291</v>
      </c>
      <c r="AY210" s="60" t="s">
        <v>4663</v>
      </c>
      <c r="AZ210" s="61" t="s">
        <v>215</v>
      </c>
      <c r="BA210" s="62" t="s">
        <v>153</v>
      </c>
      <c r="BB210" s="63" t="s">
        <v>153</v>
      </c>
      <c r="BC210" s="64" t="s">
        <v>153</v>
      </c>
      <c r="BD210" s="65" t="s">
        <v>216</v>
      </c>
      <c r="BE210" s="66" t="s">
        <v>217</v>
      </c>
      <c r="BF210" s="67" t="s">
        <v>4664</v>
      </c>
      <c r="BG210" s="68" t="s">
        <v>4665</v>
      </c>
      <c r="BH210" s="69">
        <v>2</v>
      </c>
      <c r="BI210" s="70" t="s">
        <v>153</v>
      </c>
      <c r="BJ210" s="71" t="s">
        <v>4666</v>
      </c>
      <c r="BK210" s="72" t="s">
        <v>153</v>
      </c>
      <c r="BL210" s="73" t="s">
        <v>4667</v>
      </c>
      <c r="BM210" s="74" t="s">
        <v>4668</v>
      </c>
      <c r="BN210" s="75" t="s">
        <v>153</v>
      </c>
      <c r="BO210" s="76" t="s">
        <v>4669</v>
      </c>
      <c r="BP210" s="77" t="s">
        <v>4670</v>
      </c>
      <c r="BQ210" s="78">
        <v>26666</v>
      </c>
      <c r="BR210" s="79" t="s">
        <v>153</v>
      </c>
      <c r="BS210" s="80" t="s">
        <v>153</v>
      </c>
      <c r="BT210" s="81" t="s">
        <v>153</v>
      </c>
      <c r="BU210" s="82" t="s">
        <v>153</v>
      </c>
      <c r="BV210" s="83" t="s">
        <v>251</v>
      </c>
      <c r="BW210" s="84" t="s">
        <v>153</v>
      </c>
      <c r="BX210" s="85" t="s">
        <v>153</v>
      </c>
      <c r="BY210" s="86" t="s">
        <v>252</v>
      </c>
      <c r="BZ210" s="87" t="s">
        <v>153</v>
      </c>
      <c r="CA210" s="88" t="s">
        <v>190</v>
      </c>
      <c r="CB210" s="89">
        <v>41332</v>
      </c>
      <c r="CC210" s="90">
        <v>16000</v>
      </c>
      <c r="CD210" s="91" t="s">
        <v>186</v>
      </c>
      <c r="CE210" s="92">
        <v>16000</v>
      </c>
      <c r="CF210" s="93" t="s">
        <v>186</v>
      </c>
      <c r="CG210" s="94" t="s">
        <v>226</v>
      </c>
      <c r="CH210" s="95" t="s">
        <v>153</v>
      </c>
      <c r="CI210" s="96" t="s">
        <v>153</v>
      </c>
      <c r="CJ210" s="97" t="s">
        <v>225</v>
      </c>
      <c r="CK210" s="98">
        <v>41332</v>
      </c>
      <c r="CL210" s="99" t="s">
        <v>153</v>
      </c>
      <c r="CM210" s="100" t="s">
        <v>153</v>
      </c>
      <c r="CN210" s="101" t="s">
        <v>190</v>
      </c>
      <c r="CO210" s="102" t="s">
        <v>153</v>
      </c>
      <c r="CP210" s="103" t="s">
        <v>153</v>
      </c>
      <c r="CQ210" s="104" t="s">
        <v>153</v>
      </c>
      <c r="CR210" s="105" t="s">
        <v>153</v>
      </c>
      <c r="CS210" s="106" t="s">
        <v>153</v>
      </c>
      <c r="CT210" s="107" t="s">
        <v>153</v>
      </c>
      <c r="CU210" s="108" t="s">
        <v>153</v>
      </c>
      <c r="CV210" s="109" t="s">
        <v>153</v>
      </c>
      <c r="CW210" s="110" t="s">
        <v>153</v>
      </c>
      <c r="CX210" s="111" t="s">
        <v>153</v>
      </c>
      <c r="CY210" s="112" t="s">
        <v>153</v>
      </c>
      <c r="CZ210" s="113" t="s">
        <v>153</v>
      </c>
      <c r="DA210" s="114" t="s">
        <v>153</v>
      </c>
      <c r="DB210" s="115" t="s">
        <v>153</v>
      </c>
      <c r="DC210" s="116" t="s">
        <v>153</v>
      </c>
      <c r="DD210" s="117" t="s">
        <v>153</v>
      </c>
      <c r="DE210" s="118" t="s">
        <v>153</v>
      </c>
      <c r="DF210" s="119" t="s">
        <v>153</v>
      </c>
      <c r="DG210" s="120" t="s">
        <v>153</v>
      </c>
      <c r="DH210" s="121" t="s">
        <v>153</v>
      </c>
      <c r="DI210" s="122" t="s">
        <v>153</v>
      </c>
      <c r="DJ210" s="123" t="s">
        <v>153</v>
      </c>
      <c r="DK210" s="124" t="s">
        <v>153</v>
      </c>
      <c r="DL210" s="125" t="s">
        <v>153</v>
      </c>
      <c r="DM210" s="126" t="s">
        <v>153</v>
      </c>
      <c r="DN210" s="127" t="s">
        <v>153</v>
      </c>
      <c r="DO210" s="128" t="s">
        <v>153</v>
      </c>
      <c r="DP210" s="129" t="s">
        <v>153</v>
      </c>
      <c r="DQ210" s="130" t="s">
        <v>153</v>
      </c>
      <c r="DR210" s="131" t="s">
        <v>153</v>
      </c>
      <c r="DS210" s="132" t="s">
        <v>153</v>
      </c>
      <c r="DT210" s="133" t="s">
        <v>153</v>
      </c>
      <c r="DU210" s="134" t="s">
        <v>153</v>
      </c>
      <c r="DV210" s="135" t="s">
        <v>153</v>
      </c>
      <c r="DW210" s="136" t="s">
        <v>153</v>
      </c>
      <c r="DX210" s="137" t="s">
        <v>153</v>
      </c>
      <c r="DY210" s="138" t="s">
        <v>153</v>
      </c>
      <c r="DZ210" s="139" t="s">
        <v>191</v>
      </c>
      <c r="EA210" s="140">
        <v>44360</v>
      </c>
      <c r="EB210" s="141">
        <v>16000</v>
      </c>
      <c r="EC210" s="142">
        <v>41332</v>
      </c>
      <c r="ED210" s="143" t="s">
        <v>226</v>
      </c>
      <c r="EE210" s="278" t="str">
        <f>HYPERLINK("https://my.pitchbook.com?c=10739-08", "View company online")</f>
        <v>View company online</v>
      </c>
    </row>
    <row r="211" spans="1:135" x14ac:dyDescent="0.45">
      <c r="A211" s="144" t="s">
        <v>4671</v>
      </c>
      <c r="B211" s="145" t="s">
        <v>4672</v>
      </c>
      <c r="C211" s="146" t="s">
        <v>153</v>
      </c>
      <c r="D211" s="147" t="s">
        <v>153</v>
      </c>
      <c r="E211" s="148" t="s">
        <v>4673</v>
      </c>
      <c r="F211" s="149" t="s">
        <v>153</v>
      </c>
      <c r="G211" s="150" t="s">
        <v>4674</v>
      </c>
      <c r="H211" s="151" t="s">
        <v>153</v>
      </c>
      <c r="I211" s="152" t="s">
        <v>4671</v>
      </c>
      <c r="J211" s="153" t="s">
        <v>4675</v>
      </c>
      <c r="K211" s="154" t="s">
        <v>232</v>
      </c>
      <c r="L211" s="155" t="s">
        <v>233</v>
      </c>
      <c r="M211" s="156" t="s">
        <v>234</v>
      </c>
      <c r="N211" s="157" t="s">
        <v>4676</v>
      </c>
      <c r="O211" s="158" t="s">
        <v>153</v>
      </c>
      <c r="P211" s="159" t="s">
        <v>4677</v>
      </c>
      <c r="Q211" s="160" t="s">
        <v>204</v>
      </c>
      <c r="R211" s="161" t="s">
        <v>153</v>
      </c>
      <c r="S211" s="162" t="s">
        <v>163</v>
      </c>
      <c r="T211" s="163" t="s">
        <v>205</v>
      </c>
      <c r="U211" s="164" t="s">
        <v>237</v>
      </c>
      <c r="V211" s="165" t="s">
        <v>4678</v>
      </c>
      <c r="W211" s="166">
        <v>150</v>
      </c>
      <c r="X211" s="167" t="s">
        <v>4679</v>
      </c>
      <c r="Y211" s="168" t="s">
        <v>153</v>
      </c>
      <c r="Z211" s="169" t="s">
        <v>153</v>
      </c>
      <c r="AA211" s="170" t="s">
        <v>153</v>
      </c>
      <c r="AB211" s="171" t="s">
        <v>153</v>
      </c>
      <c r="AC211" s="172" t="s">
        <v>153</v>
      </c>
      <c r="AD211" s="173" t="s">
        <v>153</v>
      </c>
      <c r="AE211" s="174" t="s">
        <v>153</v>
      </c>
      <c r="AF211" s="175" t="s">
        <v>153</v>
      </c>
      <c r="AG211" s="176" t="s">
        <v>153</v>
      </c>
      <c r="AH211" s="177" t="s">
        <v>153</v>
      </c>
      <c r="AI211" s="178" t="s">
        <v>153</v>
      </c>
      <c r="AJ211" s="179" t="s">
        <v>153</v>
      </c>
      <c r="AK211" s="180" t="s">
        <v>153</v>
      </c>
      <c r="AL211" s="181" t="s">
        <v>153</v>
      </c>
      <c r="AM211" s="182" t="s">
        <v>153</v>
      </c>
      <c r="AN211" s="183" t="s">
        <v>4680</v>
      </c>
      <c r="AO211" s="184" t="s">
        <v>153</v>
      </c>
      <c r="AP211" s="185" t="s">
        <v>153</v>
      </c>
      <c r="AQ211" s="186" t="s">
        <v>153</v>
      </c>
      <c r="AR211" s="187" t="s">
        <v>153</v>
      </c>
      <c r="AS211" s="188" t="s">
        <v>153</v>
      </c>
      <c r="AT211" s="189" t="s">
        <v>826</v>
      </c>
      <c r="AU211" s="190" t="s">
        <v>4681</v>
      </c>
      <c r="AV211" s="191" t="s">
        <v>1106</v>
      </c>
      <c r="AW211" s="192" t="s">
        <v>828</v>
      </c>
      <c r="AX211" s="193" t="s">
        <v>385</v>
      </c>
      <c r="AY211" s="194" t="s">
        <v>1108</v>
      </c>
      <c r="AZ211" s="195" t="s">
        <v>215</v>
      </c>
      <c r="BA211" s="196" t="s">
        <v>153</v>
      </c>
      <c r="BB211" s="197" t="s">
        <v>153</v>
      </c>
      <c r="BC211" s="198" t="s">
        <v>153</v>
      </c>
      <c r="BD211" s="199" t="s">
        <v>216</v>
      </c>
      <c r="BE211" s="200" t="s">
        <v>217</v>
      </c>
      <c r="BF211" s="201" t="s">
        <v>4682</v>
      </c>
      <c r="BG211" s="202" t="s">
        <v>153</v>
      </c>
      <c r="BH211" s="203" t="s">
        <v>153</v>
      </c>
      <c r="BI211" s="204" t="s">
        <v>1098</v>
      </c>
      <c r="BJ211" s="205" t="s">
        <v>153</v>
      </c>
      <c r="BK211" s="206" t="s">
        <v>153</v>
      </c>
      <c r="BL211" s="207" t="s">
        <v>153</v>
      </c>
      <c r="BM211" s="208" t="s">
        <v>153</v>
      </c>
      <c r="BN211" s="209" t="s">
        <v>153</v>
      </c>
      <c r="BO211" s="210" t="s">
        <v>4683</v>
      </c>
      <c r="BP211" s="211" t="s">
        <v>153</v>
      </c>
      <c r="BQ211" s="212">
        <v>26451</v>
      </c>
      <c r="BR211" s="213" t="s">
        <v>153</v>
      </c>
      <c r="BS211" s="214" t="s">
        <v>153</v>
      </c>
      <c r="BT211" s="215" t="s">
        <v>153</v>
      </c>
      <c r="BU211" s="216" t="s">
        <v>153</v>
      </c>
      <c r="BV211" s="217" t="s">
        <v>251</v>
      </c>
      <c r="BW211" s="218" t="s">
        <v>153</v>
      </c>
      <c r="BX211" s="219" t="s">
        <v>153</v>
      </c>
      <c r="BY211" s="220" t="s">
        <v>252</v>
      </c>
      <c r="BZ211" s="221" t="s">
        <v>153</v>
      </c>
      <c r="CA211" s="222" t="s">
        <v>190</v>
      </c>
      <c r="CB211" s="223">
        <v>36434</v>
      </c>
      <c r="CC211" s="224">
        <v>16000</v>
      </c>
      <c r="CD211" s="225" t="s">
        <v>186</v>
      </c>
      <c r="CE211" s="226">
        <v>16000</v>
      </c>
      <c r="CF211" s="227" t="s">
        <v>186</v>
      </c>
      <c r="CG211" s="228" t="s">
        <v>226</v>
      </c>
      <c r="CH211" s="229" t="s">
        <v>153</v>
      </c>
      <c r="CI211" s="230" t="s">
        <v>153</v>
      </c>
      <c r="CJ211" s="231" t="s">
        <v>225</v>
      </c>
      <c r="CK211" s="232">
        <v>36434</v>
      </c>
      <c r="CL211" s="233" t="s">
        <v>153</v>
      </c>
      <c r="CM211" s="234" t="s">
        <v>153</v>
      </c>
      <c r="CN211" s="235" t="s">
        <v>190</v>
      </c>
      <c r="CO211" s="236" t="s">
        <v>153</v>
      </c>
      <c r="CP211" s="237" t="s">
        <v>153</v>
      </c>
      <c r="CQ211" s="238" t="s">
        <v>153</v>
      </c>
      <c r="CR211" s="239" t="s">
        <v>153</v>
      </c>
      <c r="CS211" s="240" t="s">
        <v>153</v>
      </c>
      <c r="CT211" s="241" t="s">
        <v>153</v>
      </c>
      <c r="CU211" s="242" t="s">
        <v>153</v>
      </c>
      <c r="CV211" s="243" t="s">
        <v>153</v>
      </c>
      <c r="CW211" s="244" t="s">
        <v>153</v>
      </c>
      <c r="CX211" s="245" t="s">
        <v>153</v>
      </c>
      <c r="CY211" s="246" t="s">
        <v>153</v>
      </c>
      <c r="CZ211" s="247" t="s">
        <v>153</v>
      </c>
      <c r="DA211" s="248" t="s">
        <v>153</v>
      </c>
      <c r="DB211" s="249" t="s">
        <v>153</v>
      </c>
      <c r="DC211" s="250" t="s">
        <v>153</v>
      </c>
      <c r="DD211" s="251" t="s">
        <v>153</v>
      </c>
      <c r="DE211" s="252" t="s">
        <v>153</v>
      </c>
      <c r="DF211" s="253" t="s">
        <v>153</v>
      </c>
      <c r="DG211" s="254" t="s">
        <v>153</v>
      </c>
      <c r="DH211" s="255" t="s">
        <v>153</v>
      </c>
      <c r="DI211" s="256" t="s">
        <v>153</v>
      </c>
      <c r="DJ211" s="257" t="s">
        <v>153</v>
      </c>
      <c r="DK211" s="258" t="s">
        <v>153</v>
      </c>
      <c r="DL211" s="259" t="s">
        <v>153</v>
      </c>
      <c r="DM211" s="260" t="s">
        <v>153</v>
      </c>
      <c r="DN211" s="261" t="s">
        <v>153</v>
      </c>
      <c r="DO211" s="262" t="s">
        <v>153</v>
      </c>
      <c r="DP211" s="263" t="s">
        <v>153</v>
      </c>
      <c r="DQ211" s="264" t="s">
        <v>153</v>
      </c>
      <c r="DR211" s="265" t="s">
        <v>153</v>
      </c>
      <c r="DS211" s="266" t="s">
        <v>153</v>
      </c>
      <c r="DT211" s="267" t="s">
        <v>153</v>
      </c>
      <c r="DU211" s="268" t="s">
        <v>153</v>
      </c>
      <c r="DV211" s="269" t="s">
        <v>153</v>
      </c>
      <c r="DW211" s="270" t="s">
        <v>153</v>
      </c>
      <c r="DX211" s="271" t="s">
        <v>153</v>
      </c>
      <c r="DY211" s="272" t="s">
        <v>153</v>
      </c>
      <c r="DZ211" s="273" t="s">
        <v>191</v>
      </c>
      <c r="EA211" s="274">
        <v>43978</v>
      </c>
      <c r="EB211" s="275">
        <v>16000</v>
      </c>
      <c r="EC211" s="276">
        <v>36434</v>
      </c>
      <c r="ED211" s="277" t="s">
        <v>226</v>
      </c>
      <c r="EE211" s="279" t="str">
        <f>HYPERLINK("https://my.pitchbook.com?c=25165-27", "View company online")</f>
        <v>View company online</v>
      </c>
    </row>
    <row r="212" spans="1:135" x14ac:dyDescent="0.45">
      <c r="A212" s="10" t="s">
        <v>4684</v>
      </c>
      <c r="B212" s="11" t="s">
        <v>4685</v>
      </c>
      <c r="C212" s="12" t="s">
        <v>153</v>
      </c>
      <c r="D212" s="13" t="s">
        <v>153</v>
      </c>
      <c r="E212" s="14" t="s">
        <v>4686</v>
      </c>
      <c r="F212" s="15" t="s">
        <v>153</v>
      </c>
      <c r="G212" s="16" t="s">
        <v>4687</v>
      </c>
      <c r="H212" s="17" t="s">
        <v>4688</v>
      </c>
      <c r="I212" s="18" t="s">
        <v>4684</v>
      </c>
      <c r="J212" s="19" t="s">
        <v>4689</v>
      </c>
      <c r="K212" s="20" t="s">
        <v>157</v>
      </c>
      <c r="L212" s="21" t="s">
        <v>817</v>
      </c>
      <c r="M212" s="22" t="s">
        <v>1499</v>
      </c>
      <c r="N212" s="23" t="s">
        <v>2944</v>
      </c>
      <c r="O212" s="24" t="s">
        <v>153</v>
      </c>
      <c r="P212" s="25" t="s">
        <v>4690</v>
      </c>
      <c r="Q212" s="26" t="s">
        <v>204</v>
      </c>
      <c r="R212" s="27" t="s">
        <v>153</v>
      </c>
      <c r="S212" s="28" t="s">
        <v>163</v>
      </c>
      <c r="T212" s="29" t="s">
        <v>164</v>
      </c>
      <c r="U212" s="30" t="s">
        <v>369</v>
      </c>
      <c r="V212" s="31" t="s">
        <v>4691</v>
      </c>
      <c r="W212" s="32">
        <v>4800</v>
      </c>
      <c r="X212" s="33" t="s">
        <v>4692</v>
      </c>
      <c r="Y212" s="34" t="s">
        <v>153</v>
      </c>
      <c r="Z212" s="35" t="s">
        <v>153</v>
      </c>
      <c r="AA212" s="36">
        <v>1904</v>
      </c>
      <c r="AB212" s="37" t="s">
        <v>4693</v>
      </c>
      <c r="AC212" s="38" t="s">
        <v>153</v>
      </c>
      <c r="AD212" s="39" t="s">
        <v>570</v>
      </c>
      <c r="AE212" s="40" t="s">
        <v>153</v>
      </c>
      <c r="AF212" s="41" t="s">
        <v>153</v>
      </c>
      <c r="AG212" s="42" t="s">
        <v>153</v>
      </c>
      <c r="AH212" s="43" t="s">
        <v>153</v>
      </c>
      <c r="AI212" s="44" t="s">
        <v>153</v>
      </c>
      <c r="AJ212" s="45" t="s">
        <v>153</v>
      </c>
      <c r="AK212" s="46" t="s">
        <v>153</v>
      </c>
      <c r="AL212" s="47" t="s">
        <v>153</v>
      </c>
      <c r="AM212" s="48" t="s">
        <v>153</v>
      </c>
      <c r="AN212" s="49" t="s">
        <v>209</v>
      </c>
      <c r="AO212" s="50" t="s">
        <v>4694</v>
      </c>
      <c r="AP212" s="51" t="s">
        <v>4695</v>
      </c>
      <c r="AQ212" s="52" t="s">
        <v>1241</v>
      </c>
      <c r="AR212" s="53" t="s">
        <v>4696</v>
      </c>
      <c r="AS212" s="54" t="s">
        <v>153</v>
      </c>
      <c r="AT212" s="55" t="s">
        <v>780</v>
      </c>
      <c r="AU212" s="56" t="s">
        <v>4697</v>
      </c>
      <c r="AV212" s="57" t="s">
        <v>4698</v>
      </c>
      <c r="AW212" s="58" t="s">
        <v>782</v>
      </c>
      <c r="AX212" s="59" t="s">
        <v>783</v>
      </c>
      <c r="AY212" s="60" t="s">
        <v>4699</v>
      </c>
      <c r="AZ212" s="61" t="s">
        <v>215</v>
      </c>
      <c r="BA212" s="62" t="s">
        <v>153</v>
      </c>
      <c r="BB212" s="63" t="s">
        <v>153</v>
      </c>
      <c r="BC212" s="64" t="s">
        <v>4700</v>
      </c>
      <c r="BD212" s="65" t="s">
        <v>216</v>
      </c>
      <c r="BE212" s="66" t="s">
        <v>217</v>
      </c>
      <c r="BF212" s="67" t="s">
        <v>4701</v>
      </c>
      <c r="BG212" s="68" t="s">
        <v>153</v>
      </c>
      <c r="BH212" s="69" t="s">
        <v>153</v>
      </c>
      <c r="BI212" s="70" t="s">
        <v>4693</v>
      </c>
      <c r="BJ212" s="71" t="s">
        <v>4702</v>
      </c>
      <c r="BK212" s="72" t="s">
        <v>153</v>
      </c>
      <c r="BL212" s="73" t="s">
        <v>153</v>
      </c>
      <c r="BM212" s="74" t="s">
        <v>4703</v>
      </c>
      <c r="BN212" s="75" t="s">
        <v>153</v>
      </c>
      <c r="BO212" s="76" t="s">
        <v>4704</v>
      </c>
      <c r="BP212" s="77" t="s">
        <v>4705</v>
      </c>
      <c r="BQ212" s="78">
        <v>28128</v>
      </c>
      <c r="BR212" s="79" t="s">
        <v>153</v>
      </c>
      <c r="BS212" s="80" t="s">
        <v>153</v>
      </c>
      <c r="BT212" s="81" t="s">
        <v>153</v>
      </c>
      <c r="BU212" s="82" t="s">
        <v>153</v>
      </c>
      <c r="BV212" s="83" t="s">
        <v>251</v>
      </c>
      <c r="BW212" s="84" t="s">
        <v>153</v>
      </c>
      <c r="BX212" s="85" t="s">
        <v>153</v>
      </c>
      <c r="BY212" s="86" t="s">
        <v>252</v>
      </c>
      <c r="BZ212" s="87" t="s">
        <v>153</v>
      </c>
      <c r="CA212" s="88" t="s">
        <v>190</v>
      </c>
      <c r="CB212" s="89">
        <v>41759</v>
      </c>
      <c r="CC212" s="90">
        <v>16000</v>
      </c>
      <c r="CD212" s="91" t="s">
        <v>186</v>
      </c>
      <c r="CE212" s="92">
        <v>16000</v>
      </c>
      <c r="CF212" s="93" t="s">
        <v>187</v>
      </c>
      <c r="CG212" s="94" t="s">
        <v>226</v>
      </c>
      <c r="CH212" s="95" t="s">
        <v>153</v>
      </c>
      <c r="CI212" s="96" t="s">
        <v>153</v>
      </c>
      <c r="CJ212" s="97" t="s">
        <v>225</v>
      </c>
      <c r="CK212" s="98">
        <v>41759</v>
      </c>
      <c r="CL212" s="99" t="s">
        <v>153</v>
      </c>
      <c r="CM212" s="100" t="s">
        <v>153</v>
      </c>
      <c r="CN212" s="101" t="s">
        <v>190</v>
      </c>
      <c r="CO212" s="102">
        <v>1.43</v>
      </c>
      <c r="CP212" s="103">
        <v>97</v>
      </c>
      <c r="CQ212" s="104">
        <v>0</v>
      </c>
      <c r="CR212" s="105">
        <v>-0.14000000000000001</v>
      </c>
      <c r="CS212" s="106">
        <v>1.36</v>
      </c>
      <c r="CT212" s="107">
        <v>96</v>
      </c>
      <c r="CU212" s="108">
        <v>-0.11</v>
      </c>
      <c r="CV212" s="109">
        <v>17</v>
      </c>
      <c r="CW212" s="110">
        <v>2.61</v>
      </c>
      <c r="CX212" s="111">
        <v>88</v>
      </c>
      <c r="CY212" s="112">
        <v>0.1</v>
      </c>
      <c r="CZ212" s="113">
        <v>90</v>
      </c>
      <c r="DA212" s="114">
        <v>-0.11</v>
      </c>
      <c r="DB212" s="115">
        <v>17</v>
      </c>
      <c r="DC212" s="116">
        <v>86.23</v>
      </c>
      <c r="DD212" s="117">
        <v>99</v>
      </c>
      <c r="DE212" s="118">
        <v>0.04</v>
      </c>
      <c r="DF212" s="119">
        <v>0.05</v>
      </c>
      <c r="DG212" s="120">
        <v>74.010000000000005</v>
      </c>
      <c r="DH212" s="121">
        <v>99</v>
      </c>
      <c r="DI212" s="122">
        <v>54.95</v>
      </c>
      <c r="DJ212" s="123">
        <v>96</v>
      </c>
      <c r="DK212" s="124">
        <v>17.64</v>
      </c>
      <c r="DL212" s="125">
        <v>90</v>
      </c>
      <c r="DM212" s="126">
        <v>130.38</v>
      </c>
      <c r="DN212" s="127">
        <v>100</v>
      </c>
      <c r="DO212" s="128">
        <v>54.95</v>
      </c>
      <c r="DP212" s="129">
        <v>96</v>
      </c>
      <c r="DQ212" s="130">
        <v>10351</v>
      </c>
      <c r="DR212" s="131">
        <v>401</v>
      </c>
      <c r="DS212" s="132">
        <v>4.03</v>
      </c>
      <c r="DT212" s="133">
        <v>2088</v>
      </c>
      <c r="DU212" s="134">
        <v>-3</v>
      </c>
      <c r="DV212" s="135">
        <v>-0.14000000000000001</v>
      </c>
      <c r="DW212" s="136">
        <v>17260</v>
      </c>
      <c r="DX212" s="137">
        <v>-21</v>
      </c>
      <c r="DY212" s="138">
        <v>-0.12</v>
      </c>
      <c r="DZ212" s="139" t="s">
        <v>191</v>
      </c>
      <c r="EA212" s="140">
        <v>44362</v>
      </c>
      <c r="EB212" s="141">
        <v>16000</v>
      </c>
      <c r="EC212" s="142">
        <v>41759</v>
      </c>
      <c r="ED212" s="143" t="s">
        <v>226</v>
      </c>
      <c r="EE212" s="278" t="str">
        <f>HYPERLINK("https://my.pitchbook.com?c=25271-65", "View company online")</f>
        <v>View company online</v>
      </c>
    </row>
    <row r="213" spans="1:135" x14ac:dyDescent="0.45">
      <c r="A213" s="144" t="s">
        <v>4706</v>
      </c>
      <c r="B213" s="145" t="s">
        <v>4707</v>
      </c>
      <c r="C213" s="146" t="s">
        <v>153</v>
      </c>
      <c r="D213" s="147" t="s">
        <v>153</v>
      </c>
      <c r="E213" s="148" t="s">
        <v>153</v>
      </c>
      <c r="F213" s="149" t="s">
        <v>153</v>
      </c>
      <c r="G213" s="150" t="s">
        <v>153</v>
      </c>
      <c r="H213" s="151" t="s">
        <v>153</v>
      </c>
      <c r="I213" s="152" t="s">
        <v>4706</v>
      </c>
      <c r="J213" s="153" t="s">
        <v>4708</v>
      </c>
      <c r="K213" s="154" t="s">
        <v>232</v>
      </c>
      <c r="L213" s="155" t="s">
        <v>233</v>
      </c>
      <c r="M213" s="156" t="s">
        <v>326</v>
      </c>
      <c r="N213" s="157" t="s">
        <v>4709</v>
      </c>
      <c r="O213" s="158" t="s">
        <v>153</v>
      </c>
      <c r="P213" s="159" t="s">
        <v>4710</v>
      </c>
      <c r="Q213" s="160" t="s">
        <v>204</v>
      </c>
      <c r="R213" s="161" t="s">
        <v>153</v>
      </c>
      <c r="S213" s="162" t="s">
        <v>163</v>
      </c>
      <c r="T213" s="163" t="s">
        <v>205</v>
      </c>
      <c r="U213" s="164" t="s">
        <v>206</v>
      </c>
      <c r="V213" s="165" t="s">
        <v>153</v>
      </c>
      <c r="W213" s="166" t="s">
        <v>153</v>
      </c>
      <c r="X213" s="167" t="s">
        <v>153</v>
      </c>
      <c r="Y213" s="168" t="s">
        <v>153</v>
      </c>
      <c r="Z213" s="169" t="s">
        <v>153</v>
      </c>
      <c r="AA213" s="170" t="s">
        <v>153</v>
      </c>
      <c r="AB213" s="171" t="s">
        <v>153</v>
      </c>
      <c r="AC213" s="172" t="s">
        <v>153</v>
      </c>
      <c r="AD213" s="173" t="s">
        <v>153</v>
      </c>
      <c r="AE213" s="174" t="s">
        <v>153</v>
      </c>
      <c r="AF213" s="175" t="s">
        <v>153</v>
      </c>
      <c r="AG213" s="176" t="s">
        <v>153</v>
      </c>
      <c r="AH213" s="177" t="s">
        <v>153</v>
      </c>
      <c r="AI213" s="178" t="s">
        <v>153</v>
      </c>
      <c r="AJ213" s="179" t="s">
        <v>153</v>
      </c>
      <c r="AK213" s="180" t="s">
        <v>153</v>
      </c>
      <c r="AL213" s="181" t="s">
        <v>153</v>
      </c>
      <c r="AM213" s="182" t="s">
        <v>153</v>
      </c>
      <c r="AN213" s="183" t="s">
        <v>153</v>
      </c>
      <c r="AO213" s="184" t="s">
        <v>153</v>
      </c>
      <c r="AP213" s="185" t="s">
        <v>153</v>
      </c>
      <c r="AQ213" s="186" t="s">
        <v>153</v>
      </c>
      <c r="AR213" s="187" t="s">
        <v>153</v>
      </c>
      <c r="AS213" s="188" t="s">
        <v>153</v>
      </c>
      <c r="AT213" s="189" t="s">
        <v>4711</v>
      </c>
      <c r="AU213" s="190" t="s">
        <v>4712</v>
      </c>
      <c r="AV213" s="191" t="s">
        <v>153</v>
      </c>
      <c r="AW213" s="192" t="s">
        <v>4713</v>
      </c>
      <c r="AX213" s="193" t="s">
        <v>783</v>
      </c>
      <c r="AY213" s="194" t="s">
        <v>4714</v>
      </c>
      <c r="AZ213" s="195" t="s">
        <v>215</v>
      </c>
      <c r="BA213" s="196" t="s">
        <v>153</v>
      </c>
      <c r="BB213" s="197" t="s">
        <v>153</v>
      </c>
      <c r="BC213" s="198" t="s">
        <v>153</v>
      </c>
      <c r="BD213" s="199" t="s">
        <v>216</v>
      </c>
      <c r="BE213" s="200" t="s">
        <v>217</v>
      </c>
      <c r="BF213" s="201" t="s">
        <v>4715</v>
      </c>
      <c r="BG213" s="202" t="s">
        <v>153</v>
      </c>
      <c r="BH213" s="203" t="s">
        <v>153</v>
      </c>
      <c r="BI213" s="204" t="s">
        <v>4716</v>
      </c>
      <c r="BJ213" s="205" t="s">
        <v>4717</v>
      </c>
      <c r="BK213" s="206" t="s">
        <v>153</v>
      </c>
      <c r="BL213" s="207" t="s">
        <v>153</v>
      </c>
      <c r="BM213" s="208" t="s">
        <v>4718</v>
      </c>
      <c r="BN213" s="209" t="s">
        <v>153</v>
      </c>
      <c r="BO213" s="210" t="s">
        <v>153</v>
      </c>
      <c r="BP213" s="211" t="s">
        <v>153</v>
      </c>
      <c r="BQ213" s="212">
        <v>42478</v>
      </c>
      <c r="BR213" s="213">
        <v>16000</v>
      </c>
      <c r="BS213" s="214" t="s">
        <v>186</v>
      </c>
      <c r="BT213" s="215">
        <v>16000</v>
      </c>
      <c r="BU213" s="216" t="s">
        <v>186</v>
      </c>
      <c r="BV213" s="217" t="s">
        <v>226</v>
      </c>
      <c r="BW213" s="218" t="s">
        <v>729</v>
      </c>
      <c r="BX213" s="219" t="s">
        <v>153</v>
      </c>
      <c r="BY213" s="220" t="s">
        <v>225</v>
      </c>
      <c r="BZ213" s="221" t="s">
        <v>153</v>
      </c>
      <c r="CA213" s="222" t="s">
        <v>190</v>
      </c>
      <c r="CB213" s="223">
        <v>42478</v>
      </c>
      <c r="CC213" s="224">
        <v>16000</v>
      </c>
      <c r="CD213" s="225" t="s">
        <v>186</v>
      </c>
      <c r="CE213" s="226">
        <v>16000</v>
      </c>
      <c r="CF213" s="227" t="s">
        <v>186</v>
      </c>
      <c r="CG213" s="228" t="s">
        <v>226</v>
      </c>
      <c r="CH213" s="229" t="s">
        <v>729</v>
      </c>
      <c r="CI213" s="230" t="s">
        <v>153</v>
      </c>
      <c r="CJ213" s="231" t="s">
        <v>225</v>
      </c>
      <c r="CK213" s="232">
        <v>42478</v>
      </c>
      <c r="CL213" s="233" t="s">
        <v>153</v>
      </c>
      <c r="CM213" s="234" t="s">
        <v>153</v>
      </c>
      <c r="CN213" s="235" t="s">
        <v>190</v>
      </c>
      <c r="CO213" s="236" t="s">
        <v>153</v>
      </c>
      <c r="CP213" s="237" t="s">
        <v>153</v>
      </c>
      <c r="CQ213" s="238" t="s">
        <v>153</v>
      </c>
      <c r="CR213" s="239" t="s">
        <v>153</v>
      </c>
      <c r="CS213" s="240" t="s">
        <v>153</v>
      </c>
      <c r="CT213" s="241" t="s">
        <v>153</v>
      </c>
      <c r="CU213" s="242" t="s">
        <v>153</v>
      </c>
      <c r="CV213" s="243" t="s">
        <v>153</v>
      </c>
      <c r="CW213" s="244" t="s">
        <v>153</v>
      </c>
      <c r="CX213" s="245" t="s">
        <v>153</v>
      </c>
      <c r="CY213" s="246" t="s">
        <v>153</v>
      </c>
      <c r="CZ213" s="247" t="s">
        <v>153</v>
      </c>
      <c r="DA213" s="248" t="s">
        <v>153</v>
      </c>
      <c r="DB213" s="249" t="s">
        <v>153</v>
      </c>
      <c r="DC213" s="250" t="s">
        <v>153</v>
      </c>
      <c r="DD213" s="251" t="s">
        <v>153</v>
      </c>
      <c r="DE213" s="252" t="s">
        <v>153</v>
      </c>
      <c r="DF213" s="253" t="s">
        <v>153</v>
      </c>
      <c r="DG213" s="254" t="s">
        <v>153</v>
      </c>
      <c r="DH213" s="255" t="s">
        <v>153</v>
      </c>
      <c r="DI213" s="256" t="s">
        <v>153</v>
      </c>
      <c r="DJ213" s="257" t="s">
        <v>153</v>
      </c>
      <c r="DK213" s="258" t="s">
        <v>153</v>
      </c>
      <c r="DL213" s="259" t="s">
        <v>153</v>
      </c>
      <c r="DM213" s="260" t="s">
        <v>153</v>
      </c>
      <c r="DN213" s="261" t="s">
        <v>153</v>
      </c>
      <c r="DO213" s="262" t="s">
        <v>153</v>
      </c>
      <c r="DP213" s="263" t="s">
        <v>153</v>
      </c>
      <c r="DQ213" s="264" t="s">
        <v>153</v>
      </c>
      <c r="DR213" s="265" t="s">
        <v>153</v>
      </c>
      <c r="DS213" s="266" t="s">
        <v>153</v>
      </c>
      <c r="DT213" s="267" t="s">
        <v>153</v>
      </c>
      <c r="DU213" s="268" t="s">
        <v>153</v>
      </c>
      <c r="DV213" s="269" t="s">
        <v>153</v>
      </c>
      <c r="DW213" s="270" t="s">
        <v>153</v>
      </c>
      <c r="DX213" s="271" t="s">
        <v>153</v>
      </c>
      <c r="DY213" s="272" t="s">
        <v>153</v>
      </c>
      <c r="DZ213" s="273" t="s">
        <v>191</v>
      </c>
      <c r="EA213" s="274">
        <v>44147</v>
      </c>
      <c r="EB213" s="275">
        <v>16000</v>
      </c>
      <c r="EC213" s="276">
        <v>42478</v>
      </c>
      <c r="ED213" s="277" t="s">
        <v>226</v>
      </c>
      <c r="EE213" s="279" t="str">
        <f>HYPERLINK("https://my.pitchbook.com?c=122087-80", "View company online")</f>
        <v>View company online</v>
      </c>
    </row>
    <row r="214" spans="1:135" x14ac:dyDescent="0.45">
      <c r="A214" s="10" t="s">
        <v>4719</v>
      </c>
      <c r="B214" s="11" t="s">
        <v>4720</v>
      </c>
      <c r="C214" s="12" t="s">
        <v>153</v>
      </c>
      <c r="D214" s="13" t="s">
        <v>153</v>
      </c>
      <c r="E214" s="14" t="s">
        <v>153</v>
      </c>
      <c r="F214" s="15" t="s">
        <v>153</v>
      </c>
      <c r="G214" s="16" t="s">
        <v>153</v>
      </c>
      <c r="H214" s="17" t="s">
        <v>153</v>
      </c>
      <c r="I214" s="18" t="s">
        <v>4719</v>
      </c>
      <c r="J214" s="19" t="s">
        <v>4721</v>
      </c>
      <c r="K214" s="20" t="s">
        <v>257</v>
      </c>
      <c r="L214" s="21" t="s">
        <v>258</v>
      </c>
      <c r="M214" s="22" t="s">
        <v>259</v>
      </c>
      <c r="N214" s="23" t="s">
        <v>260</v>
      </c>
      <c r="O214" s="24" t="s">
        <v>1139</v>
      </c>
      <c r="P214" s="25" t="s">
        <v>4722</v>
      </c>
      <c r="Q214" s="26" t="s">
        <v>204</v>
      </c>
      <c r="R214" s="27" t="s">
        <v>153</v>
      </c>
      <c r="S214" s="28" t="s">
        <v>290</v>
      </c>
      <c r="T214" s="29" t="s">
        <v>205</v>
      </c>
      <c r="U214" s="30" t="s">
        <v>206</v>
      </c>
      <c r="V214" s="31" t="s">
        <v>153</v>
      </c>
      <c r="W214" s="32" t="s">
        <v>153</v>
      </c>
      <c r="X214" s="33" t="s">
        <v>153</v>
      </c>
      <c r="Y214" s="34" t="s">
        <v>153</v>
      </c>
      <c r="Z214" s="35" t="s">
        <v>153</v>
      </c>
      <c r="AA214" s="36" t="s">
        <v>153</v>
      </c>
      <c r="AB214" s="37" t="s">
        <v>153</v>
      </c>
      <c r="AC214" s="38" t="s">
        <v>153</v>
      </c>
      <c r="AD214" s="39" t="s">
        <v>153</v>
      </c>
      <c r="AE214" s="40" t="s">
        <v>153</v>
      </c>
      <c r="AF214" s="41" t="s">
        <v>153</v>
      </c>
      <c r="AG214" s="42" t="s">
        <v>153</v>
      </c>
      <c r="AH214" s="43" t="s">
        <v>153</v>
      </c>
      <c r="AI214" s="44" t="s">
        <v>153</v>
      </c>
      <c r="AJ214" s="45" t="s">
        <v>153</v>
      </c>
      <c r="AK214" s="46" t="s">
        <v>153</v>
      </c>
      <c r="AL214" s="47" t="s">
        <v>153</v>
      </c>
      <c r="AM214" s="48" t="s">
        <v>153</v>
      </c>
      <c r="AN214" s="49" t="s">
        <v>209</v>
      </c>
      <c r="AO214" s="50" t="s">
        <v>153</v>
      </c>
      <c r="AP214" s="51" t="s">
        <v>153</v>
      </c>
      <c r="AQ214" s="52" t="s">
        <v>153</v>
      </c>
      <c r="AR214" s="53" t="s">
        <v>153</v>
      </c>
      <c r="AS214" s="54" t="s">
        <v>153</v>
      </c>
      <c r="AT214" s="55" t="s">
        <v>4723</v>
      </c>
      <c r="AU214" s="56" t="s">
        <v>4724</v>
      </c>
      <c r="AV214" s="57" t="s">
        <v>153</v>
      </c>
      <c r="AW214" s="58" t="s">
        <v>4725</v>
      </c>
      <c r="AX214" s="59" t="s">
        <v>177</v>
      </c>
      <c r="AY214" s="60" t="s">
        <v>4726</v>
      </c>
      <c r="AZ214" s="61" t="s">
        <v>179</v>
      </c>
      <c r="BA214" s="62" t="s">
        <v>153</v>
      </c>
      <c r="BB214" s="63" t="s">
        <v>153</v>
      </c>
      <c r="BC214" s="64" t="s">
        <v>153</v>
      </c>
      <c r="BD214" s="65" t="s">
        <v>180</v>
      </c>
      <c r="BE214" s="66" t="s">
        <v>181</v>
      </c>
      <c r="BF214" s="67" t="s">
        <v>4727</v>
      </c>
      <c r="BG214" s="68" t="s">
        <v>153</v>
      </c>
      <c r="BH214" s="69" t="s">
        <v>153</v>
      </c>
      <c r="BI214" s="70" t="s">
        <v>4728</v>
      </c>
      <c r="BJ214" s="71" t="s">
        <v>4729</v>
      </c>
      <c r="BK214" s="72" t="s">
        <v>153</v>
      </c>
      <c r="BL214" s="73" t="s">
        <v>153</v>
      </c>
      <c r="BM214" s="74" t="s">
        <v>4730</v>
      </c>
      <c r="BN214" s="75" t="s">
        <v>153</v>
      </c>
      <c r="BO214" s="76" t="s">
        <v>153</v>
      </c>
      <c r="BP214" s="77" t="s">
        <v>153</v>
      </c>
      <c r="BQ214" s="78">
        <v>42065</v>
      </c>
      <c r="BR214" s="79">
        <v>16000</v>
      </c>
      <c r="BS214" s="80" t="s">
        <v>186</v>
      </c>
      <c r="BT214" s="81">
        <v>16000</v>
      </c>
      <c r="BU214" s="82" t="s">
        <v>186</v>
      </c>
      <c r="BV214" s="83" t="s">
        <v>226</v>
      </c>
      <c r="BW214" s="84" t="s">
        <v>729</v>
      </c>
      <c r="BX214" s="85" t="s">
        <v>153</v>
      </c>
      <c r="BY214" s="86" t="s">
        <v>225</v>
      </c>
      <c r="BZ214" s="87" t="s">
        <v>153</v>
      </c>
      <c r="CA214" s="88" t="s">
        <v>190</v>
      </c>
      <c r="CB214" s="89">
        <v>42065</v>
      </c>
      <c r="CC214" s="90">
        <v>16000</v>
      </c>
      <c r="CD214" s="91" t="s">
        <v>186</v>
      </c>
      <c r="CE214" s="92">
        <v>16000</v>
      </c>
      <c r="CF214" s="93" t="s">
        <v>186</v>
      </c>
      <c r="CG214" s="94" t="s">
        <v>226</v>
      </c>
      <c r="CH214" s="95" t="s">
        <v>729</v>
      </c>
      <c r="CI214" s="96" t="s">
        <v>153</v>
      </c>
      <c r="CJ214" s="97" t="s">
        <v>225</v>
      </c>
      <c r="CK214" s="98">
        <v>42065</v>
      </c>
      <c r="CL214" s="99" t="s">
        <v>153</v>
      </c>
      <c r="CM214" s="100" t="s">
        <v>153</v>
      </c>
      <c r="CN214" s="101" t="s">
        <v>190</v>
      </c>
      <c r="CO214" s="102" t="s">
        <v>153</v>
      </c>
      <c r="CP214" s="103" t="s">
        <v>153</v>
      </c>
      <c r="CQ214" s="104" t="s">
        <v>153</v>
      </c>
      <c r="CR214" s="105" t="s">
        <v>153</v>
      </c>
      <c r="CS214" s="106" t="s">
        <v>153</v>
      </c>
      <c r="CT214" s="107" t="s">
        <v>153</v>
      </c>
      <c r="CU214" s="108" t="s">
        <v>153</v>
      </c>
      <c r="CV214" s="109" t="s">
        <v>153</v>
      </c>
      <c r="CW214" s="110" t="s">
        <v>153</v>
      </c>
      <c r="CX214" s="111" t="s">
        <v>153</v>
      </c>
      <c r="CY214" s="112" t="s">
        <v>153</v>
      </c>
      <c r="CZ214" s="113" t="s">
        <v>153</v>
      </c>
      <c r="DA214" s="114" t="s">
        <v>153</v>
      </c>
      <c r="DB214" s="115" t="s">
        <v>153</v>
      </c>
      <c r="DC214" s="116" t="s">
        <v>153</v>
      </c>
      <c r="DD214" s="117" t="s">
        <v>153</v>
      </c>
      <c r="DE214" s="118" t="s">
        <v>153</v>
      </c>
      <c r="DF214" s="119" t="s">
        <v>153</v>
      </c>
      <c r="DG214" s="120" t="s">
        <v>153</v>
      </c>
      <c r="DH214" s="121" t="s">
        <v>153</v>
      </c>
      <c r="DI214" s="122" t="s">
        <v>153</v>
      </c>
      <c r="DJ214" s="123" t="s">
        <v>153</v>
      </c>
      <c r="DK214" s="124" t="s">
        <v>153</v>
      </c>
      <c r="DL214" s="125" t="s">
        <v>153</v>
      </c>
      <c r="DM214" s="126" t="s">
        <v>153</v>
      </c>
      <c r="DN214" s="127" t="s">
        <v>153</v>
      </c>
      <c r="DO214" s="128" t="s">
        <v>153</v>
      </c>
      <c r="DP214" s="129" t="s">
        <v>153</v>
      </c>
      <c r="DQ214" s="130" t="s">
        <v>153</v>
      </c>
      <c r="DR214" s="131" t="s">
        <v>153</v>
      </c>
      <c r="DS214" s="132" t="s">
        <v>153</v>
      </c>
      <c r="DT214" s="133" t="s">
        <v>153</v>
      </c>
      <c r="DU214" s="134" t="s">
        <v>153</v>
      </c>
      <c r="DV214" s="135" t="s">
        <v>153</v>
      </c>
      <c r="DW214" s="136" t="s">
        <v>153</v>
      </c>
      <c r="DX214" s="137" t="s">
        <v>153</v>
      </c>
      <c r="DY214" s="138" t="s">
        <v>153</v>
      </c>
      <c r="DZ214" s="139" t="s">
        <v>191</v>
      </c>
      <c r="EA214" s="140">
        <v>44328</v>
      </c>
      <c r="EB214" s="141">
        <v>16000</v>
      </c>
      <c r="EC214" s="142">
        <v>42065</v>
      </c>
      <c r="ED214" s="143" t="s">
        <v>226</v>
      </c>
      <c r="EE214" s="278" t="str">
        <f>HYPERLINK("https://my.pitchbook.com?c=63212-59", "View company online")</f>
        <v>View company online</v>
      </c>
    </row>
    <row r="215" spans="1:135" x14ac:dyDescent="0.45">
      <c r="A215" s="144" t="s">
        <v>4731</v>
      </c>
      <c r="B215" s="145" t="s">
        <v>4732</v>
      </c>
      <c r="C215" s="146" t="s">
        <v>153</v>
      </c>
      <c r="D215" s="147" t="s">
        <v>153</v>
      </c>
      <c r="E215" s="148" t="s">
        <v>153</v>
      </c>
      <c r="F215" s="149" t="s">
        <v>153</v>
      </c>
      <c r="G215" s="150" t="s">
        <v>4733</v>
      </c>
      <c r="H215" s="151" t="s">
        <v>153</v>
      </c>
      <c r="I215" s="152" t="s">
        <v>4731</v>
      </c>
      <c r="J215" s="153" t="s">
        <v>4734</v>
      </c>
      <c r="K215" s="154" t="s">
        <v>257</v>
      </c>
      <c r="L215" s="155" t="s">
        <v>258</v>
      </c>
      <c r="M215" s="156" t="s">
        <v>448</v>
      </c>
      <c r="N215" s="157" t="s">
        <v>1138</v>
      </c>
      <c r="O215" s="158" t="s">
        <v>1139</v>
      </c>
      <c r="P215" s="159" t="s">
        <v>4735</v>
      </c>
      <c r="Q215" s="160" t="s">
        <v>289</v>
      </c>
      <c r="R215" s="161">
        <v>3238.5</v>
      </c>
      <c r="S215" s="162" t="s">
        <v>290</v>
      </c>
      <c r="T215" s="163" t="s">
        <v>205</v>
      </c>
      <c r="U215" s="164" t="s">
        <v>4270</v>
      </c>
      <c r="V215" s="165" t="s">
        <v>4736</v>
      </c>
      <c r="W215" s="166">
        <v>1618</v>
      </c>
      <c r="X215" s="167" t="s">
        <v>4737</v>
      </c>
      <c r="Y215" s="168" t="s">
        <v>153</v>
      </c>
      <c r="Z215" s="169" t="s">
        <v>153</v>
      </c>
      <c r="AA215" s="170">
        <v>1981</v>
      </c>
      <c r="AB215" s="171" t="s">
        <v>153</v>
      </c>
      <c r="AC215" s="172" t="s">
        <v>153</v>
      </c>
      <c r="AD215" s="173" t="s">
        <v>153</v>
      </c>
      <c r="AE215" s="174" t="s">
        <v>153</v>
      </c>
      <c r="AF215" s="175" t="s">
        <v>153</v>
      </c>
      <c r="AG215" s="176" t="s">
        <v>153</v>
      </c>
      <c r="AH215" s="177" t="s">
        <v>153</v>
      </c>
      <c r="AI215" s="178" t="s">
        <v>153</v>
      </c>
      <c r="AJ215" s="179" t="s">
        <v>153</v>
      </c>
      <c r="AK215" s="180" t="s">
        <v>153</v>
      </c>
      <c r="AL215" s="181" t="s">
        <v>153</v>
      </c>
      <c r="AM215" s="182" t="s">
        <v>153</v>
      </c>
      <c r="AN215" s="183" t="s">
        <v>2518</v>
      </c>
      <c r="AO215" s="184" t="s">
        <v>153</v>
      </c>
      <c r="AP215" s="185" t="s">
        <v>153</v>
      </c>
      <c r="AQ215" s="186" t="s">
        <v>153</v>
      </c>
      <c r="AR215" s="187" t="s">
        <v>153</v>
      </c>
      <c r="AS215" s="188" t="s">
        <v>153</v>
      </c>
      <c r="AT215" s="189" t="s">
        <v>4738</v>
      </c>
      <c r="AU215" s="190" t="s">
        <v>4739</v>
      </c>
      <c r="AV215" s="191" t="s">
        <v>153</v>
      </c>
      <c r="AW215" s="192" t="s">
        <v>4740</v>
      </c>
      <c r="AX215" s="193" t="s">
        <v>4741</v>
      </c>
      <c r="AY215" s="194" t="s">
        <v>4742</v>
      </c>
      <c r="AZ215" s="195" t="s">
        <v>215</v>
      </c>
      <c r="BA215" s="196" t="s">
        <v>153</v>
      </c>
      <c r="BB215" s="197" t="s">
        <v>153</v>
      </c>
      <c r="BC215" s="198" t="s">
        <v>153</v>
      </c>
      <c r="BD215" s="199" t="s">
        <v>216</v>
      </c>
      <c r="BE215" s="200" t="s">
        <v>217</v>
      </c>
      <c r="BF215" s="201" t="s">
        <v>4743</v>
      </c>
      <c r="BG215" s="202" t="s">
        <v>153</v>
      </c>
      <c r="BH215" s="203" t="s">
        <v>153</v>
      </c>
      <c r="BI215" s="204" t="s">
        <v>4744</v>
      </c>
      <c r="BJ215" s="205" t="s">
        <v>4745</v>
      </c>
      <c r="BK215" s="206" t="s">
        <v>153</v>
      </c>
      <c r="BL215" s="207" t="s">
        <v>153</v>
      </c>
      <c r="BM215" s="208" t="s">
        <v>4746</v>
      </c>
      <c r="BN215" s="209" t="s">
        <v>153</v>
      </c>
      <c r="BO215" s="210" t="s">
        <v>4747</v>
      </c>
      <c r="BP215" s="211" t="s">
        <v>153</v>
      </c>
      <c r="BQ215" s="212">
        <v>30133</v>
      </c>
      <c r="BR215" s="213">
        <v>6</v>
      </c>
      <c r="BS215" s="214" t="s">
        <v>186</v>
      </c>
      <c r="BT215" s="215" t="s">
        <v>153</v>
      </c>
      <c r="BU215" s="216" t="s">
        <v>153</v>
      </c>
      <c r="BV215" s="217" t="s">
        <v>471</v>
      </c>
      <c r="BW215" s="218" t="s">
        <v>153</v>
      </c>
      <c r="BX215" s="219" t="s">
        <v>153</v>
      </c>
      <c r="BY215" s="220" t="s">
        <v>472</v>
      </c>
      <c r="BZ215" s="221" t="s">
        <v>153</v>
      </c>
      <c r="CA215" s="222" t="s">
        <v>190</v>
      </c>
      <c r="CB215" s="223">
        <v>37453</v>
      </c>
      <c r="CC215" s="224">
        <v>16000</v>
      </c>
      <c r="CD215" s="225" t="s">
        <v>186</v>
      </c>
      <c r="CE215" s="226">
        <v>16000</v>
      </c>
      <c r="CF215" s="227" t="s">
        <v>186</v>
      </c>
      <c r="CG215" s="228" t="s">
        <v>226</v>
      </c>
      <c r="CH215" s="229" t="s">
        <v>153</v>
      </c>
      <c r="CI215" s="230" t="s">
        <v>153</v>
      </c>
      <c r="CJ215" s="231" t="s">
        <v>225</v>
      </c>
      <c r="CK215" s="232">
        <v>37453</v>
      </c>
      <c r="CL215" s="233" t="s">
        <v>153</v>
      </c>
      <c r="CM215" s="234" t="s">
        <v>153</v>
      </c>
      <c r="CN215" s="235" t="s">
        <v>190</v>
      </c>
      <c r="CO215" s="236" t="s">
        <v>153</v>
      </c>
      <c r="CP215" s="237" t="s">
        <v>153</v>
      </c>
      <c r="CQ215" s="238" t="s">
        <v>153</v>
      </c>
      <c r="CR215" s="239" t="s">
        <v>153</v>
      </c>
      <c r="CS215" s="240" t="s">
        <v>153</v>
      </c>
      <c r="CT215" s="241" t="s">
        <v>153</v>
      </c>
      <c r="CU215" s="242" t="s">
        <v>153</v>
      </c>
      <c r="CV215" s="243" t="s">
        <v>153</v>
      </c>
      <c r="CW215" s="244" t="s">
        <v>153</v>
      </c>
      <c r="CX215" s="245" t="s">
        <v>153</v>
      </c>
      <c r="CY215" s="246" t="s">
        <v>153</v>
      </c>
      <c r="CZ215" s="247" t="s">
        <v>153</v>
      </c>
      <c r="DA215" s="248" t="s">
        <v>153</v>
      </c>
      <c r="DB215" s="249" t="s">
        <v>153</v>
      </c>
      <c r="DC215" s="250" t="s">
        <v>153</v>
      </c>
      <c r="DD215" s="251" t="s">
        <v>153</v>
      </c>
      <c r="DE215" s="252" t="s">
        <v>153</v>
      </c>
      <c r="DF215" s="253" t="s">
        <v>153</v>
      </c>
      <c r="DG215" s="254" t="s">
        <v>153</v>
      </c>
      <c r="DH215" s="255" t="s">
        <v>153</v>
      </c>
      <c r="DI215" s="256" t="s">
        <v>153</v>
      </c>
      <c r="DJ215" s="257" t="s">
        <v>153</v>
      </c>
      <c r="DK215" s="258" t="s">
        <v>153</v>
      </c>
      <c r="DL215" s="259" t="s">
        <v>153</v>
      </c>
      <c r="DM215" s="260" t="s">
        <v>153</v>
      </c>
      <c r="DN215" s="261" t="s">
        <v>153</v>
      </c>
      <c r="DO215" s="262" t="s">
        <v>153</v>
      </c>
      <c r="DP215" s="263" t="s">
        <v>153</v>
      </c>
      <c r="DQ215" s="264" t="s">
        <v>153</v>
      </c>
      <c r="DR215" s="265" t="s">
        <v>153</v>
      </c>
      <c r="DS215" s="266" t="s">
        <v>153</v>
      </c>
      <c r="DT215" s="267" t="s">
        <v>153</v>
      </c>
      <c r="DU215" s="268" t="s">
        <v>153</v>
      </c>
      <c r="DV215" s="269" t="s">
        <v>153</v>
      </c>
      <c r="DW215" s="270" t="s">
        <v>153</v>
      </c>
      <c r="DX215" s="271" t="s">
        <v>153</v>
      </c>
      <c r="DY215" s="272" t="s">
        <v>153</v>
      </c>
      <c r="DZ215" s="273" t="s">
        <v>191</v>
      </c>
      <c r="EA215" s="274">
        <v>44217</v>
      </c>
      <c r="EB215" s="275">
        <v>16000</v>
      </c>
      <c r="EC215" s="276">
        <v>37453</v>
      </c>
      <c r="ED215" s="277" t="s">
        <v>226</v>
      </c>
      <c r="EE215" s="279" t="str">
        <f>HYPERLINK("https://my.pitchbook.com?c=51328-99", "View company online")</f>
        <v>View company online</v>
      </c>
    </row>
    <row r="216" spans="1:135" x14ac:dyDescent="0.45">
      <c r="A216" s="10" t="s">
        <v>4748</v>
      </c>
      <c r="B216" s="11" t="s">
        <v>4749</v>
      </c>
      <c r="C216" s="12" t="s">
        <v>153</v>
      </c>
      <c r="D216" s="13" t="s">
        <v>153</v>
      </c>
      <c r="E216" s="14" t="s">
        <v>153</v>
      </c>
      <c r="F216" s="15" t="s">
        <v>153</v>
      </c>
      <c r="G216" s="16" t="s">
        <v>4750</v>
      </c>
      <c r="H216" s="17" t="s">
        <v>4751</v>
      </c>
      <c r="I216" s="18" t="s">
        <v>4748</v>
      </c>
      <c r="J216" s="19" t="s">
        <v>4752</v>
      </c>
      <c r="K216" s="20" t="s">
        <v>157</v>
      </c>
      <c r="L216" s="21" t="s">
        <v>421</v>
      </c>
      <c r="M216" s="22" t="s">
        <v>503</v>
      </c>
      <c r="N216" s="23" t="s">
        <v>4753</v>
      </c>
      <c r="O216" s="24" t="s">
        <v>4754</v>
      </c>
      <c r="P216" s="25" t="s">
        <v>4755</v>
      </c>
      <c r="Q216" s="26" t="s">
        <v>564</v>
      </c>
      <c r="R216" s="27" t="s">
        <v>153</v>
      </c>
      <c r="S216" s="28" t="s">
        <v>290</v>
      </c>
      <c r="T216" s="29" t="s">
        <v>291</v>
      </c>
      <c r="U216" s="30" t="s">
        <v>452</v>
      </c>
      <c r="V216" s="31" t="s">
        <v>4756</v>
      </c>
      <c r="W216" s="32">
        <v>6365</v>
      </c>
      <c r="X216" s="33" t="s">
        <v>4757</v>
      </c>
      <c r="Y216" s="34" t="s">
        <v>2843</v>
      </c>
      <c r="Z216" s="35" t="s">
        <v>4758</v>
      </c>
      <c r="AA216" s="36">
        <v>1994</v>
      </c>
      <c r="AB216" s="37" t="s">
        <v>153</v>
      </c>
      <c r="AC216" s="38" t="s">
        <v>153</v>
      </c>
      <c r="AD216" s="39" t="s">
        <v>508</v>
      </c>
      <c r="AE216" s="40">
        <v>2815.7</v>
      </c>
      <c r="AF216" s="41">
        <v>2133.2600000000002</v>
      </c>
      <c r="AG216" s="42">
        <v>493.62</v>
      </c>
      <c r="AH216" s="43">
        <v>26457.38</v>
      </c>
      <c r="AI216" s="44">
        <v>1155.04</v>
      </c>
      <c r="AJ216" s="45">
        <v>1073.08</v>
      </c>
      <c r="AK216" s="46">
        <v>18417.82</v>
      </c>
      <c r="AL216" s="47">
        <v>-2317.5100000000002</v>
      </c>
      <c r="AM216" s="48">
        <v>25.33</v>
      </c>
      <c r="AN216" s="49" t="s">
        <v>376</v>
      </c>
      <c r="AO216" s="50" t="s">
        <v>4759</v>
      </c>
      <c r="AP216" s="51" t="s">
        <v>4760</v>
      </c>
      <c r="AQ216" s="52" t="s">
        <v>4761</v>
      </c>
      <c r="AR216" s="53" t="s">
        <v>4762</v>
      </c>
      <c r="AS216" s="54" t="s">
        <v>153</v>
      </c>
      <c r="AT216" s="55" t="s">
        <v>1399</v>
      </c>
      <c r="AU216" s="56" t="s">
        <v>4763</v>
      </c>
      <c r="AV216" s="57" t="s">
        <v>4764</v>
      </c>
      <c r="AW216" s="58" t="s">
        <v>1402</v>
      </c>
      <c r="AX216" s="59" t="s">
        <v>153</v>
      </c>
      <c r="AY216" s="60" t="s">
        <v>4765</v>
      </c>
      <c r="AZ216" s="61" t="s">
        <v>1404</v>
      </c>
      <c r="BA216" s="62" t="s">
        <v>153</v>
      </c>
      <c r="BB216" s="63" t="s">
        <v>153</v>
      </c>
      <c r="BC216" s="64" t="s">
        <v>153</v>
      </c>
      <c r="BD216" s="65" t="s">
        <v>1406</v>
      </c>
      <c r="BE216" s="66" t="s">
        <v>1407</v>
      </c>
      <c r="BF216" s="67" t="s">
        <v>4766</v>
      </c>
      <c r="BG216" s="68" t="s">
        <v>4767</v>
      </c>
      <c r="BH216" s="69">
        <v>2</v>
      </c>
      <c r="BI216" s="70" t="s">
        <v>153</v>
      </c>
      <c r="BJ216" s="71" t="s">
        <v>4768</v>
      </c>
      <c r="BK216" s="72" t="s">
        <v>4769</v>
      </c>
      <c r="BL216" s="73" t="s">
        <v>4770</v>
      </c>
      <c r="BM216" s="74" t="s">
        <v>4771</v>
      </c>
      <c r="BN216" s="75" t="s">
        <v>4772</v>
      </c>
      <c r="BO216" s="76" t="s">
        <v>153</v>
      </c>
      <c r="BP216" s="77" t="s">
        <v>4773</v>
      </c>
      <c r="BQ216" s="78" t="s">
        <v>153</v>
      </c>
      <c r="BR216" s="79" t="s">
        <v>153</v>
      </c>
      <c r="BS216" s="80" t="s">
        <v>153</v>
      </c>
      <c r="BT216" s="81" t="s">
        <v>153</v>
      </c>
      <c r="BU216" s="82" t="s">
        <v>153</v>
      </c>
      <c r="BV216" s="83" t="s">
        <v>709</v>
      </c>
      <c r="BW216" s="84" t="s">
        <v>153</v>
      </c>
      <c r="BX216" s="85" t="s">
        <v>153</v>
      </c>
      <c r="BY216" s="86" t="s">
        <v>165</v>
      </c>
      <c r="BZ216" s="87" t="s">
        <v>153</v>
      </c>
      <c r="CA216" s="88" t="s">
        <v>190</v>
      </c>
      <c r="CB216" s="89">
        <v>43654</v>
      </c>
      <c r="CC216" s="90">
        <v>16000</v>
      </c>
      <c r="CD216" s="91" t="s">
        <v>186</v>
      </c>
      <c r="CE216" s="92">
        <v>16220.6</v>
      </c>
      <c r="CF216" s="93" t="s">
        <v>187</v>
      </c>
      <c r="CG216" s="94" t="s">
        <v>188</v>
      </c>
      <c r="CH216" s="95" t="s">
        <v>930</v>
      </c>
      <c r="CI216" s="96" t="s">
        <v>153</v>
      </c>
      <c r="CJ216" s="97" t="s">
        <v>165</v>
      </c>
      <c r="CK216" s="98">
        <v>43654</v>
      </c>
      <c r="CL216" s="99" t="s">
        <v>153</v>
      </c>
      <c r="CM216" s="100" t="s">
        <v>153</v>
      </c>
      <c r="CN216" s="101" t="s">
        <v>394</v>
      </c>
      <c r="CO216" s="102">
        <v>0.53</v>
      </c>
      <c r="CP216" s="103">
        <v>93</v>
      </c>
      <c r="CQ216" s="104">
        <v>-0.36</v>
      </c>
      <c r="CR216" s="105">
        <v>-40.6</v>
      </c>
      <c r="CS216" s="106">
        <v>1.53</v>
      </c>
      <c r="CT216" s="107">
        <v>97</v>
      </c>
      <c r="CU216" s="108">
        <v>-0.05</v>
      </c>
      <c r="CV216" s="109">
        <v>32</v>
      </c>
      <c r="CW216" s="110">
        <v>1.69</v>
      </c>
      <c r="CX216" s="111">
        <v>85</v>
      </c>
      <c r="CY216" s="112">
        <v>1.38</v>
      </c>
      <c r="CZ216" s="113">
        <v>99</v>
      </c>
      <c r="DA216" s="114">
        <v>-0.05</v>
      </c>
      <c r="DB216" s="115">
        <v>32</v>
      </c>
      <c r="DC216" s="116">
        <v>1713.65</v>
      </c>
      <c r="DD216" s="117">
        <v>100</v>
      </c>
      <c r="DE216" s="118">
        <v>1.89</v>
      </c>
      <c r="DF216" s="119">
        <v>0.11</v>
      </c>
      <c r="DG216" s="120">
        <v>483.52</v>
      </c>
      <c r="DH216" s="121">
        <v>100</v>
      </c>
      <c r="DI216" s="122">
        <v>6.64</v>
      </c>
      <c r="DJ216" s="123">
        <v>82</v>
      </c>
      <c r="DK216" s="124">
        <v>759.91</v>
      </c>
      <c r="DL216" s="125">
        <v>100</v>
      </c>
      <c r="DM216" s="126">
        <v>207.13</v>
      </c>
      <c r="DN216" s="127">
        <v>100</v>
      </c>
      <c r="DO216" s="128">
        <v>6.64</v>
      </c>
      <c r="DP216" s="129">
        <v>82</v>
      </c>
      <c r="DQ216" s="130">
        <v>449274</v>
      </c>
      <c r="DR216" s="131">
        <v>4962</v>
      </c>
      <c r="DS216" s="132">
        <v>1.1200000000000001</v>
      </c>
      <c r="DT216" s="133">
        <v>3312</v>
      </c>
      <c r="DU216" s="134">
        <v>4</v>
      </c>
      <c r="DV216" s="135">
        <v>0.12</v>
      </c>
      <c r="DW216" s="136">
        <v>2084</v>
      </c>
      <c r="DX216" s="137">
        <v>1</v>
      </c>
      <c r="DY216" s="138">
        <v>0.05</v>
      </c>
      <c r="DZ216" s="139" t="s">
        <v>191</v>
      </c>
      <c r="EA216" s="140">
        <v>44393</v>
      </c>
      <c r="EB216" s="141">
        <v>16220.6</v>
      </c>
      <c r="EC216" s="142">
        <v>43654</v>
      </c>
      <c r="ED216" s="143" t="s">
        <v>188</v>
      </c>
      <c r="EE216" s="278" t="str">
        <f>HYPERLINK("https://my.pitchbook.com?c=51714-73", "View company online")</f>
        <v>View company online</v>
      </c>
    </row>
    <row r="217" spans="1:135" x14ac:dyDescent="0.45">
      <c r="A217" s="144" t="s">
        <v>4774</v>
      </c>
      <c r="B217" s="145" t="s">
        <v>4775</v>
      </c>
      <c r="C217" s="146" t="s">
        <v>153</v>
      </c>
      <c r="D217" s="147" t="s">
        <v>153</v>
      </c>
      <c r="E217" s="148" t="s">
        <v>4776</v>
      </c>
      <c r="F217" s="149" t="s">
        <v>4777</v>
      </c>
      <c r="G217" s="150" t="s">
        <v>4778</v>
      </c>
      <c r="H217" s="151" t="s">
        <v>4779</v>
      </c>
      <c r="I217" s="152" t="s">
        <v>4774</v>
      </c>
      <c r="J217" s="153" t="s">
        <v>4780</v>
      </c>
      <c r="K217" s="154" t="s">
        <v>198</v>
      </c>
      <c r="L217" s="155" t="s">
        <v>984</v>
      </c>
      <c r="M217" s="156" t="s">
        <v>3544</v>
      </c>
      <c r="N217" s="157" t="s">
        <v>4781</v>
      </c>
      <c r="O217" s="158" t="s">
        <v>4782</v>
      </c>
      <c r="P217" s="159" t="s">
        <v>4783</v>
      </c>
      <c r="Q217" s="160" t="s">
        <v>289</v>
      </c>
      <c r="R217" s="161">
        <v>747.99</v>
      </c>
      <c r="S217" s="162" t="s">
        <v>290</v>
      </c>
      <c r="T217" s="163" t="s">
        <v>291</v>
      </c>
      <c r="U217" s="164" t="s">
        <v>292</v>
      </c>
      <c r="V217" s="165" t="s">
        <v>4784</v>
      </c>
      <c r="W217" s="166">
        <v>7674</v>
      </c>
      <c r="X217" s="167" t="s">
        <v>4785</v>
      </c>
      <c r="Y217" s="168" t="s">
        <v>295</v>
      </c>
      <c r="Z217" s="169" t="s">
        <v>4786</v>
      </c>
      <c r="AA217" s="170">
        <v>1974</v>
      </c>
      <c r="AB217" s="171" t="s">
        <v>153</v>
      </c>
      <c r="AC217" s="172" t="s">
        <v>153</v>
      </c>
      <c r="AD217" s="173" t="s">
        <v>1540</v>
      </c>
      <c r="AE217" s="174">
        <v>1384.06</v>
      </c>
      <c r="AF217" s="175">
        <v>828.19</v>
      </c>
      <c r="AG217" s="176">
        <v>3.98</v>
      </c>
      <c r="AH217" s="177">
        <v>13794.49</v>
      </c>
      <c r="AI217" s="178">
        <v>225.06</v>
      </c>
      <c r="AJ217" s="179">
        <v>108.47</v>
      </c>
      <c r="AK217" s="180">
        <v>16996.93</v>
      </c>
      <c r="AL217" s="181">
        <v>1269.44</v>
      </c>
      <c r="AM217" s="182">
        <v>-4.05</v>
      </c>
      <c r="AN217" s="183" t="s">
        <v>299</v>
      </c>
      <c r="AO217" s="184" t="s">
        <v>4787</v>
      </c>
      <c r="AP217" s="185" t="s">
        <v>4788</v>
      </c>
      <c r="AQ217" s="186" t="s">
        <v>2721</v>
      </c>
      <c r="AR217" s="187" t="s">
        <v>4789</v>
      </c>
      <c r="AS217" s="188" t="s">
        <v>4790</v>
      </c>
      <c r="AT217" s="189" t="s">
        <v>4791</v>
      </c>
      <c r="AU217" s="190" t="s">
        <v>4792</v>
      </c>
      <c r="AV217" s="191" t="s">
        <v>153</v>
      </c>
      <c r="AW217" s="192" t="s">
        <v>4793</v>
      </c>
      <c r="AX217" s="193" t="s">
        <v>385</v>
      </c>
      <c r="AY217" s="194" t="s">
        <v>4794</v>
      </c>
      <c r="AZ217" s="195" t="s">
        <v>215</v>
      </c>
      <c r="BA217" s="196" t="s">
        <v>4790</v>
      </c>
      <c r="BB217" s="197" t="s">
        <v>153</v>
      </c>
      <c r="BC217" s="198" t="s">
        <v>153</v>
      </c>
      <c r="BD217" s="199" t="s">
        <v>216</v>
      </c>
      <c r="BE217" s="200" t="s">
        <v>217</v>
      </c>
      <c r="BF217" s="201" t="s">
        <v>4795</v>
      </c>
      <c r="BG217" s="202" t="s">
        <v>4796</v>
      </c>
      <c r="BH217" s="203">
        <v>3</v>
      </c>
      <c r="BI217" s="204" t="s">
        <v>153</v>
      </c>
      <c r="BJ217" s="205" t="s">
        <v>4797</v>
      </c>
      <c r="BK217" s="206" t="s">
        <v>2373</v>
      </c>
      <c r="BL217" s="207" t="s">
        <v>4798</v>
      </c>
      <c r="BM217" s="208" t="s">
        <v>4799</v>
      </c>
      <c r="BN217" s="209" t="s">
        <v>4800</v>
      </c>
      <c r="BO217" s="210" t="s">
        <v>4801</v>
      </c>
      <c r="BP217" s="211" t="s">
        <v>4802</v>
      </c>
      <c r="BQ217" s="212">
        <v>34700</v>
      </c>
      <c r="BR217" s="213">
        <v>4.8499999999999996</v>
      </c>
      <c r="BS217" s="214" t="s">
        <v>186</v>
      </c>
      <c r="BT217" s="215" t="s">
        <v>153</v>
      </c>
      <c r="BU217" s="216" t="s">
        <v>153</v>
      </c>
      <c r="BV217" s="217" t="s">
        <v>905</v>
      </c>
      <c r="BW217" s="218" t="s">
        <v>4803</v>
      </c>
      <c r="BX217" s="219" t="s">
        <v>153</v>
      </c>
      <c r="BY217" s="220" t="s">
        <v>472</v>
      </c>
      <c r="BZ217" s="221" t="s">
        <v>153</v>
      </c>
      <c r="CA217" s="222" t="s">
        <v>190</v>
      </c>
      <c r="CB217" s="223">
        <v>44298</v>
      </c>
      <c r="CC217" s="224">
        <v>16000</v>
      </c>
      <c r="CD217" s="225" t="s">
        <v>186</v>
      </c>
      <c r="CE217" s="226">
        <v>16000</v>
      </c>
      <c r="CF217" s="227" t="s">
        <v>187</v>
      </c>
      <c r="CG217" s="228" t="s">
        <v>226</v>
      </c>
      <c r="CH217" s="229" t="s">
        <v>153</v>
      </c>
      <c r="CI217" s="230" t="s">
        <v>153</v>
      </c>
      <c r="CJ217" s="231" t="s">
        <v>225</v>
      </c>
      <c r="CK217" s="232">
        <v>44298</v>
      </c>
      <c r="CL217" s="233" t="s">
        <v>153</v>
      </c>
      <c r="CM217" s="234" t="s">
        <v>153</v>
      </c>
      <c r="CN217" s="235" t="s">
        <v>1278</v>
      </c>
      <c r="CO217" s="236">
        <v>-0.28999999999999998</v>
      </c>
      <c r="CP217" s="237">
        <v>6</v>
      </c>
      <c r="CQ217" s="238">
        <v>-0.03</v>
      </c>
      <c r="CR217" s="239">
        <v>-11.84</v>
      </c>
      <c r="CS217" s="240">
        <v>-1.29</v>
      </c>
      <c r="CT217" s="241">
        <v>3</v>
      </c>
      <c r="CU217" s="242">
        <v>0.16</v>
      </c>
      <c r="CV217" s="243">
        <v>89</v>
      </c>
      <c r="CW217" s="244">
        <v>-2.71</v>
      </c>
      <c r="CX217" s="245">
        <v>10</v>
      </c>
      <c r="CY217" s="246">
        <v>0.13</v>
      </c>
      <c r="CZ217" s="247">
        <v>91</v>
      </c>
      <c r="DA217" s="248">
        <v>0.16</v>
      </c>
      <c r="DB217" s="249">
        <v>89</v>
      </c>
      <c r="DC217" s="250">
        <v>489.28</v>
      </c>
      <c r="DD217" s="251">
        <v>100</v>
      </c>
      <c r="DE217" s="252">
        <v>-4.1399999999999997</v>
      </c>
      <c r="DF217" s="253">
        <v>-0.84</v>
      </c>
      <c r="DG217" s="254">
        <v>1238.28</v>
      </c>
      <c r="DH217" s="255">
        <v>100</v>
      </c>
      <c r="DI217" s="256">
        <v>22.15</v>
      </c>
      <c r="DJ217" s="257">
        <v>92</v>
      </c>
      <c r="DK217" s="258">
        <v>564.92999999999995</v>
      </c>
      <c r="DL217" s="259">
        <v>100</v>
      </c>
      <c r="DM217" s="260">
        <v>1911.63</v>
      </c>
      <c r="DN217" s="261">
        <v>100</v>
      </c>
      <c r="DO217" s="262">
        <v>22.15</v>
      </c>
      <c r="DP217" s="263">
        <v>92</v>
      </c>
      <c r="DQ217" s="264">
        <v>335111</v>
      </c>
      <c r="DR217" s="265">
        <v>-392</v>
      </c>
      <c r="DS217" s="266">
        <v>-0.12</v>
      </c>
      <c r="DT217" s="267">
        <v>30753</v>
      </c>
      <c r="DU217" s="268">
        <v>-254</v>
      </c>
      <c r="DV217" s="269">
        <v>-0.82</v>
      </c>
      <c r="DW217" s="270">
        <v>6951</v>
      </c>
      <c r="DX217" s="271">
        <v>12</v>
      </c>
      <c r="DY217" s="272">
        <v>0.17</v>
      </c>
      <c r="DZ217" s="273" t="s">
        <v>191</v>
      </c>
      <c r="EA217" s="274">
        <v>44380</v>
      </c>
      <c r="EB217" s="275">
        <v>16000</v>
      </c>
      <c r="EC217" s="276">
        <v>44298</v>
      </c>
      <c r="ED217" s="277" t="s">
        <v>226</v>
      </c>
      <c r="EE217" s="279" t="str">
        <f>HYPERLINK("https://my.pitchbook.com?c=11065-60", "View company online")</f>
        <v>View company online</v>
      </c>
    </row>
    <row r="218" spans="1:135" x14ac:dyDescent="0.45">
      <c r="A218" s="10" t="s">
        <v>4804</v>
      </c>
      <c r="B218" s="11" t="s">
        <v>4805</v>
      </c>
      <c r="C218" s="12" t="s">
        <v>153</v>
      </c>
      <c r="D218" s="13" t="s">
        <v>153</v>
      </c>
      <c r="E218" s="14" t="s">
        <v>153</v>
      </c>
      <c r="F218" s="15" t="s">
        <v>153</v>
      </c>
      <c r="G218" s="16" t="s">
        <v>4806</v>
      </c>
      <c r="H218" s="17" t="s">
        <v>153</v>
      </c>
      <c r="I218" s="18" t="s">
        <v>4804</v>
      </c>
      <c r="J218" s="19" t="s">
        <v>4807</v>
      </c>
      <c r="K218" s="20" t="s">
        <v>257</v>
      </c>
      <c r="L218" s="21" t="s">
        <v>258</v>
      </c>
      <c r="M218" s="22" t="s">
        <v>259</v>
      </c>
      <c r="N218" s="23" t="s">
        <v>260</v>
      </c>
      <c r="O218" s="24" t="s">
        <v>4808</v>
      </c>
      <c r="P218" s="25" t="s">
        <v>4809</v>
      </c>
      <c r="Q218" s="26" t="s">
        <v>204</v>
      </c>
      <c r="R218" s="27" t="s">
        <v>153</v>
      </c>
      <c r="S218" s="28" t="s">
        <v>163</v>
      </c>
      <c r="T218" s="29" t="s">
        <v>205</v>
      </c>
      <c r="U218" s="30" t="s">
        <v>206</v>
      </c>
      <c r="V218" s="31" t="s">
        <v>4810</v>
      </c>
      <c r="W218" s="32" t="s">
        <v>153</v>
      </c>
      <c r="X218" s="33" t="s">
        <v>153</v>
      </c>
      <c r="Y218" s="34" t="s">
        <v>153</v>
      </c>
      <c r="Z218" s="35" t="s">
        <v>153</v>
      </c>
      <c r="AA218" s="36">
        <v>1923</v>
      </c>
      <c r="AB218" s="37" t="s">
        <v>153</v>
      </c>
      <c r="AC218" s="38" t="s">
        <v>153</v>
      </c>
      <c r="AD218" s="39" t="s">
        <v>153</v>
      </c>
      <c r="AE218" s="40" t="s">
        <v>153</v>
      </c>
      <c r="AF218" s="41" t="s">
        <v>153</v>
      </c>
      <c r="AG218" s="42" t="s">
        <v>153</v>
      </c>
      <c r="AH218" s="43" t="s">
        <v>153</v>
      </c>
      <c r="AI218" s="44" t="s">
        <v>153</v>
      </c>
      <c r="AJ218" s="45" t="s">
        <v>153</v>
      </c>
      <c r="AK218" s="46" t="s">
        <v>153</v>
      </c>
      <c r="AL218" s="47" t="s">
        <v>153</v>
      </c>
      <c r="AM218" s="48" t="s">
        <v>153</v>
      </c>
      <c r="AN218" s="49" t="s">
        <v>153</v>
      </c>
      <c r="AO218" s="50" t="s">
        <v>4811</v>
      </c>
      <c r="AP218" s="51" t="s">
        <v>4812</v>
      </c>
      <c r="AQ218" s="52" t="s">
        <v>1241</v>
      </c>
      <c r="AR218" s="53" t="s">
        <v>4813</v>
      </c>
      <c r="AS218" s="54" t="s">
        <v>153</v>
      </c>
      <c r="AT218" s="55" t="s">
        <v>4814</v>
      </c>
      <c r="AU218" s="56" t="s">
        <v>4815</v>
      </c>
      <c r="AV218" s="57" t="s">
        <v>153</v>
      </c>
      <c r="AW218" s="58" t="s">
        <v>4816</v>
      </c>
      <c r="AX218" s="59" t="s">
        <v>153</v>
      </c>
      <c r="AY218" s="60" t="s">
        <v>4817</v>
      </c>
      <c r="AZ218" s="61" t="s">
        <v>335</v>
      </c>
      <c r="BA218" s="62" t="s">
        <v>153</v>
      </c>
      <c r="BB218" s="63" t="s">
        <v>153</v>
      </c>
      <c r="BC218" s="64" t="s">
        <v>153</v>
      </c>
      <c r="BD218" s="65" t="s">
        <v>180</v>
      </c>
      <c r="BE218" s="66" t="s">
        <v>181</v>
      </c>
      <c r="BF218" s="67" t="s">
        <v>4818</v>
      </c>
      <c r="BG218" s="68" t="s">
        <v>153</v>
      </c>
      <c r="BH218" s="69" t="s">
        <v>153</v>
      </c>
      <c r="BI218" s="70" t="s">
        <v>1188</v>
      </c>
      <c r="BJ218" s="71" t="s">
        <v>4647</v>
      </c>
      <c r="BK218" s="72" t="s">
        <v>153</v>
      </c>
      <c r="BL218" s="73" t="s">
        <v>153</v>
      </c>
      <c r="BM218" s="74" t="s">
        <v>4819</v>
      </c>
      <c r="BN218" s="75" t="s">
        <v>153</v>
      </c>
      <c r="BO218" s="76" t="s">
        <v>153</v>
      </c>
      <c r="BP218" s="77" t="s">
        <v>4820</v>
      </c>
      <c r="BQ218" s="78">
        <v>39153</v>
      </c>
      <c r="BR218" s="79" t="s">
        <v>153</v>
      </c>
      <c r="BS218" s="80" t="s">
        <v>153</v>
      </c>
      <c r="BT218" s="81" t="s">
        <v>153</v>
      </c>
      <c r="BU218" s="82" t="s">
        <v>153</v>
      </c>
      <c r="BV218" s="83" t="s">
        <v>251</v>
      </c>
      <c r="BW218" s="84" t="s">
        <v>153</v>
      </c>
      <c r="BX218" s="85" t="s">
        <v>153</v>
      </c>
      <c r="BY218" s="86" t="s">
        <v>252</v>
      </c>
      <c r="BZ218" s="87" t="s">
        <v>153</v>
      </c>
      <c r="CA218" s="88" t="s">
        <v>394</v>
      </c>
      <c r="CB218" s="89">
        <v>39405</v>
      </c>
      <c r="CC218" s="90">
        <v>15972.27</v>
      </c>
      <c r="CD218" s="91" t="s">
        <v>187</v>
      </c>
      <c r="CE218" s="92">
        <v>15972.27</v>
      </c>
      <c r="CF218" s="93" t="s">
        <v>187</v>
      </c>
      <c r="CG218" s="94" t="s">
        <v>226</v>
      </c>
      <c r="CH218" s="95" t="s">
        <v>729</v>
      </c>
      <c r="CI218" s="96" t="s">
        <v>153</v>
      </c>
      <c r="CJ218" s="97" t="s">
        <v>225</v>
      </c>
      <c r="CK218" s="98">
        <v>39405</v>
      </c>
      <c r="CL218" s="99" t="s">
        <v>153</v>
      </c>
      <c r="CM218" s="100" t="s">
        <v>153</v>
      </c>
      <c r="CN218" s="101" t="s">
        <v>190</v>
      </c>
      <c r="CO218" s="102" t="s">
        <v>153</v>
      </c>
      <c r="CP218" s="103" t="s">
        <v>153</v>
      </c>
      <c r="CQ218" s="104" t="s">
        <v>153</v>
      </c>
      <c r="CR218" s="105" t="s">
        <v>153</v>
      </c>
      <c r="CS218" s="106" t="s">
        <v>153</v>
      </c>
      <c r="CT218" s="107" t="s">
        <v>153</v>
      </c>
      <c r="CU218" s="108" t="s">
        <v>153</v>
      </c>
      <c r="CV218" s="109" t="s">
        <v>153</v>
      </c>
      <c r="CW218" s="110" t="s">
        <v>153</v>
      </c>
      <c r="CX218" s="111" t="s">
        <v>153</v>
      </c>
      <c r="CY218" s="112" t="s">
        <v>153</v>
      </c>
      <c r="CZ218" s="113" t="s">
        <v>153</v>
      </c>
      <c r="DA218" s="114" t="s">
        <v>153</v>
      </c>
      <c r="DB218" s="115" t="s">
        <v>153</v>
      </c>
      <c r="DC218" s="116" t="s">
        <v>153</v>
      </c>
      <c r="DD218" s="117" t="s">
        <v>153</v>
      </c>
      <c r="DE218" s="118" t="s">
        <v>153</v>
      </c>
      <c r="DF218" s="119" t="s">
        <v>153</v>
      </c>
      <c r="DG218" s="120" t="s">
        <v>153</v>
      </c>
      <c r="DH218" s="121" t="s">
        <v>153</v>
      </c>
      <c r="DI218" s="122" t="s">
        <v>153</v>
      </c>
      <c r="DJ218" s="123" t="s">
        <v>153</v>
      </c>
      <c r="DK218" s="124" t="s">
        <v>153</v>
      </c>
      <c r="DL218" s="125" t="s">
        <v>153</v>
      </c>
      <c r="DM218" s="126" t="s">
        <v>153</v>
      </c>
      <c r="DN218" s="127" t="s">
        <v>153</v>
      </c>
      <c r="DO218" s="128" t="s">
        <v>153</v>
      </c>
      <c r="DP218" s="129" t="s">
        <v>153</v>
      </c>
      <c r="DQ218" s="130" t="s">
        <v>153</v>
      </c>
      <c r="DR218" s="131" t="s">
        <v>153</v>
      </c>
      <c r="DS218" s="132" t="s">
        <v>153</v>
      </c>
      <c r="DT218" s="133" t="s">
        <v>153</v>
      </c>
      <c r="DU218" s="134" t="s">
        <v>153</v>
      </c>
      <c r="DV218" s="135" t="s">
        <v>153</v>
      </c>
      <c r="DW218" s="136" t="s">
        <v>153</v>
      </c>
      <c r="DX218" s="137" t="s">
        <v>153</v>
      </c>
      <c r="DY218" s="138" t="s">
        <v>153</v>
      </c>
      <c r="DZ218" s="139" t="s">
        <v>191</v>
      </c>
      <c r="EA218" s="140">
        <v>43755</v>
      </c>
      <c r="EB218" s="141">
        <v>15972.27</v>
      </c>
      <c r="EC218" s="142">
        <v>39405</v>
      </c>
      <c r="ED218" s="143" t="s">
        <v>226</v>
      </c>
      <c r="EE218" s="278" t="str">
        <f>HYPERLINK("https://my.pitchbook.com?c=11056-78", "View company online")</f>
        <v>View company online</v>
      </c>
    </row>
    <row r="219" spans="1:135" x14ac:dyDescent="0.45">
      <c r="A219" s="144" t="s">
        <v>4821</v>
      </c>
      <c r="B219" s="145" t="s">
        <v>4822</v>
      </c>
      <c r="C219" s="146" t="s">
        <v>153</v>
      </c>
      <c r="D219" s="147" t="s">
        <v>153</v>
      </c>
      <c r="E219" s="148" t="s">
        <v>4823</v>
      </c>
      <c r="F219" s="149" t="s">
        <v>4824</v>
      </c>
      <c r="G219" s="150" t="s">
        <v>153</v>
      </c>
      <c r="H219" s="151" t="s">
        <v>4825</v>
      </c>
      <c r="I219" s="152" t="s">
        <v>4821</v>
      </c>
      <c r="J219" s="153" t="s">
        <v>4826</v>
      </c>
      <c r="K219" s="154" t="s">
        <v>559</v>
      </c>
      <c r="L219" s="155" t="s">
        <v>560</v>
      </c>
      <c r="M219" s="156" t="s">
        <v>561</v>
      </c>
      <c r="N219" s="157" t="s">
        <v>4827</v>
      </c>
      <c r="O219" s="158" t="s">
        <v>153</v>
      </c>
      <c r="P219" s="159" t="s">
        <v>4828</v>
      </c>
      <c r="Q219" s="160" t="s">
        <v>204</v>
      </c>
      <c r="R219" s="161">
        <v>1250</v>
      </c>
      <c r="S219" s="162" t="s">
        <v>290</v>
      </c>
      <c r="T219" s="163" t="s">
        <v>205</v>
      </c>
      <c r="U219" s="164" t="s">
        <v>2534</v>
      </c>
      <c r="V219" s="165" t="s">
        <v>4829</v>
      </c>
      <c r="W219" s="166">
        <v>231</v>
      </c>
      <c r="X219" s="167" t="s">
        <v>4830</v>
      </c>
      <c r="Y219" s="168" t="s">
        <v>153</v>
      </c>
      <c r="Z219" s="169" t="s">
        <v>153</v>
      </c>
      <c r="AA219" s="170">
        <v>1989</v>
      </c>
      <c r="AB219" s="171" t="s">
        <v>153</v>
      </c>
      <c r="AC219" s="172" t="s">
        <v>153</v>
      </c>
      <c r="AD219" s="173" t="s">
        <v>153</v>
      </c>
      <c r="AE219" s="174" t="s">
        <v>153</v>
      </c>
      <c r="AF219" s="175" t="s">
        <v>153</v>
      </c>
      <c r="AG219" s="176" t="s">
        <v>153</v>
      </c>
      <c r="AH219" s="177" t="s">
        <v>153</v>
      </c>
      <c r="AI219" s="178" t="s">
        <v>153</v>
      </c>
      <c r="AJ219" s="179" t="s">
        <v>153</v>
      </c>
      <c r="AK219" s="180" t="s">
        <v>153</v>
      </c>
      <c r="AL219" s="181" t="s">
        <v>153</v>
      </c>
      <c r="AM219" s="182" t="s">
        <v>153</v>
      </c>
      <c r="AN219" s="183" t="s">
        <v>4831</v>
      </c>
      <c r="AO219" s="184" t="s">
        <v>153</v>
      </c>
      <c r="AP219" s="185" t="s">
        <v>153</v>
      </c>
      <c r="AQ219" s="186" t="s">
        <v>153</v>
      </c>
      <c r="AR219" s="187" t="s">
        <v>153</v>
      </c>
      <c r="AS219" s="188" t="s">
        <v>153</v>
      </c>
      <c r="AT219" s="189" t="s">
        <v>4832</v>
      </c>
      <c r="AU219" s="190" t="s">
        <v>4833</v>
      </c>
      <c r="AV219" s="191" t="s">
        <v>153</v>
      </c>
      <c r="AW219" s="192" t="s">
        <v>4834</v>
      </c>
      <c r="AX219" s="193" t="s">
        <v>4835</v>
      </c>
      <c r="AY219" s="194" t="s">
        <v>4836</v>
      </c>
      <c r="AZ219" s="195" t="s">
        <v>215</v>
      </c>
      <c r="BA219" s="196" t="s">
        <v>153</v>
      </c>
      <c r="BB219" s="197" t="s">
        <v>153</v>
      </c>
      <c r="BC219" s="198" t="s">
        <v>153</v>
      </c>
      <c r="BD219" s="199" t="s">
        <v>216</v>
      </c>
      <c r="BE219" s="200" t="s">
        <v>217</v>
      </c>
      <c r="BF219" s="201" t="s">
        <v>4837</v>
      </c>
      <c r="BG219" s="202" t="s">
        <v>153</v>
      </c>
      <c r="BH219" s="203" t="s">
        <v>153</v>
      </c>
      <c r="BI219" s="204" t="s">
        <v>4838</v>
      </c>
      <c r="BJ219" s="205" t="s">
        <v>4839</v>
      </c>
      <c r="BK219" s="206" t="s">
        <v>153</v>
      </c>
      <c r="BL219" s="207" t="s">
        <v>153</v>
      </c>
      <c r="BM219" s="208" t="s">
        <v>153</v>
      </c>
      <c r="BN219" s="209" t="s">
        <v>153</v>
      </c>
      <c r="BO219" s="210" t="s">
        <v>4840</v>
      </c>
      <c r="BP219" s="211" t="s">
        <v>4841</v>
      </c>
      <c r="BQ219" s="212">
        <v>38475</v>
      </c>
      <c r="BR219" s="213" t="s">
        <v>153</v>
      </c>
      <c r="BS219" s="214" t="s">
        <v>153</v>
      </c>
      <c r="BT219" s="215" t="s">
        <v>153</v>
      </c>
      <c r="BU219" s="216" t="s">
        <v>153</v>
      </c>
      <c r="BV219" s="217" t="s">
        <v>251</v>
      </c>
      <c r="BW219" s="218" t="s">
        <v>153</v>
      </c>
      <c r="BX219" s="219" t="s">
        <v>153</v>
      </c>
      <c r="BY219" s="220" t="s">
        <v>252</v>
      </c>
      <c r="BZ219" s="221" t="s">
        <v>153</v>
      </c>
      <c r="CA219" s="222" t="s">
        <v>190</v>
      </c>
      <c r="CB219" s="223">
        <v>44228</v>
      </c>
      <c r="CC219" s="224">
        <v>15954</v>
      </c>
      <c r="CD219" s="225" t="s">
        <v>186</v>
      </c>
      <c r="CE219" s="226">
        <v>15954</v>
      </c>
      <c r="CF219" s="227" t="s">
        <v>187</v>
      </c>
      <c r="CG219" s="228" t="s">
        <v>226</v>
      </c>
      <c r="CH219" s="229" t="s">
        <v>729</v>
      </c>
      <c r="CI219" s="230" t="s">
        <v>153</v>
      </c>
      <c r="CJ219" s="231" t="s">
        <v>225</v>
      </c>
      <c r="CK219" s="232">
        <v>44228</v>
      </c>
      <c r="CL219" s="233" t="s">
        <v>153</v>
      </c>
      <c r="CM219" s="234" t="s">
        <v>153</v>
      </c>
      <c r="CN219" s="235" t="s">
        <v>190</v>
      </c>
      <c r="CO219" s="236" t="s">
        <v>153</v>
      </c>
      <c r="CP219" s="237" t="s">
        <v>153</v>
      </c>
      <c r="CQ219" s="238" t="s">
        <v>153</v>
      </c>
      <c r="CR219" s="239" t="s">
        <v>153</v>
      </c>
      <c r="CS219" s="240" t="s">
        <v>153</v>
      </c>
      <c r="CT219" s="241" t="s">
        <v>153</v>
      </c>
      <c r="CU219" s="242" t="s">
        <v>153</v>
      </c>
      <c r="CV219" s="243" t="s">
        <v>153</v>
      </c>
      <c r="CW219" s="244" t="s">
        <v>153</v>
      </c>
      <c r="CX219" s="245" t="s">
        <v>153</v>
      </c>
      <c r="CY219" s="246" t="s">
        <v>153</v>
      </c>
      <c r="CZ219" s="247" t="s">
        <v>153</v>
      </c>
      <c r="DA219" s="248" t="s">
        <v>153</v>
      </c>
      <c r="DB219" s="249" t="s">
        <v>153</v>
      </c>
      <c r="DC219" s="250" t="s">
        <v>153</v>
      </c>
      <c r="DD219" s="251" t="s">
        <v>153</v>
      </c>
      <c r="DE219" s="252" t="s">
        <v>153</v>
      </c>
      <c r="DF219" s="253" t="s">
        <v>153</v>
      </c>
      <c r="DG219" s="254" t="s">
        <v>153</v>
      </c>
      <c r="DH219" s="255" t="s">
        <v>153</v>
      </c>
      <c r="DI219" s="256" t="s">
        <v>153</v>
      </c>
      <c r="DJ219" s="257" t="s">
        <v>153</v>
      </c>
      <c r="DK219" s="258" t="s">
        <v>153</v>
      </c>
      <c r="DL219" s="259" t="s">
        <v>153</v>
      </c>
      <c r="DM219" s="260" t="s">
        <v>153</v>
      </c>
      <c r="DN219" s="261" t="s">
        <v>153</v>
      </c>
      <c r="DO219" s="262" t="s">
        <v>153</v>
      </c>
      <c r="DP219" s="263" t="s">
        <v>153</v>
      </c>
      <c r="DQ219" s="264" t="s">
        <v>153</v>
      </c>
      <c r="DR219" s="265" t="s">
        <v>153</v>
      </c>
      <c r="DS219" s="266" t="s">
        <v>153</v>
      </c>
      <c r="DT219" s="267" t="s">
        <v>153</v>
      </c>
      <c r="DU219" s="268" t="s">
        <v>153</v>
      </c>
      <c r="DV219" s="269" t="s">
        <v>153</v>
      </c>
      <c r="DW219" s="270" t="s">
        <v>153</v>
      </c>
      <c r="DX219" s="271" t="s">
        <v>153</v>
      </c>
      <c r="DY219" s="272" t="s">
        <v>153</v>
      </c>
      <c r="DZ219" s="273" t="s">
        <v>191</v>
      </c>
      <c r="EA219" s="274">
        <v>44392</v>
      </c>
      <c r="EB219" s="275">
        <v>15954</v>
      </c>
      <c r="EC219" s="276">
        <v>44228</v>
      </c>
      <c r="ED219" s="277" t="s">
        <v>226</v>
      </c>
      <c r="EE219" s="279" t="str">
        <f>HYPERLINK("https://my.pitchbook.com?c=13260-25", "View company online")</f>
        <v>View company online</v>
      </c>
    </row>
    <row r="220" spans="1:135" x14ac:dyDescent="0.45">
      <c r="A220" s="10" t="s">
        <v>4842</v>
      </c>
      <c r="B220" s="11" t="s">
        <v>4843</v>
      </c>
      <c r="C220" s="12" t="s">
        <v>153</v>
      </c>
      <c r="D220" s="13" t="s">
        <v>153</v>
      </c>
      <c r="E220" s="14" t="s">
        <v>4844</v>
      </c>
      <c r="F220" s="15" t="s">
        <v>153</v>
      </c>
      <c r="G220" s="16" t="s">
        <v>4845</v>
      </c>
      <c r="H220" s="17" t="s">
        <v>153</v>
      </c>
      <c r="I220" s="18" t="s">
        <v>4842</v>
      </c>
      <c r="J220" s="19" t="s">
        <v>4846</v>
      </c>
      <c r="K220" s="20" t="s">
        <v>882</v>
      </c>
      <c r="L220" s="21" t="s">
        <v>883</v>
      </c>
      <c r="M220" s="22" t="s">
        <v>3501</v>
      </c>
      <c r="N220" s="23" t="s">
        <v>4847</v>
      </c>
      <c r="O220" s="24" t="s">
        <v>1234</v>
      </c>
      <c r="P220" s="25" t="s">
        <v>4848</v>
      </c>
      <c r="Q220" s="26" t="s">
        <v>564</v>
      </c>
      <c r="R220" s="27" t="s">
        <v>153</v>
      </c>
      <c r="S220" s="28" t="s">
        <v>290</v>
      </c>
      <c r="T220" s="29" t="s">
        <v>205</v>
      </c>
      <c r="U220" s="30" t="s">
        <v>565</v>
      </c>
      <c r="V220" s="31" t="s">
        <v>4849</v>
      </c>
      <c r="W220" s="32">
        <v>108000</v>
      </c>
      <c r="X220" s="33" t="s">
        <v>4850</v>
      </c>
      <c r="Y220" s="34" t="s">
        <v>153</v>
      </c>
      <c r="Z220" s="35" t="s">
        <v>153</v>
      </c>
      <c r="AA220" s="36">
        <v>1849</v>
      </c>
      <c r="AB220" s="37" t="s">
        <v>153</v>
      </c>
      <c r="AC220" s="38" t="s">
        <v>153</v>
      </c>
      <c r="AD220" s="39" t="s">
        <v>428</v>
      </c>
      <c r="AE220" s="40" t="s">
        <v>153</v>
      </c>
      <c r="AF220" s="41" t="s">
        <v>153</v>
      </c>
      <c r="AG220" s="42" t="s">
        <v>153</v>
      </c>
      <c r="AH220" s="43" t="s">
        <v>153</v>
      </c>
      <c r="AI220" s="44" t="s">
        <v>153</v>
      </c>
      <c r="AJ220" s="45" t="s">
        <v>153</v>
      </c>
      <c r="AK220" s="46" t="s">
        <v>153</v>
      </c>
      <c r="AL220" s="47" t="s">
        <v>153</v>
      </c>
      <c r="AM220" s="48" t="s">
        <v>153</v>
      </c>
      <c r="AN220" s="49" t="s">
        <v>1442</v>
      </c>
      <c r="AO220" s="50" t="s">
        <v>4851</v>
      </c>
      <c r="AP220" s="51" t="s">
        <v>4852</v>
      </c>
      <c r="AQ220" s="52" t="s">
        <v>4853</v>
      </c>
      <c r="AR220" s="53" t="s">
        <v>4854</v>
      </c>
      <c r="AS220" s="54" t="s">
        <v>153</v>
      </c>
      <c r="AT220" s="55" t="s">
        <v>4855</v>
      </c>
      <c r="AU220" s="56" t="s">
        <v>4856</v>
      </c>
      <c r="AV220" s="57" t="s">
        <v>153</v>
      </c>
      <c r="AW220" s="58" t="s">
        <v>4857</v>
      </c>
      <c r="AX220" s="59" t="s">
        <v>153</v>
      </c>
      <c r="AY220" s="60" t="s">
        <v>4858</v>
      </c>
      <c r="AZ220" s="61" t="s">
        <v>1426</v>
      </c>
      <c r="BA220" s="62" t="s">
        <v>153</v>
      </c>
      <c r="BB220" s="63" t="s">
        <v>153</v>
      </c>
      <c r="BC220" s="64" t="s">
        <v>153</v>
      </c>
      <c r="BD220" s="65" t="s">
        <v>180</v>
      </c>
      <c r="BE220" s="66" t="s">
        <v>181</v>
      </c>
      <c r="BF220" s="67" t="s">
        <v>4859</v>
      </c>
      <c r="BG220" s="68" t="s">
        <v>153</v>
      </c>
      <c r="BH220" s="69" t="s">
        <v>153</v>
      </c>
      <c r="BI220" s="70" t="s">
        <v>4599</v>
      </c>
      <c r="BJ220" s="71" t="s">
        <v>4860</v>
      </c>
      <c r="BK220" s="72" t="s">
        <v>4861</v>
      </c>
      <c r="BL220" s="73" t="s">
        <v>153</v>
      </c>
      <c r="BM220" s="74" t="s">
        <v>4862</v>
      </c>
      <c r="BN220" s="75" t="s">
        <v>4863</v>
      </c>
      <c r="BO220" s="76" t="s">
        <v>4864</v>
      </c>
      <c r="BP220" s="77" t="s">
        <v>4865</v>
      </c>
      <c r="BQ220" s="78">
        <v>8402</v>
      </c>
      <c r="BR220" s="79" t="s">
        <v>153</v>
      </c>
      <c r="BS220" s="80" t="s">
        <v>153</v>
      </c>
      <c r="BT220" s="81" t="s">
        <v>153</v>
      </c>
      <c r="BU220" s="82" t="s">
        <v>153</v>
      </c>
      <c r="BV220" s="83" t="s">
        <v>251</v>
      </c>
      <c r="BW220" s="84" t="s">
        <v>153</v>
      </c>
      <c r="BX220" s="85" t="s">
        <v>153</v>
      </c>
      <c r="BY220" s="86" t="s">
        <v>252</v>
      </c>
      <c r="BZ220" s="87" t="s">
        <v>153</v>
      </c>
      <c r="CA220" s="88" t="s">
        <v>190</v>
      </c>
      <c r="CB220" s="89">
        <v>42004</v>
      </c>
      <c r="CC220" s="90">
        <v>15930.85</v>
      </c>
      <c r="CD220" s="91" t="s">
        <v>186</v>
      </c>
      <c r="CE220" s="92">
        <v>28965.18</v>
      </c>
      <c r="CF220" s="93" t="s">
        <v>187</v>
      </c>
      <c r="CG220" s="94" t="s">
        <v>226</v>
      </c>
      <c r="CH220" s="95" t="s">
        <v>153</v>
      </c>
      <c r="CI220" s="96" t="s">
        <v>153</v>
      </c>
      <c r="CJ220" s="97" t="s">
        <v>225</v>
      </c>
      <c r="CK220" s="98">
        <v>42004</v>
      </c>
      <c r="CL220" s="99" t="s">
        <v>153</v>
      </c>
      <c r="CM220" s="100" t="s">
        <v>153</v>
      </c>
      <c r="CN220" s="101" t="s">
        <v>190</v>
      </c>
      <c r="CO220" s="102" t="s">
        <v>153</v>
      </c>
      <c r="CP220" s="103" t="s">
        <v>153</v>
      </c>
      <c r="CQ220" s="104" t="s">
        <v>153</v>
      </c>
      <c r="CR220" s="105" t="s">
        <v>153</v>
      </c>
      <c r="CS220" s="106" t="s">
        <v>153</v>
      </c>
      <c r="CT220" s="107" t="s">
        <v>153</v>
      </c>
      <c r="CU220" s="108" t="s">
        <v>153</v>
      </c>
      <c r="CV220" s="109" t="s">
        <v>153</v>
      </c>
      <c r="CW220" s="110" t="s">
        <v>153</v>
      </c>
      <c r="CX220" s="111" t="s">
        <v>153</v>
      </c>
      <c r="CY220" s="112" t="s">
        <v>153</v>
      </c>
      <c r="CZ220" s="113" t="s">
        <v>153</v>
      </c>
      <c r="DA220" s="114" t="s">
        <v>153</v>
      </c>
      <c r="DB220" s="115" t="s">
        <v>153</v>
      </c>
      <c r="DC220" s="116" t="s">
        <v>153</v>
      </c>
      <c r="DD220" s="117" t="s">
        <v>153</v>
      </c>
      <c r="DE220" s="118" t="s">
        <v>153</v>
      </c>
      <c r="DF220" s="119" t="s">
        <v>153</v>
      </c>
      <c r="DG220" s="120" t="s">
        <v>153</v>
      </c>
      <c r="DH220" s="121" t="s">
        <v>153</v>
      </c>
      <c r="DI220" s="122" t="s">
        <v>153</v>
      </c>
      <c r="DJ220" s="123" t="s">
        <v>153</v>
      </c>
      <c r="DK220" s="124" t="s">
        <v>153</v>
      </c>
      <c r="DL220" s="125" t="s">
        <v>153</v>
      </c>
      <c r="DM220" s="126" t="s">
        <v>153</v>
      </c>
      <c r="DN220" s="127" t="s">
        <v>153</v>
      </c>
      <c r="DO220" s="128" t="s">
        <v>153</v>
      </c>
      <c r="DP220" s="129" t="s">
        <v>153</v>
      </c>
      <c r="DQ220" s="130" t="s">
        <v>153</v>
      </c>
      <c r="DR220" s="131" t="s">
        <v>153</v>
      </c>
      <c r="DS220" s="132" t="s">
        <v>153</v>
      </c>
      <c r="DT220" s="133" t="s">
        <v>153</v>
      </c>
      <c r="DU220" s="134" t="s">
        <v>153</v>
      </c>
      <c r="DV220" s="135" t="s">
        <v>153</v>
      </c>
      <c r="DW220" s="136" t="s">
        <v>153</v>
      </c>
      <c r="DX220" s="137" t="s">
        <v>153</v>
      </c>
      <c r="DY220" s="138" t="s">
        <v>153</v>
      </c>
      <c r="DZ220" s="139" t="s">
        <v>191</v>
      </c>
      <c r="EA220" s="140">
        <v>44386</v>
      </c>
      <c r="EB220" s="141">
        <v>28965.18</v>
      </c>
      <c r="EC220" s="142">
        <v>42004</v>
      </c>
      <c r="ED220" s="143" t="s">
        <v>226</v>
      </c>
      <c r="EE220" s="278" t="str">
        <f>HYPERLINK("https://my.pitchbook.com?c=10440-28", "View company online")</f>
        <v>View company online</v>
      </c>
    </row>
    <row r="221" spans="1:135" x14ac:dyDescent="0.45">
      <c r="A221" s="144" t="s">
        <v>4866</v>
      </c>
      <c r="B221" s="145" t="s">
        <v>4867</v>
      </c>
      <c r="C221" s="146" t="s">
        <v>153</v>
      </c>
      <c r="D221" s="147" t="s">
        <v>153</v>
      </c>
      <c r="E221" s="148" t="s">
        <v>153</v>
      </c>
      <c r="F221" s="149" t="s">
        <v>4868</v>
      </c>
      <c r="G221" s="150" t="s">
        <v>4869</v>
      </c>
      <c r="H221" s="151" t="s">
        <v>4870</v>
      </c>
      <c r="I221" s="152" t="s">
        <v>4866</v>
      </c>
      <c r="J221" s="153" t="s">
        <v>4871</v>
      </c>
      <c r="K221" s="154" t="s">
        <v>198</v>
      </c>
      <c r="L221" s="155" t="s">
        <v>1589</v>
      </c>
      <c r="M221" s="156" t="s">
        <v>1590</v>
      </c>
      <c r="N221" s="157" t="s">
        <v>4872</v>
      </c>
      <c r="O221" s="158" t="s">
        <v>1592</v>
      </c>
      <c r="P221" s="159" t="s">
        <v>4873</v>
      </c>
      <c r="Q221" s="160" t="s">
        <v>204</v>
      </c>
      <c r="R221" s="161">
        <v>38.200000000000003</v>
      </c>
      <c r="S221" s="162" t="s">
        <v>290</v>
      </c>
      <c r="T221" s="163" t="s">
        <v>164</v>
      </c>
      <c r="U221" s="164" t="s">
        <v>482</v>
      </c>
      <c r="V221" s="165" t="s">
        <v>4874</v>
      </c>
      <c r="W221" s="166">
        <v>1665</v>
      </c>
      <c r="X221" s="167" t="s">
        <v>4875</v>
      </c>
      <c r="Y221" s="168" t="s">
        <v>153</v>
      </c>
      <c r="Z221" s="169" t="s">
        <v>153</v>
      </c>
      <c r="AA221" s="170">
        <v>1981</v>
      </c>
      <c r="AB221" s="171" t="s">
        <v>4876</v>
      </c>
      <c r="AC221" s="172" t="s">
        <v>153</v>
      </c>
      <c r="AD221" s="173" t="s">
        <v>153</v>
      </c>
      <c r="AE221" s="174" t="s">
        <v>153</v>
      </c>
      <c r="AF221" s="175" t="s">
        <v>153</v>
      </c>
      <c r="AG221" s="176" t="s">
        <v>153</v>
      </c>
      <c r="AH221" s="177" t="s">
        <v>153</v>
      </c>
      <c r="AI221" s="178" t="s">
        <v>153</v>
      </c>
      <c r="AJ221" s="179" t="s">
        <v>153</v>
      </c>
      <c r="AK221" s="180" t="s">
        <v>153</v>
      </c>
      <c r="AL221" s="181" t="s">
        <v>153</v>
      </c>
      <c r="AM221" s="182" t="s">
        <v>153</v>
      </c>
      <c r="AN221" s="183" t="s">
        <v>4877</v>
      </c>
      <c r="AO221" s="184" t="s">
        <v>4878</v>
      </c>
      <c r="AP221" s="185" t="s">
        <v>4879</v>
      </c>
      <c r="AQ221" s="186" t="s">
        <v>3351</v>
      </c>
      <c r="AR221" s="187" t="s">
        <v>4880</v>
      </c>
      <c r="AS221" s="188" t="s">
        <v>4881</v>
      </c>
      <c r="AT221" s="189" t="s">
        <v>4882</v>
      </c>
      <c r="AU221" s="190" t="s">
        <v>4883</v>
      </c>
      <c r="AV221" s="191" t="s">
        <v>153</v>
      </c>
      <c r="AW221" s="192" t="s">
        <v>4884</v>
      </c>
      <c r="AX221" s="193" t="s">
        <v>308</v>
      </c>
      <c r="AY221" s="194" t="s">
        <v>4885</v>
      </c>
      <c r="AZ221" s="195" t="s">
        <v>215</v>
      </c>
      <c r="BA221" s="196" t="s">
        <v>4881</v>
      </c>
      <c r="BB221" s="197" t="s">
        <v>153</v>
      </c>
      <c r="BC221" s="198" t="s">
        <v>153</v>
      </c>
      <c r="BD221" s="199" t="s">
        <v>216</v>
      </c>
      <c r="BE221" s="200" t="s">
        <v>217</v>
      </c>
      <c r="BF221" s="201" t="s">
        <v>4886</v>
      </c>
      <c r="BG221" s="202" t="s">
        <v>153</v>
      </c>
      <c r="BH221" s="203" t="s">
        <v>153</v>
      </c>
      <c r="BI221" s="204" t="s">
        <v>4876</v>
      </c>
      <c r="BJ221" s="205" t="s">
        <v>4887</v>
      </c>
      <c r="BK221" s="206" t="s">
        <v>153</v>
      </c>
      <c r="BL221" s="207" t="s">
        <v>153</v>
      </c>
      <c r="BM221" s="208" t="s">
        <v>4888</v>
      </c>
      <c r="BN221" s="209" t="s">
        <v>153</v>
      </c>
      <c r="BO221" s="210" t="s">
        <v>4889</v>
      </c>
      <c r="BP221" s="211" t="s">
        <v>4890</v>
      </c>
      <c r="BQ221" s="212">
        <v>29830</v>
      </c>
      <c r="BR221" s="213">
        <v>4.5</v>
      </c>
      <c r="BS221" s="214" t="s">
        <v>186</v>
      </c>
      <c r="BT221" s="215" t="s">
        <v>153</v>
      </c>
      <c r="BU221" s="216" t="s">
        <v>153</v>
      </c>
      <c r="BV221" s="217" t="s">
        <v>471</v>
      </c>
      <c r="BW221" s="218" t="s">
        <v>1811</v>
      </c>
      <c r="BX221" s="219" t="s">
        <v>153</v>
      </c>
      <c r="BY221" s="220" t="s">
        <v>472</v>
      </c>
      <c r="BZ221" s="221" t="s">
        <v>153</v>
      </c>
      <c r="CA221" s="222" t="s">
        <v>190</v>
      </c>
      <c r="CB221" s="223">
        <v>42804</v>
      </c>
      <c r="CC221" s="224">
        <v>15800</v>
      </c>
      <c r="CD221" s="225" t="s">
        <v>187</v>
      </c>
      <c r="CE221" s="226">
        <v>15800</v>
      </c>
      <c r="CF221" s="227" t="s">
        <v>187</v>
      </c>
      <c r="CG221" s="228" t="s">
        <v>226</v>
      </c>
      <c r="CH221" s="229" t="s">
        <v>153</v>
      </c>
      <c r="CI221" s="230" t="s">
        <v>153</v>
      </c>
      <c r="CJ221" s="231" t="s">
        <v>225</v>
      </c>
      <c r="CK221" s="232">
        <v>42804</v>
      </c>
      <c r="CL221" s="233" t="s">
        <v>153</v>
      </c>
      <c r="CM221" s="234" t="s">
        <v>4891</v>
      </c>
      <c r="CN221" s="235" t="s">
        <v>190</v>
      </c>
      <c r="CO221" s="236">
        <v>-0.06</v>
      </c>
      <c r="CP221" s="237">
        <v>9</v>
      </c>
      <c r="CQ221" s="238">
        <v>-7.0000000000000007E-2</v>
      </c>
      <c r="CR221" s="239">
        <v>-1486</v>
      </c>
      <c r="CS221" s="240">
        <v>0.02</v>
      </c>
      <c r="CT221" s="241">
        <v>89</v>
      </c>
      <c r="CU221" s="242">
        <v>-0.14000000000000001</v>
      </c>
      <c r="CV221" s="243">
        <v>11</v>
      </c>
      <c r="CW221" s="244" t="s">
        <v>153</v>
      </c>
      <c r="CX221" s="245" t="s">
        <v>153</v>
      </c>
      <c r="CY221" s="246">
        <v>0.02</v>
      </c>
      <c r="CZ221" s="247">
        <v>90</v>
      </c>
      <c r="DA221" s="248">
        <v>-0.14000000000000001</v>
      </c>
      <c r="DB221" s="249">
        <v>11</v>
      </c>
      <c r="DC221" s="250">
        <v>179.29</v>
      </c>
      <c r="DD221" s="251">
        <v>100</v>
      </c>
      <c r="DE221" s="252">
        <v>0.67</v>
      </c>
      <c r="DF221" s="253">
        <v>0.38</v>
      </c>
      <c r="DG221" s="254">
        <v>294.06</v>
      </c>
      <c r="DH221" s="255">
        <v>100</v>
      </c>
      <c r="DI221" s="256">
        <v>64.510000000000005</v>
      </c>
      <c r="DJ221" s="257">
        <v>97</v>
      </c>
      <c r="DK221" s="258" t="s">
        <v>153</v>
      </c>
      <c r="DL221" s="259" t="s">
        <v>153</v>
      </c>
      <c r="DM221" s="260">
        <v>294.06</v>
      </c>
      <c r="DN221" s="261">
        <v>100</v>
      </c>
      <c r="DO221" s="262">
        <v>64.510000000000005</v>
      </c>
      <c r="DP221" s="263">
        <v>97</v>
      </c>
      <c r="DQ221" s="264" t="s">
        <v>153</v>
      </c>
      <c r="DR221" s="265" t="s">
        <v>153</v>
      </c>
      <c r="DS221" s="266" t="s">
        <v>153</v>
      </c>
      <c r="DT221" s="267">
        <v>4698</v>
      </c>
      <c r="DU221" s="268">
        <v>17</v>
      </c>
      <c r="DV221" s="269">
        <v>0.36</v>
      </c>
      <c r="DW221" s="270">
        <v>20257</v>
      </c>
      <c r="DX221" s="271">
        <v>-3</v>
      </c>
      <c r="DY221" s="272">
        <v>-0.01</v>
      </c>
      <c r="DZ221" s="273" t="s">
        <v>191</v>
      </c>
      <c r="EA221" s="274">
        <v>44342</v>
      </c>
      <c r="EB221" s="275">
        <v>15800</v>
      </c>
      <c r="EC221" s="276">
        <v>42804</v>
      </c>
      <c r="ED221" s="277" t="s">
        <v>226</v>
      </c>
      <c r="EE221" s="279" t="str">
        <f>HYPERLINK("https://my.pitchbook.com?c=13414-69", "View company online")</f>
        <v>View company online</v>
      </c>
    </row>
    <row r="222" spans="1:135" x14ac:dyDescent="0.45">
      <c r="A222" s="10" t="s">
        <v>4892</v>
      </c>
      <c r="B222" s="11" t="s">
        <v>4893</v>
      </c>
      <c r="C222" s="12" t="s">
        <v>153</v>
      </c>
      <c r="D222" s="13" t="s">
        <v>153</v>
      </c>
      <c r="E222" s="14" t="s">
        <v>153</v>
      </c>
      <c r="F222" s="15" t="s">
        <v>153</v>
      </c>
      <c r="G222" s="16" t="s">
        <v>4894</v>
      </c>
      <c r="H222" s="17" t="s">
        <v>4895</v>
      </c>
      <c r="I222" s="18" t="s">
        <v>4892</v>
      </c>
      <c r="J222" s="19" t="s">
        <v>4896</v>
      </c>
      <c r="K222" s="20" t="s">
        <v>157</v>
      </c>
      <c r="L222" s="21" t="s">
        <v>664</v>
      </c>
      <c r="M222" s="22" t="s">
        <v>665</v>
      </c>
      <c r="N222" s="23" t="s">
        <v>4897</v>
      </c>
      <c r="O222" s="24" t="s">
        <v>261</v>
      </c>
      <c r="P222" s="25" t="s">
        <v>4898</v>
      </c>
      <c r="Q222" s="26" t="s">
        <v>564</v>
      </c>
      <c r="R222" s="27">
        <v>827</v>
      </c>
      <c r="S222" s="28" t="s">
        <v>290</v>
      </c>
      <c r="T222" s="29" t="s">
        <v>164</v>
      </c>
      <c r="U222" s="30" t="s">
        <v>565</v>
      </c>
      <c r="V222" s="31" t="s">
        <v>4899</v>
      </c>
      <c r="W222" s="32">
        <v>8522</v>
      </c>
      <c r="X222" s="33" t="s">
        <v>4900</v>
      </c>
      <c r="Y222" s="34" t="s">
        <v>153</v>
      </c>
      <c r="Z222" s="35" t="s">
        <v>153</v>
      </c>
      <c r="AA222" s="36">
        <v>1837</v>
      </c>
      <c r="AB222" s="37" t="s">
        <v>4901</v>
      </c>
      <c r="AC222" s="38" t="s">
        <v>570</v>
      </c>
      <c r="AD222" s="39" t="s">
        <v>4902</v>
      </c>
      <c r="AE222" s="40">
        <v>3668.7</v>
      </c>
      <c r="AF222" s="41">
        <v>2273.3000000000002</v>
      </c>
      <c r="AG222" s="42">
        <v>287.5</v>
      </c>
      <c r="AH222" s="43" t="s">
        <v>153</v>
      </c>
      <c r="AI222" s="44">
        <v>680.5</v>
      </c>
      <c r="AJ222" s="45">
        <v>407.2</v>
      </c>
      <c r="AK222" s="46" t="s">
        <v>153</v>
      </c>
      <c r="AL222" s="47">
        <v>1507.2</v>
      </c>
      <c r="AM222" s="48">
        <v>-16.37</v>
      </c>
      <c r="AN222" s="49" t="s">
        <v>3265</v>
      </c>
      <c r="AO222" s="50" t="s">
        <v>4903</v>
      </c>
      <c r="AP222" s="51" t="s">
        <v>4904</v>
      </c>
      <c r="AQ222" s="52" t="s">
        <v>379</v>
      </c>
      <c r="AR222" s="53" t="s">
        <v>153</v>
      </c>
      <c r="AS222" s="54" t="s">
        <v>4905</v>
      </c>
      <c r="AT222" s="55" t="s">
        <v>433</v>
      </c>
      <c r="AU222" s="56" t="s">
        <v>4906</v>
      </c>
      <c r="AV222" s="57" t="s">
        <v>153</v>
      </c>
      <c r="AW222" s="58" t="s">
        <v>436</v>
      </c>
      <c r="AX222" s="59" t="s">
        <v>436</v>
      </c>
      <c r="AY222" s="60" t="s">
        <v>4907</v>
      </c>
      <c r="AZ222" s="61" t="s">
        <v>215</v>
      </c>
      <c r="BA222" s="62" t="s">
        <v>4905</v>
      </c>
      <c r="BB222" s="63" t="s">
        <v>153</v>
      </c>
      <c r="BC222" s="64" t="s">
        <v>4908</v>
      </c>
      <c r="BD222" s="65" t="s">
        <v>216</v>
      </c>
      <c r="BE222" s="66" t="s">
        <v>217</v>
      </c>
      <c r="BF222" s="67" t="s">
        <v>4909</v>
      </c>
      <c r="BG222" s="68" t="s">
        <v>153</v>
      </c>
      <c r="BH222" s="69" t="s">
        <v>153</v>
      </c>
      <c r="BI222" s="70" t="s">
        <v>4901</v>
      </c>
      <c r="BJ222" s="71" t="s">
        <v>4910</v>
      </c>
      <c r="BK222" s="72" t="s">
        <v>153</v>
      </c>
      <c r="BL222" s="73" t="s">
        <v>153</v>
      </c>
      <c r="BM222" s="74" t="s">
        <v>4911</v>
      </c>
      <c r="BN222" s="75" t="s">
        <v>153</v>
      </c>
      <c r="BO222" s="76" t="s">
        <v>4912</v>
      </c>
      <c r="BP222" s="77" t="s">
        <v>4913</v>
      </c>
      <c r="BQ222" s="78">
        <v>30682</v>
      </c>
      <c r="BR222" s="79" t="s">
        <v>153</v>
      </c>
      <c r="BS222" s="80" t="s">
        <v>153</v>
      </c>
      <c r="BT222" s="81" t="s">
        <v>153</v>
      </c>
      <c r="BU222" s="82" t="s">
        <v>153</v>
      </c>
      <c r="BV222" s="83" t="s">
        <v>188</v>
      </c>
      <c r="BW222" s="84" t="s">
        <v>153</v>
      </c>
      <c r="BX222" s="85" t="s">
        <v>153</v>
      </c>
      <c r="BY222" s="86" t="s">
        <v>165</v>
      </c>
      <c r="BZ222" s="87" t="s">
        <v>153</v>
      </c>
      <c r="CA222" s="88" t="s">
        <v>190</v>
      </c>
      <c r="CB222" s="89">
        <v>44203</v>
      </c>
      <c r="CC222" s="90">
        <v>15800</v>
      </c>
      <c r="CD222" s="91" t="s">
        <v>186</v>
      </c>
      <c r="CE222" s="92">
        <v>15800</v>
      </c>
      <c r="CF222" s="93" t="s">
        <v>187</v>
      </c>
      <c r="CG222" s="94" t="s">
        <v>226</v>
      </c>
      <c r="CH222" s="95" t="s">
        <v>153</v>
      </c>
      <c r="CI222" s="96" t="s">
        <v>153</v>
      </c>
      <c r="CJ222" s="97" t="s">
        <v>225</v>
      </c>
      <c r="CK222" s="98">
        <v>44203</v>
      </c>
      <c r="CL222" s="99" t="s">
        <v>153</v>
      </c>
      <c r="CM222" s="100" t="s">
        <v>153</v>
      </c>
      <c r="CN222" s="101" t="s">
        <v>190</v>
      </c>
      <c r="CO222" s="102">
        <v>-3.8</v>
      </c>
      <c r="CP222" s="103">
        <v>1</v>
      </c>
      <c r="CQ222" s="104">
        <v>0</v>
      </c>
      <c r="CR222" s="105">
        <v>0</v>
      </c>
      <c r="CS222" s="106" t="s">
        <v>153</v>
      </c>
      <c r="CT222" s="107" t="s">
        <v>153</v>
      </c>
      <c r="CU222" s="108" t="s">
        <v>153</v>
      </c>
      <c r="CV222" s="109" t="s">
        <v>153</v>
      </c>
      <c r="CW222" s="110" t="s">
        <v>153</v>
      </c>
      <c r="CX222" s="111" t="s">
        <v>153</v>
      </c>
      <c r="CY222" s="112" t="s">
        <v>153</v>
      </c>
      <c r="CZ222" s="113" t="s">
        <v>153</v>
      </c>
      <c r="DA222" s="114" t="s">
        <v>153</v>
      </c>
      <c r="DB222" s="115" t="s">
        <v>153</v>
      </c>
      <c r="DC222" s="116">
        <v>230.32</v>
      </c>
      <c r="DD222" s="117">
        <v>100</v>
      </c>
      <c r="DE222" s="118">
        <v>0</v>
      </c>
      <c r="DF222" s="119">
        <v>0</v>
      </c>
      <c r="DG222" s="120" t="s">
        <v>153</v>
      </c>
      <c r="DH222" s="121" t="s">
        <v>153</v>
      </c>
      <c r="DI222" s="122" t="s">
        <v>153</v>
      </c>
      <c r="DJ222" s="123" t="s">
        <v>153</v>
      </c>
      <c r="DK222" s="124" t="s">
        <v>153</v>
      </c>
      <c r="DL222" s="125" t="s">
        <v>153</v>
      </c>
      <c r="DM222" s="126" t="s">
        <v>153</v>
      </c>
      <c r="DN222" s="127" t="s">
        <v>153</v>
      </c>
      <c r="DO222" s="128" t="s">
        <v>153</v>
      </c>
      <c r="DP222" s="129" t="s">
        <v>153</v>
      </c>
      <c r="DQ222" s="130" t="s">
        <v>153</v>
      </c>
      <c r="DR222" s="131" t="s">
        <v>153</v>
      </c>
      <c r="DS222" s="132" t="s">
        <v>153</v>
      </c>
      <c r="DT222" s="133" t="s">
        <v>153</v>
      </c>
      <c r="DU222" s="134" t="s">
        <v>153</v>
      </c>
      <c r="DV222" s="135" t="s">
        <v>153</v>
      </c>
      <c r="DW222" s="136" t="s">
        <v>153</v>
      </c>
      <c r="DX222" s="137" t="s">
        <v>153</v>
      </c>
      <c r="DY222" s="138" t="s">
        <v>153</v>
      </c>
      <c r="DZ222" s="139" t="s">
        <v>191</v>
      </c>
      <c r="EA222" s="140">
        <v>44390</v>
      </c>
      <c r="EB222" s="141">
        <v>15800</v>
      </c>
      <c r="EC222" s="142">
        <v>44203</v>
      </c>
      <c r="ED222" s="143" t="s">
        <v>226</v>
      </c>
      <c r="EE222" s="278" t="str">
        <f>HYPERLINK("https://my.pitchbook.com?c=41154-22", "View company online")</f>
        <v>View company online</v>
      </c>
    </row>
    <row r="223" spans="1:135" x14ac:dyDescent="0.45">
      <c r="A223" s="144" t="s">
        <v>4914</v>
      </c>
      <c r="B223" s="145" t="s">
        <v>4915</v>
      </c>
      <c r="C223" s="146" t="s">
        <v>153</v>
      </c>
      <c r="D223" s="147" t="s">
        <v>153</v>
      </c>
      <c r="E223" s="148" t="s">
        <v>153</v>
      </c>
      <c r="F223" s="149" t="s">
        <v>4916</v>
      </c>
      <c r="G223" s="150" t="s">
        <v>4917</v>
      </c>
      <c r="H223" s="151" t="s">
        <v>153</v>
      </c>
      <c r="I223" s="152" t="s">
        <v>4914</v>
      </c>
      <c r="J223" s="153" t="s">
        <v>4918</v>
      </c>
      <c r="K223" s="154" t="s">
        <v>232</v>
      </c>
      <c r="L223" s="155" t="s">
        <v>2162</v>
      </c>
      <c r="M223" s="156" t="s">
        <v>4087</v>
      </c>
      <c r="N223" s="157" t="s">
        <v>4919</v>
      </c>
      <c r="O223" s="158" t="s">
        <v>153</v>
      </c>
      <c r="P223" s="159" t="s">
        <v>4920</v>
      </c>
      <c r="Q223" s="160" t="s">
        <v>204</v>
      </c>
      <c r="R223" s="161" t="s">
        <v>153</v>
      </c>
      <c r="S223" s="162" t="s">
        <v>290</v>
      </c>
      <c r="T223" s="163" t="s">
        <v>205</v>
      </c>
      <c r="U223" s="164" t="s">
        <v>237</v>
      </c>
      <c r="V223" s="165" t="s">
        <v>4921</v>
      </c>
      <c r="W223" s="166">
        <v>19100</v>
      </c>
      <c r="X223" s="167" t="s">
        <v>4922</v>
      </c>
      <c r="Y223" s="168" t="s">
        <v>153</v>
      </c>
      <c r="Z223" s="169" t="s">
        <v>153</v>
      </c>
      <c r="AA223" s="170">
        <v>1992</v>
      </c>
      <c r="AB223" s="171" t="s">
        <v>153</v>
      </c>
      <c r="AC223" s="172" t="s">
        <v>153</v>
      </c>
      <c r="AD223" s="173" t="s">
        <v>153</v>
      </c>
      <c r="AE223" s="174" t="s">
        <v>153</v>
      </c>
      <c r="AF223" s="175" t="s">
        <v>153</v>
      </c>
      <c r="AG223" s="176" t="s">
        <v>153</v>
      </c>
      <c r="AH223" s="177" t="s">
        <v>153</v>
      </c>
      <c r="AI223" s="178" t="s">
        <v>153</v>
      </c>
      <c r="AJ223" s="179" t="s">
        <v>153</v>
      </c>
      <c r="AK223" s="180" t="s">
        <v>153</v>
      </c>
      <c r="AL223" s="181" t="s">
        <v>153</v>
      </c>
      <c r="AM223" s="182" t="s">
        <v>153</v>
      </c>
      <c r="AN223" s="183" t="s">
        <v>4923</v>
      </c>
      <c r="AO223" s="184" t="s">
        <v>4924</v>
      </c>
      <c r="AP223" s="185" t="s">
        <v>4925</v>
      </c>
      <c r="AQ223" s="186" t="s">
        <v>269</v>
      </c>
      <c r="AR223" s="187" t="s">
        <v>4926</v>
      </c>
      <c r="AS223" s="188" t="s">
        <v>153</v>
      </c>
      <c r="AT223" s="189" t="s">
        <v>4927</v>
      </c>
      <c r="AU223" s="190" t="s">
        <v>4928</v>
      </c>
      <c r="AV223" s="191" t="s">
        <v>153</v>
      </c>
      <c r="AW223" s="192" t="s">
        <v>4929</v>
      </c>
      <c r="AX223" s="193" t="s">
        <v>308</v>
      </c>
      <c r="AY223" s="194" t="s">
        <v>4930</v>
      </c>
      <c r="AZ223" s="195" t="s">
        <v>215</v>
      </c>
      <c r="BA223" s="196" t="s">
        <v>153</v>
      </c>
      <c r="BB223" s="197" t="s">
        <v>153</v>
      </c>
      <c r="BC223" s="198" t="s">
        <v>153</v>
      </c>
      <c r="BD223" s="199" t="s">
        <v>216</v>
      </c>
      <c r="BE223" s="200" t="s">
        <v>217</v>
      </c>
      <c r="BF223" s="201" t="s">
        <v>4931</v>
      </c>
      <c r="BG223" s="202" t="s">
        <v>4932</v>
      </c>
      <c r="BH223" s="203">
        <v>1</v>
      </c>
      <c r="BI223" s="204" t="s">
        <v>4933</v>
      </c>
      <c r="BJ223" s="205" t="s">
        <v>153</v>
      </c>
      <c r="BK223" s="206" t="s">
        <v>153</v>
      </c>
      <c r="BL223" s="207" t="s">
        <v>153</v>
      </c>
      <c r="BM223" s="208" t="s">
        <v>153</v>
      </c>
      <c r="BN223" s="209" t="s">
        <v>153</v>
      </c>
      <c r="BO223" s="210" t="s">
        <v>4934</v>
      </c>
      <c r="BP223" s="211" t="s">
        <v>4935</v>
      </c>
      <c r="BQ223" s="212">
        <v>33996</v>
      </c>
      <c r="BR223" s="213" t="s">
        <v>153</v>
      </c>
      <c r="BS223" s="214" t="s">
        <v>153</v>
      </c>
      <c r="BT223" s="215" t="s">
        <v>153</v>
      </c>
      <c r="BU223" s="216" t="s">
        <v>153</v>
      </c>
      <c r="BV223" s="217" t="s">
        <v>251</v>
      </c>
      <c r="BW223" s="218" t="s">
        <v>524</v>
      </c>
      <c r="BX223" s="219" t="s">
        <v>153</v>
      </c>
      <c r="BY223" s="220" t="s">
        <v>252</v>
      </c>
      <c r="BZ223" s="221" t="s">
        <v>153</v>
      </c>
      <c r="CA223" s="222" t="s">
        <v>190</v>
      </c>
      <c r="CB223" s="223">
        <v>38321</v>
      </c>
      <c r="CC223" s="224">
        <v>15800</v>
      </c>
      <c r="CD223" s="225" t="s">
        <v>187</v>
      </c>
      <c r="CE223" s="226">
        <v>15800</v>
      </c>
      <c r="CF223" s="227" t="s">
        <v>187</v>
      </c>
      <c r="CG223" s="228" t="s">
        <v>226</v>
      </c>
      <c r="CH223" s="229" t="s">
        <v>153</v>
      </c>
      <c r="CI223" s="230" t="s">
        <v>153</v>
      </c>
      <c r="CJ223" s="231" t="s">
        <v>225</v>
      </c>
      <c r="CK223" s="232">
        <v>38321</v>
      </c>
      <c r="CL223" s="233" t="s">
        <v>153</v>
      </c>
      <c r="CM223" s="234" t="s">
        <v>153</v>
      </c>
      <c r="CN223" s="235" t="s">
        <v>190</v>
      </c>
      <c r="CO223" s="236" t="s">
        <v>153</v>
      </c>
      <c r="CP223" s="237" t="s">
        <v>153</v>
      </c>
      <c r="CQ223" s="238" t="s">
        <v>153</v>
      </c>
      <c r="CR223" s="239" t="s">
        <v>153</v>
      </c>
      <c r="CS223" s="240" t="s">
        <v>153</v>
      </c>
      <c r="CT223" s="241" t="s">
        <v>153</v>
      </c>
      <c r="CU223" s="242" t="s">
        <v>153</v>
      </c>
      <c r="CV223" s="243" t="s">
        <v>153</v>
      </c>
      <c r="CW223" s="244" t="s">
        <v>153</v>
      </c>
      <c r="CX223" s="245" t="s">
        <v>153</v>
      </c>
      <c r="CY223" s="246" t="s">
        <v>153</v>
      </c>
      <c r="CZ223" s="247" t="s">
        <v>153</v>
      </c>
      <c r="DA223" s="248" t="s">
        <v>153</v>
      </c>
      <c r="DB223" s="249" t="s">
        <v>153</v>
      </c>
      <c r="DC223" s="250" t="s">
        <v>153</v>
      </c>
      <c r="DD223" s="251" t="s">
        <v>153</v>
      </c>
      <c r="DE223" s="252" t="s">
        <v>153</v>
      </c>
      <c r="DF223" s="253" t="s">
        <v>153</v>
      </c>
      <c r="DG223" s="254" t="s">
        <v>153</v>
      </c>
      <c r="DH223" s="255" t="s">
        <v>153</v>
      </c>
      <c r="DI223" s="256" t="s">
        <v>153</v>
      </c>
      <c r="DJ223" s="257" t="s">
        <v>153</v>
      </c>
      <c r="DK223" s="258" t="s">
        <v>153</v>
      </c>
      <c r="DL223" s="259" t="s">
        <v>153</v>
      </c>
      <c r="DM223" s="260" t="s">
        <v>153</v>
      </c>
      <c r="DN223" s="261" t="s">
        <v>153</v>
      </c>
      <c r="DO223" s="262" t="s">
        <v>153</v>
      </c>
      <c r="DP223" s="263" t="s">
        <v>153</v>
      </c>
      <c r="DQ223" s="264" t="s">
        <v>153</v>
      </c>
      <c r="DR223" s="265" t="s">
        <v>153</v>
      </c>
      <c r="DS223" s="266" t="s">
        <v>153</v>
      </c>
      <c r="DT223" s="267" t="s">
        <v>153</v>
      </c>
      <c r="DU223" s="268" t="s">
        <v>153</v>
      </c>
      <c r="DV223" s="269" t="s">
        <v>153</v>
      </c>
      <c r="DW223" s="270" t="s">
        <v>153</v>
      </c>
      <c r="DX223" s="271" t="s">
        <v>153</v>
      </c>
      <c r="DY223" s="272" t="s">
        <v>153</v>
      </c>
      <c r="DZ223" s="273" t="s">
        <v>191</v>
      </c>
      <c r="EA223" s="274">
        <v>44217</v>
      </c>
      <c r="EB223" s="275">
        <v>15800</v>
      </c>
      <c r="EC223" s="276">
        <v>38321</v>
      </c>
      <c r="ED223" s="277" t="s">
        <v>226</v>
      </c>
      <c r="EE223" s="279" t="str">
        <f>HYPERLINK("https://my.pitchbook.com?c=169287-13", "View company online")</f>
        <v>View company online</v>
      </c>
    </row>
    <row r="224" spans="1:135" x14ac:dyDescent="0.45">
      <c r="A224" s="10" t="s">
        <v>4936</v>
      </c>
      <c r="B224" s="11" t="s">
        <v>4937</v>
      </c>
      <c r="C224" s="12" t="s">
        <v>153</v>
      </c>
      <c r="D224" s="13" t="s">
        <v>153</v>
      </c>
      <c r="E224" s="14" t="s">
        <v>153</v>
      </c>
      <c r="F224" s="15" t="s">
        <v>153</v>
      </c>
      <c r="G224" s="16" t="s">
        <v>4938</v>
      </c>
      <c r="H224" s="17" t="s">
        <v>4939</v>
      </c>
      <c r="I224" s="18" t="s">
        <v>4936</v>
      </c>
      <c r="J224" s="19" t="s">
        <v>4940</v>
      </c>
      <c r="K224" s="20" t="s">
        <v>257</v>
      </c>
      <c r="L224" s="21" t="s">
        <v>478</v>
      </c>
      <c r="M224" s="22" t="s">
        <v>1819</v>
      </c>
      <c r="N224" s="23" t="s">
        <v>4941</v>
      </c>
      <c r="O224" s="24" t="s">
        <v>153</v>
      </c>
      <c r="P224" s="25" t="s">
        <v>4942</v>
      </c>
      <c r="Q224" s="26" t="s">
        <v>204</v>
      </c>
      <c r="R224" s="27">
        <v>150</v>
      </c>
      <c r="S224" s="28" t="s">
        <v>163</v>
      </c>
      <c r="T224" s="29" t="s">
        <v>205</v>
      </c>
      <c r="U224" s="30" t="s">
        <v>237</v>
      </c>
      <c r="V224" s="31" t="s">
        <v>4943</v>
      </c>
      <c r="W224" s="32">
        <v>19000</v>
      </c>
      <c r="X224" s="33" t="s">
        <v>4944</v>
      </c>
      <c r="Y224" s="34" t="s">
        <v>153</v>
      </c>
      <c r="Z224" s="35" t="s">
        <v>153</v>
      </c>
      <c r="AA224" s="36">
        <v>2004</v>
      </c>
      <c r="AB224" s="37" t="s">
        <v>153</v>
      </c>
      <c r="AC224" s="38" t="s">
        <v>153</v>
      </c>
      <c r="AD224" s="39" t="s">
        <v>153</v>
      </c>
      <c r="AE224" s="40" t="s">
        <v>153</v>
      </c>
      <c r="AF224" s="41" t="s">
        <v>153</v>
      </c>
      <c r="AG224" s="42" t="s">
        <v>153</v>
      </c>
      <c r="AH224" s="43" t="s">
        <v>153</v>
      </c>
      <c r="AI224" s="44" t="s">
        <v>153</v>
      </c>
      <c r="AJ224" s="45" t="s">
        <v>153</v>
      </c>
      <c r="AK224" s="46" t="s">
        <v>153</v>
      </c>
      <c r="AL224" s="47" t="s">
        <v>153</v>
      </c>
      <c r="AM224" s="48" t="s">
        <v>153</v>
      </c>
      <c r="AN224" s="49" t="s">
        <v>3331</v>
      </c>
      <c r="AO224" s="50" t="s">
        <v>153</v>
      </c>
      <c r="AP224" s="51" t="s">
        <v>153</v>
      </c>
      <c r="AQ224" s="52" t="s">
        <v>153</v>
      </c>
      <c r="AR224" s="53" t="s">
        <v>153</v>
      </c>
      <c r="AS224" s="54" t="s">
        <v>153</v>
      </c>
      <c r="AT224" s="55" t="s">
        <v>4945</v>
      </c>
      <c r="AU224" s="56" t="s">
        <v>4946</v>
      </c>
      <c r="AV224" s="57" t="s">
        <v>153</v>
      </c>
      <c r="AW224" s="58" t="s">
        <v>4947</v>
      </c>
      <c r="AX224" s="59" t="s">
        <v>783</v>
      </c>
      <c r="AY224" s="60" t="s">
        <v>4948</v>
      </c>
      <c r="AZ224" s="61" t="s">
        <v>215</v>
      </c>
      <c r="BA224" s="62" t="s">
        <v>153</v>
      </c>
      <c r="BB224" s="63" t="s">
        <v>153</v>
      </c>
      <c r="BC224" s="64" t="s">
        <v>153</v>
      </c>
      <c r="BD224" s="65" t="s">
        <v>216</v>
      </c>
      <c r="BE224" s="66" t="s">
        <v>217</v>
      </c>
      <c r="BF224" s="67" t="s">
        <v>4949</v>
      </c>
      <c r="BG224" s="68" t="s">
        <v>153</v>
      </c>
      <c r="BH224" s="69" t="s">
        <v>153</v>
      </c>
      <c r="BI224" s="70" t="s">
        <v>265</v>
      </c>
      <c r="BJ224" s="71" t="s">
        <v>4950</v>
      </c>
      <c r="BK224" s="72" t="s">
        <v>153</v>
      </c>
      <c r="BL224" s="73" t="s">
        <v>153</v>
      </c>
      <c r="BM224" s="74" t="s">
        <v>4951</v>
      </c>
      <c r="BN224" s="75" t="s">
        <v>153</v>
      </c>
      <c r="BO224" s="76" t="s">
        <v>4952</v>
      </c>
      <c r="BP224" s="77" t="s">
        <v>4953</v>
      </c>
      <c r="BQ224" s="78">
        <v>38097</v>
      </c>
      <c r="BR224" s="79" t="s">
        <v>153</v>
      </c>
      <c r="BS224" s="80" t="s">
        <v>153</v>
      </c>
      <c r="BT224" s="81" t="s">
        <v>153</v>
      </c>
      <c r="BU224" s="82" t="s">
        <v>153</v>
      </c>
      <c r="BV224" s="83" t="s">
        <v>251</v>
      </c>
      <c r="BW224" s="84" t="s">
        <v>524</v>
      </c>
      <c r="BX224" s="85" t="s">
        <v>153</v>
      </c>
      <c r="BY224" s="86" t="s">
        <v>252</v>
      </c>
      <c r="BZ224" s="87" t="s">
        <v>153</v>
      </c>
      <c r="CA224" s="88" t="s">
        <v>190</v>
      </c>
      <c r="CB224" s="89">
        <v>42250</v>
      </c>
      <c r="CC224" s="90">
        <v>15700</v>
      </c>
      <c r="CD224" s="91" t="s">
        <v>186</v>
      </c>
      <c r="CE224" s="92">
        <v>15700</v>
      </c>
      <c r="CF224" s="93" t="s">
        <v>187</v>
      </c>
      <c r="CG224" s="94" t="s">
        <v>226</v>
      </c>
      <c r="CH224" s="95" t="s">
        <v>153</v>
      </c>
      <c r="CI224" s="96" t="s">
        <v>153</v>
      </c>
      <c r="CJ224" s="97" t="s">
        <v>225</v>
      </c>
      <c r="CK224" s="98">
        <v>42250</v>
      </c>
      <c r="CL224" s="99" t="s">
        <v>153</v>
      </c>
      <c r="CM224" s="100" t="s">
        <v>153</v>
      </c>
      <c r="CN224" s="101" t="s">
        <v>190</v>
      </c>
      <c r="CO224" s="102" t="s">
        <v>153</v>
      </c>
      <c r="CP224" s="103" t="s">
        <v>153</v>
      </c>
      <c r="CQ224" s="104" t="s">
        <v>153</v>
      </c>
      <c r="CR224" s="105" t="s">
        <v>153</v>
      </c>
      <c r="CS224" s="106" t="s">
        <v>153</v>
      </c>
      <c r="CT224" s="107" t="s">
        <v>153</v>
      </c>
      <c r="CU224" s="108" t="s">
        <v>153</v>
      </c>
      <c r="CV224" s="109" t="s">
        <v>153</v>
      </c>
      <c r="CW224" s="110" t="s">
        <v>153</v>
      </c>
      <c r="CX224" s="111" t="s">
        <v>153</v>
      </c>
      <c r="CY224" s="112" t="s">
        <v>153</v>
      </c>
      <c r="CZ224" s="113" t="s">
        <v>153</v>
      </c>
      <c r="DA224" s="114" t="s">
        <v>153</v>
      </c>
      <c r="DB224" s="115" t="s">
        <v>153</v>
      </c>
      <c r="DC224" s="116" t="s">
        <v>153</v>
      </c>
      <c r="DD224" s="117" t="s">
        <v>153</v>
      </c>
      <c r="DE224" s="118" t="s">
        <v>153</v>
      </c>
      <c r="DF224" s="119" t="s">
        <v>153</v>
      </c>
      <c r="DG224" s="120" t="s">
        <v>153</v>
      </c>
      <c r="DH224" s="121" t="s">
        <v>153</v>
      </c>
      <c r="DI224" s="122" t="s">
        <v>153</v>
      </c>
      <c r="DJ224" s="123" t="s">
        <v>153</v>
      </c>
      <c r="DK224" s="124" t="s">
        <v>153</v>
      </c>
      <c r="DL224" s="125" t="s">
        <v>153</v>
      </c>
      <c r="DM224" s="126" t="s">
        <v>153</v>
      </c>
      <c r="DN224" s="127" t="s">
        <v>153</v>
      </c>
      <c r="DO224" s="128" t="s">
        <v>153</v>
      </c>
      <c r="DP224" s="129" t="s">
        <v>153</v>
      </c>
      <c r="DQ224" s="130" t="s">
        <v>153</v>
      </c>
      <c r="DR224" s="131" t="s">
        <v>153</v>
      </c>
      <c r="DS224" s="132" t="s">
        <v>153</v>
      </c>
      <c r="DT224" s="133" t="s">
        <v>153</v>
      </c>
      <c r="DU224" s="134" t="s">
        <v>153</v>
      </c>
      <c r="DV224" s="135" t="s">
        <v>153</v>
      </c>
      <c r="DW224" s="136" t="s">
        <v>153</v>
      </c>
      <c r="DX224" s="137" t="s">
        <v>153</v>
      </c>
      <c r="DY224" s="138" t="s">
        <v>153</v>
      </c>
      <c r="DZ224" s="139" t="s">
        <v>191</v>
      </c>
      <c r="EA224" s="140">
        <v>44402</v>
      </c>
      <c r="EB224" s="141">
        <v>15700</v>
      </c>
      <c r="EC224" s="142">
        <v>42250</v>
      </c>
      <c r="ED224" s="143" t="s">
        <v>226</v>
      </c>
      <c r="EE224" s="278" t="str">
        <f>HYPERLINK("https://my.pitchbook.com?c=41569-30", "View company online")</f>
        <v>View company online</v>
      </c>
    </row>
    <row r="225" spans="1:135" x14ac:dyDescent="0.45">
      <c r="A225" s="144" t="s">
        <v>4954</v>
      </c>
      <c r="B225" s="145" t="s">
        <v>4955</v>
      </c>
      <c r="C225" s="146" t="s">
        <v>153</v>
      </c>
      <c r="D225" s="147" t="s">
        <v>153</v>
      </c>
      <c r="E225" s="148" t="s">
        <v>153</v>
      </c>
      <c r="F225" s="149" t="s">
        <v>4956</v>
      </c>
      <c r="G225" s="150" t="s">
        <v>4957</v>
      </c>
      <c r="H225" s="151" t="s">
        <v>4958</v>
      </c>
      <c r="I225" s="152" t="s">
        <v>4954</v>
      </c>
      <c r="J225" s="153" t="s">
        <v>4959</v>
      </c>
      <c r="K225" s="154" t="s">
        <v>198</v>
      </c>
      <c r="L225" s="155" t="s">
        <v>984</v>
      </c>
      <c r="M225" s="156" t="s">
        <v>4960</v>
      </c>
      <c r="N225" s="157" t="s">
        <v>4961</v>
      </c>
      <c r="O225" s="158" t="s">
        <v>2689</v>
      </c>
      <c r="P225" s="159" t="s">
        <v>4962</v>
      </c>
      <c r="Q225" s="160" t="s">
        <v>289</v>
      </c>
      <c r="R225" s="161">
        <v>175.17</v>
      </c>
      <c r="S225" s="162" t="s">
        <v>368</v>
      </c>
      <c r="T225" s="163" t="s">
        <v>164</v>
      </c>
      <c r="U225" s="164" t="s">
        <v>482</v>
      </c>
      <c r="V225" s="165" t="s">
        <v>4963</v>
      </c>
      <c r="W225" s="166">
        <v>7501</v>
      </c>
      <c r="X225" s="167" t="s">
        <v>4964</v>
      </c>
      <c r="Y225" s="168" t="s">
        <v>153</v>
      </c>
      <c r="Z225" s="169" t="s">
        <v>153</v>
      </c>
      <c r="AA225" s="170">
        <v>2003</v>
      </c>
      <c r="AB225" s="171" t="s">
        <v>2286</v>
      </c>
      <c r="AC225" s="172" t="s">
        <v>153</v>
      </c>
      <c r="AD225" s="173" t="s">
        <v>4965</v>
      </c>
      <c r="AE225" s="174" t="s">
        <v>153</v>
      </c>
      <c r="AF225" s="175" t="s">
        <v>153</v>
      </c>
      <c r="AG225" s="176" t="s">
        <v>153</v>
      </c>
      <c r="AH225" s="177" t="s">
        <v>153</v>
      </c>
      <c r="AI225" s="178" t="s">
        <v>153</v>
      </c>
      <c r="AJ225" s="179" t="s">
        <v>153</v>
      </c>
      <c r="AK225" s="180" t="s">
        <v>153</v>
      </c>
      <c r="AL225" s="181" t="s">
        <v>153</v>
      </c>
      <c r="AM225" s="182" t="s">
        <v>153</v>
      </c>
      <c r="AN225" s="183" t="s">
        <v>509</v>
      </c>
      <c r="AO225" s="184" t="s">
        <v>4966</v>
      </c>
      <c r="AP225" s="185" t="s">
        <v>4967</v>
      </c>
      <c r="AQ225" s="186" t="s">
        <v>1768</v>
      </c>
      <c r="AR225" s="187" t="s">
        <v>4968</v>
      </c>
      <c r="AS225" s="188" t="s">
        <v>4969</v>
      </c>
      <c r="AT225" s="189" t="s">
        <v>4738</v>
      </c>
      <c r="AU225" s="190" t="s">
        <v>4970</v>
      </c>
      <c r="AV225" s="191" t="s">
        <v>153</v>
      </c>
      <c r="AW225" s="192" t="s">
        <v>4740</v>
      </c>
      <c r="AX225" s="193" t="s">
        <v>4741</v>
      </c>
      <c r="AY225" s="194" t="s">
        <v>4971</v>
      </c>
      <c r="AZ225" s="195" t="s">
        <v>215</v>
      </c>
      <c r="BA225" s="196" t="s">
        <v>4972</v>
      </c>
      <c r="BB225" s="197" t="s">
        <v>4973</v>
      </c>
      <c r="BC225" s="198" t="s">
        <v>4974</v>
      </c>
      <c r="BD225" s="199" t="s">
        <v>216</v>
      </c>
      <c r="BE225" s="200" t="s">
        <v>217</v>
      </c>
      <c r="BF225" s="201" t="s">
        <v>4975</v>
      </c>
      <c r="BG225" s="202" t="s">
        <v>153</v>
      </c>
      <c r="BH225" s="203" t="s">
        <v>153</v>
      </c>
      <c r="BI225" s="204" t="s">
        <v>2286</v>
      </c>
      <c r="BJ225" s="205" t="s">
        <v>4976</v>
      </c>
      <c r="BK225" s="206" t="s">
        <v>153</v>
      </c>
      <c r="BL225" s="207" t="s">
        <v>153</v>
      </c>
      <c r="BM225" s="208" t="s">
        <v>4977</v>
      </c>
      <c r="BN225" s="209" t="s">
        <v>153</v>
      </c>
      <c r="BO225" s="210" t="s">
        <v>4978</v>
      </c>
      <c r="BP225" s="211" t="s">
        <v>4979</v>
      </c>
      <c r="BQ225" s="212">
        <v>38230</v>
      </c>
      <c r="BR225" s="213">
        <v>5.09</v>
      </c>
      <c r="BS225" s="214" t="s">
        <v>186</v>
      </c>
      <c r="BT225" s="215">
        <v>21.59</v>
      </c>
      <c r="BU225" s="216" t="s">
        <v>186</v>
      </c>
      <c r="BV225" s="217" t="s">
        <v>471</v>
      </c>
      <c r="BW225" s="218" t="s">
        <v>1811</v>
      </c>
      <c r="BX225" s="219" t="s">
        <v>153</v>
      </c>
      <c r="BY225" s="220" t="s">
        <v>472</v>
      </c>
      <c r="BZ225" s="221" t="s">
        <v>153</v>
      </c>
      <c r="CA225" s="222" t="s">
        <v>190</v>
      </c>
      <c r="CB225" s="223">
        <v>43678</v>
      </c>
      <c r="CC225" s="224">
        <v>15700</v>
      </c>
      <c r="CD225" s="225" t="s">
        <v>186</v>
      </c>
      <c r="CE225" s="226">
        <v>15700</v>
      </c>
      <c r="CF225" s="227" t="s">
        <v>187</v>
      </c>
      <c r="CG225" s="228" t="s">
        <v>226</v>
      </c>
      <c r="CH225" s="229" t="s">
        <v>153</v>
      </c>
      <c r="CI225" s="230" t="s">
        <v>153</v>
      </c>
      <c r="CJ225" s="231" t="s">
        <v>225</v>
      </c>
      <c r="CK225" s="232">
        <v>43678</v>
      </c>
      <c r="CL225" s="233" t="s">
        <v>153</v>
      </c>
      <c r="CM225" s="234" t="s">
        <v>153</v>
      </c>
      <c r="CN225" s="235" t="s">
        <v>190</v>
      </c>
      <c r="CO225" s="236" t="s">
        <v>153</v>
      </c>
      <c r="CP225" s="237" t="s">
        <v>153</v>
      </c>
      <c r="CQ225" s="238" t="s">
        <v>153</v>
      </c>
      <c r="CR225" s="239" t="s">
        <v>153</v>
      </c>
      <c r="CS225" s="240" t="s">
        <v>153</v>
      </c>
      <c r="CT225" s="241" t="s">
        <v>153</v>
      </c>
      <c r="CU225" s="242" t="s">
        <v>153</v>
      </c>
      <c r="CV225" s="243" t="s">
        <v>153</v>
      </c>
      <c r="CW225" s="244" t="s">
        <v>153</v>
      </c>
      <c r="CX225" s="245" t="s">
        <v>153</v>
      </c>
      <c r="CY225" s="246" t="s">
        <v>153</v>
      </c>
      <c r="CZ225" s="247" t="s">
        <v>153</v>
      </c>
      <c r="DA225" s="248" t="s">
        <v>153</v>
      </c>
      <c r="DB225" s="249" t="s">
        <v>153</v>
      </c>
      <c r="DC225" s="250" t="s">
        <v>153</v>
      </c>
      <c r="DD225" s="251" t="s">
        <v>153</v>
      </c>
      <c r="DE225" s="252" t="s">
        <v>153</v>
      </c>
      <c r="DF225" s="253" t="s">
        <v>153</v>
      </c>
      <c r="DG225" s="254" t="s">
        <v>153</v>
      </c>
      <c r="DH225" s="255" t="s">
        <v>153</v>
      </c>
      <c r="DI225" s="256" t="s">
        <v>153</v>
      </c>
      <c r="DJ225" s="257" t="s">
        <v>153</v>
      </c>
      <c r="DK225" s="258" t="s">
        <v>153</v>
      </c>
      <c r="DL225" s="259" t="s">
        <v>153</v>
      </c>
      <c r="DM225" s="260" t="s">
        <v>153</v>
      </c>
      <c r="DN225" s="261" t="s">
        <v>153</v>
      </c>
      <c r="DO225" s="262" t="s">
        <v>153</v>
      </c>
      <c r="DP225" s="263" t="s">
        <v>153</v>
      </c>
      <c r="DQ225" s="264" t="s">
        <v>153</v>
      </c>
      <c r="DR225" s="265" t="s">
        <v>153</v>
      </c>
      <c r="DS225" s="266" t="s">
        <v>153</v>
      </c>
      <c r="DT225" s="267" t="s">
        <v>153</v>
      </c>
      <c r="DU225" s="268" t="s">
        <v>153</v>
      </c>
      <c r="DV225" s="269" t="s">
        <v>153</v>
      </c>
      <c r="DW225" s="270" t="s">
        <v>153</v>
      </c>
      <c r="DX225" s="271" t="s">
        <v>153</v>
      </c>
      <c r="DY225" s="272" t="s">
        <v>153</v>
      </c>
      <c r="DZ225" s="273" t="s">
        <v>191</v>
      </c>
      <c r="EA225" s="274">
        <v>44343</v>
      </c>
      <c r="EB225" s="275">
        <v>15700</v>
      </c>
      <c r="EC225" s="276">
        <v>43678</v>
      </c>
      <c r="ED225" s="277" t="s">
        <v>226</v>
      </c>
      <c r="EE225" s="279" t="str">
        <f>HYPERLINK("https://my.pitchbook.com?c=44506-99", "View company online")</f>
        <v>View company online</v>
      </c>
    </row>
    <row r="226" spans="1:135" x14ac:dyDescent="0.45">
      <c r="A226" s="10" t="s">
        <v>4980</v>
      </c>
      <c r="B226" s="11" t="s">
        <v>4981</v>
      </c>
      <c r="C226" s="12" t="s">
        <v>153</v>
      </c>
      <c r="D226" s="13" t="s">
        <v>153</v>
      </c>
      <c r="E226" s="14" t="s">
        <v>4982</v>
      </c>
      <c r="F226" s="15" t="s">
        <v>4983</v>
      </c>
      <c r="G226" s="16" t="s">
        <v>153</v>
      </c>
      <c r="H226" s="17" t="s">
        <v>4984</v>
      </c>
      <c r="I226" s="18" t="s">
        <v>4980</v>
      </c>
      <c r="J226" s="19" t="s">
        <v>4985</v>
      </c>
      <c r="K226" s="20" t="s">
        <v>232</v>
      </c>
      <c r="L226" s="21" t="s">
        <v>233</v>
      </c>
      <c r="M226" s="22" t="s">
        <v>234</v>
      </c>
      <c r="N226" s="23" t="s">
        <v>235</v>
      </c>
      <c r="O226" s="24" t="s">
        <v>153</v>
      </c>
      <c r="P226" s="25" t="s">
        <v>4986</v>
      </c>
      <c r="Q226" s="26" t="s">
        <v>204</v>
      </c>
      <c r="R226" s="27" t="s">
        <v>153</v>
      </c>
      <c r="S226" s="28" t="s">
        <v>290</v>
      </c>
      <c r="T226" s="29" t="s">
        <v>164</v>
      </c>
      <c r="U226" s="30" t="s">
        <v>237</v>
      </c>
      <c r="V226" s="31" t="s">
        <v>4987</v>
      </c>
      <c r="W226" s="32">
        <v>4004</v>
      </c>
      <c r="X226" s="33" t="s">
        <v>4988</v>
      </c>
      <c r="Y226" s="34" t="s">
        <v>153</v>
      </c>
      <c r="Z226" s="35" t="s">
        <v>153</v>
      </c>
      <c r="AA226" s="36">
        <v>1980</v>
      </c>
      <c r="AB226" s="37" t="s">
        <v>4989</v>
      </c>
      <c r="AC226" s="38" t="s">
        <v>153</v>
      </c>
      <c r="AD226" s="39" t="s">
        <v>153</v>
      </c>
      <c r="AE226" s="40">
        <v>2508.67</v>
      </c>
      <c r="AF226" s="41" t="s">
        <v>153</v>
      </c>
      <c r="AG226" s="42">
        <v>1118.1600000000001</v>
      </c>
      <c r="AH226" s="43" t="s">
        <v>153</v>
      </c>
      <c r="AI226" s="44" t="s">
        <v>153</v>
      </c>
      <c r="AJ226" s="45" t="s">
        <v>153</v>
      </c>
      <c r="AK226" s="46" t="s">
        <v>153</v>
      </c>
      <c r="AL226" s="47">
        <v>59027.15</v>
      </c>
      <c r="AM226" s="48">
        <v>9.61</v>
      </c>
      <c r="AN226" s="49" t="s">
        <v>168</v>
      </c>
      <c r="AO226" s="50" t="s">
        <v>4990</v>
      </c>
      <c r="AP226" s="51" t="s">
        <v>4991</v>
      </c>
      <c r="AQ226" s="52" t="s">
        <v>512</v>
      </c>
      <c r="AR226" s="53" t="s">
        <v>4992</v>
      </c>
      <c r="AS226" s="54" t="s">
        <v>4993</v>
      </c>
      <c r="AT226" s="55" t="s">
        <v>576</v>
      </c>
      <c r="AU226" s="56" t="s">
        <v>4994</v>
      </c>
      <c r="AV226" s="57" t="s">
        <v>153</v>
      </c>
      <c r="AW226" s="58" t="s">
        <v>578</v>
      </c>
      <c r="AX226" s="59" t="s">
        <v>153</v>
      </c>
      <c r="AY226" s="60" t="s">
        <v>4995</v>
      </c>
      <c r="AZ226" s="61" t="s">
        <v>580</v>
      </c>
      <c r="BA226" s="62" t="s">
        <v>4993</v>
      </c>
      <c r="BB226" s="63" t="s">
        <v>4996</v>
      </c>
      <c r="BC226" s="64" t="s">
        <v>4997</v>
      </c>
      <c r="BD226" s="65" t="s">
        <v>248</v>
      </c>
      <c r="BE226" s="66" t="s">
        <v>248</v>
      </c>
      <c r="BF226" s="67" t="s">
        <v>4998</v>
      </c>
      <c r="BG226" s="68" t="s">
        <v>153</v>
      </c>
      <c r="BH226" s="69" t="s">
        <v>153</v>
      </c>
      <c r="BI226" s="70" t="s">
        <v>4989</v>
      </c>
      <c r="BJ226" s="71" t="s">
        <v>4999</v>
      </c>
      <c r="BK226" s="72" t="s">
        <v>153</v>
      </c>
      <c r="BL226" s="73" t="s">
        <v>153</v>
      </c>
      <c r="BM226" s="74" t="s">
        <v>5000</v>
      </c>
      <c r="BN226" s="75" t="s">
        <v>153</v>
      </c>
      <c r="BO226" s="76" t="s">
        <v>5001</v>
      </c>
      <c r="BP226" s="77" t="s">
        <v>5002</v>
      </c>
      <c r="BQ226" s="78">
        <v>33970</v>
      </c>
      <c r="BR226" s="79" t="s">
        <v>153</v>
      </c>
      <c r="BS226" s="80" t="s">
        <v>153</v>
      </c>
      <c r="BT226" s="81" t="s">
        <v>153</v>
      </c>
      <c r="BU226" s="82" t="s">
        <v>153</v>
      </c>
      <c r="BV226" s="83" t="s">
        <v>251</v>
      </c>
      <c r="BW226" s="84" t="s">
        <v>153</v>
      </c>
      <c r="BX226" s="85" t="s">
        <v>153</v>
      </c>
      <c r="BY226" s="86" t="s">
        <v>252</v>
      </c>
      <c r="BZ226" s="87" t="s">
        <v>153</v>
      </c>
      <c r="CA226" s="88" t="s">
        <v>190</v>
      </c>
      <c r="CB226" s="89">
        <v>44291</v>
      </c>
      <c r="CC226" s="90">
        <v>15630</v>
      </c>
      <c r="CD226" s="91" t="s">
        <v>187</v>
      </c>
      <c r="CE226" s="92">
        <v>15630</v>
      </c>
      <c r="CF226" s="93" t="s">
        <v>187</v>
      </c>
      <c r="CG226" s="94" t="s">
        <v>226</v>
      </c>
      <c r="CH226" s="95" t="s">
        <v>153</v>
      </c>
      <c r="CI226" s="96" t="s">
        <v>153</v>
      </c>
      <c r="CJ226" s="97" t="s">
        <v>225</v>
      </c>
      <c r="CK226" s="98">
        <v>44291</v>
      </c>
      <c r="CL226" s="99" t="s">
        <v>153</v>
      </c>
      <c r="CM226" s="100" t="s">
        <v>153</v>
      </c>
      <c r="CN226" s="101" t="s">
        <v>190</v>
      </c>
      <c r="CO226" s="102">
        <v>0.78</v>
      </c>
      <c r="CP226" s="103">
        <v>95</v>
      </c>
      <c r="CQ226" s="104">
        <v>-0.02</v>
      </c>
      <c r="CR226" s="105">
        <v>-2.04</v>
      </c>
      <c r="CS226" s="106">
        <v>1.74</v>
      </c>
      <c r="CT226" s="107">
        <v>97</v>
      </c>
      <c r="CU226" s="108">
        <v>0.24</v>
      </c>
      <c r="CV226" s="109">
        <v>92</v>
      </c>
      <c r="CW226" s="110">
        <v>2.88</v>
      </c>
      <c r="CX226" s="111">
        <v>89</v>
      </c>
      <c r="CY226" s="112">
        <v>0.61</v>
      </c>
      <c r="CZ226" s="113">
        <v>95</v>
      </c>
      <c r="DA226" s="114">
        <v>0.24</v>
      </c>
      <c r="DB226" s="115">
        <v>92</v>
      </c>
      <c r="DC226" s="116">
        <v>150.97</v>
      </c>
      <c r="DD226" s="117">
        <v>100</v>
      </c>
      <c r="DE226" s="118">
        <v>0.85</v>
      </c>
      <c r="DF226" s="119">
        <v>0.56999999999999995</v>
      </c>
      <c r="DG226" s="120">
        <v>117.88</v>
      </c>
      <c r="DH226" s="121">
        <v>100</v>
      </c>
      <c r="DI226" s="122">
        <v>309.08</v>
      </c>
      <c r="DJ226" s="123">
        <v>99</v>
      </c>
      <c r="DK226" s="124">
        <v>168.58</v>
      </c>
      <c r="DL226" s="125">
        <v>98</v>
      </c>
      <c r="DM226" s="126">
        <v>67.19</v>
      </c>
      <c r="DN226" s="127">
        <v>99</v>
      </c>
      <c r="DO226" s="128">
        <v>309.08</v>
      </c>
      <c r="DP226" s="129">
        <v>99</v>
      </c>
      <c r="DQ226" s="130">
        <v>99844</v>
      </c>
      <c r="DR226" s="131">
        <v>450</v>
      </c>
      <c r="DS226" s="132">
        <v>0.45</v>
      </c>
      <c r="DT226" s="133">
        <v>1073</v>
      </c>
      <c r="DU226" s="134">
        <v>5</v>
      </c>
      <c r="DV226" s="135">
        <v>0.47</v>
      </c>
      <c r="DW226" s="136">
        <v>97005</v>
      </c>
      <c r="DX226" s="137">
        <v>175</v>
      </c>
      <c r="DY226" s="138">
        <v>0.18</v>
      </c>
      <c r="DZ226" s="139" t="s">
        <v>191</v>
      </c>
      <c r="EA226" s="140">
        <v>44385</v>
      </c>
      <c r="EB226" s="141">
        <v>15630</v>
      </c>
      <c r="EC226" s="142">
        <v>44291</v>
      </c>
      <c r="ED226" s="143" t="s">
        <v>226</v>
      </c>
      <c r="EE226" s="278" t="str">
        <f>HYPERLINK("https://my.pitchbook.com?c=13433-59", "View company online")</f>
        <v>View company online</v>
      </c>
    </row>
    <row r="227" spans="1:135" x14ac:dyDescent="0.45">
      <c r="A227" s="144" t="s">
        <v>5003</v>
      </c>
      <c r="B227" s="145" t="s">
        <v>5004</v>
      </c>
      <c r="C227" s="146" t="s">
        <v>153</v>
      </c>
      <c r="D227" s="147" t="s">
        <v>153</v>
      </c>
      <c r="E227" s="148" t="s">
        <v>153</v>
      </c>
      <c r="F227" s="149" t="s">
        <v>5005</v>
      </c>
      <c r="G227" s="150" t="s">
        <v>5006</v>
      </c>
      <c r="H227" s="151" t="s">
        <v>153</v>
      </c>
      <c r="I227" s="152" t="s">
        <v>5003</v>
      </c>
      <c r="J227" s="153" t="s">
        <v>5007</v>
      </c>
      <c r="K227" s="154" t="s">
        <v>559</v>
      </c>
      <c r="L227" s="155" t="s">
        <v>1345</v>
      </c>
      <c r="M227" s="156" t="s">
        <v>1346</v>
      </c>
      <c r="N227" s="157" t="s">
        <v>5008</v>
      </c>
      <c r="O227" s="158" t="s">
        <v>153</v>
      </c>
      <c r="P227" s="159" t="s">
        <v>5009</v>
      </c>
      <c r="Q227" s="160" t="s">
        <v>204</v>
      </c>
      <c r="R227" s="161" t="s">
        <v>153</v>
      </c>
      <c r="S227" s="162" t="s">
        <v>163</v>
      </c>
      <c r="T227" s="163" t="s">
        <v>164</v>
      </c>
      <c r="U227" s="164" t="s">
        <v>206</v>
      </c>
      <c r="V227" s="165" t="s">
        <v>5010</v>
      </c>
      <c r="W227" s="166" t="s">
        <v>153</v>
      </c>
      <c r="X227" s="167" t="s">
        <v>153</v>
      </c>
      <c r="Y227" s="168" t="s">
        <v>153</v>
      </c>
      <c r="Z227" s="169" t="s">
        <v>153</v>
      </c>
      <c r="AA227" s="170">
        <v>1989</v>
      </c>
      <c r="AB227" s="171" t="s">
        <v>5011</v>
      </c>
      <c r="AC227" s="172" t="s">
        <v>153</v>
      </c>
      <c r="AD227" s="173" t="s">
        <v>153</v>
      </c>
      <c r="AE227" s="174" t="s">
        <v>153</v>
      </c>
      <c r="AF227" s="175" t="s">
        <v>153</v>
      </c>
      <c r="AG227" s="176" t="s">
        <v>153</v>
      </c>
      <c r="AH227" s="177" t="s">
        <v>153</v>
      </c>
      <c r="AI227" s="178" t="s">
        <v>153</v>
      </c>
      <c r="AJ227" s="179" t="s">
        <v>153</v>
      </c>
      <c r="AK227" s="180" t="s">
        <v>153</v>
      </c>
      <c r="AL227" s="181" t="s">
        <v>153</v>
      </c>
      <c r="AM227" s="182" t="s">
        <v>153</v>
      </c>
      <c r="AN227" s="183" t="s">
        <v>153</v>
      </c>
      <c r="AO227" s="184" t="s">
        <v>5012</v>
      </c>
      <c r="AP227" s="185" t="s">
        <v>5013</v>
      </c>
      <c r="AQ227" s="186" t="s">
        <v>5014</v>
      </c>
      <c r="AR227" s="187" t="s">
        <v>5015</v>
      </c>
      <c r="AS227" s="188" t="s">
        <v>153</v>
      </c>
      <c r="AT227" s="189" t="s">
        <v>5016</v>
      </c>
      <c r="AU227" s="190" t="s">
        <v>5017</v>
      </c>
      <c r="AV227" s="191" t="s">
        <v>5018</v>
      </c>
      <c r="AW227" s="192" t="s">
        <v>5019</v>
      </c>
      <c r="AX227" s="193" t="s">
        <v>5020</v>
      </c>
      <c r="AY227" s="194" t="s">
        <v>153</v>
      </c>
      <c r="AZ227" s="195" t="s">
        <v>1519</v>
      </c>
      <c r="BA227" s="196" t="s">
        <v>153</v>
      </c>
      <c r="BB227" s="197" t="s">
        <v>153</v>
      </c>
      <c r="BC227" s="198" t="s">
        <v>153</v>
      </c>
      <c r="BD227" s="199" t="s">
        <v>1406</v>
      </c>
      <c r="BE227" s="200" t="s">
        <v>1407</v>
      </c>
      <c r="BF227" s="201" t="s">
        <v>5021</v>
      </c>
      <c r="BG227" s="202" t="s">
        <v>5022</v>
      </c>
      <c r="BH227" s="203">
        <v>1</v>
      </c>
      <c r="BI227" s="204" t="s">
        <v>5011</v>
      </c>
      <c r="BJ227" s="205" t="s">
        <v>153</v>
      </c>
      <c r="BK227" s="206" t="s">
        <v>153</v>
      </c>
      <c r="BL227" s="207" t="s">
        <v>5023</v>
      </c>
      <c r="BM227" s="208" t="s">
        <v>153</v>
      </c>
      <c r="BN227" s="209" t="s">
        <v>153</v>
      </c>
      <c r="BO227" s="210" t="s">
        <v>153</v>
      </c>
      <c r="BP227" s="211" t="s">
        <v>153</v>
      </c>
      <c r="BQ227" s="212">
        <v>43248</v>
      </c>
      <c r="BR227" s="213">
        <v>15600</v>
      </c>
      <c r="BS227" s="214" t="s">
        <v>186</v>
      </c>
      <c r="BT227" s="215">
        <v>26896.55</v>
      </c>
      <c r="BU227" s="216" t="s">
        <v>187</v>
      </c>
      <c r="BV227" s="217" t="s">
        <v>226</v>
      </c>
      <c r="BW227" s="218" t="s">
        <v>153</v>
      </c>
      <c r="BX227" s="219" t="s">
        <v>153</v>
      </c>
      <c r="BY227" s="220" t="s">
        <v>225</v>
      </c>
      <c r="BZ227" s="221" t="s">
        <v>153</v>
      </c>
      <c r="CA227" s="222" t="s">
        <v>190</v>
      </c>
      <c r="CB227" s="223">
        <v>43248</v>
      </c>
      <c r="CC227" s="224">
        <v>15600</v>
      </c>
      <c r="CD227" s="225" t="s">
        <v>186</v>
      </c>
      <c r="CE227" s="226">
        <v>26896.55</v>
      </c>
      <c r="CF227" s="227" t="s">
        <v>187</v>
      </c>
      <c r="CG227" s="228" t="s">
        <v>226</v>
      </c>
      <c r="CH227" s="229" t="s">
        <v>153</v>
      </c>
      <c r="CI227" s="230" t="s">
        <v>153</v>
      </c>
      <c r="CJ227" s="231" t="s">
        <v>225</v>
      </c>
      <c r="CK227" s="232">
        <v>43248</v>
      </c>
      <c r="CL227" s="233" t="s">
        <v>153</v>
      </c>
      <c r="CM227" s="234" t="s">
        <v>153</v>
      </c>
      <c r="CN227" s="235" t="s">
        <v>190</v>
      </c>
      <c r="CO227" s="236">
        <v>-0.6</v>
      </c>
      <c r="CP227" s="237">
        <v>4</v>
      </c>
      <c r="CQ227" s="238">
        <v>0.12</v>
      </c>
      <c r="CR227" s="239">
        <v>16.309999999999999</v>
      </c>
      <c r="CS227" s="240">
        <v>-0.6</v>
      </c>
      <c r="CT227" s="241">
        <v>5</v>
      </c>
      <c r="CU227" s="242" t="s">
        <v>153</v>
      </c>
      <c r="CV227" s="243" t="s">
        <v>153</v>
      </c>
      <c r="CW227" s="244" t="s">
        <v>153</v>
      </c>
      <c r="CX227" s="245" t="s">
        <v>153</v>
      </c>
      <c r="CY227" s="246">
        <v>-0.6</v>
      </c>
      <c r="CZ227" s="247">
        <v>2</v>
      </c>
      <c r="DA227" s="248" t="s">
        <v>153</v>
      </c>
      <c r="DB227" s="249" t="s">
        <v>153</v>
      </c>
      <c r="DC227" s="250">
        <v>5.19</v>
      </c>
      <c r="DD227" s="251">
        <v>85</v>
      </c>
      <c r="DE227" s="252">
        <v>-0.13</v>
      </c>
      <c r="DF227" s="253">
        <v>-2.35</v>
      </c>
      <c r="DG227" s="254">
        <v>5.19</v>
      </c>
      <c r="DH227" s="255">
        <v>84</v>
      </c>
      <c r="DI227" s="256" t="s">
        <v>153</v>
      </c>
      <c r="DJ227" s="257" t="s">
        <v>153</v>
      </c>
      <c r="DK227" s="258" t="s">
        <v>153</v>
      </c>
      <c r="DL227" s="259" t="s">
        <v>153</v>
      </c>
      <c r="DM227" s="260">
        <v>5.19</v>
      </c>
      <c r="DN227" s="261">
        <v>83</v>
      </c>
      <c r="DO227" s="262" t="s">
        <v>153</v>
      </c>
      <c r="DP227" s="263" t="s">
        <v>153</v>
      </c>
      <c r="DQ227" s="264" t="s">
        <v>153</v>
      </c>
      <c r="DR227" s="265" t="s">
        <v>153</v>
      </c>
      <c r="DS227" s="266" t="s">
        <v>153</v>
      </c>
      <c r="DT227" s="267">
        <v>84</v>
      </c>
      <c r="DU227" s="268">
        <v>-2</v>
      </c>
      <c r="DV227" s="269">
        <v>-2.33</v>
      </c>
      <c r="DW227" s="270" t="s">
        <v>153</v>
      </c>
      <c r="DX227" s="271" t="s">
        <v>153</v>
      </c>
      <c r="DY227" s="272" t="s">
        <v>153</v>
      </c>
      <c r="DZ227" s="273" t="s">
        <v>191</v>
      </c>
      <c r="EA227" s="274">
        <v>43755</v>
      </c>
      <c r="EB227" s="275">
        <v>26896.55</v>
      </c>
      <c r="EC227" s="276">
        <v>43248</v>
      </c>
      <c r="ED227" s="277" t="s">
        <v>226</v>
      </c>
      <c r="EE227" s="279" t="str">
        <f>HYPERLINK("https://my.pitchbook.com?c=97044-13", "View company online")</f>
        <v>View company online</v>
      </c>
    </row>
    <row r="228" spans="1:135" x14ac:dyDescent="0.45">
      <c r="A228" s="10" t="s">
        <v>5024</v>
      </c>
      <c r="B228" s="11" t="s">
        <v>5025</v>
      </c>
      <c r="C228" s="12" t="s">
        <v>153</v>
      </c>
      <c r="D228" s="13" t="s">
        <v>153</v>
      </c>
      <c r="E228" s="14" t="s">
        <v>153</v>
      </c>
      <c r="F228" s="15" t="s">
        <v>5026</v>
      </c>
      <c r="G228" s="16" t="s">
        <v>5027</v>
      </c>
      <c r="H228" s="17" t="s">
        <v>5028</v>
      </c>
      <c r="I228" s="18" t="s">
        <v>5024</v>
      </c>
      <c r="J228" s="19" t="s">
        <v>5029</v>
      </c>
      <c r="K228" s="20" t="s">
        <v>198</v>
      </c>
      <c r="L228" s="21" t="s">
        <v>284</v>
      </c>
      <c r="M228" s="22" t="s">
        <v>5030</v>
      </c>
      <c r="N228" s="23" t="s">
        <v>5031</v>
      </c>
      <c r="O228" s="24" t="s">
        <v>1592</v>
      </c>
      <c r="P228" s="25" t="s">
        <v>5032</v>
      </c>
      <c r="Q228" s="26" t="s">
        <v>289</v>
      </c>
      <c r="R228" s="27">
        <v>30</v>
      </c>
      <c r="S228" s="28" t="s">
        <v>290</v>
      </c>
      <c r="T228" s="29" t="s">
        <v>205</v>
      </c>
      <c r="U228" s="30" t="s">
        <v>941</v>
      </c>
      <c r="V228" s="31" t="s">
        <v>153</v>
      </c>
      <c r="W228" s="32">
        <v>8700</v>
      </c>
      <c r="X228" s="33" t="s">
        <v>5033</v>
      </c>
      <c r="Y228" s="34" t="s">
        <v>153</v>
      </c>
      <c r="Z228" s="35" t="s">
        <v>153</v>
      </c>
      <c r="AA228" s="36">
        <v>1988</v>
      </c>
      <c r="AB228" s="37" t="s">
        <v>153</v>
      </c>
      <c r="AC228" s="38" t="s">
        <v>428</v>
      </c>
      <c r="AD228" s="39" t="s">
        <v>570</v>
      </c>
      <c r="AE228" s="40" t="s">
        <v>153</v>
      </c>
      <c r="AF228" s="41" t="s">
        <v>153</v>
      </c>
      <c r="AG228" s="42" t="s">
        <v>153</v>
      </c>
      <c r="AH228" s="43" t="s">
        <v>153</v>
      </c>
      <c r="AI228" s="44" t="s">
        <v>153</v>
      </c>
      <c r="AJ228" s="45" t="s">
        <v>153</v>
      </c>
      <c r="AK228" s="46" t="s">
        <v>153</v>
      </c>
      <c r="AL228" s="47" t="s">
        <v>153</v>
      </c>
      <c r="AM228" s="48" t="s">
        <v>153</v>
      </c>
      <c r="AN228" s="49" t="s">
        <v>429</v>
      </c>
      <c r="AO228" s="50" t="s">
        <v>5034</v>
      </c>
      <c r="AP228" s="51" t="s">
        <v>5035</v>
      </c>
      <c r="AQ228" s="52" t="s">
        <v>5036</v>
      </c>
      <c r="AR228" s="53" t="s">
        <v>153</v>
      </c>
      <c r="AS228" s="54" t="s">
        <v>5037</v>
      </c>
      <c r="AT228" s="55" t="s">
        <v>1379</v>
      </c>
      <c r="AU228" s="56" t="s">
        <v>5038</v>
      </c>
      <c r="AV228" s="57" t="s">
        <v>153</v>
      </c>
      <c r="AW228" s="58" t="s">
        <v>1380</v>
      </c>
      <c r="AX228" s="59" t="s">
        <v>308</v>
      </c>
      <c r="AY228" s="60" t="s">
        <v>5039</v>
      </c>
      <c r="AZ228" s="61" t="s">
        <v>215</v>
      </c>
      <c r="BA228" s="62" t="s">
        <v>5037</v>
      </c>
      <c r="BB228" s="63" t="s">
        <v>153</v>
      </c>
      <c r="BC228" s="64" t="s">
        <v>153</v>
      </c>
      <c r="BD228" s="65" t="s">
        <v>216</v>
      </c>
      <c r="BE228" s="66" t="s">
        <v>217</v>
      </c>
      <c r="BF228" s="67" t="s">
        <v>5040</v>
      </c>
      <c r="BG228" s="68" t="s">
        <v>153</v>
      </c>
      <c r="BH228" s="69" t="s">
        <v>153</v>
      </c>
      <c r="BI228" s="70" t="s">
        <v>5041</v>
      </c>
      <c r="BJ228" s="71" t="s">
        <v>5042</v>
      </c>
      <c r="BK228" s="72" t="s">
        <v>5043</v>
      </c>
      <c r="BL228" s="73" t="s">
        <v>153</v>
      </c>
      <c r="BM228" s="74" t="s">
        <v>5044</v>
      </c>
      <c r="BN228" s="75" t="s">
        <v>5045</v>
      </c>
      <c r="BO228" s="76" t="s">
        <v>5046</v>
      </c>
      <c r="BP228" s="77" t="s">
        <v>5047</v>
      </c>
      <c r="BQ228" s="78" t="s">
        <v>153</v>
      </c>
      <c r="BR228" s="79" t="s">
        <v>153</v>
      </c>
      <c r="BS228" s="80" t="s">
        <v>153</v>
      </c>
      <c r="BT228" s="81" t="s">
        <v>153</v>
      </c>
      <c r="BU228" s="82" t="s">
        <v>153</v>
      </c>
      <c r="BV228" s="83" t="s">
        <v>471</v>
      </c>
      <c r="BW228" s="84" t="s">
        <v>153</v>
      </c>
      <c r="BX228" s="85" t="s">
        <v>153</v>
      </c>
      <c r="BY228" s="86" t="s">
        <v>472</v>
      </c>
      <c r="BZ228" s="87" t="s">
        <v>153</v>
      </c>
      <c r="CA228" s="88" t="s">
        <v>190</v>
      </c>
      <c r="CB228" s="89">
        <v>42502</v>
      </c>
      <c r="CC228" s="90">
        <v>15590</v>
      </c>
      <c r="CD228" s="91" t="s">
        <v>186</v>
      </c>
      <c r="CE228" s="92">
        <v>15590</v>
      </c>
      <c r="CF228" s="93" t="s">
        <v>187</v>
      </c>
      <c r="CG228" s="94" t="s">
        <v>226</v>
      </c>
      <c r="CH228" s="95" t="s">
        <v>153</v>
      </c>
      <c r="CI228" s="96" t="s">
        <v>153</v>
      </c>
      <c r="CJ228" s="97" t="s">
        <v>225</v>
      </c>
      <c r="CK228" s="98">
        <v>42502</v>
      </c>
      <c r="CL228" s="99">
        <v>18000</v>
      </c>
      <c r="CM228" s="100" t="s">
        <v>5048</v>
      </c>
      <c r="CN228" s="101" t="s">
        <v>190</v>
      </c>
      <c r="CO228" s="102" t="s">
        <v>153</v>
      </c>
      <c r="CP228" s="103" t="s">
        <v>153</v>
      </c>
      <c r="CQ228" s="104" t="s">
        <v>153</v>
      </c>
      <c r="CR228" s="105" t="s">
        <v>153</v>
      </c>
      <c r="CS228" s="106" t="s">
        <v>153</v>
      </c>
      <c r="CT228" s="107" t="s">
        <v>153</v>
      </c>
      <c r="CU228" s="108" t="s">
        <v>153</v>
      </c>
      <c r="CV228" s="109" t="s">
        <v>153</v>
      </c>
      <c r="CW228" s="110" t="s">
        <v>153</v>
      </c>
      <c r="CX228" s="111" t="s">
        <v>153</v>
      </c>
      <c r="CY228" s="112" t="s">
        <v>153</v>
      </c>
      <c r="CZ228" s="113" t="s">
        <v>153</v>
      </c>
      <c r="DA228" s="114" t="s">
        <v>153</v>
      </c>
      <c r="DB228" s="115" t="s">
        <v>153</v>
      </c>
      <c r="DC228" s="116" t="s">
        <v>153</v>
      </c>
      <c r="DD228" s="117" t="s">
        <v>153</v>
      </c>
      <c r="DE228" s="118" t="s">
        <v>153</v>
      </c>
      <c r="DF228" s="119" t="s">
        <v>153</v>
      </c>
      <c r="DG228" s="120" t="s">
        <v>153</v>
      </c>
      <c r="DH228" s="121" t="s">
        <v>153</v>
      </c>
      <c r="DI228" s="122" t="s">
        <v>153</v>
      </c>
      <c r="DJ228" s="123" t="s">
        <v>153</v>
      </c>
      <c r="DK228" s="124" t="s">
        <v>153</v>
      </c>
      <c r="DL228" s="125" t="s">
        <v>153</v>
      </c>
      <c r="DM228" s="126" t="s">
        <v>153</v>
      </c>
      <c r="DN228" s="127" t="s">
        <v>153</v>
      </c>
      <c r="DO228" s="128" t="s">
        <v>153</v>
      </c>
      <c r="DP228" s="129" t="s">
        <v>153</v>
      </c>
      <c r="DQ228" s="130" t="s">
        <v>153</v>
      </c>
      <c r="DR228" s="131" t="s">
        <v>153</v>
      </c>
      <c r="DS228" s="132" t="s">
        <v>153</v>
      </c>
      <c r="DT228" s="133" t="s">
        <v>153</v>
      </c>
      <c r="DU228" s="134" t="s">
        <v>153</v>
      </c>
      <c r="DV228" s="135" t="s">
        <v>153</v>
      </c>
      <c r="DW228" s="136" t="s">
        <v>153</v>
      </c>
      <c r="DX228" s="137" t="s">
        <v>153</v>
      </c>
      <c r="DY228" s="138" t="s">
        <v>153</v>
      </c>
      <c r="DZ228" s="139" t="s">
        <v>191</v>
      </c>
      <c r="EA228" s="140">
        <v>44375</v>
      </c>
      <c r="EB228" s="141">
        <v>15590</v>
      </c>
      <c r="EC228" s="142">
        <v>42502</v>
      </c>
      <c r="ED228" s="143" t="s">
        <v>226</v>
      </c>
      <c r="EE228" s="278" t="str">
        <f>HYPERLINK("https://my.pitchbook.com?c=41299-57", "View company online")</f>
        <v>View company online</v>
      </c>
    </row>
    <row r="229" spans="1:135" x14ac:dyDescent="0.45">
      <c r="A229" s="144" t="s">
        <v>5049</v>
      </c>
      <c r="B229" s="145" t="s">
        <v>5050</v>
      </c>
      <c r="C229" s="146" t="s">
        <v>153</v>
      </c>
      <c r="D229" s="147" t="s">
        <v>153</v>
      </c>
      <c r="E229" s="148" t="s">
        <v>153</v>
      </c>
      <c r="F229" s="149" t="s">
        <v>5051</v>
      </c>
      <c r="G229" s="150" t="s">
        <v>5052</v>
      </c>
      <c r="H229" s="151" t="s">
        <v>5053</v>
      </c>
      <c r="I229" s="152" t="s">
        <v>5049</v>
      </c>
      <c r="J229" s="153" t="s">
        <v>5054</v>
      </c>
      <c r="K229" s="154" t="s">
        <v>882</v>
      </c>
      <c r="L229" s="155" t="s">
        <v>1257</v>
      </c>
      <c r="M229" s="156" t="s">
        <v>5055</v>
      </c>
      <c r="N229" s="157" t="s">
        <v>5056</v>
      </c>
      <c r="O229" s="158" t="s">
        <v>5057</v>
      </c>
      <c r="P229" s="159" t="s">
        <v>5058</v>
      </c>
      <c r="Q229" s="160" t="s">
        <v>367</v>
      </c>
      <c r="R229" s="161" t="s">
        <v>153</v>
      </c>
      <c r="S229" s="162" t="s">
        <v>368</v>
      </c>
      <c r="T229" s="163" t="s">
        <v>291</v>
      </c>
      <c r="U229" s="164" t="s">
        <v>237</v>
      </c>
      <c r="V229" s="165" t="s">
        <v>5059</v>
      </c>
      <c r="W229" s="166">
        <v>86195</v>
      </c>
      <c r="X229" s="167" t="s">
        <v>5060</v>
      </c>
      <c r="Y229" s="168" t="s">
        <v>1734</v>
      </c>
      <c r="Z229" s="169" t="s">
        <v>5061</v>
      </c>
      <c r="AA229" s="170">
        <v>1868</v>
      </c>
      <c r="AB229" s="171" t="s">
        <v>153</v>
      </c>
      <c r="AC229" s="172" t="s">
        <v>153</v>
      </c>
      <c r="AD229" s="173" t="s">
        <v>570</v>
      </c>
      <c r="AE229" s="174">
        <v>19616.650000000001</v>
      </c>
      <c r="AF229" s="175">
        <v>15699.11</v>
      </c>
      <c r="AG229" s="176">
        <v>-260.13</v>
      </c>
      <c r="AH229" s="177">
        <v>27724.85</v>
      </c>
      <c r="AI229" s="178">
        <v>2523.4299999999998</v>
      </c>
      <c r="AJ229" s="179">
        <v>536.9</v>
      </c>
      <c r="AK229" s="180">
        <v>14792.96</v>
      </c>
      <c r="AL229" s="181">
        <v>12080.86</v>
      </c>
      <c r="AM229" s="182">
        <v>-4.4800000000000004</v>
      </c>
      <c r="AN229" s="183" t="s">
        <v>168</v>
      </c>
      <c r="AO229" s="184" t="s">
        <v>5062</v>
      </c>
      <c r="AP229" s="185" t="s">
        <v>5063</v>
      </c>
      <c r="AQ229" s="186" t="s">
        <v>5064</v>
      </c>
      <c r="AR229" s="187" t="s">
        <v>5065</v>
      </c>
      <c r="AS229" s="188" t="s">
        <v>5066</v>
      </c>
      <c r="AT229" s="189" t="s">
        <v>3175</v>
      </c>
      <c r="AU229" s="190" t="s">
        <v>5067</v>
      </c>
      <c r="AV229" s="191" t="s">
        <v>5068</v>
      </c>
      <c r="AW229" s="192" t="s">
        <v>3178</v>
      </c>
      <c r="AX229" s="193" t="s">
        <v>153</v>
      </c>
      <c r="AY229" s="194" t="s">
        <v>5069</v>
      </c>
      <c r="AZ229" s="195" t="s">
        <v>701</v>
      </c>
      <c r="BA229" s="196" t="s">
        <v>5066</v>
      </c>
      <c r="BB229" s="197" t="s">
        <v>153</v>
      </c>
      <c r="BC229" s="198" t="s">
        <v>5070</v>
      </c>
      <c r="BD229" s="199" t="s">
        <v>180</v>
      </c>
      <c r="BE229" s="200" t="s">
        <v>181</v>
      </c>
      <c r="BF229" s="201" t="s">
        <v>5071</v>
      </c>
      <c r="BG229" s="202" t="s">
        <v>153</v>
      </c>
      <c r="BH229" s="203" t="s">
        <v>153</v>
      </c>
      <c r="BI229" s="204" t="s">
        <v>5072</v>
      </c>
      <c r="BJ229" s="205" t="s">
        <v>5073</v>
      </c>
      <c r="BK229" s="206" t="s">
        <v>153</v>
      </c>
      <c r="BL229" s="207" t="s">
        <v>153</v>
      </c>
      <c r="BM229" s="208" t="s">
        <v>5074</v>
      </c>
      <c r="BN229" s="209" t="s">
        <v>153</v>
      </c>
      <c r="BO229" s="210" t="s">
        <v>153</v>
      </c>
      <c r="BP229" s="211" t="s">
        <v>5075</v>
      </c>
      <c r="BQ229" s="212">
        <v>39651</v>
      </c>
      <c r="BR229" s="213" t="s">
        <v>153</v>
      </c>
      <c r="BS229" s="214" t="s">
        <v>153</v>
      </c>
      <c r="BT229" s="215" t="s">
        <v>153</v>
      </c>
      <c r="BU229" s="216" t="s">
        <v>153</v>
      </c>
      <c r="BV229" s="217" t="s">
        <v>251</v>
      </c>
      <c r="BW229" s="218" t="s">
        <v>153</v>
      </c>
      <c r="BX229" s="219" t="s">
        <v>153</v>
      </c>
      <c r="BY229" s="220" t="s">
        <v>252</v>
      </c>
      <c r="BZ229" s="221" t="s">
        <v>153</v>
      </c>
      <c r="CA229" s="222" t="s">
        <v>190</v>
      </c>
      <c r="CB229" s="223">
        <v>44297</v>
      </c>
      <c r="CC229" s="224">
        <v>15413.18</v>
      </c>
      <c r="CD229" s="225" t="s">
        <v>186</v>
      </c>
      <c r="CE229" s="226">
        <v>21987.42</v>
      </c>
      <c r="CF229" s="227" t="s">
        <v>187</v>
      </c>
      <c r="CG229" s="228" t="s">
        <v>226</v>
      </c>
      <c r="CH229" s="229" t="s">
        <v>153</v>
      </c>
      <c r="CI229" s="230" t="s">
        <v>153</v>
      </c>
      <c r="CJ229" s="231" t="s">
        <v>225</v>
      </c>
      <c r="CK229" s="232">
        <v>44297</v>
      </c>
      <c r="CL229" s="233" t="s">
        <v>153</v>
      </c>
      <c r="CM229" s="234" t="s">
        <v>153</v>
      </c>
      <c r="CN229" s="235" t="s">
        <v>1278</v>
      </c>
      <c r="CO229" s="236">
        <v>-0.11</v>
      </c>
      <c r="CP229" s="237">
        <v>8</v>
      </c>
      <c r="CQ229" s="238">
        <v>-0.02</v>
      </c>
      <c r="CR229" s="239">
        <v>-26.95</v>
      </c>
      <c r="CS229" s="240">
        <v>-0.23</v>
      </c>
      <c r="CT229" s="241">
        <v>7</v>
      </c>
      <c r="CU229" s="242">
        <v>0.01</v>
      </c>
      <c r="CV229" s="243">
        <v>77</v>
      </c>
      <c r="CW229" s="244">
        <v>-0.86</v>
      </c>
      <c r="CX229" s="245">
        <v>17</v>
      </c>
      <c r="CY229" s="246">
        <v>0.4</v>
      </c>
      <c r="CZ229" s="247">
        <v>94</v>
      </c>
      <c r="DA229" s="248">
        <v>0.01</v>
      </c>
      <c r="DB229" s="249">
        <v>77</v>
      </c>
      <c r="DC229" s="250">
        <v>128.94</v>
      </c>
      <c r="DD229" s="251">
        <v>100</v>
      </c>
      <c r="DE229" s="252">
        <v>-0.05</v>
      </c>
      <c r="DF229" s="253">
        <v>-0.04</v>
      </c>
      <c r="DG229" s="254">
        <v>163.51</v>
      </c>
      <c r="DH229" s="255">
        <v>100</v>
      </c>
      <c r="DI229" s="256">
        <v>94.37</v>
      </c>
      <c r="DJ229" s="257">
        <v>98</v>
      </c>
      <c r="DK229" s="258">
        <v>51.34</v>
      </c>
      <c r="DL229" s="259">
        <v>95</v>
      </c>
      <c r="DM229" s="260">
        <v>275.69</v>
      </c>
      <c r="DN229" s="261">
        <v>100</v>
      </c>
      <c r="DO229" s="262">
        <v>94.37</v>
      </c>
      <c r="DP229" s="263">
        <v>98</v>
      </c>
      <c r="DQ229" s="264">
        <v>30139</v>
      </c>
      <c r="DR229" s="265">
        <v>1109</v>
      </c>
      <c r="DS229" s="266">
        <v>3.82</v>
      </c>
      <c r="DT229" s="267">
        <v>4421</v>
      </c>
      <c r="DU229" s="268">
        <v>-25</v>
      </c>
      <c r="DV229" s="269">
        <v>-0.56000000000000005</v>
      </c>
      <c r="DW229" s="270">
        <v>29626</v>
      </c>
      <c r="DX229" s="271">
        <v>20</v>
      </c>
      <c r="DY229" s="272">
        <v>7.0000000000000007E-2</v>
      </c>
      <c r="DZ229" s="273" t="s">
        <v>191</v>
      </c>
      <c r="EA229" s="274">
        <v>44386</v>
      </c>
      <c r="EB229" s="275">
        <v>21987.42</v>
      </c>
      <c r="EC229" s="276">
        <v>44297</v>
      </c>
      <c r="ED229" s="277" t="s">
        <v>226</v>
      </c>
      <c r="EE229" s="279" t="str">
        <f>HYPERLINK("https://my.pitchbook.com?c=59345-65", "View company online")</f>
        <v>View company online</v>
      </c>
    </row>
    <row r="230" spans="1:135" x14ac:dyDescent="0.45">
      <c r="A230" s="10" t="s">
        <v>5076</v>
      </c>
      <c r="B230" s="11" t="s">
        <v>5077</v>
      </c>
      <c r="C230" s="12" t="s">
        <v>153</v>
      </c>
      <c r="D230" s="13" t="s">
        <v>153</v>
      </c>
      <c r="E230" s="14" t="s">
        <v>153</v>
      </c>
      <c r="F230" s="15" t="s">
        <v>5078</v>
      </c>
      <c r="G230" s="16" t="s">
        <v>5079</v>
      </c>
      <c r="H230" s="17" t="s">
        <v>5080</v>
      </c>
      <c r="I230" s="18" t="s">
        <v>5076</v>
      </c>
      <c r="J230" s="19" t="s">
        <v>5081</v>
      </c>
      <c r="K230" s="20" t="s">
        <v>257</v>
      </c>
      <c r="L230" s="21" t="s">
        <v>258</v>
      </c>
      <c r="M230" s="22" t="s">
        <v>448</v>
      </c>
      <c r="N230" s="23" t="s">
        <v>5082</v>
      </c>
      <c r="O230" s="24" t="s">
        <v>755</v>
      </c>
      <c r="P230" s="25" t="s">
        <v>5083</v>
      </c>
      <c r="Q230" s="26" t="s">
        <v>564</v>
      </c>
      <c r="R230" s="27">
        <v>552.5</v>
      </c>
      <c r="S230" s="28" t="s">
        <v>290</v>
      </c>
      <c r="T230" s="29" t="s">
        <v>205</v>
      </c>
      <c r="U230" s="30" t="s">
        <v>1791</v>
      </c>
      <c r="V230" s="31" t="s">
        <v>5084</v>
      </c>
      <c r="W230" s="32">
        <v>10400</v>
      </c>
      <c r="X230" s="33" t="s">
        <v>5085</v>
      </c>
      <c r="Y230" s="34" t="s">
        <v>153</v>
      </c>
      <c r="Z230" s="35" t="s">
        <v>153</v>
      </c>
      <c r="AA230" s="36">
        <v>1987</v>
      </c>
      <c r="AB230" s="37" t="s">
        <v>5086</v>
      </c>
      <c r="AC230" s="38" t="s">
        <v>153</v>
      </c>
      <c r="AD230" s="39" t="s">
        <v>153</v>
      </c>
      <c r="AE230" s="40" t="s">
        <v>153</v>
      </c>
      <c r="AF230" s="41" t="s">
        <v>153</v>
      </c>
      <c r="AG230" s="42" t="s">
        <v>153</v>
      </c>
      <c r="AH230" s="43" t="s">
        <v>153</v>
      </c>
      <c r="AI230" s="44" t="s">
        <v>153</v>
      </c>
      <c r="AJ230" s="45" t="s">
        <v>153</v>
      </c>
      <c r="AK230" s="46" t="s">
        <v>153</v>
      </c>
      <c r="AL230" s="47" t="s">
        <v>153</v>
      </c>
      <c r="AM230" s="48" t="s">
        <v>153</v>
      </c>
      <c r="AN230" s="49" t="s">
        <v>5087</v>
      </c>
      <c r="AO230" s="50" t="s">
        <v>5088</v>
      </c>
      <c r="AP230" s="51" t="s">
        <v>5089</v>
      </c>
      <c r="AQ230" s="52" t="s">
        <v>5090</v>
      </c>
      <c r="AR230" s="53" t="s">
        <v>153</v>
      </c>
      <c r="AS230" s="54" t="s">
        <v>153</v>
      </c>
      <c r="AT230" s="55" t="s">
        <v>5091</v>
      </c>
      <c r="AU230" s="56" t="s">
        <v>5092</v>
      </c>
      <c r="AV230" s="57" t="s">
        <v>153</v>
      </c>
      <c r="AW230" s="58" t="s">
        <v>5093</v>
      </c>
      <c r="AX230" s="59" t="s">
        <v>308</v>
      </c>
      <c r="AY230" s="60" t="s">
        <v>5094</v>
      </c>
      <c r="AZ230" s="61" t="s">
        <v>215</v>
      </c>
      <c r="BA230" s="62" t="s">
        <v>153</v>
      </c>
      <c r="BB230" s="63" t="s">
        <v>153</v>
      </c>
      <c r="BC230" s="64" t="s">
        <v>153</v>
      </c>
      <c r="BD230" s="65" t="s">
        <v>216</v>
      </c>
      <c r="BE230" s="66" t="s">
        <v>217</v>
      </c>
      <c r="BF230" s="67" t="s">
        <v>5095</v>
      </c>
      <c r="BG230" s="68" t="s">
        <v>153</v>
      </c>
      <c r="BH230" s="69" t="s">
        <v>153</v>
      </c>
      <c r="BI230" s="70" t="s">
        <v>5096</v>
      </c>
      <c r="BJ230" s="71" t="s">
        <v>5097</v>
      </c>
      <c r="BK230" s="72" t="s">
        <v>153</v>
      </c>
      <c r="BL230" s="73" t="s">
        <v>153</v>
      </c>
      <c r="BM230" s="74" t="s">
        <v>5098</v>
      </c>
      <c r="BN230" s="75" t="s">
        <v>153</v>
      </c>
      <c r="BO230" s="76" t="s">
        <v>5099</v>
      </c>
      <c r="BP230" s="77" t="s">
        <v>5100</v>
      </c>
      <c r="BQ230" s="78">
        <v>35431</v>
      </c>
      <c r="BR230" s="79" t="s">
        <v>153</v>
      </c>
      <c r="BS230" s="80" t="s">
        <v>153</v>
      </c>
      <c r="BT230" s="81" t="s">
        <v>153</v>
      </c>
      <c r="BU230" s="82" t="s">
        <v>153</v>
      </c>
      <c r="BV230" s="83" t="s">
        <v>709</v>
      </c>
      <c r="BW230" s="84" t="s">
        <v>153</v>
      </c>
      <c r="BX230" s="85" t="s">
        <v>153</v>
      </c>
      <c r="BY230" s="86" t="s">
        <v>165</v>
      </c>
      <c r="BZ230" s="87" t="s">
        <v>153</v>
      </c>
      <c r="CA230" s="88" t="s">
        <v>190</v>
      </c>
      <c r="CB230" s="89">
        <v>41674</v>
      </c>
      <c r="CC230" s="90">
        <v>15303.8</v>
      </c>
      <c r="CD230" s="91" t="s">
        <v>186</v>
      </c>
      <c r="CE230" s="92">
        <v>15303.8</v>
      </c>
      <c r="CF230" s="93" t="s">
        <v>186</v>
      </c>
      <c r="CG230" s="94" t="s">
        <v>226</v>
      </c>
      <c r="CH230" s="95" t="s">
        <v>153</v>
      </c>
      <c r="CI230" s="96" t="s">
        <v>153</v>
      </c>
      <c r="CJ230" s="97" t="s">
        <v>225</v>
      </c>
      <c r="CK230" s="98">
        <v>41674</v>
      </c>
      <c r="CL230" s="99" t="s">
        <v>153</v>
      </c>
      <c r="CM230" s="100" t="s">
        <v>5101</v>
      </c>
      <c r="CN230" s="101" t="s">
        <v>190</v>
      </c>
      <c r="CO230" s="102" t="s">
        <v>153</v>
      </c>
      <c r="CP230" s="103" t="s">
        <v>153</v>
      </c>
      <c r="CQ230" s="104" t="s">
        <v>153</v>
      </c>
      <c r="CR230" s="105" t="s">
        <v>153</v>
      </c>
      <c r="CS230" s="106" t="s">
        <v>153</v>
      </c>
      <c r="CT230" s="107" t="s">
        <v>153</v>
      </c>
      <c r="CU230" s="108" t="s">
        <v>153</v>
      </c>
      <c r="CV230" s="109" t="s">
        <v>153</v>
      </c>
      <c r="CW230" s="110" t="s">
        <v>153</v>
      </c>
      <c r="CX230" s="111" t="s">
        <v>153</v>
      </c>
      <c r="CY230" s="112" t="s">
        <v>153</v>
      </c>
      <c r="CZ230" s="113" t="s">
        <v>153</v>
      </c>
      <c r="DA230" s="114" t="s">
        <v>153</v>
      </c>
      <c r="DB230" s="115" t="s">
        <v>153</v>
      </c>
      <c r="DC230" s="116" t="s">
        <v>153</v>
      </c>
      <c r="DD230" s="117" t="s">
        <v>153</v>
      </c>
      <c r="DE230" s="118" t="s">
        <v>153</v>
      </c>
      <c r="DF230" s="119" t="s">
        <v>153</v>
      </c>
      <c r="DG230" s="120" t="s">
        <v>153</v>
      </c>
      <c r="DH230" s="121" t="s">
        <v>153</v>
      </c>
      <c r="DI230" s="122" t="s">
        <v>153</v>
      </c>
      <c r="DJ230" s="123" t="s">
        <v>153</v>
      </c>
      <c r="DK230" s="124" t="s">
        <v>153</v>
      </c>
      <c r="DL230" s="125" t="s">
        <v>153</v>
      </c>
      <c r="DM230" s="126" t="s">
        <v>153</v>
      </c>
      <c r="DN230" s="127" t="s">
        <v>153</v>
      </c>
      <c r="DO230" s="128" t="s">
        <v>153</v>
      </c>
      <c r="DP230" s="129" t="s">
        <v>153</v>
      </c>
      <c r="DQ230" s="130" t="s">
        <v>153</v>
      </c>
      <c r="DR230" s="131" t="s">
        <v>153</v>
      </c>
      <c r="DS230" s="132" t="s">
        <v>153</v>
      </c>
      <c r="DT230" s="133" t="s">
        <v>153</v>
      </c>
      <c r="DU230" s="134" t="s">
        <v>153</v>
      </c>
      <c r="DV230" s="135" t="s">
        <v>153</v>
      </c>
      <c r="DW230" s="136" t="s">
        <v>153</v>
      </c>
      <c r="DX230" s="137" t="s">
        <v>153</v>
      </c>
      <c r="DY230" s="138" t="s">
        <v>153</v>
      </c>
      <c r="DZ230" s="139" t="s">
        <v>191</v>
      </c>
      <c r="EA230" s="140">
        <v>44337</v>
      </c>
      <c r="EB230" s="141">
        <v>15303.8</v>
      </c>
      <c r="EC230" s="142">
        <v>41674</v>
      </c>
      <c r="ED230" s="143" t="s">
        <v>226</v>
      </c>
      <c r="EE230" s="278" t="str">
        <f>HYPERLINK("https://my.pitchbook.com?c=41344-48", "View company online")</f>
        <v>View company online</v>
      </c>
    </row>
    <row r="231" spans="1:135" x14ac:dyDescent="0.45">
      <c r="A231" s="144" t="s">
        <v>5102</v>
      </c>
      <c r="B231" s="145" t="s">
        <v>5103</v>
      </c>
      <c r="C231" s="146" t="s">
        <v>153</v>
      </c>
      <c r="D231" s="147" t="s">
        <v>153</v>
      </c>
      <c r="E231" s="148" t="s">
        <v>153</v>
      </c>
      <c r="F231" s="149" t="s">
        <v>153</v>
      </c>
      <c r="G231" s="150" t="s">
        <v>5104</v>
      </c>
      <c r="H231" s="151" t="s">
        <v>5105</v>
      </c>
      <c r="I231" s="152" t="s">
        <v>5102</v>
      </c>
      <c r="J231" s="153" t="s">
        <v>5106</v>
      </c>
      <c r="K231" s="154" t="s">
        <v>157</v>
      </c>
      <c r="L231" s="155" t="s">
        <v>1667</v>
      </c>
      <c r="M231" s="156" t="s">
        <v>1668</v>
      </c>
      <c r="N231" s="157" t="s">
        <v>5107</v>
      </c>
      <c r="O231" s="158" t="s">
        <v>5108</v>
      </c>
      <c r="P231" s="159" t="s">
        <v>5109</v>
      </c>
      <c r="Q231" s="160" t="s">
        <v>564</v>
      </c>
      <c r="R231" s="161">
        <v>2312.04</v>
      </c>
      <c r="S231" s="162" t="s">
        <v>290</v>
      </c>
      <c r="T231" s="163" t="s">
        <v>164</v>
      </c>
      <c r="U231" s="164" t="s">
        <v>452</v>
      </c>
      <c r="V231" s="165" t="s">
        <v>5110</v>
      </c>
      <c r="W231" s="166">
        <v>2100</v>
      </c>
      <c r="X231" s="167" t="s">
        <v>5111</v>
      </c>
      <c r="Y231" s="168" t="s">
        <v>153</v>
      </c>
      <c r="Z231" s="169" t="s">
        <v>153</v>
      </c>
      <c r="AA231" s="170">
        <v>1999</v>
      </c>
      <c r="AB231" s="171" t="s">
        <v>4373</v>
      </c>
      <c r="AC231" s="172" t="s">
        <v>428</v>
      </c>
      <c r="AD231" s="173" t="s">
        <v>5112</v>
      </c>
      <c r="AE231" s="174" t="s">
        <v>153</v>
      </c>
      <c r="AF231" s="175" t="s">
        <v>153</v>
      </c>
      <c r="AG231" s="176" t="s">
        <v>153</v>
      </c>
      <c r="AH231" s="177" t="s">
        <v>153</v>
      </c>
      <c r="AI231" s="178" t="s">
        <v>153</v>
      </c>
      <c r="AJ231" s="179" t="s">
        <v>153</v>
      </c>
      <c r="AK231" s="180" t="s">
        <v>153</v>
      </c>
      <c r="AL231" s="181" t="s">
        <v>153</v>
      </c>
      <c r="AM231" s="182" t="s">
        <v>153</v>
      </c>
      <c r="AN231" s="183" t="s">
        <v>2139</v>
      </c>
      <c r="AO231" s="184" t="s">
        <v>5113</v>
      </c>
      <c r="AP231" s="185" t="s">
        <v>5114</v>
      </c>
      <c r="AQ231" s="186" t="s">
        <v>5115</v>
      </c>
      <c r="AR231" s="187" t="s">
        <v>5116</v>
      </c>
      <c r="AS231" s="188" t="s">
        <v>5117</v>
      </c>
      <c r="AT231" s="189" t="s">
        <v>5118</v>
      </c>
      <c r="AU231" s="190" t="s">
        <v>5119</v>
      </c>
      <c r="AV231" s="191" t="s">
        <v>5120</v>
      </c>
      <c r="AW231" s="192" t="s">
        <v>5121</v>
      </c>
      <c r="AX231" s="193" t="s">
        <v>153</v>
      </c>
      <c r="AY231" s="194" t="s">
        <v>5122</v>
      </c>
      <c r="AZ231" s="195" t="s">
        <v>5123</v>
      </c>
      <c r="BA231" s="196" t="s">
        <v>5117</v>
      </c>
      <c r="BB231" s="197" t="s">
        <v>5124</v>
      </c>
      <c r="BC231" s="198" t="s">
        <v>5125</v>
      </c>
      <c r="BD231" s="199" t="s">
        <v>248</v>
      </c>
      <c r="BE231" s="200" t="s">
        <v>248</v>
      </c>
      <c r="BF231" s="201" t="s">
        <v>5126</v>
      </c>
      <c r="BG231" s="202" t="s">
        <v>153</v>
      </c>
      <c r="BH231" s="203" t="s">
        <v>153</v>
      </c>
      <c r="BI231" s="204" t="s">
        <v>4373</v>
      </c>
      <c r="BJ231" s="205" t="s">
        <v>5127</v>
      </c>
      <c r="BK231" s="206" t="s">
        <v>153</v>
      </c>
      <c r="BL231" s="207" t="s">
        <v>153</v>
      </c>
      <c r="BM231" s="208" t="s">
        <v>5128</v>
      </c>
      <c r="BN231" s="209" t="s">
        <v>153</v>
      </c>
      <c r="BO231" s="210" t="s">
        <v>5129</v>
      </c>
      <c r="BP231" s="211" t="s">
        <v>5130</v>
      </c>
      <c r="BQ231" s="212" t="s">
        <v>153</v>
      </c>
      <c r="BR231" s="213" t="s">
        <v>153</v>
      </c>
      <c r="BS231" s="214" t="s">
        <v>153</v>
      </c>
      <c r="BT231" s="215" t="s">
        <v>153</v>
      </c>
      <c r="BU231" s="216" t="s">
        <v>153</v>
      </c>
      <c r="BV231" s="217" t="s">
        <v>471</v>
      </c>
      <c r="BW231" s="218" t="s">
        <v>153</v>
      </c>
      <c r="BX231" s="219" t="s">
        <v>153</v>
      </c>
      <c r="BY231" s="220" t="s">
        <v>472</v>
      </c>
      <c r="BZ231" s="221" t="s">
        <v>153</v>
      </c>
      <c r="CA231" s="222" t="s">
        <v>190</v>
      </c>
      <c r="CB231" s="223">
        <v>43191</v>
      </c>
      <c r="CC231" s="224">
        <v>15300</v>
      </c>
      <c r="CD231" s="225" t="s">
        <v>186</v>
      </c>
      <c r="CE231" s="226">
        <v>15300</v>
      </c>
      <c r="CF231" s="227" t="s">
        <v>187</v>
      </c>
      <c r="CG231" s="228" t="s">
        <v>226</v>
      </c>
      <c r="CH231" s="229" t="s">
        <v>153</v>
      </c>
      <c r="CI231" s="230" t="s">
        <v>153</v>
      </c>
      <c r="CJ231" s="231" t="s">
        <v>225</v>
      </c>
      <c r="CK231" s="232">
        <v>43191</v>
      </c>
      <c r="CL231" s="233" t="s">
        <v>153</v>
      </c>
      <c r="CM231" s="234" t="s">
        <v>153</v>
      </c>
      <c r="CN231" s="235" t="s">
        <v>190</v>
      </c>
      <c r="CO231" s="236" t="s">
        <v>153</v>
      </c>
      <c r="CP231" s="237" t="s">
        <v>153</v>
      </c>
      <c r="CQ231" s="238" t="s">
        <v>153</v>
      </c>
      <c r="CR231" s="239" t="s">
        <v>153</v>
      </c>
      <c r="CS231" s="240" t="s">
        <v>153</v>
      </c>
      <c r="CT231" s="241" t="s">
        <v>153</v>
      </c>
      <c r="CU231" s="242" t="s">
        <v>153</v>
      </c>
      <c r="CV231" s="243" t="s">
        <v>153</v>
      </c>
      <c r="CW231" s="244" t="s">
        <v>153</v>
      </c>
      <c r="CX231" s="245" t="s">
        <v>153</v>
      </c>
      <c r="CY231" s="246" t="s">
        <v>153</v>
      </c>
      <c r="CZ231" s="247" t="s">
        <v>153</v>
      </c>
      <c r="DA231" s="248" t="s">
        <v>153</v>
      </c>
      <c r="DB231" s="249" t="s">
        <v>153</v>
      </c>
      <c r="DC231" s="250" t="s">
        <v>153</v>
      </c>
      <c r="DD231" s="251" t="s">
        <v>153</v>
      </c>
      <c r="DE231" s="252" t="s">
        <v>153</v>
      </c>
      <c r="DF231" s="253" t="s">
        <v>153</v>
      </c>
      <c r="DG231" s="254" t="s">
        <v>153</v>
      </c>
      <c r="DH231" s="255" t="s">
        <v>153</v>
      </c>
      <c r="DI231" s="256" t="s">
        <v>153</v>
      </c>
      <c r="DJ231" s="257" t="s">
        <v>153</v>
      </c>
      <c r="DK231" s="258" t="s">
        <v>153</v>
      </c>
      <c r="DL231" s="259" t="s">
        <v>153</v>
      </c>
      <c r="DM231" s="260" t="s">
        <v>153</v>
      </c>
      <c r="DN231" s="261" t="s">
        <v>153</v>
      </c>
      <c r="DO231" s="262" t="s">
        <v>153</v>
      </c>
      <c r="DP231" s="263" t="s">
        <v>153</v>
      </c>
      <c r="DQ231" s="264" t="s">
        <v>153</v>
      </c>
      <c r="DR231" s="265" t="s">
        <v>153</v>
      </c>
      <c r="DS231" s="266" t="s">
        <v>153</v>
      </c>
      <c r="DT231" s="267" t="s">
        <v>153</v>
      </c>
      <c r="DU231" s="268" t="s">
        <v>153</v>
      </c>
      <c r="DV231" s="269" t="s">
        <v>153</v>
      </c>
      <c r="DW231" s="270" t="s">
        <v>153</v>
      </c>
      <c r="DX231" s="271" t="s">
        <v>153</v>
      </c>
      <c r="DY231" s="272" t="s">
        <v>153</v>
      </c>
      <c r="DZ231" s="273" t="s">
        <v>191</v>
      </c>
      <c r="EA231" s="274">
        <v>44358</v>
      </c>
      <c r="EB231" s="275">
        <v>15300</v>
      </c>
      <c r="EC231" s="276">
        <v>43191</v>
      </c>
      <c r="ED231" s="277" t="s">
        <v>226</v>
      </c>
      <c r="EE231" s="279" t="str">
        <f>HYPERLINK("https://my.pitchbook.com?c=12402-73", "View company online")</f>
        <v>View company online</v>
      </c>
    </row>
    <row r="232" spans="1:135" x14ac:dyDescent="0.45">
      <c r="A232" s="10" t="s">
        <v>5131</v>
      </c>
      <c r="B232" s="11" t="s">
        <v>5132</v>
      </c>
      <c r="C232" s="12" t="s">
        <v>153</v>
      </c>
      <c r="D232" s="13" t="s">
        <v>153</v>
      </c>
      <c r="E232" s="14" t="s">
        <v>5133</v>
      </c>
      <c r="F232" s="15" t="s">
        <v>5134</v>
      </c>
      <c r="G232" s="16" t="s">
        <v>5135</v>
      </c>
      <c r="H232" s="17" t="s">
        <v>5136</v>
      </c>
      <c r="I232" s="18" t="s">
        <v>5131</v>
      </c>
      <c r="J232" s="19" t="s">
        <v>5137</v>
      </c>
      <c r="K232" s="20" t="s">
        <v>232</v>
      </c>
      <c r="L232" s="21" t="s">
        <v>2162</v>
      </c>
      <c r="M232" s="22" t="s">
        <v>5138</v>
      </c>
      <c r="N232" s="23" t="s">
        <v>5139</v>
      </c>
      <c r="O232" s="24" t="s">
        <v>153</v>
      </c>
      <c r="P232" s="25" t="s">
        <v>5140</v>
      </c>
      <c r="Q232" s="26" t="s">
        <v>204</v>
      </c>
      <c r="R232" s="27">
        <v>3200</v>
      </c>
      <c r="S232" s="28" t="s">
        <v>163</v>
      </c>
      <c r="T232" s="29" t="s">
        <v>205</v>
      </c>
      <c r="U232" s="30" t="s">
        <v>237</v>
      </c>
      <c r="V232" s="31" t="s">
        <v>5141</v>
      </c>
      <c r="W232" s="32">
        <v>7400</v>
      </c>
      <c r="X232" s="33" t="s">
        <v>5142</v>
      </c>
      <c r="Y232" s="34" t="s">
        <v>153</v>
      </c>
      <c r="Z232" s="35" t="s">
        <v>153</v>
      </c>
      <c r="AA232" s="36">
        <v>1986</v>
      </c>
      <c r="AB232" s="37" t="s">
        <v>153</v>
      </c>
      <c r="AC232" s="38" t="s">
        <v>153</v>
      </c>
      <c r="AD232" s="39" t="s">
        <v>153</v>
      </c>
      <c r="AE232" s="40" t="s">
        <v>153</v>
      </c>
      <c r="AF232" s="41" t="s">
        <v>153</v>
      </c>
      <c r="AG232" s="42" t="s">
        <v>153</v>
      </c>
      <c r="AH232" s="43" t="s">
        <v>153</v>
      </c>
      <c r="AI232" s="44" t="s">
        <v>153</v>
      </c>
      <c r="AJ232" s="45" t="s">
        <v>153</v>
      </c>
      <c r="AK232" s="46" t="s">
        <v>153</v>
      </c>
      <c r="AL232" s="47" t="s">
        <v>153</v>
      </c>
      <c r="AM232" s="48" t="s">
        <v>153</v>
      </c>
      <c r="AN232" s="49" t="s">
        <v>648</v>
      </c>
      <c r="AO232" s="50" t="s">
        <v>153</v>
      </c>
      <c r="AP232" s="51" t="s">
        <v>153</v>
      </c>
      <c r="AQ232" s="52" t="s">
        <v>153</v>
      </c>
      <c r="AR232" s="53" t="s">
        <v>153</v>
      </c>
      <c r="AS232" s="54" t="s">
        <v>153</v>
      </c>
      <c r="AT232" s="55" t="s">
        <v>5143</v>
      </c>
      <c r="AU232" s="56" t="s">
        <v>5144</v>
      </c>
      <c r="AV232" s="57" t="s">
        <v>5145</v>
      </c>
      <c r="AW232" s="58" t="s">
        <v>5146</v>
      </c>
      <c r="AX232" s="59" t="s">
        <v>153</v>
      </c>
      <c r="AY232" s="60" t="s">
        <v>4098</v>
      </c>
      <c r="AZ232" s="61" t="s">
        <v>4099</v>
      </c>
      <c r="BA232" s="62" t="s">
        <v>5147</v>
      </c>
      <c r="BB232" s="63" t="s">
        <v>5148</v>
      </c>
      <c r="BC232" s="64" t="s">
        <v>153</v>
      </c>
      <c r="BD232" s="65" t="s">
        <v>216</v>
      </c>
      <c r="BE232" s="66" t="s">
        <v>217</v>
      </c>
      <c r="BF232" s="67" t="s">
        <v>5149</v>
      </c>
      <c r="BG232" s="68" t="s">
        <v>153</v>
      </c>
      <c r="BH232" s="69" t="s">
        <v>153</v>
      </c>
      <c r="BI232" s="70" t="s">
        <v>5150</v>
      </c>
      <c r="BJ232" s="71" t="s">
        <v>153</v>
      </c>
      <c r="BK232" s="72" t="s">
        <v>153</v>
      </c>
      <c r="BL232" s="73" t="s">
        <v>153</v>
      </c>
      <c r="BM232" s="74" t="s">
        <v>153</v>
      </c>
      <c r="BN232" s="75" t="s">
        <v>153</v>
      </c>
      <c r="BO232" s="76" t="s">
        <v>5151</v>
      </c>
      <c r="BP232" s="77" t="s">
        <v>5152</v>
      </c>
      <c r="BQ232" s="78">
        <v>33239</v>
      </c>
      <c r="BR232" s="79">
        <v>629.85</v>
      </c>
      <c r="BS232" s="80" t="s">
        <v>186</v>
      </c>
      <c r="BT232" s="81" t="s">
        <v>153</v>
      </c>
      <c r="BU232" s="82" t="s">
        <v>153</v>
      </c>
      <c r="BV232" s="83" t="s">
        <v>251</v>
      </c>
      <c r="BW232" s="84" t="s">
        <v>153</v>
      </c>
      <c r="BX232" s="85" t="s">
        <v>153</v>
      </c>
      <c r="BY232" s="86" t="s">
        <v>252</v>
      </c>
      <c r="BZ232" s="87" t="s">
        <v>153</v>
      </c>
      <c r="CA232" s="88" t="s">
        <v>190</v>
      </c>
      <c r="CB232" s="89">
        <v>43355</v>
      </c>
      <c r="CC232" s="90">
        <v>15300</v>
      </c>
      <c r="CD232" s="91" t="s">
        <v>186</v>
      </c>
      <c r="CE232" s="92">
        <v>15300</v>
      </c>
      <c r="CF232" s="93" t="s">
        <v>187</v>
      </c>
      <c r="CG232" s="94" t="s">
        <v>226</v>
      </c>
      <c r="CH232" s="95" t="s">
        <v>930</v>
      </c>
      <c r="CI232" s="96" t="s">
        <v>153</v>
      </c>
      <c r="CJ232" s="97" t="s">
        <v>225</v>
      </c>
      <c r="CK232" s="98">
        <v>43355</v>
      </c>
      <c r="CL232" s="99" t="s">
        <v>153</v>
      </c>
      <c r="CM232" s="100" t="s">
        <v>153</v>
      </c>
      <c r="CN232" s="101" t="s">
        <v>190</v>
      </c>
      <c r="CO232" s="102" t="s">
        <v>153</v>
      </c>
      <c r="CP232" s="103" t="s">
        <v>153</v>
      </c>
      <c r="CQ232" s="104" t="s">
        <v>153</v>
      </c>
      <c r="CR232" s="105" t="s">
        <v>153</v>
      </c>
      <c r="CS232" s="106" t="s">
        <v>153</v>
      </c>
      <c r="CT232" s="107" t="s">
        <v>153</v>
      </c>
      <c r="CU232" s="108" t="s">
        <v>153</v>
      </c>
      <c r="CV232" s="109" t="s">
        <v>153</v>
      </c>
      <c r="CW232" s="110" t="s">
        <v>153</v>
      </c>
      <c r="CX232" s="111" t="s">
        <v>153</v>
      </c>
      <c r="CY232" s="112" t="s">
        <v>153</v>
      </c>
      <c r="CZ232" s="113" t="s">
        <v>153</v>
      </c>
      <c r="DA232" s="114" t="s">
        <v>153</v>
      </c>
      <c r="DB232" s="115" t="s">
        <v>153</v>
      </c>
      <c r="DC232" s="116" t="s">
        <v>153</v>
      </c>
      <c r="DD232" s="117" t="s">
        <v>153</v>
      </c>
      <c r="DE232" s="118" t="s">
        <v>153</v>
      </c>
      <c r="DF232" s="119" t="s">
        <v>153</v>
      </c>
      <c r="DG232" s="120" t="s">
        <v>153</v>
      </c>
      <c r="DH232" s="121" t="s">
        <v>153</v>
      </c>
      <c r="DI232" s="122" t="s">
        <v>153</v>
      </c>
      <c r="DJ232" s="123" t="s">
        <v>153</v>
      </c>
      <c r="DK232" s="124" t="s">
        <v>153</v>
      </c>
      <c r="DL232" s="125" t="s">
        <v>153</v>
      </c>
      <c r="DM232" s="126" t="s">
        <v>153</v>
      </c>
      <c r="DN232" s="127" t="s">
        <v>153</v>
      </c>
      <c r="DO232" s="128" t="s">
        <v>153</v>
      </c>
      <c r="DP232" s="129" t="s">
        <v>153</v>
      </c>
      <c r="DQ232" s="130" t="s">
        <v>153</v>
      </c>
      <c r="DR232" s="131" t="s">
        <v>153</v>
      </c>
      <c r="DS232" s="132" t="s">
        <v>153</v>
      </c>
      <c r="DT232" s="133" t="s">
        <v>153</v>
      </c>
      <c r="DU232" s="134" t="s">
        <v>153</v>
      </c>
      <c r="DV232" s="135" t="s">
        <v>153</v>
      </c>
      <c r="DW232" s="136" t="s">
        <v>153</v>
      </c>
      <c r="DX232" s="137" t="s">
        <v>153</v>
      </c>
      <c r="DY232" s="138" t="s">
        <v>153</v>
      </c>
      <c r="DZ232" s="139" t="s">
        <v>191</v>
      </c>
      <c r="EA232" s="140">
        <v>44336</v>
      </c>
      <c r="EB232" s="141">
        <v>15300</v>
      </c>
      <c r="EC232" s="142">
        <v>43355</v>
      </c>
      <c r="ED232" s="143" t="s">
        <v>226</v>
      </c>
      <c r="EE232" s="278" t="str">
        <f>HYPERLINK("https://my.pitchbook.com?c=11832-22", "View company online")</f>
        <v>View company online</v>
      </c>
    </row>
    <row r="233" spans="1:135" x14ac:dyDescent="0.45">
      <c r="A233" s="144" t="s">
        <v>5153</v>
      </c>
      <c r="B233" s="145" t="s">
        <v>5154</v>
      </c>
      <c r="C233" s="146" t="s">
        <v>153</v>
      </c>
      <c r="D233" s="147" t="s">
        <v>153</v>
      </c>
      <c r="E233" s="148" t="s">
        <v>153</v>
      </c>
      <c r="F233" s="149" t="s">
        <v>5155</v>
      </c>
      <c r="G233" s="150" t="s">
        <v>153</v>
      </c>
      <c r="H233" s="151" t="s">
        <v>5156</v>
      </c>
      <c r="I233" s="152" t="s">
        <v>5153</v>
      </c>
      <c r="J233" s="153" t="s">
        <v>5157</v>
      </c>
      <c r="K233" s="154" t="s">
        <v>232</v>
      </c>
      <c r="L233" s="155" t="s">
        <v>362</v>
      </c>
      <c r="M233" s="156" t="s">
        <v>4656</v>
      </c>
      <c r="N233" s="157" t="s">
        <v>4657</v>
      </c>
      <c r="O233" s="158" t="s">
        <v>153</v>
      </c>
      <c r="P233" s="159" t="s">
        <v>5158</v>
      </c>
      <c r="Q233" s="160" t="s">
        <v>564</v>
      </c>
      <c r="R233" s="161">
        <v>3316.58</v>
      </c>
      <c r="S233" s="162" t="s">
        <v>290</v>
      </c>
      <c r="T233" s="163" t="s">
        <v>205</v>
      </c>
      <c r="U233" s="164" t="s">
        <v>369</v>
      </c>
      <c r="V233" s="165" t="s">
        <v>153</v>
      </c>
      <c r="W233" s="166">
        <v>700</v>
      </c>
      <c r="X233" s="167" t="s">
        <v>5159</v>
      </c>
      <c r="Y233" s="168" t="s">
        <v>153</v>
      </c>
      <c r="Z233" s="169" t="s">
        <v>153</v>
      </c>
      <c r="AA233" s="170">
        <v>1954</v>
      </c>
      <c r="AB233" s="171" t="s">
        <v>153</v>
      </c>
      <c r="AC233" s="172" t="s">
        <v>153</v>
      </c>
      <c r="AD233" s="173" t="s">
        <v>153</v>
      </c>
      <c r="AE233" s="174" t="s">
        <v>153</v>
      </c>
      <c r="AF233" s="175" t="s">
        <v>153</v>
      </c>
      <c r="AG233" s="176" t="s">
        <v>153</v>
      </c>
      <c r="AH233" s="177" t="s">
        <v>153</v>
      </c>
      <c r="AI233" s="178" t="s">
        <v>153</v>
      </c>
      <c r="AJ233" s="179" t="s">
        <v>153</v>
      </c>
      <c r="AK233" s="180" t="s">
        <v>153</v>
      </c>
      <c r="AL233" s="181" t="s">
        <v>153</v>
      </c>
      <c r="AM233" s="182" t="s">
        <v>153</v>
      </c>
      <c r="AN233" s="183" t="s">
        <v>153</v>
      </c>
      <c r="AO233" s="184" t="s">
        <v>153</v>
      </c>
      <c r="AP233" s="185" t="s">
        <v>153</v>
      </c>
      <c r="AQ233" s="186" t="s">
        <v>153</v>
      </c>
      <c r="AR233" s="187" t="s">
        <v>153</v>
      </c>
      <c r="AS233" s="188" t="s">
        <v>153</v>
      </c>
      <c r="AT233" s="189" t="s">
        <v>780</v>
      </c>
      <c r="AU233" s="190" t="s">
        <v>5160</v>
      </c>
      <c r="AV233" s="191" t="s">
        <v>5161</v>
      </c>
      <c r="AW233" s="192" t="s">
        <v>782</v>
      </c>
      <c r="AX233" s="193" t="s">
        <v>783</v>
      </c>
      <c r="AY233" s="194" t="s">
        <v>4699</v>
      </c>
      <c r="AZ233" s="195" t="s">
        <v>215</v>
      </c>
      <c r="BA233" s="196" t="s">
        <v>153</v>
      </c>
      <c r="BB233" s="197" t="s">
        <v>153</v>
      </c>
      <c r="BC233" s="198" t="s">
        <v>153</v>
      </c>
      <c r="BD233" s="199" t="s">
        <v>216</v>
      </c>
      <c r="BE233" s="200" t="s">
        <v>217</v>
      </c>
      <c r="BF233" s="201" t="s">
        <v>5162</v>
      </c>
      <c r="BG233" s="202" t="s">
        <v>153</v>
      </c>
      <c r="BH233" s="203" t="s">
        <v>153</v>
      </c>
      <c r="BI233" s="204" t="s">
        <v>5163</v>
      </c>
      <c r="BJ233" s="205" t="s">
        <v>5164</v>
      </c>
      <c r="BK233" s="206" t="s">
        <v>5165</v>
      </c>
      <c r="BL233" s="207" t="s">
        <v>153</v>
      </c>
      <c r="BM233" s="208" t="s">
        <v>5166</v>
      </c>
      <c r="BN233" s="209" t="s">
        <v>5167</v>
      </c>
      <c r="BO233" s="210" t="s">
        <v>5168</v>
      </c>
      <c r="BP233" s="211" t="s">
        <v>5169</v>
      </c>
      <c r="BQ233" s="212">
        <v>34067</v>
      </c>
      <c r="BR233" s="213" t="s">
        <v>153</v>
      </c>
      <c r="BS233" s="214" t="s">
        <v>153</v>
      </c>
      <c r="BT233" s="215" t="s">
        <v>153</v>
      </c>
      <c r="BU233" s="216" t="s">
        <v>153</v>
      </c>
      <c r="BV233" s="217" t="s">
        <v>251</v>
      </c>
      <c r="BW233" s="218" t="s">
        <v>153</v>
      </c>
      <c r="BX233" s="219" t="s">
        <v>153</v>
      </c>
      <c r="BY233" s="220" t="s">
        <v>252</v>
      </c>
      <c r="BZ233" s="221" t="s">
        <v>153</v>
      </c>
      <c r="CA233" s="222" t="s">
        <v>190</v>
      </c>
      <c r="CB233" s="223">
        <v>43340</v>
      </c>
      <c r="CC233" s="224">
        <v>15250</v>
      </c>
      <c r="CD233" s="225" t="s">
        <v>186</v>
      </c>
      <c r="CE233" s="226">
        <v>23106.06</v>
      </c>
      <c r="CF233" s="227" t="s">
        <v>186</v>
      </c>
      <c r="CG233" s="228" t="s">
        <v>226</v>
      </c>
      <c r="CH233" s="229" t="s">
        <v>153</v>
      </c>
      <c r="CI233" s="230" t="s">
        <v>153</v>
      </c>
      <c r="CJ233" s="231" t="s">
        <v>225</v>
      </c>
      <c r="CK233" s="232">
        <v>43340</v>
      </c>
      <c r="CL233" s="233" t="s">
        <v>153</v>
      </c>
      <c r="CM233" s="234" t="s">
        <v>153</v>
      </c>
      <c r="CN233" s="235" t="s">
        <v>190</v>
      </c>
      <c r="CO233" s="236" t="s">
        <v>153</v>
      </c>
      <c r="CP233" s="237" t="s">
        <v>153</v>
      </c>
      <c r="CQ233" s="238" t="s">
        <v>153</v>
      </c>
      <c r="CR233" s="239" t="s">
        <v>153</v>
      </c>
      <c r="CS233" s="240" t="s">
        <v>153</v>
      </c>
      <c r="CT233" s="241" t="s">
        <v>153</v>
      </c>
      <c r="CU233" s="242" t="s">
        <v>153</v>
      </c>
      <c r="CV233" s="243" t="s">
        <v>153</v>
      </c>
      <c r="CW233" s="244" t="s">
        <v>153</v>
      </c>
      <c r="CX233" s="245" t="s">
        <v>153</v>
      </c>
      <c r="CY233" s="246" t="s">
        <v>153</v>
      </c>
      <c r="CZ233" s="247" t="s">
        <v>153</v>
      </c>
      <c r="DA233" s="248" t="s">
        <v>153</v>
      </c>
      <c r="DB233" s="249" t="s">
        <v>153</v>
      </c>
      <c r="DC233" s="250" t="s">
        <v>153</v>
      </c>
      <c r="DD233" s="251" t="s">
        <v>153</v>
      </c>
      <c r="DE233" s="252" t="s">
        <v>153</v>
      </c>
      <c r="DF233" s="253" t="s">
        <v>153</v>
      </c>
      <c r="DG233" s="254" t="s">
        <v>153</v>
      </c>
      <c r="DH233" s="255" t="s">
        <v>153</v>
      </c>
      <c r="DI233" s="256" t="s">
        <v>153</v>
      </c>
      <c r="DJ233" s="257" t="s">
        <v>153</v>
      </c>
      <c r="DK233" s="258" t="s">
        <v>153</v>
      </c>
      <c r="DL233" s="259" t="s">
        <v>153</v>
      </c>
      <c r="DM233" s="260" t="s">
        <v>153</v>
      </c>
      <c r="DN233" s="261" t="s">
        <v>153</v>
      </c>
      <c r="DO233" s="262" t="s">
        <v>153</v>
      </c>
      <c r="DP233" s="263" t="s">
        <v>153</v>
      </c>
      <c r="DQ233" s="264" t="s">
        <v>153</v>
      </c>
      <c r="DR233" s="265" t="s">
        <v>153</v>
      </c>
      <c r="DS233" s="266" t="s">
        <v>153</v>
      </c>
      <c r="DT233" s="267" t="s">
        <v>153</v>
      </c>
      <c r="DU233" s="268" t="s">
        <v>153</v>
      </c>
      <c r="DV233" s="269" t="s">
        <v>153</v>
      </c>
      <c r="DW233" s="270" t="s">
        <v>153</v>
      </c>
      <c r="DX233" s="271" t="s">
        <v>153</v>
      </c>
      <c r="DY233" s="272" t="s">
        <v>153</v>
      </c>
      <c r="DZ233" s="273" t="s">
        <v>191</v>
      </c>
      <c r="EA233" s="274">
        <v>44350</v>
      </c>
      <c r="EB233" s="275">
        <v>23106.06</v>
      </c>
      <c r="EC233" s="276">
        <v>43340</v>
      </c>
      <c r="ED233" s="277" t="s">
        <v>226</v>
      </c>
      <c r="EE233" s="279" t="str">
        <f>HYPERLINK("https://my.pitchbook.com?c=25169-05", "View company online")</f>
        <v>View company online</v>
      </c>
    </row>
    <row r="234" spans="1:135" x14ac:dyDescent="0.45">
      <c r="A234" s="10" t="s">
        <v>5170</v>
      </c>
      <c r="B234" s="11" t="s">
        <v>5171</v>
      </c>
      <c r="C234" s="12" t="s">
        <v>153</v>
      </c>
      <c r="D234" s="13" t="s">
        <v>153</v>
      </c>
      <c r="E234" s="14" t="s">
        <v>153</v>
      </c>
      <c r="F234" s="15" t="s">
        <v>5172</v>
      </c>
      <c r="G234" s="16" t="s">
        <v>5173</v>
      </c>
      <c r="H234" s="17" t="s">
        <v>153</v>
      </c>
      <c r="I234" s="18" t="s">
        <v>5170</v>
      </c>
      <c r="J234" s="19" t="s">
        <v>5174</v>
      </c>
      <c r="K234" s="20" t="s">
        <v>232</v>
      </c>
      <c r="L234" s="21" t="s">
        <v>1016</v>
      </c>
      <c r="M234" s="22" t="s">
        <v>5175</v>
      </c>
      <c r="N234" s="23" t="s">
        <v>5176</v>
      </c>
      <c r="O234" s="24" t="s">
        <v>153</v>
      </c>
      <c r="P234" s="25" t="s">
        <v>5177</v>
      </c>
      <c r="Q234" s="26" t="s">
        <v>204</v>
      </c>
      <c r="R234" s="27" t="s">
        <v>153</v>
      </c>
      <c r="S234" s="28" t="s">
        <v>163</v>
      </c>
      <c r="T234" s="29" t="s">
        <v>205</v>
      </c>
      <c r="U234" s="30" t="s">
        <v>206</v>
      </c>
      <c r="V234" s="31" t="s">
        <v>5178</v>
      </c>
      <c r="W234" s="32">
        <v>10000</v>
      </c>
      <c r="X234" s="33" t="s">
        <v>5179</v>
      </c>
      <c r="Y234" s="34" t="s">
        <v>153</v>
      </c>
      <c r="Z234" s="35" t="s">
        <v>153</v>
      </c>
      <c r="AA234" s="36">
        <v>1996</v>
      </c>
      <c r="AB234" s="37" t="s">
        <v>153</v>
      </c>
      <c r="AC234" s="38" t="s">
        <v>153</v>
      </c>
      <c r="AD234" s="39" t="s">
        <v>153</v>
      </c>
      <c r="AE234" s="40" t="s">
        <v>153</v>
      </c>
      <c r="AF234" s="41" t="s">
        <v>153</v>
      </c>
      <c r="AG234" s="42" t="s">
        <v>153</v>
      </c>
      <c r="AH234" s="43" t="s">
        <v>153</v>
      </c>
      <c r="AI234" s="44" t="s">
        <v>153</v>
      </c>
      <c r="AJ234" s="45" t="s">
        <v>153</v>
      </c>
      <c r="AK234" s="46" t="s">
        <v>153</v>
      </c>
      <c r="AL234" s="47" t="s">
        <v>153</v>
      </c>
      <c r="AM234" s="48" t="s">
        <v>153</v>
      </c>
      <c r="AN234" s="49" t="s">
        <v>4414</v>
      </c>
      <c r="AO234" s="50" t="s">
        <v>153</v>
      </c>
      <c r="AP234" s="51" t="s">
        <v>153</v>
      </c>
      <c r="AQ234" s="52" t="s">
        <v>153</v>
      </c>
      <c r="AR234" s="53" t="s">
        <v>153</v>
      </c>
      <c r="AS234" s="54" t="s">
        <v>153</v>
      </c>
      <c r="AT234" s="55" t="s">
        <v>1071</v>
      </c>
      <c r="AU234" s="56" t="s">
        <v>5180</v>
      </c>
      <c r="AV234" s="57" t="s">
        <v>5181</v>
      </c>
      <c r="AW234" s="58" t="s">
        <v>1074</v>
      </c>
      <c r="AX234" s="59" t="s">
        <v>177</v>
      </c>
      <c r="AY234" s="60" t="s">
        <v>5182</v>
      </c>
      <c r="AZ234" s="61" t="s">
        <v>179</v>
      </c>
      <c r="BA234" s="62" t="s">
        <v>153</v>
      </c>
      <c r="BB234" s="63" t="s">
        <v>153</v>
      </c>
      <c r="BC234" s="64" t="s">
        <v>153</v>
      </c>
      <c r="BD234" s="65" t="s">
        <v>180</v>
      </c>
      <c r="BE234" s="66" t="s">
        <v>181</v>
      </c>
      <c r="BF234" s="67" t="s">
        <v>5183</v>
      </c>
      <c r="BG234" s="68" t="s">
        <v>153</v>
      </c>
      <c r="BH234" s="69" t="s">
        <v>153</v>
      </c>
      <c r="BI234" s="70" t="s">
        <v>5184</v>
      </c>
      <c r="BJ234" s="71" t="s">
        <v>5185</v>
      </c>
      <c r="BK234" s="72" t="s">
        <v>153</v>
      </c>
      <c r="BL234" s="73" t="s">
        <v>153</v>
      </c>
      <c r="BM234" s="74" t="s">
        <v>5186</v>
      </c>
      <c r="BN234" s="75" t="s">
        <v>153</v>
      </c>
      <c r="BO234" s="76" t="s">
        <v>5187</v>
      </c>
      <c r="BP234" s="77" t="s">
        <v>5188</v>
      </c>
      <c r="BQ234" s="78">
        <v>40148</v>
      </c>
      <c r="BR234" s="79">
        <v>15200</v>
      </c>
      <c r="BS234" s="80" t="s">
        <v>186</v>
      </c>
      <c r="BT234" s="81">
        <v>15200</v>
      </c>
      <c r="BU234" s="82" t="s">
        <v>186</v>
      </c>
      <c r="BV234" s="83" t="s">
        <v>226</v>
      </c>
      <c r="BW234" s="84" t="s">
        <v>729</v>
      </c>
      <c r="BX234" s="85" t="s">
        <v>153</v>
      </c>
      <c r="BY234" s="86" t="s">
        <v>225</v>
      </c>
      <c r="BZ234" s="87" t="s">
        <v>321</v>
      </c>
      <c r="CA234" s="88" t="s">
        <v>190</v>
      </c>
      <c r="CB234" s="89">
        <v>40148</v>
      </c>
      <c r="CC234" s="90">
        <v>15200</v>
      </c>
      <c r="CD234" s="91" t="s">
        <v>186</v>
      </c>
      <c r="CE234" s="92">
        <v>15200</v>
      </c>
      <c r="CF234" s="93" t="s">
        <v>186</v>
      </c>
      <c r="CG234" s="94" t="s">
        <v>226</v>
      </c>
      <c r="CH234" s="95" t="s">
        <v>729</v>
      </c>
      <c r="CI234" s="96" t="s">
        <v>153</v>
      </c>
      <c r="CJ234" s="97" t="s">
        <v>225</v>
      </c>
      <c r="CK234" s="98">
        <v>40148</v>
      </c>
      <c r="CL234" s="99" t="s">
        <v>153</v>
      </c>
      <c r="CM234" s="100" t="s">
        <v>321</v>
      </c>
      <c r="CN234" s="101" t="s">
        <v>190</v>
      </c>
      <c r="CO234" s="102" t="s">
        <v>153</v>
      </c>
      <c r="CP234" s="103" t="s">
        <v>153</v>
      </c>
      <c r="CQ234" s="104" t="s">
        <v>153</v>
      </c>
      <c r="CR234" s="105" t="s">
        <v>153</v>
      </c>
      <c r="CS234" s="106" t="s">
        <v>153</v>
      </c>
      <c r="CT234" s="107" t="s">
        <v>153</v>
      </c>
      <c r="CU234" s="108" t="s">
        <v>153</v>
      </c>
      <c r="CV234" s="109" t="s">
        <v>153</v>
      </c>
      <c r="CW234" s="110" t="s">
        <v>153</v>
      </c>
      <c r="CX234" s="111" t="s">
        <v>153</v>
      </c>
      <c r="CY234" s="112" t="s">
        <v>153</v>
      </c>
      <c r="CZ234" s="113" t="s">
        <v>153</v>
      </c>
      <c r="DA234" s="114" t="s">
        <v>153</v>
      </c>
      <c r="DB234" s="115" t="s">
        <v>153</v>
      </c>
      <c r="DC234" s="116" t="s">
        <v>153</v>
      </c>
      <c r="DD234" s="117" t="s">
        <v>153</v>
      </c>
      <c r="DE234" s="118" t="s">
        <v>153</v>
      </c>
      <c r="DF234" s="119" t="s">
        <v>153</v>
      </c>
      <c r="DG234" s="120" t="s">
        <v>153</v>
      </c>
      <c r="DH234" s="121" t="s">
        <v>153</v>
      </c>
      <c r="DI234" s="122" t="s">
        <v>153</v>
      </c>
      <c r="DJ234" s="123" t="s">
        <v>153</v>
      </c>
      <c r="DK234" s="124" t="s">
        <v>153</v>
      </c>
      <c r="DL234" s="125" t="s">
        <v>153</v>
      </c>
      <c r="DM234" s="126" t="s">
        <v>153</v>
      </c>
      <c r="DN234" s="127" t="s">
        <v>153</v>
      </c>
      <c r="DO234" s="128" t="s">
        <v>153</v>
      </c>
      <c r="DP234" s="129" t="s">
        <v>153</v>
      </c>
      <c r="DQ234" s="130" t="s">
        <v>153</v>
      </c>
      <c r="DR234" s="131" t="s">
        <v>153</v>
      </c>
      <c r="DS234" s="132" t="s">
        <v>153</v>
      </c>
      <c r="DT234" s="133" t="s">
        <v>153</v>
      </c>
      <c r="DU234" s="134" t="s">
        <v>153</v>
      </c>
      <c r="DV234" s="135" t="s">
        <v>153</v>
      </c>
      <c r="DW234" s="136" t="s">
        <v>153</v>
      </c>
      <c r="DX234" s="137" t="s">
        <v>153</v>
      </c>
      <c r="DY234" s="138" t="s">
        <v>153</v>
      </c>
      <c r="DZ234" s="139" t="s">
        <v>191</v>
      </c>
      <c r="EA234" s="140">
        <v>44337</v>
      </c>
      <c r="EB234" s="141">
        <v>15200</v>
      </c>
      <c r="EC234" s="142">
        <v>40148</v>
      </c>
      <c r="ED234" s="143" t="s">
        <v>226</v>
      </c>
      <c r="EE234" s="278" t="str">
        <f>HYPERLINK("https://my.pitchbook.com?c=11550-43", "View company online")</f>
        <v>View company online</v>
      </c>
    </row>
    <row r="235" spans="1:135" x14ac:dyDescent="0.45">
      <c r="A235" s="144" t="s">
        <v>5189</v>
      </c>
      <c r="B235" s="145" t="s">
        <v>2457</v>
      </c>
      <c r="C235" s="146" t="s">
        <v>153</v>
      </c>
      <c r="D235" s="147" t="s">
        <v>153</v>
      </c>
      <c r="E235" s="148" t="s">
        <v>153</v>
      </c>
      <c r="F235" s="149" t="s">
        <v>5190</v>
      </c>
      <c r="G235" s="150" t="s">
        <v>5191</v>
      </c>
      <c r="H235" s="151" t="s">
        <v>1970</v>
      </c>
      <c r="I235" s="152" t="s">
        <v>5189</v>
      </c>
      <c r="J235" s="153" t="s">
        <v>5192</v>
      </c>
      <c r="K235" s="154" t="s">
        <v>232</v>
      </c>
      <c r="L235" s="155" t="s">
        <v>233</v>
      </c>
      <c r="M235" s="156" t="s">
        <v>4039</v>
      </c>
      <c r="N235" s="157" t="s">
        <v>5193</v>
      </c>
      <c r="O235" s="158" t="s">
        <v>153</v>
      </c>
      <c r="P235" s="159" t="s">
        <v>5194</v>
      </c>
      <c r="Q235" s="160" t="s">
        <v>204</v>
      </c>
      <c r="R235" s="161">
        <v>300</v>
      </c>
      <c r="S235" s="162" t="s">
        <v>163</v>
      </c>
      <c r="T235" s="163" t="s">
        <v>205</v>
      </c>
      <c r="U235" s="164" t="s">
        <v>237</v>
      </c>
      <c r="V235" s="165" t="s">
        <v>153</v>
      </c>
      <c r="W235" s="166">
        <v>29</v>
      </c>
      <c r="X235" s="167" t="s">
        <v>5195</v>
      </c>
      <c r="Y235" s="168" t="s">
        <v>153</v>
      </c>
      <c r="Z235" s="169" t="s">
        <v>153</v>
      </c>
      <c r="AA235" s="170">
        <v>1879</v>
      </c>
      <c r="AB235" s="171" t="s">
        <v>153</v>
      </c>
      <c r="AC235" s="172" t="s">
        <v>153</v>
      </c>
      <c r="AD235" s="173" t="s">
        <v>153</v>
      </c>
      <c r="AE235" s="174" t="s">
        <v>153</v>
      </c>
      <c r="AF235" s="175" t="s">
        <v>153</v>
      </c>
      <c r="AG235" s="176" t="s">
        <v>153</v>
      </c>
      <c r="AH235" s="177" t="s">
        <v>153</v>
      </c>
      <c r="AI235" s="178" t="s">
        <v>153</v>
      </c>
      <c r="AJ235" s="179" t="s">
        <v>153</v>
      </c>
      <c r="AK235" s="180" t="s">
        <v>153</v>
      </c>
      <c r="AL235" s="181" t="s">
        <v>153</v>
      </c>
      <c r="AM235" s="182" t="s">
        <v>153</v>
      </c>
      <c r="AN235" s="183" t="s">
        <v>5196</v>
      </c>
      <c r="AO235" s="184" t="s">
        <v>153</v>
      </c>
      <c r="AP235" s="185" t="s">
        <v>153</v>
      </c>
      <c r="AQ235" s="186" t="s">
        <v>153</v>
      </c>
      <c r="AR235" s="187" t="s">
        <v>153</v>
      </c>
      <c r="AS235" s="188" t="s">
        <v>153</v>
      </c>
      <c r="AT235" s="189" t="s">
        <v>2806</v>
      </c>
      <c r="AU235" s="190" t="s">
        <v>5197</v>
      </c>
      <c r="AV235" s="191" t="s">
        <v>5198</v>
      </c>
      <c r="AW235" s="192" t="s">
        <v>2809</v>
      </c>
      <c r="AX235" s="193" t="s">
        <v>1862</v>
      </c>
      <c r="AY235" s="194" t="s">
        <v>5199</v>
      </c>
      <c r="AZ235" s="195" t="s">
        <v>215</v>
      </c>
      <c r="BA235" s="196" t="s">
        <v>153</v>
      </c>
      <c r="BB235" s="197" t="s">
        <v>153</v>
      </c>
      <c r="BC235" s="198" t="s">
        <v>153</v>
      </c>
      <c r="BD235" s="199" t="s">
        <v>216</v>
      </c>
      <c r="BE235" s="200" t="s">
        <v>217</v>
      </c>
      <c r="BF235" s="201" t="s">
        <v>5200</v>
      </c>
      <c r="BG235" s="202" t="s">
        <v>153</v>
      </c>
      <c r="BH235" s="203" t="s">
        <v>153</v>
      </c>
      <c r="BI235" s="204" t="s">
        <v>1970</v>
      </c>
      <c r="BJ235" s="205" t="s">
        <v>153</v>
      </c>
      <c r="BK235" s="206" t="s">
        <v>5201</v>
      </c>
      <c r="BL235" s="207" t="s">
        <v>153</v>
      </c>
      <c r="BM235" s="208" t="s">
        <v>153</v>
      </c>
      <c r="BN235" s="209" t="s">
        <v>5202</v>
      </c>
      <c r="BO235" s="210" t="s">
        <v>5203</v>
      </c>
      <c r="BP235" s="211" t="s">
        <v>5204</v>
      </c>
      <c r="BQ235" s="212">
        <v>37518</v>
      </c>
      <c r="BR235" s="213">
        <v>300</v>
      </c>
      <c r="BS235" s="214" t="s">
        <v>186</v>
      </c>
      <c r="BT235" s="215" t="s">
        <v>153</v>
      </c>
      <c r="BU235" s="216" t="s">
        <v>153</v>
      </c>
      <c r="BV235" s="217" t="s">
        <v>251</v>
      </c>
      <c r="BW235" s="218" t="s">
        <v>153</v>
      </c>
      <c r="BX235" s="219" t="s">
        <v>153</v>
      </c>
      <c r="BY235" s="220" t="s">
        <v>252</v>
      </c>
      <c r="BZ235" s="221" t="s">
        <v>153</v>
      </c>
      <c r="CA235" s="222" t="s">
        <v>190</v>
      </c>
      <c r="CB235" s="223">
        <v>39724</v>
      </c>
      <c r="CC235" s="224">
        <v>15100</v>
      </c>
      <c r="CD235" s="225" t="s">
        <v>186</v>
      </c>
      <c r="CE235" s="226">
        <v>15100</v>
      </c>
      <c r="CF235" s="227" t="s">
        <v>186</v>
      </c>
      <c r="CG235" s="228" t="s">
        <v>226</v>
      </c>
      <c r="CH235" s="229" t="s">
        <v>930</v>
      </c>
      <c r="CI235" s="230" t="s">
        <v>153</v>
      </c>
      <c r="CJ235" s="231" t="s">
        <v>225</v>
      </c>
      <c r="CK235" s="232">
        <v>39724</v>
      </c>
      <c r="CL235" s="233" t="s">
        <v>153</v>
      </c>
      <c r="CM235" s="234" t="s">
        <v>153</v>
      </c>
      <c r="CN235" s="235" t="s">
        <v>190</v>
      </c>
      <c r="CO235" s="236" t="s">
        <v>153</v>
      </c>
      <c r="CP235" s="237" t="s">
        <v>153</v>
      </c>
      <c r="CQ235" s="238" t="s">
        <v>153</v>
      </c>
      <c r="CR235" s="239" t="s">
        <v>153</v>
      </c>
      <c r="CS235" s="240" t="s">
        <v>153</v>
      </c>
      <c r="CT235" s="241" t="s">
        <v>153</v>
      </c>
      <c r="CU235" s="242" t="s">
        <v>153</v>
      </c>
      <c r="CV235" s="243" t="s">
        <v>153</v>
      </c>
      <c r="CW235" s="244" t="s">
        <v>153</v>
      </c>
      <c r="CX235" s="245" t="s">
        <v>153</v>
      </c>
      <c r="CY235" s="246" t="s">
        <v>153</v>
      </c>
      <c r="CZ235" s="247" t="s">
        <v>153</v>
      </c>
      <c r="DA235" s="248" t="s">
        <v>153</v>
      </c>
      <c r="DB235" s="249" t="s">
        <v>153</v>
      </c>
      <c r="DC235" s="250" t="s">
        <v>153</v>
      </c>
      <c r="DD235" s="251" t="s">
        <v>153</v>
      </c>
      <c r="DE235" s="252" t="s">
        <v>153</v>
      </c>
      <c r="DF235" s="253" t="s">
        <v>153</v>
      </c>
      <c r="DG235" s="254" t="s">
        <v>153</v>
      </c>
      <c r="DH235" s="255" t="s">
        <v>153</v>
      </c>
      <c r="DI235" s="256" t="s">
        <v>153</v>
      </c>
      <c r="DJ235" s="257" t="s">
        <v>153</v>
      </c>
      <c r="DK235" s="258" t="s">
        <v>153</v>
      </c>
      <c r="DL235" s="259" t="s">
        <v>153</v>
      </c>
      <c r="DM235" s="260" t="s">
        <v>153</v>
      </c>
      <c r="DN235" s="261" t="s">
        <v>153</v>
      </c>
      <c r="DO235" s="262" t="s">
        <v>153</v>
      </c>
      <c r="DP235" s="263" t="s">
        <v>153</v>
      </c>
      <c r="DQ235" s="264" t="s">
        <v>153</v>
      </c>
      <c r="DR235" s="265" t="s">
        <v>153</v>
      </c>
      <c r="DS235" s="266" t="s">
        <v>153</v>
      </c>
      <c r="DT235" s="267" t="s">
        <v>153</v>
      </c>
      <c r="DU235" s="268" t="s">
        <v>153</v>
      </c>
      <c r="DV235" s="269" t="s">
        <v>153</v>
      </c>
      <c r="DW235" s="270" t="s">
        <v>153</v>
      </c>
      <c r="DX235" s="271" t="s">
        <v>153</v>
      </c>
      <c r="DY235" s="272" t="s">
        <v>153</v>
      </c>
      <c r="DZ235" s="273" t="s">
        <v>191</v>
      </c>
      <c r="EA235" s="274">
        <v>44274</v>
      </c>
      <c r="EB235" s="275">
        <v>15100</v>
      </c>
      <c r="EC235" s="276">
        <v>39724</v>
      </c>
      <c r="ED235" s="277" t="s">
        <v>226</v>
      </c>
      <c r="EE235" s="279" t="str">
        <f>HYPERLINK("https://my.pitchbook.com?c=10057-42", "View company online")</f>
        <v>View company online</v>
      </c>
    </row>
    <row r="236" spans="1:135" x14ac:dyDescent="0.45">
      <c r="A236" s="10" t="s">
        <v>5205</v>
      </c>
      <c r="B236" s="11" t="s">
        <v>5206</v>
      </c>
      <c r="C236" s="12" t="s">
        <v>153</v>
      </c>
      <c r="D236" s="13" t="s">
        <v>153</v>
      </c>
      <c r="E236" s="14" t="s">
        <v>153</v>
      </c>
      <c r="F236" s="15" t="s">
        <v>153</v>
      </c>
      <c r="G236" s="16" t="s">
        <v>5207</v>
      </c>
      <c r="H236" s="17" t="s">
        <v>153</v>
      </c>
      <c r="I236" s="18" t="s">
        <v>5205</v>
      </c>
      <c r="J236" s="19" t="s">
        <v>5208</v>
      </c>
      <c r="K236" s="20" t="s">
        <v>198</v>
      </c>
      <c r="L236" s="21" t="s">
        <v>199</v>
      </c>
      <c r="M236" s="22" t="s">
        <v>200</v>
      </c>
      <c r="N236" s="23" t="s">
        <v>5209</v>
      </c>
      <c r="O236" s="24" t="s">
        <v>153</v>
      </c>
      <c r="P236" s="25" t="s">
        <v>5210</v>
      </c>
      <c r="Q236" s="26" t="s">
        <v>204</v>
      </c>
      <c r="R236" s="27" t="s">
        <v>153</v>
      </c>
      <c r="S236" s="28" t="s">
        <v>163</v>
      </c>
      <c r="T236" s="29" t="s">
        <v>164</v>
      </c>
      <c r="U236" s="30" t="s">
        <v>206</v>
      </c>
      <c r="V236" s="31" t="s">
        <v>5211</v>
      </c>
      <c r="W236" s="32">
        <v>8000</v>
      </c>
      <c r="X236" s="33" t="s">
        <v>5212</v>
      </c>
      <c r="Y236" s="34" t="s">
        <v>153</v>
      </c>
      <c r="Z236" s="35" t="s">
        <v>153</v>
      </c>
      <c r="AA236" s="36">
        <v>2013</v>
      </c>
      <c r="AB236" s="37" t="s">
        <v>5213</v>
      </c>
      <c r="AC236" s="38" t="s">
        <v>570</v>
      </c>
      <c r="AD236" s="39" t="s">
        <v>1929</v>
      </c>
      <c r="AE236" s="40" t="s">
        <v>153</v>
      </c>
      <c r="AF236" s="41" t="s">
        <v>153</v>
      </c>
      <c r="AG236" s="42" t="s">
        <v>153</v>
      </c>
      <c r="AH236" s="43" t="s">
        <v>153</v>
      </c>
      <c r="AI236" s="44" t="s">
        <v>153</v>
      </c>
      <c r="AJ236" s="45" t="s">
        <v>153</v>
      </c>
      <c r="AK236" s="46" t="s">
        <v>153</v>
      </c>
      <c r="AL236" s="47" t="s">
        <v>153</v>
      </c>
      <c r="AM236" s="48" t="s">
        <v>153</v>
      </c>
      <c r="AN236" s="49" t="s">
        <v>1765</v>
      </c>
      <c r="AO236" s="50" t="s">
        <v>5214</v>
      </c>
      <c r="AP236" s="51" t="s">
        <v>5215</v>
      </c>
      <c r="AQ236" s="52" t="s">
        <v>968</v>
      </c>
      <c r="AR236" s="53" t="s">
        <v>5216</v>
      </c>
      <c r="AS236" s="54" t="s">
        <v>153</v>
      </c>
      <c r="AT236" s="55" t="s">
        <v>5217</v>
      </c>
      <c r="AU236" s="56" t="s">
        <v>5218</v>
      </c>
      <c r="AV236" s="57" t="s">
        <v>5219</v>
      </c>
      <c r="AW236" s="58" t="s">
        <v>5220</v>
      </c>
      <c r="AX236" s="59" t="s">
        <v>5221</v>
      </c>
      <c r="AY236" s="60" t="s">
        <v>153</v>
      </c>
      <c r="AZ236" s="61" t="s">
        <v>3046</v>
      </c>
      <c r="BA236" s="62" t="s">
        <v>153</v>
      </c>
      <c r="BB236" s="63" t="s">
        <v>153</v>
      </c>
      <c r="BC236" s="64" t="s">
        <v>153</v>
      </c>
      <c r="BD236" s="65" t="s">
        <v>1406</v>
      </c>
      <c r="BE236" s="66" t="s">
        <v>3047</v>
      </c>
      <c r="BF236" s="67" t="s">
        <v>5222</v>
      </c>
      <c r="BG236" s="68" t="s">
        <v>153</v>
      </c>
      <c r="BH236" s="69" t="s">
        <v>153</v>
      </c>
      <c r="BI236" s="70" t="s">
        <v>5213</v>
      </c>
      <c r="BJ236" s="71" t="s">
        <v>5223</v>
      </c>
      <c r="BK236" s="72" t="s">
        <v>153</v>
      </c>
      <c r="BL236" s="73" t="s">
        <v>153</v>
      </c>
      <c r="BM236" s="74" t="s">
        <v>5224</v>
      </c>
      <c r="BN236" s="75" t="s">
        <v>153</v>
      </c>
      <c r="BO236" s="76" t="s">
        <v>153</v>
      </c>
      <c r="BP236" s="77" t="s">
        <v>153</v>
      </c>
      <c r="BQ236" s="78">
        <v>44152</v>
      </c>
      <c r="BR236" s="79">
        <v>15002.5</v>
      </c>
      <c r="BS236" s="80" t="s">
        <v>187</v>
      </c>
      <c r="BT236" s="81">
        <v>15002.5</v>
      </c>
      <c r="BU236" s="82" t="s">
        <v>187</v>
      </c>
      <c r="BV236" s="83" t="s">
        <v>226</v>
      </c>
      <c r="BW236" s="84" t="s">
        <v>729</v>
      </c>
      <c r="BX236" s="85" t="s">
        <v>153</v>
      </c>
      <c r="BY236" s="86" t="s">
        <v>225</v>
      </c>
      <c r="BZ236" s="87" t="s">
        <v>153</v>
      </c>
      <c r="CA236" s="88" t="s">
        <v>190</v>
      </c>
      <c r="CB236" s="89">
        <v>44152</v>
      </c>
      <c r="CC236" s="90">
        <v>15002.5</v>
      </c>
      <c r="CD236" s="91" t="s">
        <v>187</v>
      </c>
      <c r="CE236" s="92">
        <v>15002.5</v>
      </c>
      <c r="CF236" s="93" t="s">
        <v>187</v>
      </c>
      <c r="CG236" s="94" t="s">
        <v>226</v>
      </c>
      <c r="CH236" s="95" t="s">
        <v>729</v>
      </c>
      <c r="CI236" s="96" t="s">
        <v>153</v>
      </c>
      <c r="CJ236" s="97" t="s">
        <v>225</v>
      </c>
      <c r="CK236" s="98">
        <v>44152</v>
      </c>
      <c r="CL236" s="99" t="s">
        <v>153</v>
      </c>
      <c r="CM236" s="100" t="s">
        <v>153</v>
      </c>
      <c r="CN236" s="101" t="s">
        <v>190</v>
      </c>
      <c r="CO236" s="102">
        <v>1.49</v>
      </c>
      <c r="CP236" s="103">
        <v>97</v>
      </c>
      <c r="CQ236" s="104">
        <v>0.01</v>
      </c>
      <c r="CR236" s="105">
        <v>0.49</v>
      </c>
      <c r="CS236" s="106">
        <v>3.05</v>
      </c>
      <c r="CT236" s="107">
        <v>99</v>
      </c>
      <c r="CU236" s="108">
        <v>-7.0000000000000007E-2</v>
      </c>
      <c r="CV236" s="109">
        <v>27</v>
      </c>
      <c r="CW236" s="110">
        <v>3.05</v>
      </c>
      <c r="CX236" s="111">
        <v>89</v>
      </c>
      <c r="CY236" s="112" t="s">
        <v>153</v>
      </c>
      <c r="CZ236" s="113" t="s">
        <v>153</v>
      </c>
      <c r="DA236" s="114">
        <v>-7.0000000000000007E-2</v>
      </c>
      <c r="DB236" s="115">
        <v>27</v>
      </c>
      <c r="DC236" s="116">
        <v>888.25</v>
      </c>
      <c r="DD236" s="117">
        <v>100</v>
      </c>
      <c r="DE236" s="118">
        <v>2.4300000000000002</v>
      </c>
      <c r="DF236" s="119">
        <v>0.27</v>
      </c>
      <c r="DG236" s="120">
        <v>998.41</v>
      </c>
      <c r="DH236" s="121">
        <v>100</v>
      </c>
      <c r="DI236" s="122">
        <v>778.08</v>
      </c>
      <c r="DJ236" s="123">
        <v>100</v>
      </c>
      <c r="DK236" s="124">
        <v>998.41</v>
      </c>
      <c r="DL236" s="125">
        <v>100</v>
      </c>
      <c r="DM236" s="126" t="s">
        <v>153</v>
      </c>
      <c r="DN236" s="127" t="s">
        <v>153</v>
      </c>
      <c r="DO236" s="128">
        <v>778.08</v>
      </c>
      <c r="DP236" s="129">
        <v>100</v>
      </c>
      <c r="DQ236" s="130">
        <v>585203</v>
      </c>
      <c r="DR236" s="131">
        <v>25140</v>
      </c>
      <c r="DS236" s="132">
        <v>4.49</v>
      </c>
      <c r="DT236" s="133" t="s">
        <v>153</v>
      </c>
      <c r="DU236" s="134" t="s">
        <v>153</v>
      </c>
      <c r="DV236" s="135" t="s">
        <v>153</v>
      </c>
      <c r="DW236" s="136">
        <v>244322</v>
      </c>
      <c r="DX236" s="137">
        <v>-48</v>
      </c>
      <c r="DY236" s="138">
        <v>-0.02</v>
      </c>
      <c r="DZ236" s="139" t="s">
        <v>191</v>
      </c>
      <c r="EA236" s="140">
        <v>44291</v>
      </c>
      <c r="EB236" s="141">
        <v>15002.5</v>
      </c>
      <c r="EC236" s="142">
        <v>44152</v>
      </c>
      <c r="ED236" s="143" t="s">
        <v>226</v>
      </c>
      <c r="EE236" s="278" t="str">
        <f>HYPERLINK("https://my.pitchbook.com?c=113703-40", "View company online")</f>
        <v>View company online</v>
      </c>
    </row>
    <row r="237" spans="1:135" x14ac:dyDescent="0.45">
      <c r="A237" s="144" t="s">
        <v>5225</v>
      </c>
      <c r="B237" s="145" t="s">
        <v>5226</v>
      </c>
      <c r="C237" s="146" t="s">
        <v>153</v>
      </c>
      <c r="D237" s="147" t="s">
        <v>153</v>
      </c>
      <c r="E237" s="148" t="s">
        <v>153</v>
      </c>
      <c r="F237" s="149" t="s">
        <v>153</v>
      </c>
      <c r="G237" s="150" t="s">
        <v>5227</v>
      </c>
      <c r="H237" s="151" t="s">
        <v>5228</v>
      </c>
      <c r="I237" s="152" t="s">
        <v>5225</v>
      </c>
      <c r="J237" s="153" t="s">
        <v>5229</v>
      </c>
      <c r="K237" s="154" t="s">
        <v>257</v>
      </c>
      <c r="L237" s="155" t="s">
        <v>530</v>
      </c>
      <c r="M237" s="156" t="s">
        <v>2987</v>
      </c>
      <c r="N237" s="157" t="s">
        <v>5230</v>
      </c>
      <c r="O237" s="158" t="s">
        <v>153</v>
      </c>
      <c r="P237" s="159" t="s">
        <v>5231</v>
      </c>
      <c r="Q237" s="160" t="s">
        <v>204</v>
      </c>
      <c r="R237" s="161">
        <v>849.28</v>
      </c>
      <c r="S237" s="162" t="s">
        <v>290</v>
      </c>
      <c r="T237" s="163" t="s">
        <v>164</v>
      </c>
      <c r="U237" s="164" t="s">
        <v>369</v>
      </c>
      <c r="V237" s="165" t="s">
        <v>5232</v>
      </c>
      <c r="W237" s="166">
        <v>6500</v>
      </c>
      <c r="X237" s="167" t="s">
        <v>5233</v>
      </c>
      <c r="Y237" s="168" t="s">
        <v>153</v>
      </c>
      <c r="Z237" s="169" t="s">
        <v>153</v>
      </c>
      <c r="AA237" s="170">
        <v>1992</v>
      </c>
      <c r="AB237" s="171" t="s">
        <v>5234</v>
      </c>
      <c r="AC237" s="172" t="s">
        <v>153</v>
      </c>
      <c r="AD237" s="173" t="s">
        <v>153</v>
      </c>
      <c r="AE237" s="174" t="s">
        <v>153</v>
      </c>
      <c r="AF237" s="175" t="s">
        <v>153</v>
      </c>
      <c r="AG237" s="176" t="s">
        <v>153</v>
      </c>
      <c r="AH237" s="177" t="s">
        <v>153</v>
      </c>
      <c r="AI237" s="178" t="s">
        <v>153</v>
      </c>
      <c r="AJ237" s="179" t="s">
        <v>153</v>
      </c>
      <c r="AK237" s="180" t="s">
        <v>153</v>
      </c>
      <c r="AL237" s="181" t="s">
        <v>153</v>
      </c>
      <c r="AM237" s="182" t="s">
        <v>153</v>
      </c>
      <c r="AN237" s="183" t="s">
        <v>153</v>
      </c>
      <c r="AO237" s="184" t="s">
        <v>5235</v>
      </c>
      <c r="AP237" s="185" t="s">
        <v>5236</v>
      </c>
      <c r="AQ237" s="186" t="s">
        <v>5237</v>
      </c>
      <c r="AR237" s="187" t="s">
        <v>5238</v>
      </c>
      <c r="AS237" s="188" t="s">
        <v>5239</v>
      </c>
      <c r="AT237" s="189" t="s">
        <v>5240</v>
      </c>
      <c r="AU237" s="190" t="s">
        <v>5241</v>
      </c>
      <c r="AV237" s="191" t="s">
        <v>153</v>
      </c>
      <c r="AW237" s="192" t="s">
        <v>5242</v>
      </c>
      <c r="AX237" s="193" t="s">
        <v>5243</v>
      </c>
      <c r="AY237" s="194" t="s">
        <v>5244</v>
      </c>
      <c r="AZ237" s="195" t="s">
        <v>215</v>
      </c>
      <c r="BA237" s="196" t="s">
        <v>5239</v>
      </c>
      <c r="BB237" s="197" t="s">
        <v>5245</v>
      </c>
      <c r="BC237" s="198" t="s">
        <v>5246</v>
      </c>
      <c r="BD237" s="199" t="s">
        <v>216</v>
      </c>
      <c r="BE237" s="200" t="s">
        <v>217</v>
      </c>
      <c r="BF237" s="201" t="s">
        <v>5247</v>
      </c>
      <c r="BG237" s="202" t="s">
        <v>153</v>
      </c>
      <c r="BH237" s="203" t="s">
        <v>153</v>
      </c>
      <c r="BI237" s="204" t="s">
        <v>5234</v>
      </c>
      <c r="BJ237" s="205" t="s">
        <v>5248</v>
      </c>
      <c r="BK237" s="206" t="s">
        <v>153</v>
      </c>
      <c r="BL237" s="207" t="s">
        <v>153</v>
      </c>
      <c r="BM237" s="208" t="s">
        <v>5249</v>
      </c>
      <c r="BN237" s="209" t="s">
        <v>153</v>
      </c>
      <c r="BO237" s="210" t="s">
        <v>5250</v>
      </c>
      <c r="BP237" s="211" t="s">
        <v>5251</v>
      </c>
      <c r="BQ237" s="212">
        <v>33909</v>
      </c>
      <c r="BR237" s="213" t="s">
        <v>153</v>
      </c>
      <c r="BS237" s="214" t="s">
        <v>153</v>
      </c>
      <c r="BT237" s="215" t="s">
        <v>153</v>
      </c>
      <c r="BU237" s="216" t="s">
        <v>153</v>
      </c>
      <c r="BV237" s="217" t="s">
        <v>226</v>
      </c>
      <c r="BW237" s="218" t="s">
        <v>153</v>
      </c>
      <c r="BX237" s="219" t="s">
        <v>153</v>
      </c>
      <c r="BY237" s="220" t="s">
        <v>225</v>
      </c>
      <c r="BZ237" s="221" t="s">
        <v>153</v>
      </c>
      <c r="CA237" s="222" t="s">
        <v>190</v>
      </c>
      <c r="CB237" s="223">
        <v>42705</v>
      </c>
      <c r="CC237" s="224">
        <v>15000</v>
      </c>
      <c r="CD237" s="225" t="s">
        <v>186</v>
      </c>
      <c r="CE237" s="226">
        <v>15000</v>
      </c>
      <c r="CF237" s="227" t="s">
        <v>187</v>
      </c>
      <c r="CG237" s="228" t="s">
        <v>226</v>
      </c>
      <c r="CH237" s="229" t="s">
        <v>153</v>
      </c>
      <c r="CI237" s="230" t="s">
        <v>153</v>
      </c>
      <c r="CJ237" s="231" t="s">
        <v>225</v>
      </c>
      <c r="CK237" s="232">
        <v>42705</v>
      </c>
      <c r="CL237" s="233" t="s">
        <v>153</v>
      </c>
      <c r="CM237" s="234" t="s">
        <v>153</v>
      </c>
      <c r="CN237" s="235" t="s">
        <v>190</v>
      </c>
      <c r="CO237" s="236">
        <v>-0.32</v>
      </c>
      <c r="CP237" s="237">
        <v>6</v>
      </c>
      <c r="CQ237" s="238">
        <v>0</v>
      </c>
      <c r="CR237" s="239">
        <v>1.53</v>
      </c>
      <c r="CS237" s="240">
        <v>1.89</v>
      </c>
      <c r="CT237" s="241">
        <v>98</v>
      </c>
      <c r="CU237" s="242">
        <v>0.12</v>
      </c>
      <c r="CV237" s="243">
        <v>87</v>
      </c>
      <c r="CW237" s="244">
        <v>-2.6</v>
      </c>
      <c r="CX237" s="245">
        <v>11</v>
      </c>
      <c r="CY237" s="246">
        <v>6.39</v>
      </c>
      <c r="CZ237" s="247">
        <v>100</v>
      </c>
      <c r="DA237" s="248">
        <v>0.12</v>
      </c>
      <c r="DB237" s="249">
        <v>87</v>
      </c>
      <c r="DC237" s="250">
        <v>12.11</v>
      </c>
      <c r="DD237" s="251">
        <v>93</v>
      </c>
      <c r="DE237" s="252">
        <v>0.02</v>
      </c>
      <c r="DF237" s="253">
        <v>0.14000000000000001</v>
      </c>
      <c r="DG237" s="254">
        <v>14.39</v>
      </c>
      <c r="DH237" s="255">
        <v>94</v>
      </c>
      <c r="DI237" s="256">
        <v>2.4300000000000002</v>
      </c>
      <c r="DJ237" s="257">
        <v>66</v>
      </c>
      <c r="DK237" s="258">
        <v>2.34</v>
      </c>
      <c r="DL237" s="259">
        <v>67</v>
      </c>
      <c r="DM237" s="260">
        <v>26.44</v>
      </c>
      <c r="DN237" s="261">
        <v>96</v>
      </c>
      <c r="DO237" s="262">
        <v>2.4300000000000002</v>
      </c>
      <c r="DP237" s="263">
        <v>66</v>
      </c>
      <c r="DQ237" s="264">
        <v>1386</v>
      </c>
      <c r="DR237" s="265">
        <v>-1</v>
      </c>
      <c r="DS237" s="266">
        <v>-7.0000000000000007E-2</v>
      </c>
      <c r="DT237" s="267">
        <v>422</v>
      </c>
      <c r="DU237" s="268">
        <v>1</v>
      </c>
      <c r="DV237" s="269">
        <v>0.24</v>
      </c>
      <c r="DW237" s="270">
        <v>763</v>
      </c>
      <c r="DX237" s="271">
        <v>0</v>
      </c>
      <c r="DY237" s="272">
        <v>0</v>
      </c>
      <c r="DZ237" s="273" t="s">
        <v>191</v>
      </c>
      <c r="EA237" s="274">
        <v>44397</v>
      </c>
      <c r="EB237" s="275">
        <v>15000</v>
      </c>
      <c r="EC237" s="276">
        <v>42705</v>
      </c>
      <c r="ED237" s="277" t="s">
        <v>226</v>
      </c>
      <c r="EE237" s="279" t="str">
        <f>HYPERLINK("https://my.pitchbook.com?c=41255-29", "View company online")</f>
        <v>View company online</v>
      </c>
    </row>
    <row r="238" spans="1:135" x14ac:dyDescent="0.45">
      <c r="A238" s="10" t="s">
        <v>5252</v>
      </c>
      <c r="B238" s="11" t="s">
        <v>5253</v>
      </c>
      <c r="C238" s="12" t="s">
        <v>153</v>
      </c>
      <c r="D238" s="13" t="s">
        <v>153</v>
      </c>
      <c r="E238" s="14" t="s">
        <v>5254</v>
      </c>
      <c r="F238" s="15" t="s">
        <v>153</v>
      </c>
      <c r="G238" s="16" t="s">
        <v>5255</v>
      </c>
      <c r="H238" s="17" t="s">
        <v>153</v>
      </c>
      <c r="I238" s="18" t="s">
        <v>5252</v>
      </c>
      <c r="J238" s="19" t="s">
        <v>5256</v>
      </c>
      <c r="K238" s="20" t="s">
        <v>559</v>
      </c>
      <c r="L238" s="21" t="s">
        <v>1345</v>
      </c>
      <c r="M238" s="22" t="s">
        <v>5257</v>
      </c>
      <c r="N238" s="23" t="s">
        <v>5258</v>
      </c>
      <c r="O238" s="24" t="s">
        <v>153</v>
      </c>
      <c r="P238" s="25" t="s">
        <v>5259</v>
      </c>
      <c r="Q238" s="26" t="s">
        <v>204</v>
      </c>
      <c r="R238" s="27" t="s">
        <v>153</v>
      </c>
      <c r="S238" s="28" t="s">
        <v>163</v>
      </c>
      <c r="T238" s="29" t="s">
        <v>1392</v>
      </c>
      <c r="U238" s="30" t="s">
        <v>206</v>
      </c>
      <c r="V238" s="31" t="s">
        <v>153</v>
      </c>
      <c r="W238" s="32" t="s">
        <v>153</v>
      </c>
      <c r="X238" s="33" t="s">
        <v>153</v>
      </c>
      <c r="Y238" s="34" t="s">
        <v>153</v>
      </c>
      <c r="Z238" s="35" t="s">
        <v>153</v>
      </c>
      <c r="AA238" s="36">
        <v>1984</v>
      </c>
      <c r="AB238" s="37" t="s">
        <v>153</v>
      </c>
      <c r="AC238" s="38" t="s">
        <v>153</v>
      </c>
      <c r="AD238" s="39" t="s">
        <v>153</v>
      </c>
      <c r="AE238" s="40" t="s">
        <v>153</v>
      </c>
      <c r="AF238" s="41" t="s">
        <v>153</v>
      </c>
      <c r="AG238" s="42" t="s">
        <v>153</v>
      </c>
      <c r="AH238" s="43" t="s">
        <v>153</v>
      </c>
      <c r="AI238" s="44" t="s">
        <v>153</v>
      </c>
      <c r="AJ238" s="45" t="s">
        <v>153</v>
      </c>
      <c r="AK238" s="46" t="s">
        <v>153</v>
      </c>
      <c r="AL238" s="47" t="s">
        <v>153</v>
      </c>
      <c r="AM238" s="48" t="s">
        <v>153</v>
      </c>
      <c r="AN238" s="49" t="s">
        <v>153</v>
      </c>
      <c r="AO238" s="50" t="s">
        <v>153</v>
      </c>
      <c r="AP238" s="51" t="s">
        <v>153</v>
      </c>
      <c r="AQ238" s="52" t="s">
        <v>153</v>
      </c>
      <c r="AR238" s="53" t="s">
        <v>153</v>
      </c>
      <c r="AS238" s="54" t="s">
        <v>153</v>
      </c>
      <c r="AT238" s="55" t="s">
        <v>5260</v>
      </c>
      <c r="AU238" s="56" t="s">
        <v>5261</v>
      </c>
      <c r="AV238" s="57" t="s">
        <v>153</v>
      </c>
      <c r="AW238" s="58" t="s">
        <v>5262</v>
      </c>
      <c r="AX238" s="59" t="s">
        <v>5263</v>
      </c>
      <c r="AY238" s="60" t="s">
        <v>5264</v>
      </c>
      <c r="AZ238" s="61" t="s">
        <v>2546</v>
      </c>
      <c r="BA238" s="62" t="s">
        <v>153</v>
      </c>
      <c r="BB238" s="63" t="s">
        <v>153</v>
      </c>
      <c r="BC238" s="64" t="s">
        <v>153</v>
      </c>
      <c r="BD238" s="65" t="s">
        <v>2547</v>
      </c>
      <c r="BE238" s="66" t="s">
        <v>2547</v>
      </c>
      <c r="BF238" s="67" t="s">
        <v>5265</v>
      </c>
      <c r="BG238" s="68" t="s">
        <v>5266</v>
      </c>
      <c r="BH238" s="69">
        <v>2</v>
      </c>
      <c r="BI238" s="70" t="s">
        <v>153</v>
      </c>
      <c r="BJ238" s="71" t="s">
        <v>153</v>
      </c>
      <c r="BK238" s="72" t="s">
        <v>153</v>
      </c>
      <c r="BL238" s="73" t="s">
        <v>5267</v>
      </c>
      <c r="BM238" s="74" t="s">
        <v>153</v>
      </c>
      <c r="BN238" s="75" t="s">
        <v>153</v>
      </c>
      <c r="BO238" s="76" t="s">
        <v>153</v>
      </c>
      <c r="BP238" s="77" t="s">
        <v>153</v>
      </c>
      <c r="BQ238" s="78">
        <v>41446</v>
      </c>
      <c r="BR238" s="79">
        <v>15000</v>
      </c>
      <c r="BS238" s="80" t="s">
        <v>186</v>
      </c>
      <c r="BT238" s="81">
        <v>15000</v>
      </c>
      <c r="BU238" s="82" t="s">
        <v>186</v>
      </c>
      <c r="BV238" s="83" t="s">
        <v>906</v>
      </c>
      <c r="BW238" s="84" t="s">
        <v>153</v>
      </c>
      <c r="BX238" s="85" t="s">
        <v>153</v>
      </c>
      <c r="BY238" s="86" t="s">
        <v>225</v>
      </c>
      <c r="BZ238" s="87" t="s">
        <v>153</v>
      </c>
      <c r="CA238" s="88" t="s">
        <v>190</v>
      </c>
      <c r="CB238" s="89">
        <v>41446</v>
      </c>
      <c r="CC238" s="90">
        <v>15000</v>
      </c>
      <c r="CD238" s="91" t="s">
        <v>186</v>
      </c>
      <c r="CE238" s="92">
        <v>15000</v>
      </c>
      <c r="CF238" s="93" t="s">
        <v>186</v>
      </c>
      <c r="CG238" s="94" t="s">
        <v>906</v>
      </c>
      <c r="CH238" s="95" t="s">
        <v>153</v>
      </c>
      <c r="CI238" s="96" t="s">
        <v>153</v>
      </c>
      <c r="CJ238" s="97" t="s">
        <v>225</v>
      </c>
      <c r="CK238" s="98">
        <v>41446</v>
      </c>
      <c r="CL238" s="99" t="s">
        <v>153</v>
      </c>
      <c r="CM238" s="100" t="s">
        <v>153</v>
      </c>
      <c r="CN238" s="101" t="s">
        <v>190</v>
      </c>
      <c r="CO238" s="102" t="s">
        <v>153</v>
      </c>
      <c r="CP238" s="103" t="s">
        <v>153</v>
      </c>
      <c r="CQ238" s="104" t="s">
        <v>153</v>
      </c>
      <c r="CR238" s="105" t="s">
        <v>153</v>
      </c>
      <c r="CS238" s="106" t="s">
        <v>153</v>
      </c>
      <c r="CT238" s="107" t="s">
        <v>153</v>
      </c>
      <c r="CU238" s="108" t="s">
        <v>153</v>
      </c>
      <c r="CV238" s="109" t="s">
        <v>153</v>
      </c>
      <c r="CW238" s="110" t="s">
        <v>153</v>
      </c>
      <c r="CX238" s="111" t="s">
        <v>153</v>
      </c>
      <c r="CY238" s="112" t="s">
        <v>153</v>
      </c>
      <c r="CZ238" s="113" t="s">
        <v>153</v>
      </c>
      <c r="DA238" s="114" t="s">
        <v>153</v>
      </c>
      <c r="DB238" s="115" t="s">
        <v>153</v>
      </c>
      <c r="DC238" s="116" t="s">
        <v>153</v>
      </c>
      <c r="DD238" s="117" t="s">
        <v>153</v>
      </c>
      <c r="DE238" s="118" t="s">
        <v>153</v>
      </c>
      <c r="DF238" s="119" t="s">
        <v>153</v>
      </c>
      <c r="DG238" s="120" t="s">
        <v>153</v>
      </c>
      <c r="DH238" s="121" t="s">
        <v>153</v>
      </c>
      <c r="DI238" s="122" t="s">
        <v>153</v>
      </c>
      <c r="DJ238" s="123" t="s">
        <v>153</v>
      </c>
      <c r="DK238" s="124" t="s">
        <v>153</v>
      </c>
      <c r="DL238" s="125" t="s">
        <v>153</v>
      </c>
      <c r="DM238" s="126" t="s">
        <v>153</v>
      </c>
      <c r="DN238" s="127" t="s">
        <v>153</v>
      </c>
      <c r="DO238" s="128" t="s">
        <v>153</v>
      </c>
      <c r="DP238" s="129" t="s">
        <v>153</v>
      </c>
      <c r="DQ238" s="130" t="s">
        <v>153</v>
      </c>
      <c r="DR238" s="131" t="s">
        <v>153</v>
      </c>
      <c r="DS238" s="132" t="s">
        <v>153</v>
      </c>
      <c r="DT238" s="133" t="s">
        <v>153</v>
      </c>
      <c r="DU238" s="134" t="s">
        <v>153</v>
      </c>
      <c r="DV238" s="135" t="s">
        <v>153</v>
      </c>
      <c r="DW238" s="136" t="s">
        <v>153</v>
      </c>
      <c r="DX238" s="137" t="s">
        <v>153</v>
      </c>
      <c r="DY238" s="138" t="s">
        <v>153</v>
      </c>
      <c r="DZ238" s="139" t="s">
        <v>191</v>
      </c>
      <c r="EA238" s="140">
        <v>43351</v>
      </c>
      <c r="EB238" s="141">
        <v>15000</v>
      </c>
      <c r="EC238" s="142">
        <v>41446</v>
      </c>
      <c r="ED238" s="143" t="s">
        <v>906</v>
      </c>
      <c r="EE238" s="278" t="str">
        <f>HYPERLINK("https://my.pitchbook.com?c=125826-58", "View company online")</f>
        <v>View company online</v>
      </c>
    </row>
    <row r="239" spans="1:135" x14ac:dyDescent="0.45">
      <c r="A239" s="144" t="s">
        <v>5268</v>
      </c>
      <c r="B239" s="145" t="s">
        <v>5269</v>
      </c>
      <c r="C239" s="146" t="s">
        <v>153</v>
      </c>
      <c r="D239" s="147" t="s">
        <v>153</v>
      </c>
      <c r="E239" s="148" t="s">
        <v>153</v>
      </c>
      <c r="F239" s="149" t="s">
        <v>5270</v>
      </c>
      <c r="G239" s="150" t="s">
        <v>5271</v>
      </c>
      <c r="H239" s="151" t="s">
        <v>5272</v>
      </c>
      <c r="I239" s="152" t="s">
        <v>5268</v>
      </c>
      <c r="J239" s="153" t="s">
        <v>5273</v>
      </c>
      <c r="K239" s="154" t="s">
        <v>157</v>
      </c>
      <c r="L239" s="155" t="s">
        <v>817</v>
      </c>
      <c r="M239" s="156" t="s">
        <v>863</v>
      </c>
      <c r="N239" s="157" t="s">
        <v>5274</v>
      </c>
      <c r="O239" s="158" t="s">
        <v>153</v>
      </c>
      <c r="P239" s="159" t="s">
        <v>5275</v>
      </c>
      <c r="Q239" s="160" t="s">
        <v>367</v>
      </c>
      <c r="R239" s="161">
        <v>1509.6</v>
      </c>
      <c r="S239" s="162" t="s">
        <v>368</v>
      </c>
      <c r="T239" s="163" t="s">
        <v>291</v>
      </c>
      <c r="U239" s="164" t="s">
        <v>565</v>
      </c>
      <c r="V239" s="165" t="s">
        <v>5276</v>
      </c>
      <c r="W239" s="166">
        <v>9400</v>
      </c>
      <c r="X239" s="167" t="s">
        <v>5277</v>
      </c>
      <c r="Y239" s="168" t="s">
        <v>372</v>
      </c>
      <c r="Z239" s="169" t="s">
        <v>5278</v>
      </c>
      <c r="AA239" s="170">
        <v>1954</v>
      </c>
      <c r="AB239" s="171" t="s">
        <v>153</v>
      </c>
      <c r="AC239" s="172" t="s">
        <v>428</v>
      </c>
      <c r="AD239" s="173" t="s">
        <v>622</v>
      </c>
      <c r="AE239" s="174">
        <v>3857.6</v>
      </c>
      <c r="AF239" s="175">
        <v>1954.7</v>
      </c>
      <c r="AG239" s="176">
        <v>-572</v>
      </c>
      <c r="AH239" s="177">
        <v>19556.150000000001</v>
      </c>
      <c r="AI239" s="178">
        <v>-440.9</v>
      </c>
      <c r="AJ239" s="179">
        <v>-489.9</v>
      </c>
      <c r="AK239" s="180">
        <v>17264.349999999999</v>
      </c>
      <c r="AL239" s="181">
        <v>5646</v>
      </c>
      <c r="AM239" s="182">
        <v>28.68</v>
      </c>
      <c r="AN239" s="183" t="s">
        <v>376</v>
      </c>
      <c r="AO239" s="184" t="s">
        <v>5279</v>
      </c>
      <c r="AP239" s="185" t="s">
        <v>5280</v>
      </c>
      <c r="AQ239" s="186" t="s">
        <v>5281</v>
      </c>
      <c r="AR239" s="187" t="s">
        <v>5282</v>
      </c>
      <c r="AS239" s="188" t="s">
        <v>5283</v>
      </c>
      <c r="AT239" s="189" t="s">
        <v>5284</v>
      </c>
      <c r="AU239" s="190" t="s">
        <v>5285</v>
      </c>
      <c r="AV239" s="191" t="s">
        <v>5286</v>
      </c>
      <c r="AW239" s="192" t="s">
        <v>5287</v>
      </c>
      <c r="AX239" s="193" t="s">
        <v>153</v>
      </c>
      <c r="AY239" s="194" t="s">
        <v>153</v>
      </c>
      <c r="AZ239" s="195" t="s">
        <v>5288</v>
      </c>
      <c r="BA239" s="196" t="s">
        <v>5283</v>
      </c>
      <c r="BB239" s="197" t="s">
        <v>153</v>
      </c>
      <c r="BC239" s="198" t="s">
        <v>153</v>
      </c>
      <c r="BD239" s="199" t="s">
        <v>216</v>
      </c>
      <c r="BE239" s="200" t="s">
        <v>3004</v>
      </c>
      <c r="BF239" s="201" t="s">
        <v>5289</v>
      </c>
      <c r="BG239" s="202" t="s">
        <v>5290</v>
      </c>
      <c r="BH239" s="203">
        <v>2</v>
      </c>
      <c r="BI239" s="204" t="s">
        <v>153</v>
      </c>
      <c r="BJ239" s="205" t="s">
        <v>153</v>
      </c>
      <c r="BK239" s="206" t="s">
        <v>153</v>
      </c>
      <c r="BL239" s="207" t="s">
        <v>5291</v>
      </c>
      <c r="BM239" s="208" t="s">
        <v>153</v>
      </c>
      <c r="BN239" s="209" t="s">
        <v>153</v>
      </c>
      <c r="BO239" s="210" t="s">
        <v>5292</v>
      </c>
      <c r="BP239" s="211" t="s">
        <v>5293</v>
      </c>
      <c r="BQ239" s="212">
        <v>43363</v>
      </c>
      <c r="BR239" s="213">
        <v>1509.6</v>
      </c>
      <c r="BS239" s="214" t="s">
        <v>186</v>
      </c>
      <c r="BT239" s="215">
        <v>8548.56</v>
      </c>
      <c r="BU239" s="216" t="s">
        <v>187</v>
      </c>
      <c r="BV239" s="217" t="s">
        <v>251</v>
      </c>
      <c r="BW239" s="218" t="s">
        <v>524</v>
      </c>
      <c r="BX239" s="219" t="s">
        <v>153</v>
      </c>
      <c r="BY239" s="220" t="s">
        <v>252</v>
      </c>
      <c r="BZ239" s="221" t="s">
        <v>153</v>
      </c>
      <c r="CA239" s="222" t="s">
        <v>190</v>
      </c>
      <c r="CB239" s="223" t="s">
        <v>153</v>
      </c>
      <c r="CC239" s="224">
        <v>15000</v>
      </c>
      <c r="CD239" s="225" t="s">
        <v>187</v>
      </c>
      <c r="CE239" s="226">
        <v>15000</v>
      </c>
      <c r="CF239" s="227" t="s">
        <v>187</v>
      </c>
      <c r="CG239" s="228" t="s">
        <v>188</v>
      </c>
      <c r="CH239" s="229" t="s">
        <v>729</v>
      </c>
      <c r="CI239" s="230" t="s">
        <v>153</v>
      </c>
      <c r="CJ239" s="231" t="s">
        <v>165</v>
      </c>
      <c r="CK239" s="232" t="s">
        <v>153</v>
      </c>
      <c r="CL239" s="233" t="s">
        <v>153</v>
      </c>
      <c r="CM239" s="234" t="s">
        <v>153</v>
      </c>
      <c r="CN239" s="235" t="s">
        <v>1698</v>
      </c>
      <c r="CO239" s="236">
        <v>0.54</v>
      </c>
      <c r="CP239" s="237">
        <v>93</v>
      </c>
      <c r="CQ239" s="238">
        <v>-0.01</v>
      </c>
      <c r="CR239" s="239">
        <v>-2.19</v>
      </c>
      <c r="CS239" s="240">
        <v>1.06</v>
      </c>
      <c r="CT239" s="241">
        <v>95</v>
      </c>
      <c r="CU239" s="242">
        <v>0.02</v>
      </c>
      <c r="CV239" s="243">
        <v>78</v>
      </c>
      <c r="CW239" s="244">
        <v>2.08</v>
      </c>
      <c r="CX239" s="245">
        <v>86</v>
      </c>
      <c r="CY239" s="246">
        <v>0.04</v>
      </c>
      <c r="CZ239" s="247">
        <v>90</v>
      </c>
      <c r="DA239" s="248">
        <v>0.02</v>
      </c>
      <c r="DB239" s="249">
        <v>78</v>
      </c>
      <c r="DC239" s="250">
        <v>57.39</v>
      </c>
      <c r="DD239" s="251">
        <v>99</v>
      </c>
      <c r="DE239" s="252">
        <v>-0.03</v>
      </c>
      <c r="DF239" s="253">
        <v>-0.05</v>
      </c>
      <c r="DG239" s="254">
        <v>69.5</v>
      </c>
      <c r="DH239" s="255">
        <v>99</v>
      </c>
      <c r="DI239" s="256">
        <v>45.27</v>
      </c>
      <c r="DJ239" s="257">
        <v>96</v>
      </c>
      <c r="DK239" s="258">
        <v>27.82</v>
      </c>
      <c r="DL239" s="259">
        <v>93</v>
      </c>
      <c r="DM239" s="260">
        <v>111.19</v>
      </c>
      <c r="DN239" s="261">
        <v>99</v>
      </c>
      <c r="DO239" s="262">
        <v>45.27</v>
      </c>
      <c r="DP239" s="263">
        <v>96</v>
      </c>
      <c r="DQ239" s="264">
        <v>16196</v>
      </c>
      <c r="DR239" s="265">
        <v>1107</v>
      </c>
      <c r="DS239" s="266">
        <v>7.34</v>
      </c>
      <c r="DT239" s="267">
        <v>1783</v>
      </c>
      <c r="DU239" s="268">
        <v>-12</v>
      </c>
      <c r="DV239" s="269">
        <v>-0.67</v>
      </c>
      <c r="DW239" s="270">
        <v>14209</v>
      </c>
      <c r="DX239" s="271">
        <v>14</v>
      </c>
      <c r="DY239" s="272">
        <v>0.1</v>
      </c>
      <c r="DZ239" s="273" t="s">
        <v>191</v>
      </c>
      <c r="EA239" s="274">
        <v>44392</v>
      </c>
      <c r="EB239" s="275">
        <v>8548.56</v>
      </c>
      <c r="EC239" s="276">
        <v>43363</v>
      </c>
      <c r="ED239" s="277" t="s">
        <v>251</v>
      </c>
      <c r="EE239" s="279" t="str">
        <f>HYPERLINK("https://my.pitchbook.com?c=56671-84", "View company online")</f>
        <v>View company online</v>
      </c>
    </row>
    <row r="240" spans="1:135" x14ac:dyDescent="0.45">
      <c r="A240" s="10" t="s">
        <v>5294</v>
      </c>
      <c r="B240" s="11" t="s">
        <v>5295</v>
      </c>
      <c r="C240" s="12" t="s">
        <v>153</v>
      </c>
      <c r="D240" s="13" t="s">
        <v>153</v>
      </c>
      <c r="E240" s="14" t="s">
        <v>153</v>
      </c>
      <c r="F240" s="15" t="s">
        <v>153</v>
      </c>
      <c r="G240" s="16" t="s">
        <v>5296</v>
      </c>
      <c r="H240" s="17" t="s">
        <v>5297</v>
      </c>
      <c r="I240" s="18" t="s">
        <v>5294</v>
      </c>
      <c r="J240" s="19" t="s">
        <v>5298</v>
      </c>
      <c r="K240" s="20" t="s">
        <v>232</v>
      </c>
      <c r="L240" s="21" t="s">
        <v>233</v>
      </c>
      <c r="M240" s="22" t="s">
        <v>3219</v>
      </c>
      <c r="N240" s="23" t="s">
        <v>3220</v>
      </c>
      <c r="O240" s="24" t="s">
        <v>153</v>
      </c>
      <c r="P240" s="25" t="s">
        <v>5299</v>
      </c>
      <c r="Q240" s="26" t="s">
        <v>204</v>
      </c>
      <c r="R240" s="27" t="s">
        <v>153</v>
      </c>
      <c r="S240" s="28" t="s">
        <v>163</v>
      </c>
      <c r="T240" s="29" t="s">
        <v>205</v>
      </c>
      <c r="U240" s="30" t="s">
        <v>206</v>
      </c>
      <c r="V240" s="31" t="s">
        <v>5300</v>
      </c>
      <c r="W240" s="32">
        <v>3703</v>
      </c>
      <c r="X240" s="33" t="s">
        <v>5301</v>
      </c>
      <c r="Y240" s="34" t="s">
        <v>153</v>
      </c>
      <c r="Z240" s="35" t="s">
        <v>153</v>
      </c>
      <c r="AA240" s="36">
        <v>1973</v>
      </c>
      <c r="AB240" s="37" t="s">
        <v>153</v>
      </c>
      <c r="AC240" s="38" t="s">
        <v>153</v>
      </c>
      <c r="AD240" s="39" t="s">
        <v>153</v>
      </c>
      <c r="AE240" s="40" t="s">
        <v>153</v>
      </c>
      <c r="AF240" s="41" t="s">
        <v>153</v>
      </c>
      <c r="AG240" s="42" t="s">
        <v>153</v>
      </c>
      <c r="AH240" s="43" t="s">
        <v>153</v>
      </c>
      <c r="AI240" s="44" t="s">
        <v>153</v>
      </c>
      <c r="AJ240" s="45" t="s">
        <v>153</v>
      </c>
      <c r="AK240" s="46" t="s">
        <v>153</v>
      </c>
      <c r="AL240" s="47" t="s">
        <v>153</v>
      </c>
      <c r="AM240" s="48" t="s">
        <v>153</v>
      </c>
      <c r="AN240" s="49" t="s">
        <v>1144</v>
      </c>
      <c r="AO240" s="50" t="s">
        <v>5302</v>
      </c>
      <c r="AP240" s="51" t="s">
        <v>5303</v>
      </c>
      <c r="AQ240" s="52" t="s">
        <v>968</v>
      </c>
      <c r="AR240" s="53" t="s">
        <v>153</v>
      </c>
      <c r="AS240" s="54" t="s">
        <v>153</v>
      </c>
      <c r="AT240" s="55" t="s">
        <v>5304</v>
      </c>
      <c r="AU240" s="56" t="s">
        <v>5305</v>
      </c>
      <c r="AV240" s="57" t="s">
        <v>5306</v>
      </c>
      <c r="AW240" s="58" t="s">
        <v>5307</v>
      </c>
      <c r="AX240" s="59" t="s">
        <v>177</v>
      </c>
      <c r="AY240" s="60" t="s">
        <v>5308</v>
      </c>
      <c r="AZ240" s="61" t="s">
        <v>179</v>
      </c>
      <c r="BA240" s="62" t="s">
        <v>153</v>
      </c>
      <c r="BB240" s="63" t="s">
        <v>153</v>
      </c>
      <c r="BC240" s="64" t="s">
        <v>153</v>
      </c>
      <c r="BD240" s="65" t="s">
        <v>180</v>
      </c>
      <c r="BE240" s="66" t="s">
        <v>181</v>
      </c>
      <c r="BF240" s="67" t="s">
        <v>5309</v>
      </c>
      <c r="BG240" s="68" t="s">
        <v>153</v>
      </c>
      <c r="BH240" s="69" t="s">
        <v>153</v>
      </c>
      <c r="BI240" s="70" t="s">
        <v>5310</v>
      </c>
      <c r="BJ240" s="71" t="s">
        <v>153</v>
      </c>
      <c r="BK240" s="72" t="s">
        <v>153</v>
      </c>
      <c r="BL240" s="73" t="s">
        <v>153</v>
      </c>
      <c r="BM240" s="74" t="s">
        <v>153</v>
      </c>
      <c r="BN240" s="75" t="s">
        <v>153</v>
      </c>
      <c r="BO240" s="76" t="s">
        <v>5311</v>
      </c>
      <c r="BP240" s="77" t="s">
        <v>153</v>
      </c>
      <c r="BQ240" s="78">
        <v>37622</v>
      </c>
      <c r="BR240" s="79">
        <v>15000</v>
      </c>
      <c r="BS240" s="80" t="s">
        <v>186</v>
      </c>
      <c r="BT240" s="81">
        <v>15000</v>
      </c>
      <c r="BU240" s="82" t="s">
        <v>186</v>
      </c>
      <c r="BV240" s="83" t="s">
        <v>226</v>
      </c>
      <c r="BW240" s="84" t="s">
        <v>153</v>
      </c>
      <c r="BX240" s="85" t="s">
        <v>153</v>
      </c>
      <c r="BY240" s="86" t="s">
        <v>225</v>
      </c>
      <c r="BZ240" s="87" t="s">
        <v>153</v>
      </c>
      <c r="CA240" s="88" t="s">
        <v>190</v>
      </c>
      <c r="CB240" s="89">
        <v>37622</v>
      </c>
      <c r="CC240" s="90">
        <v>15000</v>
      </c>
      <c r="CD240" s="91" t="s">
        <v>186</v>
      </c>
      <c r="CE240" s="92">
        <v>15000</v>
      </c>
      <c r="CF240" s="93" t="s">
        <v>186</v>
      </c>
      <c r="CG240" s="94" t="s">
        <v>226</v>
      </c>
      <c r="CH240" s="95" t="s">
        <v>153</v>
      </c>
      <c r="CI240" s="96" t="s">
        <v>153</v>
      </c>
      <c r="CJ240" s="97" t="s">
        <v>225</v>
      </c>
      <c r="CK240" s="98">
        <v>37622</v>
      </c>
      <c r="CL240" s="99" t="s">
        <v>153</v>
      </c>
      <c r="CM240" s="100" t="s">
        <v>153</v>
      </c>
      <c r="CN240" s="101" t="s">
        <v>190</v>
      </c>
      <c r="CO240" s="102" t="s">
        <v>153</v>
      </c>
      <c r="CP240" s="103" t="s">
        <v>153</v>
      </c>
      <c r="CQ240" s="104" t="s">
        <v>153</v>
      </c>
      <c r="CR240" s="105" t="s">
        <v>153</v>
      </c>
      <c r="CS240" s="106" t="s">
        <v>153</v>
      </c>
      <c r="CT240" s="107" t="s">
        <v>153</v>
      </c>
      <c r="CU240" s="108" t="s">
        <v>153</v>
      </c>
      <c r="CV240" s="109" t="s">
        <v>153</v>
      </c>
      <c r="CW240" s="110" t="s">
        <v>153</v>
      </c>
      <c r="CX240" s="111" t="s">
        <v>153</v>
      </c>
      <c r="CY240" s="112" t="s">
        <v>153</v>
      </c>
      <c r="CZ240" s="113" t="s">
        <v>153</v>
      </c>
      <c r="DA240" s="114" t="s">
        <v>153</v>
      </c>
      <c r="DB240" s="115" t="s">
        <v>153</v>
      </c>
      <c r="DC240" s="116" t="s">
        <v>153</v>
      </c>
      <c r="DD240" s="117" t="s">
        <v>153</v>
      </c>
      <c r="DE240" s="118" t="s">
        <v>153</v>
      </c>
      <c r="DF240" s="119" t="s">
        <v>153</v>
      </c>
      <c r="DG240" s="120" t="s">
        <v>153</v>
      </c>
      <c r="DH240" s="121" t="s">
        <v>153</v>
      </c>
      <c r="DI240" s="122" t="s">
        <v>153</v>
      </c>
      <c r="DJ240" s="123" t="s">
        <v>153</v>
      </c>
      <c r="DK240" s="124" t="s">
        <v>153</v>
      </c>
      <c r="DL240" s="125" t="s">
        <v>153</v>
      </c>
      <c r="DM240" s="126" t="s">
        <v>153</v>
      </c>
      <c r="DN240" s="127" t="s">
        <v>153</v>
      </c>
      <c r="DO240" s="128" t="s">
        <v>153</v>
      </c>
      <c r="DP240" s="129" t="s">
        <v>153</v>
      </c>
      <c r="DQ240" s="130" t="s">
        <v>153</v>
      </c>
      <c r="DR240" s="131" t="s">
        <v>153</v>
      </c>
      <c r="DS240" s="132" t="s">
        <v>153</v>
      </c>
      <c r="DT240" s="133" t="s">
        <v>153</v>
      </c>
      <c r="DU240" s="134" t="s">
        <v>153</v>
      </c>
      <c r="DV240" s="135" t="s">
        <v>153</v>
      </c>
      <c r="DW240" s="136" t="s">
        <v>153</v>
      </c>
      <c r="DX240" s="137" t="s">
        <v>153</v>
      </c>
      <c r="DY240" s="138" t="s">
        <v>153</v>
      </c>
      <c r="DZ240" s="139" t="s">
        <v>191</v>
      </c>
      <c r="EA240" s="140">
        <v>44147</v>
      </c>
      <c r="EB240" s="141">
        <v>15000</v>
      </c>
      <c r="EC240" s="142">
        <v>37622</v>
      </c>
      <c r="ED240" s="143" t="s">
        <v>226</v>
      </c>
      <c r="EE240" s="278" t="str">
        <f>HYPERLINK("https://my.pitchbook.com?c=149663-44", "View company online")</f>
        <v>View company online</v>
      </c>
    </row>
    <row r="241" spans="1:135" x14ac:dyDescent="0.45">
      <c r="A241" s="144" t="s">
        <v>5312</v>
      </c>
      <c r="B241" s="145" t="s">
        <v>5313</v>
      </c>
      <c r="C241" s="146" t="s">
        <v>153</v>
      </c>
      <c r="D241" s="147" t="s">
        <v>153</v>
      </c>
      <c r="E241" s="148" t="s">
        <v>5314</v>
      </c>
      <c r="F241" s="149" t="s">
        <v>153</v>
      </c>
      <c r="G241" s="150" t="s">
        <v>5315</v>
      </c>
      <c r="H241" s="151" t="s">
        <v>153</v>
      </c>
      <c r="I241" s="152" t="s">
        <v>5312</v>
      </c>
      <c r="J241" s="153" t="s">
        <v>5316</v>
      </c>
      <c r="K241" s="154" t="s">
        <v>882</v>
      </c>
      <c r="L241" s="155" t="s">
        <v>883</v>
      </c>
      <c r="M241" s="156" t="s">
        <v>884</v>
      </c>
      <c r="N241" s="157" t="s">
        <v>5317</v>
      </c>
      <c r="O241" s="158" t="s">
        <v>365</v>
      </c>
      <c r="P241" s="159" t="s">
        <v>5318</v>
      </c>
      <c r="Q241" s="160" t="s">
        <v>204</v>
      </c>
      <c r="R241" s="161" t="s">
        <v>153</v>
      </c>
      <c r="S241" s="162" t="s">
        <v>163</v>
      </c>
      <c r="T241" s="163" t="s">
        <v>205</v>
      </c>
      <c r="U241" s="164" t="s">
        <v>237</v>
      </c>
      <c r="V241" s="165" t="s">
        <v>153</v>
      </c>
      <c r="W241" s="166" t="s">
        <v>153</v>
      </c>
      <c r="X241" s="167" t="s">
        <v>153</v>
      </c>
      <c r="Y241" s="168" t="s">
        <v>153</v>
      </c>
      <c r="Z241" s="169" t="s">
        <v>153</v>
      </c>
      <c r="AA241" s="170">
        <v>1999</v>
      </c>
      <c r="AB241" s="171" t="s">
        <v>153</v>
      </c>
      <c r="AC241" s="172" t="s">
        <v>153</v>
      </c>
      <c r="AD241" s="173" t="s">
        <v>153</v>
      </c>
      <c r="AE241" s="174" t="s">
        <v>153</v>
      </c>
      <c r="AF241" s="175" t="s">
        <v>153</v>
      </c>
      <c r="AG241" s="176" t="s">
        <v>153</v>
      </c>
      <c r="AH241" s="177" t="s">
        <v>153</v>
      </c>
      <c r="AI241" s="178" t="s">
        <v>153</v>
      </c>
      <c r="AJ241" s="179" t="s">
        <v>153</v>
      </c>
      <c r="AK241" s="180" t="s">
        <v>153</v>
      </c>
      <c r="AL241" s="181" t="s">
        <v>153</v>
      </c>
      <c r="AM241" s="182" t="s">
        <v>153</v>
      </c>
      <c r="AN241" s="183" t="s">
        <v>153</v>
      </c>
      <c r="AO241" s="184" t="s">
        <v>153</v>
      </c>
      <c r="AP241" s="185" t="s">
        <v>153</v>
      </c>
      <c r="AQ241" s="186" t="s">
        <v>153</v>
      </c>
      <c r="AR241" s="187" t="s">
        <v>153</v>
      </c>
      <c r="AS241" s="188" t="s">
        <v>153</v>
      </c>
      <c r="AT241" s="189" t="s">
        <v>5319</v>
      </c>
      <c r="AU241" s="190" t="s">
        <v>5320</v>
      </c>
      <c r="AV241" s="191" t="s">
        <v>153</v>
      </c>
      <c r="AW241" s="192" t="s">
        <v>5321</v>
      </c>
      <c r="AX241" s="193" t="s">
        <v>153</v>
      </c>
      <c r="AY241" s="194" t="s">
        <v>153</v>
      </c>
      <c r="AZ241" s="195" t="s">
        <v>5322</v>
      </c>
      <c r="BA241" s="196" t="s">
        <v>153</v>
      </c>
      <c r="BB241" s="197" t="s">
        <v>153</v>
      </c>
      <c r="BC241" s="198" t="s">
        <v>153</v>
      </c>
      <c r="BD241" s="199" t="s">
        <v>5323</v>
      </c>
      <c r="BE241" s="200" t="s">
        <v>5324</v>
      </c>
      <c r="BF241" s="201" t="s">
        <v>5325</v>
      </c>
      <c r="BG241" s="202" t="s">
        <v>153</v>
      </c>
      <c r="BH241" s="203" t="s">
        <v>153</v>
      </c>
      <c r="BI241" s="204" t="s">
        <v>3321</v>
      </c>
      <c r="BJ241" s="205" t="s">
        <v>5326</v>
      </c>
      <c r="BK241" s="206" t="s">
        <v>153</v>
      </c>
      <c r="BL241" s="207" t="s">
        <v>153</v>
      </c>
      <c r="BM241" s="208" t="s">
        <v>153</v>
      </c>
      <c r="BN241" s="209" t="s">
        <v>153</v>
      </c>
      <c r="BO241" s="210" t="s">
        <v>153</v>
      </c>
      <c r="BP241" s="211" t="s">
        <v>153</v>
      </c>
      <c r="BQ241" s="212">
        <v>37343</v>
      </c>
      <c r="BR241" s="213" t="s">
        <v>153</v>
      </c>
      <c r="BS241" s="214" t="s">
        <v>153</v>
      </c>
      <c r="BT241" s="215" t="s">
        <v>153</v>
      </c>
      <c r="BU241" s="216" t="s">
        <v>153</v>
      </c>
      <c r="BV241" s="217" t="s">
        <v>251</v>
      </c>
      <c r="BW241" s="218" t="s">
        <v>153</v>
      </c>
      <c r="BX241" s="219" t="s">
        <v>153</v>
      </c>
      <c r="BY241" s="220" t="s">
        <v>252</v>
      </c>
      <c r="BZ241" s="221" t="s">
        <v>153</v>
      </c>
      <c r="CA241" s="222" t="s">
        <v>190</v>
      </c>
      <c r="CB241" s="223">
        <v>39448</v>
      </c>
      <c r="CC241" s="224">
        <v>15000</v>
      </c>
      <c r="CD241" s="225" t="s">
        <v>186</v>
      </c>
      <c r="CE241" s="226">
        <v>15000</v>
      </c>
      <c r="CF241" s="227" t="s">
        <v>186</v>
      </c>
      <c r="CG241" s="228" t="s">
        <v>226</v>
      </c>
      <c r="CH241" s="229" t="s">
        <v>729</v>
      </c>
      <c r="CI241" s="230" t="s">
        <v>153</v>
      </c>
      <c r="CJ241" s="231" t="s">
        <v>225</v>
      </c>
      <c r="CK241" s="232">
        <v>39448</v>
      </c>
      <c r="CL241" s="233" t="s">
        <v>153</v>
      </c>
      <c r="CM241" s="234" t="s">
        <v>153</v>
      </c>
      <c r="CN241" s="235" t="s">
        <v>190</v>
      </c>
      <c r="CO241" s="236" t="s">
        <v>153</v>
      </c>
      <c r="CP241" s="237" t="s">
        <v>153</v>
      </c>
      <c r="CQ241" s="238" t="s">
        <v>153</v>
      </c>
      <c r="CR241" s="239" t="s">
        <v>153</v>
      </c>
      <c r="CS241" s="240" t="s">
        <v>153</v>
      </c>
      <c r="CT241" s="241" t="s">
        <v>153</v>
      </c>
      <c r="CU241" s="242" t="s">
        <v>153</v>
      </c>
      <c r="CV241" s="243" t="s">
        <v>153</v>
      </c>
      <c r="CW241" s="244" t="s">
        <v>153</v>
      </c>
      <c r="CX241" s="245" t="s">
        <v>153</v>
      </c>
      <c r="CY241" s="246" t="s">
        <v>153</v>
      </c>
      <c r="CZ241" s="247" t="s">
        <v>153</v>
      </c>
      <c r="DA241" s="248" t="s">
        <v>153</v>
      </c>
      <c r="DB241" s="249" t="s">
        <v>153</v>
      </c>
      <c r="DC241" s="250" t="s">
        <v>153</v>
      </c>
      <c r="DD241" s="251" t="s">
        <v>153</v>
      </c>
      <c r="DE241" s="252" t="s">
        <v>153</v>
      </c>
      <c r="DF241" s="253" t="s">
        <v>153</v>
      </c>
      <c r="DG241" s="254" t="s">
        <v>153</v>
      </c>
      <c r="DH241" s="255" t="s">
        <v>153</v>
      </c>
      <c r="DI241" s="256" t="s">
        <v>153</v>
      </c>
      <c r="DJ241" s="257" t="s">
        <v>153</v>
      </c>
      <c r="DK241" s="258" t="s">
        <v>153</v>
      </c>
      <c r="DL241" s="259" t="s">
        <v>153</v>
      </c>
      <c r="DM241" s="260" t="s">
        <v>153</v>
      </c>
      <c r="DN241" s="261" t="s">
        <v>153</v>
      </c>
      <c r="DO241" s="262" t="s">
        <v>153</v>
      </c>
      <c r="DP241" s="263" t="s">
        <v>153</v>
      </c>
      <c r="DQ241" s="264" t="s">
        <v>153</v>
      </c>
      <c r="DR241" s="265" t="s">
        <v>153</v>
      </c>
      <c r="DS241" s="266" t="s">
        <v>153</v>
      </c>
      <c r="DT241" s="267" t="s">
        <v>153</v>
      </c>
      <c r="DU241" s="268" t="s">
        <v>153</v>
      </c>
      <c r="DV241" s="269" t="s">
        <v>153</v>
      </c>
      <c r="DW241" s="270" t="s">
        <v>153</v>
      </c>
      <c r="DX241" s="271" t="s">
        <v>153</v>
      </c>
      <c r="DY241" s="272" t="s">
        <v>153</v>
      </c>
      <c r="DZ241" s="273" t="s">
        <v>191</v>
      </c>
      <c r="EA241" s="274">
        <v>43755</v>
      </c>
      <c r="EB241" s="275">
        <v>15000</v>
      </c>
      <c r="EC241" s="276">
        <v>39448</v>
      </c>
      <c r="ED241" s="277" t="s">
        <v>226</v>
      </c>
      <c r="EE241" s="279" t="str">
        <f>HYPERLINK("https://my.pitchbook.com?c=154222-57", "View company online")</f>
        <v>View company online</v>
      </c>
    </row>
    <row r="242" spans="1:135" x14ac:dyDescent="0.45">
      <c r="A242" s="10" t="s">
        <v>5327</v>
      </c>
      <c r="B242" s="11" t="s">
        <v>5328</v>
      </c>
      <c r="C242" s="12" t="s">
        <v>153</v>
      </c>
      <c r="D242" s="13" t="s">
        <v>153</v>
      </c>
      <c r="E242" s="14" t="s">
        <v>153</v>
      </c>
      <c r="F242" s="15" t="s">
        <v>5329</v>
      </c>
      <c r="G242" s="16" t="s">
        <v>153</v>
      </c>
      <c r="H242" s="17" t="s">
        <v>5330</v>
      </c>
      <c r="I242" s="18" t="s">
        <v>5327</v>
      </c>
      <c r="J242" s="19" t="s">
        <v>5331</v>
      </c>
      <c r="K242" s="20" t="s">
        <v>792</v>
      </c>
      <c r="L242" s="21" t="s">
        <v>841</v>
      </c>
      <c r="M242" s="22" t="s">
        <v>913</v>
      </c>
      <c r="N242" s="23" t="s">
        <v>5332</v>
      </c>
      <c r="O242" s="24" t="s">
        <v>796</v>
      </c>
      <c r="P242" s="25" t="s">
        <v>5333</v>
      </c>
      <c r="Q242" s="26" t="s">
        <v>204</v>
      </c>
      <c r="R242" s="27">
        <v>15400</v>
      </c>
      <c r="S242" s="28" t="s">
        <v>163</v>
      </c>
      <c r="T242" s="29" t="s">
        <v>1392</v>
      </c>
      <c r="U242" s="30" t="s">
        <v>5334</v>
      </c>
      <c r="V242" s="31" t="s">
        <v>5335</v>
      </c>
      <c r="W242" s="32" t="s">
        <v>153</v>
      </c>
      <c r="X242" s="33" t="s">
        <v>153</v>
      </c>
      <c r="Y242" s="34" t="s">
        <v>153</v>
      </c>
      <c r="Z242" s="35" t="s">
        <v>153</v>
      </c>
      <c r="AA242" s="36" t="s">
        <v>153</v>
      </c>
      <c r="AB242" s="37" t="s">
        <v>153</v>
      </c>
      <c r="AC242" s="38" t="s">
        <v>153</v>
      </c>
      <c r="AD242" s="39" t="s">
        <v>153</v>
      </c>
      <c r="AE242" s="40">
        <v>40000</v>
      </c>
      <c r="AF242" s="41" t="s">
        <v>153</v>
      </c>
      <c r="AG242" s="42" t="s">
        <v>153</v>
      </c>
      <c r="AH242" s="43" t="s">
        <v>153</v>
      </c>
      <c r="AI242" s="44" t="s">
        <v>153</v>
      </c>
      <c r="AJ242" s="45" t="s">
        <v>153</v>
      </c>
      <c r="AK242" s="46" t="s">
        <v>153</v>
      </c>
      <c r="AL242" s="47" t="s">
        <v>153</v>
      </c>
      <c r="AM242" s="48" t="s">
        <v>153</v>
      </c>
      <c r="AN242" s="49" t="s">
        <v>168</v>
      </c>
      <c r="AO242" s="50" t="s">
        <v>153</v>
      </c>
      <c r="AP242" s="51" t="s">
        <v>153</v>
      </c>
      <c r="AQ242" s="52" t="s">
        <v>153</v>
      </c>
      <c r="AR242" s="53" t="s">
        <v>153</v>
      </c>
      <c r="AS242" s="54" t="s">
        <v>153</v>
      </c>
      <c r="AT242" s="55" t="s">
        <v>5336</v>
      </c>
      <c r="AU242" s="56" t="s">
        <v>5337</v>
      </c>
      <c r="AV242" s="57" t="s">
        <v>5338</v>
      </c>
      <c r="AW242" s="58" t="s">
        <v>5339</v>
      </c>
      <c r="AX242" s="59" t="s">
        <v>153</v>
      </c>
      <c r="AY242" s="60" t="s">
        <v>5340</v>
      </c>
      <c r="AZ242" s="61" t="s">
        <v>5341</v>
      </c>
      <c r="BA242" s="62" t="s">
        <v>5342</v>
      </c>
      <c r="BB242" s="63" t="s">
        <v>5343</v>
      </c>
      <c r="BC242" s="64" t="s">
        <v>5344</v>
      </c>
      <c r="BD242" s="65" t="s">
        <v>5323</v>
      </c>
      <c r="BE242" s="66" t="s">
        <v>5345</v>
      </c>
      <c r="BF242" s="67" t="s">
        <v>5346</v>
      </c>
      <c r="BG242" s="68" t="s">
        <v>5347</v>
      </c>
      <c r="BH242" s="69">
        <v>1</v>
      </c>
      <c r="BI242" s="70" t="s">
        <v>153</v>
      </c>
      <c r="BJ242" s="71" t="s">
        <v>1700</v>
      </c>
      <c r="BK242" s="72" t="s">
        <v>153</v>
      </c>
      <c r="BL242" s="73" t="s">
        <v>5348</v>
      </c>
      <c r="BM242" s="74" t="s">
        <v>5349</v>
      </c>
      <c r="BN242" s="75" t="s">
        <v>153</v>
      </c>
      <c r="BO242" s="76" t="s">
        <v>153</v>
      </c>
      <c r="BP242" s="77" t="s">
        <v>5350</v>
      </c>
      <c r="BQ242" s="78">
        <v>43401</v>
      </c>
      <c r="BR242" s="79">
        <v>800</v>
      </c>
      <c r="BS242" s="80" t="s">
        <v>186</v>
      </c>
      <c r="BT242" s="81">
        <v>8000</v>
      </c>
      <c r="BU242" s="82" t="s">
        <v>187</v>
      </c>
      <c r="BV242" s="83" t="s">
        <v>906</v>
      </c>
      <c r="BW242" s="84" t="s">
        <v>153</v>
      </c>
      <c r="BX242" s="85" t="s">
        <v>153</v>
      </c>
      <c r="BY242" s="86" t="s">
        <v>225</v>
      </c>
      <c r="BZ242" s="87" t="s">
        <v>153</v>
      </c>
      <c r="CA242" s="88" t="s">
        <v>394</v>
      </c>
      <c r="CB242" s="89">
        <v>43979</v>
      </c>
      <c r="CC242" s="90">
        <v>15000</v>
      </c>
      <c r="CD242" s="91" t="s">
        <v>186</v>
      </c>
      <c r="CE242" s="92" t="s">
        <v>153</v>
      </c>
      <c r="CF242" s="93" t="s">
        <v>153</v>
      </c>
      <c r="CG242" s="94" t="s">
        <v>4289</v>
      </c>
      <c r="CH242" s="95" t="s">
        <v>153</v>
      </c>
      <c r="CI242" s="96" t="s">
        <v>153</v>
      </c>
      <c r="CJ242" s="97" t="s">
        <v>4290</v>
      </c>
      <c r="CK242" s="98">
        <v>43979</v>
      </c>
      <c r="CL242" s="99">
        <v>15000</v>
      </c>
      <c r="CM242" s="100" t="s">
        <v>5351</v>
      </c>
      <c r="CN242" s="101" t="s">
        <v>190</v>
      </c>
      <c r="CO242" s="102">
        <v>0</v>
      </c>
      <c r="CP242" s="103">
        <v>11</v>
      </c>
      <c r="CQ242" s="104">
        <v>-0.45</v>
      </c>
      <c r="CR242" s="105">
        <v>-99.13</v>
      </c>
      <c r="CS242" s="106">
        <v>0</v>
      </c>
      <c r="CT242" s="107">
        <v>8</v>
      </c>
      <c r="CU242" s="108" t="s">
        <v>153</v>
      </c>
      <c r="CV242" s="109" t="s">
        <v>153</v>
      </c>
      <c r="CW242" s="110" t="s">
        <v>153</v>
      </c>
      <c r="CX242" s="111" t="s">
        <v>153</v>
      </c>
      <c r="CY242" s="112">
        <v>0</v>
      </c>
      <c r="CZ242" s="113">
        <v>5</v>
      </c>
      <c r="DA242" s="114" t="s">
        <v>153</v>
      </c>
      <c r="DB242" s="115" t="s">
        <v>153</v>
      </c>
      <c r="DC242" s="116">
        <v>7</v>
      </c>
      <c r="DD242" s="117">
        <v>89</v>
      </c>
      <c r="DE242" s="118">
        <v>-0.13</v>
      </c>
      <c r="DF242" s="119">
        <v>-1.75</v>
      </c>
      <c r="DG242" s="120">
        <v>7</v>
      </c>
      <c r="DH242" s="121">
        <v>88</v>
      </c>
      <c r="DI242" s="122" t="s">
        <v>153</v>
      </c>
      <c r="DJ242" s="123" t="s">
        <v>153</v>
      </c>
      <c r="DK242" s="124" t="s">
        <v>153</v>
      </c>
      <c r="DL242" s="125" t="s">
        <v>153</v>
      </c>
      <c r="DM242" s="126">
        <v>7</v>
      </c>
      <c r="DN242" s="127">
        <v>86</v>
      </c>
      <c r="DO242" s="128" t="s">
        <v>153</v>
      </c>
      <c r="DP242" s="129" t="s">
        <v>153</v>
      </c>
      <c r="DQ242" s="130" t="s">
        <v>153</v>
      </c>
      <c r="DR242" s="131" t="s">
        <v>153</v>
      </c>
      <c r="DS242" s="132" t="s">
        <v>153</v>
      </c>
      <c r="DT242" s="133">
        <v>112</v>
      </c>
      <c r="DU242" s="134">
        <v>-2</v>
      </c>
      <c r="DV242" s="135">
        <v>-1.75</v>
      </c>
      <c r="DW242" s="136" t="s">
        <v>153</v>
      </c>
      <c r="DX242" s="137" t="s">
        <v>153</v>
      </c>
      <c r="DY242" s="138" t="s">
        <v>153</v>
      </c>
      <c r="DZ242" s="139" t="s">
        <v>191</v>
      </c>
      <c r="EA242" s="140">
        <v>44163</v>
      </c>
      <c r="EB242" s="141">
        <v>14716.98</v>
      </c>
      <c r="EC242" s="142">
        <v>43738</v>
      </c>
      <c r="ED242" s="143" t="s">
        <v>906</v>
      </c>
      <c r="EE242" s="278" t="str">
        <f>HYPERLINK("https://my.pitchbook.com?c=234149-68", "View company online")</f>
        <v>View company online</v>
      </c>
    </row>
    <row r="243" spans="1:135" x14ac:dyDescent="0.45">
      <c r="A243" s="144" t="s">
        <v>5352</v>
      </c>
      <c r="B243" s="145" t="s">
        <v>5353</v>
      </c>
      <c r="C243" s="146" t="s">
        <v>153</v>
      </c>
      <c r="D243" s="147" t="s">
        <v>153</v>
      </c>
      <c r="E243" s="148" t="s">
        <v>5354</v>
      </c>
      <c r="F243" s="149" t="s">
        <v>153</v>
      </c>
      <c r="G243" s="150" t="s">
        <v>5355</v>
      </c>
      <c r="H243" s="151" t="s">
        <v>153</v>
      </c>
      <c r="I243" s="152" t="s">
        <v>5352</v>
      </c>
      <c r="J243" s="153" t="s">
        <v>5356</v>
      </c>
      <c r="K243" s="154" t="s">
        <v>232</v>
      </c>
      <c r="L243" s="155" t="s">
        <v>233</v>
      </c>
      <c r="M243" s="156" t="s">
        <v>3219</v>
      </c>
      <c r="N243" s="157" t="s">
        <v>3220</v>
      </c>
      <c r="O243" s="158" t="s">
        <v>153</v>
      </c>
      <c r="P243" s="159" t="s">
        <v>5357</v>
      </c>
      <c r="Q243" s="160" t="s">
        <v>204</v>
      </c>
      <c r="R243" s="161" t="s">
        <v>153</v>
      </c>
      <c r="S243" s="162" t="s">
        <v>163</v>
      </c>
      <c r="T243" s="163" t="s">
        <v>205</v>
      </c>
      <c r="U243" s="164" t="s">
        <v>237</v>
      </c>
      <c r="V243" s="165" t="s">
        <v>153</v>
      </c>
      <c r="W243" s="166" t="s">
        <v>153</v>
      </c>
      <c r="X243" s="167" t="s">
        <v>153</v>
      </c>
      <c r="Y243" s="168" t="s">
        <v>153</v>
      </c>
      <c r="Z243" s="169" t="s">
        <v>153</v>
      </c>
      <c r="AA243" s="170">
        <v>1905</v>
      </c>
      <c r="AB243" s="171" t="s">
        <v>5358</v>
      </c>
      <c r="AC243" s="172" t="s">
        <v>153</v>
      </c>
      <c r="AD243" s="173" t="s">
        <v>153</v>
      </c>
      <c r="AE243" s="174" t="s">
        <v>153</v>
      </c>
      <c r="AF243" s="175" t="s">
        <v>153</v>
      </c>
      <c r="AG243" s="176" t="s">
        <v>153</v>
      </c>
      <c r="AH243" s="177" t="s">
        <v>153</v>
      </c>
      <c r="AI243" s="178" t="s">
        <v>153</v>
      </c>
      <c r="AJ243" s="179" t="s">
        <v>153</v>
      </c>
      <c r="AK243" s="180" t="s">
        <v>153</v>
      </c>
      <c r="AL243" s="181" t="s">
        <v>153</v>
      </c>
      <c r="AM243" s="182" t="s">
        <v>153</v>
      </c>
      <c r="AN243" s="183" t="s">
        <v>153</v>
      </c>
      <c r="AO243" s="184" t="s">
        <v>153</v>
      </c>
      <c r="AP243" s="185" t="s">
        <v>153</v>
      </c>
      <c r="AQ243" s="186" t="s">
        <v>153</v>
      </c>
      <c r="AR243" s="187" t="s">
        <v>153</v>
      </c>
      <c r="AS243" s="188" t="s">
        <v>153</v>
      </c>
      <c r="AT243" s="189" t="s">
        <v>5359</v>
      </c>
      <c r="AU243" s="190" t="s">
        <v>5360</v>
      </c>
      <c r="AV243" s="191" t="s">
        <v>5361</v>
      </c>
      <c r="AW243" s="192" t="s">
        <v>5362</v>
      </c>
      <c r="AX243" s="193" t="s">
        <v>436</v>
      </c>
      <c r="AY243" s="194" t="s">
        <v>5363</v>
      </c>
      <c r="AZ243" s="195" t="s">
        <v>215</v>
      </c>
      <c r="BA243" s="196" t="s">
        <v>153</v>
      </c>
      <c r="BB243" s="197" t="s">
        <v>153</v>
      </c>
      <c r="BC243" s="198" t="s">
        <v>153</v>
      </c>
      <c r="BD243" s="199" t="s">
        <v>216</v>
      </c>
      <c r="BE243" s="200" t="s">
        <v>217</v>
      </c>
      <c r="BF243" s="201" t="s">
        <v>5364</v>
      </c>
      <c r="BG243" s="202" t="s">
        <v>153</v>
      </c>
      <c r="BH243" s="203" t="s">
        <v>153</v>
      </c>
      <c r="BI243" s="204" t="s">
        <v>5358</v>
      </c>
      <c r="BJ243" s="205" t="s">
        <v>153</v>
      </c>
      <c r="BK243" s="206" t="s">
        <v>153</v>
      </c>
      <c r="BL243" s="207" t="s">
        <v>153</v>
      </c>
      <c r="BM243" s="208" t="s">
        <v>153</v>
      </c>
      <c r="BN243" s="209" t="s">
        <v>153</v>
      </c>
      <c r="BO243" s="210" t="s">
        <v>153</v>
      </c>
      <c r="BP243" s="211" t="s">
        <v>5365</v>
      </c>
      <c r="BQ243" s="212">
        <v>32939</v>
      </c>
      <c r="BR243" s="213" t="s">
        <v>153</v>
      </c>
      <c r="BS243" s="214" t="s">
        <v>153</v>
      </c>
      <c r="BT243" s="215" t="s">
        <v>153</v>
      </c>
      <c r="BU243" s="216" t="s">
        <v>153</v>
      </c>
      <c r="BV243" s="217" t="s">
        <v>251</v>
      </c>
      <c r="BW243" s="218" t="s">
        <v>153</v>
      </c>
      <c r="BX243" s="219" t="s">
        <v>153</v>
      </c>
      <c r="BY243" s="220" t="s">
        <v>252</v>
      </c>
      <c r="BZ243" s="221" t="s">
        <v>153</v>
      </c>
      <c r="CA243" s="222" t="s">
        <v>190</v>
      </c>
      <c r="CB243" s="223">
        <v>39052</v>
      </c>
      <c r="CC243" s="224">
        <v>15000</v>
      </c>
      <c r="CD243" s="225" t="s">
        <v>187</v>
      </c>
      <c r="CE243" s="226">
        <v>15000</v>
      </c>
      <c r="CF243" s="227" t="s">
        <v>187</v>
      </c>
      <c r="CG243" s="228" t="s">
        <v>226</v>
      </c>
      <c r="CH243" s="229" t="s">
        <v>153</v>
      </c>
      <c r="CI243" s="230" t="s">
        <v>153</v>
      </c>
      <c r="CJ243" s="231" t="s">
        <v>225</v>
      </c>
      <c r="CK243" s="232">
        <v>39052</v>
      </c>
      <c r="CL243" s="233" t="s">
        <v>153</v>
      </c>
      <c r="CM243" s="234" t="s">
        <v>5101</v>
      </c>
      <c r="CN243" s="235" t="s">
        <v>190</v>
      </c>
      <c r="CO243" s="236" t="s">
        <v>153</v>
      </c>
      <c r="CP243" s="237" t="s">
        <v>153</v>
      </c>
      <c r="CQ243" s="238" t="s">
        <v>153</v>
      </c>
      <c r="CR243" s="239" t="s">
        <v>153</v>
      </c>
      <c r="CS243" s="240" t="s">
        <v>153</v>
      </c>
      <c r="CT243" s="241" t="s">
        <v>153</v>
      </c>
      <c r="CU243" s="242" t="s">
        <v>153</v>
      </c>
      <c r="CV243" s="243" t="s">
        <v>153</v>
      </c>
      <c r="CW243" s="244" t="s">
        <v>153</v>
      </c>
      <c r="CX243" s="245" t="s">
        <v>153</v>
      </c>
      <c r="CY243" s="246" t="s">
        <v>153</v>
      </c>
      <c r="CZ243" s="247" t="s">
        <v>153</v>
      </c>
      <c r="DA243" s="248" t="s">
        <v>153</v>
      </c>
      <c r="DB243" s="249" t="s">
        <v>153</v>
      </c>
      <c r="DC243" s="250" t="s">
        <v>153</v>
      </c>
      <c r="DD243" s="251" t="s">
        <v>153</v>
      </c>
      <c r="DE243" s="252" t="s">
        <v>153</v>
      </c>
      <c r="DF243" s="253" t="s">
        <v>153</v>
      </c>
      <c r="DG243" s="254" t="s">
        <v>153</v>
      </c>
      <c r="DH243" s="255" t="s">
        <v>153</v>
      </c>
      <c r="DI243" s="256" t="s">
        <v>153</v>
      </c>
      <c r="DJ243" s="257" t="s">
        <v>153</v>
      </c>
      <c r="DK243" s="258" t="s">
        <v>153</v>
      </c>
      <c r="DL243" s="259" t="s">
        <v>153</v>
      </c>
      <c r="DM243" s="260" t="s">
        <v>153</v>
      </c>
      <c r="DN243" s="261" t="s">
        <v>153</v>
      </c>
      <c r="DO243" s="262" t="s">
        <v>153</v>
      </c>
      <c r="DP243" s="263" t="s">
        <v>153</v>
      </c>
      <c r="DQ243" s="264" t="s">
        <v>153</v>
      </c>
      <c r="DR243" s="265" t="s">
        <v>153</v>
      </c>
      <c r="DS243" s="266" t="s">
        <v>153</v>
      </c>
      <c r="DT243" s="267" t="s">
        <v>153</v>
      </c>
      <c r="DU243" s="268" t="s">
        <v>153</v>
      </c>
      <c r="DV243" s="269" t="s">
        <v>153</v>
      </c>
      <c r="DW243" s="270" t="s">
        <v>153</v>
      </c>
      <c r="DX243" s="271" t="s">
        <v>153</v>
      </c>
      <c r="DY243" s="272" t="s">
        <v>153</v>
      </c>
      <c r="DZ243" s="273" t="s">
        <v>191</v>
      </c>
      <c r="EA243" s="274">
        <v>44147</v>
      </c>
      <c r="EB243" s="275">
        <v>15000</v>
      </c>
      <c r="EC243" s="276">
        <v>39052</v>
      </c>
      <c r="ED243" s="277" t="s">
        <v>226</v>
      </c>
      <c r="EE243" s="279" t="str">
        <f>HYPERLINK("https://my.pitchbook.com?c=11593-09", "View company online")</f>
        <v>View company online</v>
      </c>
    </row>
    <row r="244" spans="1:135" x14ac:dyDescent="0.45">
      <c r="A244" s="10" t="s">
        <v>5366</v>
      </c>
      <c r="B244" s="11" t="s">
        <v>5367</v>
      </c>
      <c r="C244" s="12" t="s">
        <v>153</v>
      </c>
      <c r="D244" s="13" t="s">
        <v>153</v>
      </c>
      <c r="E244" s="14" t="s">
        <v>153</v>
      </c>
      <c r="F244" s="15" t="s">
        <v>5368</v>
      </c>
      <c r="G244" s="16" t="s">
        <v>5369</v>
      </c>
      <c r="H244" s="17" t="s">
        <v>5370</v>
      </c>
      <c r="I244" s="18" t="s">
        <v>5366</v>
      </c>
      <c r="J244" s="19" t="s">
        <v>5371</v>
      </c>
      <c r="K244" s="20" t="s">
        <v>559</v>
      </c>
      <c r="L244" s="21" t="s">
        <v>560</v>
      </c>
      <c r="M244" s="22" t="s">
        <v>5372</v>
      </c>
      <c r="N244" s="23" t="s">
        <v>5373</v>
      </c>
      <c r="O244" s="24" t="s">
        <v>261</v>
      </c>
      <c r="P244" s="25" t="s">
        <v>5374</v>
      </c>
      <c r="Q244" s="26" t="s">
        <v>162</v>
      </c>
      <c r="R244" s="27" t="s">
        <v>153</v>
      </c>
      <c r="S244" s="28" t="s">
        <v>163</v>
      </c>
      <c r="T244" s="29" t="s">
        <v>1392</v>
      </c>
      <c r="U244" s="30" t="s">
        <v>369</v>
      </c>
      <c r="V244" s="31" t="s">
        <v>5375</v>
      </c>
      <c r="W244" s="32">
        <v>3000</v>
      </c>
      <c r="X244" s="33" t="s">
        <v>5376</v>
      </c>
      <c r="Y244" s="34" t="s">
        <v>153</v>
      </c>
      <c r="Z244" s="35" t="s">
        <v>153</v>
      </c>
      <c r="AA244" s="36">
        <v>1954</v>
      </c>
      <c r="AB244" s="37" t="s">
        <v>153</v>
      </c>
      <c r="AC244" s="38" t="s">
        <v>153</v>
      </c>
      <c r="AD244" s="39" t="s">
        <v>153</v>
      </c>
      <c r="AE244" s="40" t="s">
        <v>153</v>
      </c>
      <c r="AF244" s="41" t="s">
        <v>153</v>
      </c>
      <c r="AG244" s="42" t="s">
        <v>153</v>
      </c>
      <c r="AH244" s="43" t="s">
        <v>153</v>
      </c>
      <c r="AI244" s="44" t="s">
        <v>153</v>
      </c>
      <c r="AJ244" s="45" t="s">
        <v>153</v>
      </c>
      <c r="AK244" s="46" t="s">
        <v>153</v>
      </c>
      <c r="AL244" s="47" t="s">
        <v>153</v>
      </c>
      <c r="AM244" s="48" t="s">
        <v>153</v>
      </c>
      <c r="AN244" s="49" t="s">
        <v>5377</v>
      </c>
      <c r="AO244" s="50" t="s">
        <v>5378</v>
      </c>
      <c r="AP244" s="51" t="s">
        <v>5379</v>
      </c>
      <c r="AQ244" s="52" t="s">
        <v>5380</v>
      </c>
      <c r="AR244" s="53" t="s">
        <v>153</v>
      </c>
      <c r="AS244" s="54" t="s">
        <v>5381</v>
      </c>
      <c r="AT244" s="55" t="s">
        <v>3419</v>
      </c>
      <c r="AU244" s="56" t="s">
        <v>5382</v>
      </c>
      <c r="AV244" s="57" t="s">
        <v>5383</v>
      </c>
      <c r="AW244" s="58" t="s">
        <v>3422</v>
      </c>
      <c r="AX244" s="59" t="s">
        <v>3423</v>
      </c>
      <c r="AY244" s="60" t="s">
        <v>5384</v>
      </c>
      <c r="AZ244" s="61" t="s">
        <v>1358</v>
      </c>
      <c r="BA244" s="62" t="s">
        <v>5381</v>
      </c>
      <c r="BB244" s="63" t="s">
        <v>153</v>
      </c>
      <c r="BC244" s="64" t="s">
        <v>153</v>
      </c>
      <c r="BD244" s="65" t="s">
        <v>216</v>
      </c>
      <c r="BE244" s="66" t="s">
        <v>217</v>
      </c>
      <c r="BF244" s="67" t="s">
        <v>5385</v>
      </c>
      <c r="BG244" s="68" t="s">
        <v>5386</v>
      </c>
      <c r="BH244" s="69">
        <v>1</v>
      </c>
      <c r="BI244" s="70" t="s">
        <v>153</v>
      </c>
      <c r="BJ244" s="71" t="s">
        <v>5387</v>
      </c>
      <c r="BK244" s="72" t="s">
        <v>153</v>
      </c>
      <c r="BL244" s="73" t="s">
        <v>5388</v>
      </c>
      <c r="BM244" s="74" t="s">
        <v>153</v>
      </c>
      <c r="BN244" s="75" t="s">
        <v>153</v>
      </c>
      <c r="BO244" s="76" t="s">
        <v>5389</v>
      </c>
      <c r="BP244" s="77" t="s">
        <v>5390</v>
      </c>
      <c r="BQ244" s="78">
        <v>35979</v>
      </c>
      <c r="BR244" s="79" t="s">
        <v>153</v>
      </c>
      <c r="BS244" s="80" t="s">
        <v>153</v>
      </c>
      <c r="BT244" s="81" t="s">
        <v>153</v>
      </c>
      <c r="BU244" s="82" t="s">
        <v>153</v>
      </c>
      <c r="BV244" s="83" t="s">
        <v>251</v>
      </c>
      <c r="BW244" s="84" t="s">
        <v>524</v>
      </c>
      <c r="BX244" s="85" t="s">
        <v>153</v>
      </c>
      <c r="BY244" s="86" t="s">
        <v>252</v>
      </c>
      <c r="BZ244" s="87" t="s">
        <v>153</v>
      </c>
      <c r="CA244" s="88" t="s">
        <v>190</v>
      </c>
      <c r="CB244" s="89">
        <v>43841</v>
      </c>
      <c r="CC244" s="90">
        <v>15000</v>
      </c>
      <c r="CD244" s="91" t="s">
        <v>187</v>
      </c>
      <c r="CE244" s="92">
        <v>15000</v>
      </c>
      <c r="CF244" s="93" t="s">
        <v>187</v>
      </c>
      <c r="CG244" s="94" t="s">
        <v>226</v>
      </c>
      <c r="CH244" s="95" t="s">
        <v>153</v>
      </c>
      <c r="CI244" s="96" t="s">
        <v>153</v>
      </c>
      <c r="CJ244" s="97" t="s">
        <v>225</v>
      </c>
      <c r="CK244" s="98">
        <v>43841</v>
      </c>
      <c r="CL244" s="99" t="s">
        <v>153</v>
      </c>
      <c r="CM244" s="100" t="s">
        <v>153</v>
      </c>
      <c r="CN244" s="101" t="s">
        <v>394</v>
      </c>
      <c r="CO244" s="102">
        <v>-0.05</v>
      </c>
      <c r="CP244" s="103">
        <v>9</v>
      </c>
      <c r="CQ244" s="104">
        <v>0.01</v>
      </c>
      <c r="CR244" s="105">
        <v>14.43</v>
      </c>
      <c r="CS244" s="106">
        <v>-0.16</v>
      </c>
      <c r="CT244" s="107">
        <v>7</v>
      </c>
      <c r="CU244" s="108">
        <v>7.0000000000000007E-2</v>
      </c>
      <c r="CV244" s="109">
        <v>83</v>
      </c>
      <c r="CW244" s="110">
        <v>-0.79</v>
      </c>
      <c r="CX244" s="111">
        <v>17</v>
      </c>
      <c r="CY244" s="112">
        <v>0.47</v>
      </c>
      <c r="CZ244" s="113">
        <v>94</v>
      </c>
      <c r="DA244" s="114">
        <v>7.0000000000000007E-2</v>
      </c>
      <c r="DB244" s="115">
        <v>83</v>
      </c>
      <c r="DC244" s="116">
        <v>18.37</v>
      </c>
      <c r="DD244" s="117">
        <v>95</v>
      </c>
      <c r="DE244" s="118">
        <v>0.09</v>
      </c>
      <c r="DF244" s="119">
        <v>0.51</v>
      </c>
      <c r="DG244" s="120">
        <v>27.03</v>
      </c>
      <c r="DH244" s="121">
        <v>97</v>
      </c>
      <c r="DI244" s="122">
        <v>9.6999999999999993</v>
      </c>
      <c r="DJ244" s="123">
        <v>86</v>
      </c>
      <c r="DK244" s="124">
        <v>6</v>
      </c>
      <c r="DL244" s="125">
        <v>80</v>
      </c>
      <c r="DM244" s="126">
        <v>48.06</v>
      </c>
      <c r="DN244" s="127">
        <v>98</v>
      </c>
      <c r="DO244" s="128">
        <v>9.6999999999999993</v>
      </c>
      <c r="DP244" s="129">
        <v>86</v>
      </c>
      <c r="DQ244" s="130">
        <v>3574</v>
      </c>
      <c r="DR244" s="131">
        <v>-62</v>
      </c>
      <c r="DS244" s="132">
        <v>-1.71</v>
      </c>
      <c r="DT244" s="133">
        <v>767</v>
      </c>
      <c r="DU244" s="134">
        <v>5</v>
      </c>
      <c r="DV244" s="135">
        <v>0.66</v>
      </c>
      <c r="DW244" s="136">
        <v>3047</v>
      </c>
      <c r="DX244" s="137">
        <v>2</v>
      </c>
      <c r="DY244" s="138">
        <v>7.0000000000000007E-2</v>
      </c>
      <c r="DZ244" s="139" t="s">
        <v>191</v>
      </c>
      <c r="EA244" s="140">
        <v>44384</v>
      </c>
      <c r="EB244" s="141">
        <v>15000</v>
      </c>
      <c r="EC244" s="142">
        <v>43841</v>
      </c>
      <c r="ED244" s="143" t="s">
        <v>226</v>
      </c>
      <c r="EE244" s="278" t="str">
        <f>HYPERLINK("https://my.pitchbook.com?c=40392-01", "View company online")</f>
        <v>View company online</v>
      </c>
    </row>
    <row r="245" spans="1:135" x14ac:dyDescent="0.45">
      <c r="A245" s="144" t="s">
        <v>5391</v>
      </c>
      <c r="B245" s="145" t="s">
        <v>5392</v>
      </c>
      <c r="C245" s="146" t="s">
        <v>153</v>
      </c>
      <c r="D245" s="147" t="s">
        <v>153</v>
      </c>
      <c r="E245" s="148" t="s">
        <v>153</v>
      </c>
      <c r="F245" s="149" t="s">
        <v>153</v>
      </c>
      <c r="G245" s="150" t="s">
        <v>153</v>
      </c>
      <c r="H245" s="151" t="s">
        <v>153</v>
      </c>
      <c r="I245" s="152" t="s">
        <v>5391</v>
      </c>
      <c r="J245" s="153" t="s">
        <v>5393</v>
      </c>
      <c r="K245" s="154" t="s">
        <v>882</v>
      </c>
      <c r="L245" s="155" t="s">
        <v>883</v>
      </c>
      <c r="M245" s="156" t="s">
        <v>1615</v>
      </c>
      <c r="N245" s="157" t="s">
        <v>1924</v>
      </c>
      <c r="O245" s="158" t="s">
        <v>5394</v>
      </c>
      <c r="P245" s="159" t="s">
        <v>5395</v>
      </c>
      <c r="Q245" s="160" t="s">
        <v>204</v>
      </c>
      <c r="R245" s="161">
        <v>15000</v>
      </c>
      <c r="S245" s="162" t="s">
        <v>163</v>
      </c>
      <c r="T245" s="163" t="s">
        <v>1392</v>
      </c>
      <c r="U245" s="164" t="s">
        <v>206</v>
      </c>
      <c r="V245" s="165" t="s">
        <v>5396</v>
      </c>
      <c r="W245" s="166" t="s">
        <v>153</v>
      </c>
      <c r="X245" s="167" t="s">
        <v>153</v>
      </c>
      <c r="Y245" s="168" t="s">
        <v>153</v>
      </c>
      <c r="Z245" s="169" t="s">
        <v>153</v>
      </c>
      <c r="AA245" s="170">
        <v>2016</v>
      </c>
      <c r="AB245" s="171" t="s">
        <v>153</v>
      </c>
      <c r="AC245" s="172" t="s">
        <v>153</v>
      </c>
      <c r="AD245" s="173" t="s">
        <v>153</v>
      </c>
      <c r="AE245" s="174" t="s">
        <v>153</v>
      </c>
      <c r="AF245" s="175" t="s">
        <v>153</v>
      </c>
      <c r="AG245" s="176" t="s">
        <v>153</v>
      </c>
      <c r="AH245" s="177" t="s">
        <v>153</v>
      </c>
      <c r="AI245" s="178" t="s">
        <v>153</v>
      </c>
      <c r="AJ245" s="179" t="s">
        <v>153</v>
      </c>
      <c r="AK245" s="180" t="s">
        <v>153</v>
      </c>
      <c r="AL245" s="181" t="s">
        <v>153</v>
      </c>
      <c r="AM245" s="182" t="s">
        <v>153</v>
      </c>
      <c r="AN245" s="183" t="s">
        <v>153</v>
      </c>
      <c r="AO245" s="184" t="s">
        <v>5397</v>
      </c>
      <c r="AP245" s="185" t="s">
        <v>5398</v>
      </c>
      <c r="AQ245" s="186" t="s">
        <v>5399</v>
      </c>
      <c r="AR245" s="187" t="s">
        <v>5400</v>
      </c>
      <c r="AS245" s="188" t="s">
        <v>153</v>
      </c>
      <c r="AT245" s="189" t="s">
        <v>5401</v>
      </c>
      <c r="AU245" s="190" t="s">
        <v>5402</v>
      </c>
      <c r="AV245" s="191" t="s">
        <v>5403</v>
      </c>
      <c r="AW245" s="192" t="s">
        <v>5404</v>
      </c>
      <c r="AX245" s="193" t="s">
        <v>5405</v>
      </c>
      <c r="AY245" s="194" t="s">
        <v>5406</v>
      </c>
      <c r="AZ245" s="195" t="s">
        <v>3046</v>
      </c>
      <c r="BA245" s="196" t="s">
        <v>153</v>
      </c>
      <c r="BB245" s="197" t="s">
        <v>153</v>
      </c>
      <c r="BC245" s="198" t="s">
        <v>153</v>
      </c>
      <c r="BD245" s="199" t="s">
        <v>1406</v>
      </c>
      <c r="BE245" s="200" t="s">
        <v>3047</v>
      </c>
      <c r="BF245" s="201" t="s">
        <v>5407</v>
      </c>
      <c r="BG245" s="202" t="s">
        <v>5408</v>
      </c>
      <c r="BH245" s="203">
        <v>1</v>
      </c>
      <c r="BI245" s="204" t="s">
        <v>153</v>
      </c>
      <c r="BJ245" s="205" t="s">
        <v>153</v>
      </c>
      <c r="BK245" s="206" t="s">
        <v>153</v>
      </c>
      <c r="BL245" s="207" t="s">
        <v>153</v>
      </c>
      <c r="BM245" s="208" t="s">
        <v>153</v>
      </c>
      <c r="BN245" s="209" t="s">
        <v>153</v>
      </c>
      <c r="BO245" s="210" t="s">
        <v>153</v>
      </c>
      <c r="BP245" s="211" t="s">
        <v>153</v>
      </c>
      <c r="BQ245" s="212">
        <v>43599</v>
      </c>
      <c r="BR245" s="213">
        <v>15000</v>
      </c>
      <c r="BS245" s="214" t="s">
        <v>186</v>
      </c>
      <c r="BT245" s="215">
        <v>40540.54</v>
      </c>
      <c r="BU245" s="216" t="s">
        <v>187</v>
      </c>
      <c r="BV245" s="217" t="s">
        <v>225</v>
      </c>
      <c r="BW245" s="218" t="s">
        <v>225</v>
      </c>
      <c r="BX245" s="219" t="s">
        <v>153</v>
      </c>
      <c r="BY245" s="220" t="s">
        <v>225</v>
      </c>
      <c r="BZ245" s="221" t="s">
        <v>153</v>
      </c>
      <c r="CA245" s="222" t="s">
        <v>190</v>
      </c>
      <c r="CB245" s="223">
        <v>43599</v>
      </c>
      <c r="CC245" s="224">
        <v>15000</v>
      </c>
      <c r="CD245" s="225" t="s">
        <v>186</v>
      </c>
      <c r="CE245" s="226">
        <v>40540.54</v>
      </c>
      <c r="CF245" s="227" t="s">
        <v>187</v>
      </c>
      <c r="CG245" s="228" t="s">
        <v>225</v>
      </c>
      <c r="CH245" s="229" t="s">
        <v>225</v>
      </c>
      <c r="CI245" s="230" t="s">
        <v>153</v>
      </c>
      <c r="CJ245" s="231" t="s">
        <v>225</v>
      </c>
      <c r="CK245" s="232">
        <v>43599</v>
      </c>
      <c r="CL245" s="233" t="s">
        <v>153</v>
      </c>
      <c r="CM245" s="234" t="s">
        <v>153</v>
      </c>
      <c r="CN245" s="235" t="s">
        <v>190</v>
      </c>
      <c r="CO245" s="236">
        <v>0</v>
      </c>
      <c r="CP245" s="237">
        <v>11</v>
      </c>
      <c r="CQ245" s="238">
        <v>0</v>
      </c>
      <c r="CR245" s="239">
        <v>0</v>
      </c>
      <c r="CS245" s="240">
        <v>0</v>
      </c>
      <c r="CT245" s="241">
        <v>8</v>
      </c>
      <c r="CU245" s="242">
        <v>0</v>
      </c>
      <c r="CV245" s="243">
        <v>41</v>
      </c>
      <c r="CW245" s="244" t="s">
        <v>153</v>
      </c>
      <c r="CX245" s="245" t="s">
        <v>153</v>
      </c>
      <c r="CY245" s="246">
        <v>0</v>
      </c>
      <c r="CZ245" s="247">
        <v>5</v>
      </c>
      <c r="DA245" s="248">
        <v>0</v>
      </c>
      <c r="DB245" s="249">
        <v>41</v>
      </c>
      <c r="DC245" s="250">
        <v>7.0000000000000007E-2</v>
      </c>
      <c r="DD245" s="251">
        <v>7</v>
      </c>
      <c r="DE245" s="252">
        <v>0</v>
      </c>
      <c r="DF245" s="253">
        <v>0.06</v>
      </c>
      <c r="DG245" s="254">
        <v>0.13</v>
      </c>
      <c r="DH245" s="255">
        <v>8</v>
      </c>
      <c r="DI245" s="256">
        <v>0.01</v>
      </c>
      <c r="DJ245" s="257">
        <v>1</v>
      </c>
      <c r="DK245" s="258" t="s">
        <v>153</v>
      </c>
      <c r="DL245" s="259" t="s">
        <v>153</v>
      </c>
      <c r="DM245" s="260">
        <v>0.13</v>
      </c>
      <c r="DN245" s="261">
        <v>7</v>
      </c>
      <c r="DO245" s="262">
        <v>0.01</v>
      </c>
      <c r="DP245" s="263">
        <v>1</v>
      </c>
      <c r="DQ245" s="264" t="s">
        <v>153</v>
      </c>
      <c r="DR245" s="265" t="s">
        <v>153</v>
      </c>
      <c r="DS245" s="266" t="s">
        <v>153</v>
      </c>
      <c r="DT245" s="267">
        <v>2</v>
      </c>
      <c r="DU245" s="268">
        <v>0</v>
      </c>
      <c r="DV245" s="269">
        <v>0</v>
      </c>
      <c r="DW245" s="270">
        <v>4</v>
      </c>
      <c r="DX245" s="271">
        <v>0</v>
      </c>
      <c r="DY245" s="272">
        <v>0</v>
      </c>
      <c r="DZ245" s="273" t="s">
        <v>191</v>
      </c>
      <c r="EA245" s="274">
        <v>44182</v>
      </c>
      <c r="EB245" s="275">
        <v>40540.54</v>
      </c>
      <c r="EC245" s="276">
        <v>43599</v>
      </c>
      <c r="ED245" s="277" t="s">
        <v>225</v>
      </c>
      <c r="EE245" s="279" t="str">
        <f>HYPERLINK("https://my.pitchbook.com?c=267850-45", "View company online")</f>
        <v>View company online</v>
      </c>
    </row>
    <row r="246" spans="1:135" x14ac:dyDescent="0.45">
      <c r="A246" s="10" t="s">
        <v>5409</v>
      </c>
      <c r="B246" s="11" t="s">
        <v>5410</v>
      </c>
      <c r="C246" s="12" t="s">
        <v>153</v>
      </c>
      <c r="D246" s="13" t="s">
        <v>153</v>
      </c>
      <c r="E246" s="14" t="s">
        <v>153</v>
      </c>
      <c r="F246" s="15" t="s">
        <v>5411</v>
      </c>
      <c r="G246" s="16" t="s">
        <v>5412</v>
      </c>
      <c r="H246" s="17" t="s">
        <v>153</v>
      </c>
      <c r="I246" s="18" t="s">
        <v>5409</v>
      </c>
      <c r="J246" s="19" t="s">
        <v>5413</v>
      </c>
      <c r="K246" s="20" t="s">
        <v>157</v>
      </c>
      <c r="L246" s="21" t="s">
        <v>817</v>
      </c>
      <c r="M246" s="22" t="s">
        <v>863</v>
      </c>
      <c r="N246" s="23" t="s">
        <v>2494</v>
      </c>
      <c r="O246" s="24" t="s">
        <v>261</v>
      </c>
      <c r="P246" s="25" t="s">
        <v>5414</v>
      </c>
      <c r="Q246" s="26" t="s">
        <v>204</v>
      </c>
      <c r="R246" s="27" t="s">
        <v>153</v>
      </c>
      <c r="S246" s="28" t="s">
        <v>163</v>
      </c>
      <c r="T246" s="29" t="s">
        <v>205</v>
      </c>
      <c r="U246" s="30" t="s">
        <v>206</v>
      </c>
      <c r="V246" s="31" t="s">
        <v>5415</v>
      </c>
      <c r="W246" s="32" t="s">
        <v>153</v>
      </c>
      <c r="X246" s="33" t="s">
        <v>153</v>
      </c>
      <c r="Y246" s="34" t="s">
        <v>153</v>
      </c>
      <c r="Z246" s="35" t="s">
        <v>153</v>
      </c>
      <c r="AA246" s="36">
        <v>1898</v>
      </c>
      <c r="AB246" s="37" t="s">
        <v>153</v>
      </c>
      <c r="AC246" s="38" t="s">
        <v>153</v>
      </c>
      <c r="AD246" s="39" t="s">
        <v>153</v>
      </c>
      <c r="AE246" s="40" t="s">
        <v>153</v>
      </c>
      <c r="AF246" s="41" t="s">
        <v>153</v>
      </c>
      <c r="AG246" s="42" t="s">
        <v>153</v>
      </c>
      <c r="AH246" s="43" t="s">
        <v>153</v>
      </c>
      <c r="AI246" s="44" t="s">
        <v>153</v>
      </c>
      <c r="AJ246" s="45" t="s">
        <v>153</v>
      </c>
      <c r="AK246" s="46" t="s">
        <v>153</v>
      </c>
      <c r="AL246" s="47" t="s">
        <v>153</v>
      </c>
      <c r="AM246" s="48" t="s">
        <v>153</v>
      </c>
      <c r="AN246" s="49" t="s">
        <v>153</v>
      </c>
      <c r="AO246" s="50" t="s">
        <v>153</v>
      </c>
      <c r="AP246" s="51" t="s">
        <v>153</v>
      </c>
      <c r="AQ246" s="52" t="s">
        <v>153</v>
      </c>
      <c r="AR246" s="53" t="s">
        <v>153</v>
      </c>
      <c r="AS246" s="54" t="s">
        <v>153</v>
      </c>
      <c r="AT246" s="55" t="s">
        <v>5416</v>
      </c>
      <c r="AU246" s="56" t="s">
        <v>5417</v>
      </c>
      <c r="AV246" s="57" t="s">
        <v>153</v>
      </c>
      <c r="AW246" s="58" t="s">
        <v>5418</v>
      </c>
      <c r="AX246" s="59" t="s">
        <v>273</v>
      </c>
      <c r="AY246" s="60" t="s">
        <v>5419</v>
      </c>
      <c r="AZ246" s="61" t="s">
        <v>215</v>
      </c>
      <c r="BA246" s="62" t="s">
        <v>5420</v>
      </c>
      <c r="BB246" s="63" t="s">
        <v>153</v>
      </c>
      <c r="BC246" s="64" t="s">
        <v>153</v>
      </c>
      <c r="BD246" s="65" t="s">
        <v>216</v>
      </c>
      <c r="BE246" s="66" t="s">
        <v>217</v>
      </c>
      <c r="BF246" s="67" t="s">
        <v>5421</v>
      </c>
      <c r="BG246" s="68" t="s">
        <v>153</v>
      </c>
      <c r="BH246" s="69" t="s">
        <v>153</v>
      </c>
      <c r="BI246" s="70" t="s">
        <v>5422</v>
      </c>
      <c r="BJ246" s="71" t="s">
        <v>153</v>
      </c>
      <c r="BK246" s="72" t="s">
        <v>153</v>
      </c>
      <c r="BL246" s="73" t="s">
        <v>153</v>
      </c>
      <c r="BM246" s="74" t="s">
        <v>153</v>
      </c>
      <c r="BN246" s="75" t="s">
        <v>153</v>
      </c>
      <c r="BO246" s="76" t="s">
        <v>5423</v>
      </c>
      <c r="BP246" s="77" t="s">
        <v>153</v>
      </c>
      <c r="BQ246" s="78">
        <v>36703</v>
      </c>
      <c r="BR246" s="79">
        <v>14900</v>
      </c>
      <c r="BS246" s="80" t="s">
        <v>186</v>
      </c>
      <c r="BT246" s="81">
        <v>14900</v>
      </c>
      <c r="BU246" s="82" t="s">
        <v>186</v>
      </c>
      <c r="BV246" s="83" t="s">
        <v>226</v>
      </c>
      <c r="BW246" s="84" t="s">
        <v>153</v>
      </c>
      <c r="BX246" s="85" t="s">
        <v>153</v>
      </c>
      <c r="BY246" s="86" t="s">
        <v>225</v>
      </c>
      <c r="BZ246" s="87" t="s">
        <v>153</v>
      </c>
      <c r="CA246" s="88" t="s">
        <v>190</v>
      </c>
      <c r="CB246" s="89">
        <v>36703</v>
      </c>
      <c r="CC246" s="90">
        <v>14900</v>
      </c>
      <c r="CD246" s="91" t="s">
        <v>186</v>
      </c>
      <c r="CE246" s="92">
        <v>14900</v>
      </c>
      <c r="CF246" s="93" t="s">
        <v>186</v>
      </c>
      <c r="CG246" s="94" t="s">
        <v>226</v>
      </c>
      <c r="CH246" s="95" t="s">
        <v>153</v>
      </c>
      <c r="CI246" s="96" t="s">
        <v>153</v>
      </c>
      <c r="CJ246" s="97" t="s">
        <v>225</v>
      </c>
      <c r="CK246" s="98">
        <v>36703</v>
      </c>
      <c r="CL246" s="99" t="s">
        <v>153</v>
      </c>
      <c r="CM246" s="100" t="s">
        <v>153</v>
      </c>
      <c r="CN246" s="101" t="s">
        <v>190</v>
      </c>
      <c r="CO246" s="102" t="s">
        <v>153</v>
      </c>
      <c r="CP246" s="103" t="s">
        <v>153</v>
      </c>
      <c r="CQ246" s="104" t="s">
        <v>153</v>
      </c>
      <c r="CR246" s="105" t="s">
        <v>153</v>
      </c>
      <c r="CS246" s="106" t="s">
        <v>153</v>
      </c>
      <c r="CT246" s="107" t="s">
        <v>153</v>
      </c>
      <c r="CU246" s="108" t="s">
        <v>153</v>
      </c>
      <c r="CV246" s="109" t="s">
        <v>153</v>
      </c>
      <c r="CW246" s="110" t="s">
        <v>153</v>
      </c>
      <c r="CX246" s="111" t="s">
        <v>153</v>
      </c>
      <c r="CY246" s="112" t="s">
        <v>153</v>
      </c>
      <c r="CZ246" s="113" t="s">
        <v>153</v>
      </c>
      <c r="DA246" s="114" t="s">
        <v>153</v>
      </c>
      <c r="DB246" s="115" t="s">
        <v>153</v>
      </c>
      <c r="DC246" s="116" t="s">
        <v>153</v>
      </c>
      <c r="DD246" s="117" t="s">
        <v>153</v>
      </c>
      <c r="DE246" s="118" t="s">
        <v>153</v>
      </c>
      <c r="DF246" s="119" t="s">
        <v>153</v>
      </c>
      <c r="DG246" s="120" t="s">
        <v>153</v>
      </c>
      <c r="DH246" s="121" t="s">
        <v>153</v>
      </c>
      <c r="DI246" s="122" t="s">
        <v>153</v>
      </c>
      <c r="DJ246" s="123" t="s">
        <v>153</v>
      </c>
      <c r="DK246" s="124" t="s">
        <v>153</v>
      </c>
      <c r="DL246" s="125" t="s">
        <v>153</v>
      </c>
      <c r="DM246" s="126" t="s">
        <v>153</v>
      </c>
      <c r="DN246" s="127" t="s">
        <v>153</v>
      </c>
      <c r="DO246" s="128" t="s">
        <v>153</v>
      </c>
      <c r="DP246" s="129" t="s">
        <v>153</v>
      </c>
      <c r="DQ246" s="130" t="s">
        <v>153</v>
      </c>
      <c r="DR246" s="131" t="s">
        <v>153</v>
      </c>
      <c r="DS246" s="132" t="s">
        <v>153</v>
      </c>
      <c r="DT246" s="133" t="s">
        <v>153</v>
      </c>
      <c r="DU246" s="134" t="s">
        <v>153</v>
      </c>
      <c r="DV246" s="135" t="s">
        <v>153</v>
      </c>
      <c r="DW246" s="136" t="s">
        <v>153</v>
      </c>
      <c r="DX246" s="137" t="s">
        <v>153</v>
      </c>
      <c r="DY246" s="138" t="s">
        <v>153</v>
      </c>
      <c r="DZ246" s="139" t="s">
        <v>191</v>
      </c>
      <c r="EA246" s="140">
        <v>44281</v>
      </c>
      <c r="EB246" s="141">
        <v>14900</v>
      </c>
      <c r="EC246" s="142">
        <v>36703</v>
      </c>
      <c r="ED246" s="143" t="s">
        <v>226</v>
      </c>
      <c r="EE246" s="278" t="str">
        <f>HYPERLINK("https://my.pitchbook.com?c=227447-92", "View company online")</f>
        <v>View company online</v>
      </c>
    </row>
    <row r="247" spans="1:135" x14ac:dyDescent="0.45">
      <c r="A247" s="144" t="s">
        <v>5424</v>
      </c>
      <c r="B247" s="145" t="s">
        <v>5425</v>
      </c>
      <c r="C247" s="146" t="s">
        <v>153</v>
      </c>
      <c r="D247" s="147" t="s">
        <v>153</v>
      </c>
      <c r="E247" s="148" t="s">
        <v>153</v>
      </c>
      <c r="F247" s="149" t="s">
        <v>5426</v>
      </c>
      <c r="G247" s="150" t="s">
        <v>5427</v>
      </c>
      <c r="H247" s="151" t="s">
        <v>5428</v>
      </c>
      <c r="I247" s="152" t="s">
        <v>5424</v>
      </c>
      <c r="J247" s="153" t="s">
        <v>5429</v>
      </c>
      <c r="K247" s="154" t="s">
        <v>232</v>
      </c>
      <c r="L247" s="155" t="s">
        <v>233</v>
      </c>
      <c r="M247" s="156" t="s">
        <v>234</v>
      </c>
      <c r="N247" s="157" t="s">
        <v>235</v>
      </c>
      <c r="O247" s="158" t="s">
        <v>153</v>
      </c>
      <c r="P247" s="159" t="s">
        <v>5430</v>
      </c>
      <c r="Q247" s="160" t="s">
        <v>204</v>
      </c>
      <c r="R247" s="161" t="s">
        <v>153</v>
      </c>
      <c r="S247" s="162" t="s">
        <v>163</v>
      </c>
      <c r="T247" s="163" t="s">
        <v>164</v>
      </c>
      <c r="U247" s="164" t="s">
        <v>237</v>
      </c>
      <c r="V247" s="165" t="s">
        <v>5431</v>
      </c>
      <c r="W247" s="166">
        <v>1322</v>
      </c>
      <c r="X247" s="167" t="s">
        <v>5432</v>
      </c>
      <c r="Y247" s="168" t="s">
        <v>153</v>
      </c>
      <c r="Z247" s="169" t="s">
        <v>153</v>
      </c>
      <c r="AA247" s="170">
        <v>1979</v>
      </c>
      <c r="AB247" s="171" t="s">
        <v>5433</v>
      </c>
      <c r="AC247" s="172" t="s">
        <v>153</v>
      </c>
      <c r="AD247" s="173" t="s">
        <v>153</v>
      </c>
      <c r="AE247" s="174" t="s">
        <v>153</v>
      </c>
      <c r="AF247" s="175" t="s">
        <v>153</v>
      </c>
      <c r="AG247" s="176" t="s">
        <v>153</v>
      </c>
      <c r="AH247" s="177" t="s">
        <v>153</v>
      </c>
      <c r="AI247" s="178" t="s">
        <v>153</v>
      </c>
      <c r="AJ247" s="179" t="s">
        <v>153</v>
      </c>
      <c r="AK247" s="180" t="s">
        <v>153</v>
      </c>
      <c r="AL247" s="181" t="s">
        <v>153</v>
      </c>
      <c r="AM247" s="182" t="s">
        <v>153</v>
      </c>
      <c r="AN247" s="183" t="s">
        <v>2112</v>
      </c>
      <c r="AO247" s="184" t="s">
        <v>5434</v>
      </c>
      <c r="AP247" s="185" t="s">
        <v>5435</v>
      </c>
      <c r="AQ247" s="186" t="s">
        <v>512</v>
      </c>
      <c r="AR247" s="187" t="s">
        <v>5436</v>
      </c>
      <c r="AS247" s="188" t="s">
        <v>153</v>
      </c>
      <c r="AT247" s="189" t="s">
        <v>244</v>
      </c>
      <c r="AU247" s="190" t="s">
        <v>5437</v>
      </c>
      <c r="AV247" s="191" t="s">
        <v>153</v>
      </c>
      <c r="AW247" s="192" t="s">
        <v>246</v>
      </c>
      <c r="AX247" s="193" t="s">
        <v>153</v>
      </c>
      <c r="AY247" s="194" t="s">
        <v>153</v>
      </c>
      <c r="AZ247" s="195" t="s">
        <v>247</v>
      </c>
      <c r="BA247" s="196" t="s">
        <v>153</v>
      </c>
      <c r="BB247" s="197" t="s">
        <v>153</v>
      </c>
      <c r="BC247" s="198" t="s">
        <v>153</v>
      </c>
      <c r="BD247" s="199" t="s">
        <v>248</v>
      </c>
      <c r="BE247" s="200" t="s">
        <v>248</v>
      </c>
      <c r="BF247" s="201" t="s">
        <v>5438</v>
      </c>
      <c r="BG247" s="202" t="s">
        <v>153</v>
      </c>
      <c r="BH247" s="203" t="s">
        <v>153</v>
      </c>
      <c r="BI247" s="204" t="s">
        <v>5433</v>
      </c>
      <c r="BJ247" s="205" t="s">
        <v>153</v>
      </c>
      <c r="BK247" s="206" t="s">
        <v>153</v>
      </c>
      <c r="BL247" s="207" t="s">
        <v>153</v>
      </c>
      <c r="BM247" s="208" t="s">
        <v>153</v>
      </c>
      <c r="BN247" s="209" t="s">
        <v>153</v>
      </c>
      <c r="BO247" s="210" t="s">
        <v>5439</v>
      </c>
      <c r="BP247" s="211" t="s">
        <v>5440</v>
      </c>
      <c r="BQ247" s="212">
        <v>37429</v>
      </c>
      <c r="BR247" s="213" t="s">
        <v>153</v>
      </c>
      <c r="BS247" s="214" t="s">
        <v>153</v>
      </c>
      <c r="BT247" s="215" t="s">
        <v>153</v>
      </c>
      <c r="BU247" s="216" t="s">
        <v>153</v>
      </c>
      <c r="BV247" s="217" t="s">
        <v>251</v>
      </c>
      <c r="BW247" s="218" t="s">
        <v>153</v>
      </c>
      <c r="BX247" s="219" t="s">
        <v>153</v>
      </c>
      <c r="BY247" s="220" t="s">
        <v>252</v>
      </c>
      <c r="BZ247" s="221" t="s">
        <v>153</v>
      </c>
      <c r="CA247" s="222" t="s">
        <v>190</v>
      </c>
      <c r="CB247" s="223">
        <v>42826</v>
      </c>
      <c r="CC247" s="224">
        <v>14844.85</v>
      </c>
      <c r="CD247" s="225" t="s">
        <v>186</v>
      </c>
      <c r="CE247" s="226">
        <v>14844.85</v>
      </c>
      <c r="CF247" s="227" t="s">
        <v>186</v>
      </c>
      <c r="CG247" s="228" t="s">
        <v>226</v>
      </c>
      <c r="CH247" s="229" t="s">
        <v>153</v>
      </c>
      <c r="CI247" s="230" t="s">
        <v>153</v>
      </c>
      <c r="CJ247" s="231" t="s">
        <v>225</v>
      </c>
      <c r="CK247" s="232">
        <v>42826</v>
      </c>
      <c r="CL247" s="233" t="s">
        <v>153</v>
      </c>
      <c r="CM247" s="234" t="s">
        <v>153</v>
      </c>
      <c r="CN247" s="235" t="s">
        <v>190</v>
      </c>
      <c r="CO247" s="236">
        <v>-0.93</v>
      </c>
      <c r="CP247" s="237">
        <v>3</v>
      </c>
      <c r="CQ247" s="238">
        <v>0.2</v>
      </c>
      <c r="CR247" s="239">
        <v>18.07</v>
      </c>
      <c r="CS247" s="240">
        <v>-0.93</v>
      </c>
      <c r="CT247" s="241">
        <v>4</v>
      </c>
      <c r="CU247" s="242" t="s">
        <v>153</v>
      </c>
      <c r="CV247" s="243" t="s">
        <v>153</v>
      </c>
      <c r="CW247" s="244">
        <v>-0.69</v>
      </c>
      <c r="CX247" s="245">
        <v>18</v>
      </c>
      <c r="CY247" s="246">
        <v>-1.1599999999999999</v>
      </c>
      <c r="CZ247" s="247">
        <v>1</v>
      </c>
      <c r="DA247" s="248" t="s">
        <v>153</v>
      </c>
      <c r="DB247" s="249" t="s">
        <v>153</v>
      </c>
      <c r="DC247" s="250">
        <v>79.63</v>
      </c>
      <c r="DD247" s="251">
        <v>99</v>
      </c>
      <c r="DE247" s="252">
        <v>0.06</v>
      </c>
      <c r="DF247" s="253">
        <v>0.08</v>
      </c>
      <c r="DG247" s="254">
        <v>79.63</v>
      </c>
      <c r="DH247" s="255">
        <v>99</v>
      </c>
      <c r="DI247" s="256" t="s">
        <v>153</v>
      </c>
      <c r="DJ247" s="257" t="s">
        <v>153</v>
      </c>
      <c r="DK247" s="258">
        <v>103.14</v>
      </c>
      <c r="DL247" s="259">
        <v>97</v>
      </c>
      <c r="DM247" s="260">
        <v>56.13</v>
      </c>
      <c r="DN247" s="261">
        <v>98</v>
      </c>
      <c r="DO247" s="262" t="s">
        <v>153</v>
      </c>
      <c r="DP247" s="263" t="s">
        <v>153</v>
      </c>
      <c r="DQ247" s="264">
        <v>61094</v>
      </c>
      <c r="DR247" s="265">
        <v>248</v>
      </c>
      <c r="DS247" s="266">
        <v>0.41</v>
      </c>
      <c r="DT247" s="267">
        <v>897</v>
      </c>
      <c r="DU247" s="268">
        <v>2</v>
      </c>
      <c r="DV247" s="269">
        <v>0.22</v>
      </c>
      <c r="DW247" s="270" t="s">
        <v>153</v>
      </c>
      <c r="DX247" s="271" t="s">
        <v>153</v>
      </c>
      <c r="DY247" s="272" t="s">
        <v>153</v>
      </c>
      <c r="DZ247" s="273" t="s">
        <v>191</v>
      </c>
      <c r="EA247" s="274">
        <v>44368</v>
      </c>
      <c r="EB247" s="275">
        <v>14844.85</v>
      </c>
      <c r="EC247" s="276">
        <v>42826</v>
      </c>
      <c r="ED247" s="277" t="s">
        <v>226</v>
      </c>
      <c r="EE247" s="279" t="str">
        <f>HYPERLINK("https://my.pitchbook.com?c=59010-13", "View company online")</f>
        <v>View company online</v>
      </c>
    </row>
    <row r="248" spans="1:135" x14ac:dyDescent="0.45">
      <c r="A248" s="10" t="s">
        <v>5441</v>
      </c>
      <c r="B248" s="11" t="s">
        <v>5442</v>
      </c>
      <c r="C248" s="12" t="s">
        <v>153</v>
      </c>
      <c r="D248" s="13" t="s">
        <v>153</v>
      </c>
      <c r="E248" s="14" t="s">
        <v>153</v>
      </c>
      <c r="F248" s="15" t="s">
        <v>5443</v>
      </c>
      <c r="G248" s="16" t="s">
        <v>5444</v>
      </c>
      <c r="H248" s="17" t="s">
        <v>153</v>
      </c>
      <c r="I248" s="18" t="s">
        <v>5441</v>
      </c>
      <c r="J248" s="19" t="s">
        <v>5445</v>
      </c>
      <c r="K248" s="20" t="s">
        <v>157</v>
      </c>
      <c r="L248" s="21" t="s">
        <v>817</v>
      </c>
      <c r="M248" s="22" t="s">
        <v>863</v>
      </c>
      <c r="N248" s="23" t="s">
        <v>2494</v>
      </c>
      <c r="O248" s="24" t="s">
        <v>261</v>
      </c>
      <c r="P248" s="25" t="s">
        <v>5446</v>
      </c>
      <c r="Q248" s="26" t="s">
        <v>204</v>
      </c>
      <c r="R248" s="27" t="s">
        <v>153</v>
      </c>
      <c r="S248" s="28" t="s">
        <v>163</v>
      </c>
      <c r="T248" s="29" t="s">
        <v>205</v>
      </c>
      <c r="U248" s="30" t="s">
        <v>237</v>
      </c>
      <c r="V248" s="31" t="s">
        <v>153</v>
      </c>
      <c r="W248" s="32">
        <v>80</v>
      </c>
      <c r="X248" s="33" t="s">
        <v>5447</v>
      </c>
      <c r="Y248" s="34" t="s">
        <v>153</v>
      </c>
      <c r="Z248" s="35" t="s">
        <v>153</v>
      </c>
      <c r="AA248" s="36">
        <v>1857</v>
      </c>
      <c r="AB248" s="37" t="s">
        <v>153</v>
      </c>
      <c r="AC248" s="38" t="s">
        <v>153</v>
      </c>
      <c r="AD248" s="39" t="s">
        <v>153</v>
      </c>
      <c r="AE248" s="40" t="s">
        <v>153</v>
      </c>
      <c r="AF248" s="41" t="s">
        <v>153</v>
      </c>
      <c r="AG248" s="42" t="s">
        <v>153</v>
      </c>
      <c r="AH248" s="43" t="s">
        <v>153</v>
      </c>
      <c r="AI248" s="44" t="s">
        <v>153</v>
      </c>
      <c r="AJ248" s="45" t="s">
        <v>153</v>
      </c>
      <c r="AK248" s="46" t="s">
        <v>153</v>
      </c>
      <c r="AL248" s="47" t="s">
        <v>153</v>
      </c>
      <c r="AM248" s="48" t="s">
        <v>153</v>
      </c>
      <c r="AN248" s="49" t="s">
        <v>2458</v>
      </c>
      <c r="AO248" s="50" t="s">
        <v>153</v>
      </c>
      <c r="AP248" s="51" t="s">
        <v>153</v>
      </c>
      <c r="AQ248" s="52" t="s">
        <v>153</v>
      </c>
      <c r="AR248" s="53" t="s">
        <v>153</v>
      </c>
      <c r="AS248" s="54" t="s">
        <v>153</v>
      </c>
      <c r="AT248" s="55" t="s">
        <v>5448</v>
      </c>
      <c r="AU248" s="56" t="s">
        <v>5449</v>
      </c>
      <c r="AV248" s="57" t="s">
        <v>153</v>
      </c>
      <c r="AW248" s="58" t="s">
        <v>5450</v>
      </c>
      <c r="AX248" s="59" t="s">
        <v>177</v>
      </c>
      <c r="AY248" s="60" t="s">
        <v>5451</v>
      </c>
      <c r="AZ248" s="61" t="s">
        <v>179</v>
      </c>
      <c r="BA248" s="62" t="s">
        <v>153</v>
      </c>
      <c r="BB248" s="63" t="s">
        <v>153</v>
      </c>
      <c r="BC248" s="64" t="s">
        <v>153</v>
      </c>
      <c r="BD248" s="65" t="s">
        <v>180</v>
      </c>
      <c r="BE248" s="66" t="s">
        <v>181</v>
      </c>
      <c r="BF248" s="67" t="s">
        <v>5452</v>
      </c>
      <c r="BG248" s="68" t="s">
        <v>153</v>
      </c>
      <c r="BH248" s="69" t="s">
        <v>153</v>
      </c>
      <c r="BI248" s="70" t="s">
        <v>5453</v>
      </c>
      <c r="BJ248" s="71" t="s">
        <v>5454</v>
      </c>
      <c r="BK248" s="72" t="s">
        <v>153</v>
      </c>
      <c r="BL248" s="73" t="s">
        <v>153</v>
      </c>
      <c r="BM248" s="74" t="s">
        <v>153</v>
      </c>
      <c r="BN248" s="75" t="s">
        <v>153</v>
      </c>
      <c r="BO248" s="76" t="s">
        <v>5455</v>
      </c>
      <c r="BP248" s="77" t="s">
        <v>5456</v>
      </c>
      <c r="BQ248" s="78">
        <v>24838</v>
      </c>
      <c r="BR248" s="79" t="s">
        <v>153</v>
      </c>
      <c r="BS248" s="80" t="s">
        <v>153</v>
      </c>
      <c r="BT248" s="81" t="s">
        <v>153</v>
      </c>
      <c r="BU248" s="82" t="s">
        <v>153</v>
      </c>
      <c r="BV248" s="83" t="s">
        <v>226</v>
      </c>
      <c r="BW248" s="84" t="s">
        <v>153</v>
      </c>
      <c r="BX248" s="85" t="s">
        <v>153</v>
      </c>
      <c r="BY248" s="86" t="s">
        <v>225</v>
      </c>
      <c r="BZ248" s="87" t="s">
        <v>153</v>
      </c>
      <c r="CA248" s="88" t="s">
        <v>190</v>
      </c>
      <c r="CB248" s="89">
        <v>39190</v>
      </c>
      <c r="CC248" s="90">
        <v>14804.89</v>
      </c>
      <c r="CD248" s="91" t="s">
        <v>186</v>
      </c>
      <c r="CE248" s="92">
        <v>14804.89</v>
      </c>
      <c r="CF248" s="93" t="s">
        <v>186</v>
      </c>
      <c r="CG248" s="94" t="s">
        <v>226</v>
      </c>
      <c r="CH248" s="95" t="s">
        <v>153</v>
      </c>
      <c r="CI248" s="96" t="s">
        <v>153</v>
      </c>
      <c r="CJ248" s="97" t="s">
        <v>225</v>
      </c>
      <c r="CK248" s="98">
        <v>39190</v>
      </c>
      <c r="CL248" s="99" t="s">
        <v>153</v>
      </c>
      <c r="CM248" s="100" t="s">
        <v>153</v>
      </c>
      <c r="CN248" s="101" t="s">
        <v>190</v>
      </c>
      <c r="CO248" s="102" t="s">
        <v>153</v>
      </c>
      <c r="CP248" s="103" t="s">
        <v>153</v>
      </c>
      <c r="CQ248" s="104" t="s">
        <v>153</v>
      </c>
      <c r="CR248" s="105" t="s">
        <v>153</v>
      </c>
      <c r="CS248" s="106" t="s">
        <v>153</v>
      </c>
      <c r="CT248" s="107" t="s">
        <v>153</v>
      </c>
      <c r="CU248" s="108" t="s">
        <v>153</v>
      </c>
      <c r="CV248" s="109" t="s">
        <v>153</v>
      </c>
      <c r="CW248" s="110" t="s">
        <v>153</v>
      </c>
      <c r="CX248" s="111" t="s">
        <v>153</v>
      </c>
      <c r="CY248" s="112" t="s">
        <v>153</v>
      </c>
      <c r="CZ248" s="113" t="s">
        <v>153</v>
      </c>
      <c r="DA248" s="114" t="s">
        <v>153</v>
      </c>
      <c r="DB248" s="115" t="s">
        <v>153</v>
      </c>
      <c r="DC248" s="116" t="s">
        <v>153</v>
      </c>
      <c r="DD248" s="117" t="s">
        <v>153</v>
      </c>
      <c r="DE248" s="118" t="s">
        <v>153</v>
      </c>
      <c r="DF248" s="119" t="s">
        <v>153</v>
      </c>
      <c r="DG248" s="120" t="s">
        <v>153</v>
      </c>
      <c r="DH248" s="121" t="s">
        <v>153</v>
      </c>
      <c r="DI248" s="122" t="s">
        <v>153</v>
      </c>
      <c r="DJ248" s="123" t="s">
        <v>153</v>
      </c>
      <c r="DK248" s="124" t="s">
        <v>153</v>
      </c>
      <c r="DL248" s="125" t="s">
        <v>153</v>
      </c>
      <c r="DM248" s="126" t="s">
        <v>153</v>
      </c>
      <c r="DN248" s="127" t="s">
        <v>153</v>
      </c>
      <c r="DO248" s="128" t="s">
        <v>153</v>
      </c>
      <c r="DP248" s="129" t="s">
        <v>153</v>
      </c>
      <c r="DQ248" s="130" t="s">
        <v>153</v>
      </c>
      <c r="DR248" s="131" t="s">
        <v>153</v>
      </c>
      <c r="DS248" s="132" t="s">
        <v>153</v>
      </c>
      <c r="DT248" s="133" t="s">
        <v>153</v>
      </c>
      <c r="DU248" s="134" t="s">
        <v>153</v>
      </c>
      <c r="DV248" s="135" t="s">
        <v>153</v>
      </c>
      <c r="DW248" s="136" t="s">
        <v>153</v>
      </c>
      <c r="DX248" s="137" t="s">
        <v>153</v>
      </c>
      <c r="DY248" s="138" t="s">
        <v>153</v>
      </c>
      <c r="DZ248" s="139" t="s">
        <v>191</v>
      </c>
      <c r="EA248" s="140">
        <v>44147</v>
      </c>
      <c r="EB248" s="141">
        <v>14804.89</v>
      </c>
      <c r="EC248" s="142">
        <v>39190</v>
      </c>
      <c r="ED248" s="143" t="s">
        <v>226</v>
      </c>
      <c r="EE248" s="278" t="str">
        <f>HYPERLINK("https://my.pitchbook.com?c=57434-14", "View company online")</f>
        <v>View company online</v>
      </c>
    </row>
    <row r="249" spans="1:135" x14ac:dyDescent="0.45">
      <c r="A249" s="144" t="s">
        <v>5457</v>
      </c>
      <c r="B249" s="145" t="s">
        <v>5458</v>
      </c>
      <c r="C249" s="146" t="s">
        <v>153</v>
      </c>
      <c r="D249" s="147" t="s">
        <v>153</v>
      </c>
      <c r="E249" s="148" t="s">
        <v>153</v>
      </c>
      <c r="F249" s="149" t="s">
        <v>5459</v>
      </c>
      <c r="G249" s="150" t="s">
        <v>153</v>
      </c>
      <c r="H249" s="151" t="s">
        <v>5460</v>
      </c>
      <c r="I249" s="152" t="s">
        <v>5457</v>
      </c>
      <c r="J249" s="153" t="s">
        <v>5461</v>
      </c>
      <c r="K249" s="154" t="s">
        <v>198</v>
      </c>
      <c r="L249" s="155" t="s">
        <v>984</v>
      </c>
      <c r="M249" s="156" t="s">
        <v>1165</v>
      </c>
      <c r="N249" s="157" t="s">
        <v>5462</v>
      </c>
      <c r="O249" s="158" t="s">
        <v>1061</v>
      </c>
      <c r="P249" s="159" t="s">
        <v>5463</v>
      </c>
      <c r="Q249" s="160" t="s">
        <v>564</v>
      </c>
      <c r="R249" s="161">
        <v>3.03</v>
      </c>
      <c r="S249" s="162" t="s">
        <v>163</v>
      </c>
      <c r="T249" s="163" t="s">
        <v>164</v>
      </c>
      <c r="U249" s="164" t="s">
        <v>5464</v>
      </c>
      <c r="V249" s="165" t="s">
        <v>5465</v>
      </c>
      <c r="W249" s="166">
        <v>25000</v>
      </c>
      <c r="X249" s="167" t="s">
        <v>5466</v>
      </c>
      <c r="Y249" s="168" t="s">
        <v>153</v>
      </c>
      <c r="Z249" s="169" t="s">
        <v>153</v>
      </c>
      <c r="AA249" s="170">
        <v>1916</v>
      </c>
      <c r="AB249" s="171" t="s">
        <v>5467</v>
      </c>
      <c r="AC249" s="172" t="s">
        <v>428</v>
      </c>
      <c r="AD249" s="173" t="s">
        <v>537</v>
      </c>
      <c r="AE249" s="174">
        <v>6500</v>
      </c>
      <c r="AF249" s="175" t="s">
        <v>153</v>
      </c>
      <c r="AG249" s="176" t="s">
        <v>153</v>
      </c>
      <c r="AH249" s="177" t="s">
        <v>153</v>
      </c>
      <c r="AI249" s="178" t="s">
        <v>153</v>
      </c>
      <c r="AJ249" s="179" t="s">
        <v>153</v>
      </c>
      <c r="AK249" s="180" t="s">
        <v>153</v>
      </c>
      <c r="AL249" s="181" t="s">
        <v>153</v>
      </c>
      <c r="AM249" s="182">
        <v>8.33</v>
      </c>
      <c r="AN249" s="183" t="s">
        <v>168</v>
      </c>
      <c r="AO249" s="184" t="s">
        <v>5468</v>
      </c>
      <c r="AP249" s="185" t="s">
        <v>5469</v>
      </c>
      <c r="AQ249" s="186" t="s">
        <v>379</v>
      </c>
      <c r="AR249" s="187" t="s">
        <v>5470</v>
      </c>
      <c r="AS249" s="188" t="s">
        <v>5471</v>
      </c>
      <c r="AT249" s="189" t="s">
        <v>433</v>
      </c>
      <c r="AU249" s="190" t="s">
        <v>5472</v>
      </c>
      <c r="AV249" s="191" t="s">
        <v>153</v>
      </c>
      <c r="AW249" s="192" t="s">
        <v>436</v>
      </c>
      <c r="AX249" s="193" t="s">
        <v>436</v>
      </c>
      <c r="AY249" s="194" t="s">
        <v>515</v>
      </c>
      <c r="AZ249" s="195" t="s">
        <v>215</v>
      </c>
      <c r="BA249" s="196" t="s">
        <v>5471</v>
      </c>
      <c r="BB249" s="197" t="s">
        <v>153</v>
      </c>
      <c r="BC249" s="198" t="s">
        <v>153</v>
      </c>
      <c r="BD249" s="199" t="s">
        <v>216</v>
      </c>
      <c r="BE249" s="200" t="s">
        <v>217</v>
      </c>
      <c r="BF249" s="201" t="s">
        <v>5473</v>
      </c>
      <c r="BG249" s="202" t="s">
        <v>153</v>
      </c>
      <c r="BH249" s="203" t="s">
        <v>153</v>
      </c>
      <c r="BI249" s="204" t="s">
        <v>5467</v>
      </c>
      <c r="BJ249" s="205" t="s">
        <v>5474</v>
      </c>
      <c r="BK249" s="206" t="s">
        <v>153</v>
      </c>
      <c r="BL249" s="207" t="s">
        <v>153</v>
      </c>
      <c r="BM249" s="208" t="s">
        <v>5475</v>
      </c>
      <c r="BN249" s="209" t="s">
        <v>153</v>
      </c>
      <c r="BO249" s="210" t="s">
        <v>153</v>
      </c>
      <c r="BP249" s="211" t="s">
        <v>5476</v>
      </c>
      <c r="BQ249" s="212">
        <v>43374</v>
      </c>
      <c r="BR249" s="213">
        <v>17000</v>
      </c>
      <c r="BS249" s="214" t="s">
        <v>186</v>
      </c>
      <c r="BT249" s="215">
        <v>17000</v>
      </c>
      <c r="BU249" s="216" t="s">
        <v>186</v>
      </c>
      <c r="BV249" s="217" t="s">
        <v>188</v>
      </c>
      <c r="BW249" s="218" t="s">
        <v>153</v>
      </c>
      <c r="BX249" s="219" t="s">
        <v>153</v>
      </c>
      <c r="BY249" s="220" t="s">
        <v>165</v>
      </c>
      <c r="BZ249" s="221" t="s">
        <v>5477</v>
      </c>
      <c r="CA249" s="222" t="s">
        <v>190</v>
      </c>
      <c r="CB249" s="223">
        <v>44225</v>
      </c>
      <c r="CC249" s="224">
        <v>14800</v>
      </c>
      <c r="CD249" s="225" t="s">
        <v>186</v>
      </c>
      <c r="CE249" s="226">
        <v>14800</v>
      </c>
      <c r="CF249" s="227" t="s">
        <v>187</v>
      </c>
      <c r="CG249" s="228" t="s">
        <v>226</v>
      </c>
      <c r="CH249" s="229" t="s">
        <v>153</v>
      </c>
      <c r="CI249" s="230" t="s">
        <v>153</v>
      </c>
      <c r="CJ249" s="231" t="s">
        <v>225</v>
      </c>
      <c r="CK249" s="232">
        <v>44225</v>
      </c>
      <c r="CL249" s="233" t="s">
        <v>153</v>
      </c>
      <c r="CM249" s="234" t="s">
        <v>153</v>
      </c>
      <c r="CN249" s="235" t="s">
        <v>190</v>
      </c>
      <c r="CO249" s="236" t="s">
        <v>153</v>
      </c>
      <c r="CP249" s="237" t="s">
        <v>153</v>
      </c>
      <c r="CQ249" s="238" t="s">
        <v>153</v>
      </c>
      <c r="CR249" s="239" t="s">
        <v>153</v>
      </c>
      <c r="CS249" s="240" t="s">
        <v>153</v>
      </c>
      <c r="CT249" s="241" t="s">
        <v>153</v>
      </c>
      <c r="CU249" s="242" t="s">
        <v>153</v>
      </c>
      <c r="CV249" s="243" t="s">
        <v>153</v>
      </c>
      <c r="CW249" s="244" t="s">
        <v>153</v>
      </c>
      <c r="CX249" s="245" t="s">
        <v>153</v>
      </c>
      <c r="CY249" s="246" t="s">
        <v>153</v>
      </c>
      <c r="CZ249" s="247" t="s">
        <v>153</v>
      </c>
      <c r="DA249" s="248" t="s">
        <v>153</v>
      </c>
      <c r="DB249" s="249" t="s">
        <v>153</v>
      </c>
      <c r="DC249" s="250" t="s">
        <v>153</v>
      </c>
      <c r="DD249" s="251" t="s">
        <v>153</v>
      </c>
      <c r="DE249" s="252" t="s">
        <v>153</v>
      </c>
      <c r="DF249" s="253" t="s">
        <v>153</v>
      </c>
      <c r="DG249" s="254" t="s">
        <v>153</v>
      </c>
      <c r="DH249" s="255" t="s">
        <v>153</v>
      </c>
      <c r="DI249" s="256" t="s">
        <v>153</v>
      </c>
      <c r="DJ249" s="257" t="s">
        <v>153</v>
      </c>
      <c r="DK249" s="258" t="s">
        <v>153</v>
      </c>
      <c r="DL249" s="259" t="s">
        <v>153</v>
      </c>
      <c r="DM249" s="260" t="s">
        <v>153</v>
      </c>
      <c r="DN249" s="261" t="s">
        <v>153</v>
      </c>
      <c r="DO249" s="262" t="s">
        <v>153</v>
      </c>
      <c r="DP249" s="263" t="s">
        <v>153</v>
      </c>
      <c r="DQ249" s="264" t="s">
        <v>153</v>
      </c>
      <c r="DR249" s="265" t="s">
        <v>153</v>
      </c>
      <c r="DS249" s="266" t="s">
        <v>153</v>
      </c>
      <c r="DT249" s="267" t="s">
        <v>153</v>
      </c>
      <c r="DU249" s="268" t="s">
        <v>153</v>
      </c>
      <c r="DV249" s="269" t="s">
        <v>153</v>
      </c>
      <c r="DW249" s="270" t="s">
        <v>153</v>
      </c>
      <c r="DX249" s="271" t="s">
        <v>153</v>
      </c>
      <c r="DY249" s="272" t="s">
        <v>153</v>
      </c>
      <c r="DZ249" s="273" t="s">
        <v>191</v>
      </c>
      <c r="EA249" s="274">
        <v>44389</v>
      </c>
      <c r="EB249" s="275">
        <v>14800</v>
      </c>
      <c r="EC249" s="276">
        <v>44225</v>
      </c>
      <c r="ED249" s="277" t="s">
        <v>226</v>
      </c>
      <c r="EE249" s="279" t="str">
        <f>HYPERLINK("https://my.pitchbook.com?c=224468-20", "View company online")</f>
        <v>View company online</v>
      </c>
    </row>
    <row r="250" spans="1:135" x14ac:dyDescent="0.45">
      <c r="A250" s="10" t="s">
        <v>5478</v>
      </c>
      <c r="B250" s="11" t="s">
        <v>5479</v>
      </c>
      <c r="C250" s="12" t="s">
        <v>153</v>
      </c>
      <c r="D250" s="13" t="s">
        <v>153</v>
      </c>
      <c r="E250" s="14" t="s">
        <v>153</v>
      </c>
      <c r="F250" s="15" t="s">
        <v>153</v>
      </c>
      <c r="G250" s="16" t="s">
        <v>5480</v>
      </c>
      <c r="H250" s="17" t="s">
        <v>5481</v>
      </c>
      <c r="I250" s="18" t="s">
        <v>5478</v>
      </c>
      <c r="J250" s="19" t="s">
        <v>5482</v>
      </c>
      <c r="K250" s="20" t="s">
        <v>198</v>
      </c>
      <c r="L250" s="21" t="s">
        <v>984</v>
      </c>
      <c r="M250" s="22" t="s">
        <v>2281</v>
      </c>
      <c r="N250" s="23" t="s">
        <v>5483</v>
      </c>
      <c r="O250" s="24" t="s">
        <v>4782</v>
      </c>
      <c r="P250" s="25" t="s">
        <v>5484</v>
      </c>
      <c r="Q250" s="26" t="s">
        <v>289</v>
      </c>
      <c r="R250" s="27">
        <v>191.84</v>
      </c>
      <c r="S250" s="28" t="s">
        <v>368</v>
      </c>
      <c r="T250" s="29" t="s">
        <v>291</v>
      </c>
      <c r="U250" s="30" t="s">
        <v>5485</v>
      </c>
      <c r="V250" s="31" t="s">
        <v>5486</v>
      </c>
      <c r="W250" s="32">
        <v>1549</v>
      </c>
      <c r="X250" s="33" t="s">
        <v>5487</v>
      </c>
      <c r="Y250" s="34" t="s">
        <v>295</v>
      </c>
      <c r="Z250" s="35" t="s">
        <v>5488</v>
      </c>
      <c r="AA250" s="36">
        <v>2001</v>
      </c>
      <c r="AB250" s="37" t="s">
        <v>153</v>
      </c>
      <c r="AC250" s="38" t="s">
        <v>622</v>
      </c>
      <c r="AD250" s="39" t="s">
        <v>5489</v>
      </c>
      <c r="AE250" s="40">
        <v>477.7</v>
      </c>
      <c r="AF250" s="41">
        <v>277.64999999999998</v>
      </c>
      <c r="AG250" s="42">
        <v>-47.02</v>
      </c>
      <c r="AH250" s="43">
        <v>10526.32</v>
      </c>
      <c r="AI250" s="44">
        <v>-12.62</v>
      </c>
      <c r="AJ250" s="45">
        <v>-25.4</v>
      </c>
      <c r="AK250" s="46">
        <v>12941.21</v>
      </c>
      <c r="AL250" s="47">
        <v>189.54</v>
      </c>
      <c r="AM250" s="48">
        <v>37.049999999999997</v>
      </c>
      <c r="AN250" s="49" t="s">
        <v>376</v>
      </c>
      <c r="AO250" s="50" t="s">
        <v>5490</v>
      </c>
      <c r="AP250" s="51" t="s">
        <v>5491</v>
      </c>
      <c r="AQ250" s="52" t="s">
        <v>512</v>
      </c>
      <c r="AR250" s="53" t="s">
        <v>5492</v>
      </c>
      <c r="AS250" s="54" t="s">
        <v>5493</v>
      </c>
      <c r="AT250" s="55" t="s">
        <v>5494</v>
      </c>
      <c r="AU250" s="56" t="s">
        <v>5495</v>
      </c>
      <c r="AV250" s="57" t="s">
        <v>5496</v>
      </c>
      <c r="AW250" s="58" t="s">
        <v>5497</v>
      </c>
      <c r="AX250" s="59" t="s">
        <v>308</v>
      </c>
      <c r="AY250" s="60" t="s">
        <v>5498</v>
      </c>
      <c r="AZ250" s="61" t="s">
        <v>215</v>
      </c>
      <c r="BA250" s="62" t="s">
        <v>5493</v>
      </c>
      <c r="BB250" s="63" t="s">
        <v>153</v>
      </c>
      <c r="BC250" s="64" t="s">
        <v>5499</v>
      </c>
      <c r="BD250" s="65" t="s">
        <v>216</v>
      </c>
      <c r="BE250" s="66" t="s">
        <v>217</v>
      </c>
      <c r="BF250" s="67" t="s">
        <v>5500</v>
      </c>
      <c r="BG250" s="68" t="s">
        <v>153</v>
      </c>
      <c r="BH250" s="69" t="s">
        <v>153</v>
      </c>
      <c r="BI250" s="70" t="s">
        <v>153</v>
      </c>
      <c r="BJ250" s="71" t="s">
        <v>5501</v>
      </c>
      <c r="BK250" s="72" t="s">
        <v>5502</v>
      </c>
      <c r="BL250" s="73" t="s">
        <v>153</v>
      </c>
      <c r="BM250" s="74" t="s">
        <v>5503</v>
      </c>
      <c r="BN250" s="75" t="s">
        <v>5504</v>
      </c>
      <c r="BO250" s="76" t="s">
        <v>5505</v>
      </c>
      <c r="BP250" s="77" t="s">
        <v>5506</v>
      </c>
      <c r="BQ250" s="78">
        <v>38105</v>
      </c>
      <c r="BR250" s="79">
        <v>5</v>
      </c>
      <c r="BS250" s="80" t="s">
        <v>186</v>
      </c>
      <c r="BT250" s="81">
        <v>9.51</v>
      </c>
      <c r="BU250" s="82" t="s">
        <v>186</v>
      </c>
      <c r="BV250" s="83" t="s">
        <v>471</v>
      </c>
      <c r="BW250" s="84" t="s">
        <v>1811</v>
      </c>
      <c r="BX250" s="85" t="s">
        <v>153</v>
      </c>
      <c r="BY250" s="86" t="s">
        <v>472</v>
      </c>
      <c r="BZ250" s="87" t="s">
        <v>153</v>
      </c>
      <c r="CA250" s="88" t="s">
        <v>190</v>
      </c>
      <c r="CB250" s="89">
        <v>44395</v>
      </c>
      <c r="CC250" s="90">
        <v>14700</v>
      </c>
      <c r="CD250" s="91" t="s">
        <v>186</v>
      </c>
      <c r="CE250" s="92">
        <v>14700</v>
      </c>
      <c r="CF250" s="93" t="s">
        <v>187</v>
      </c>
      <c r="CG250" s="94" t="s">
        <v>226</v>
      </c>
      <c r="CH250" s="95" t="s">
        <v>153</v>
      </c>
      <c r="CI250" s="96" t="s">
        <v>153</v>
      </c>
      <c r="CJ250" s="97" t="s">
        <v>225</v>
      </c>
      <c r="CK250" s="98">
        <v>44395</v>
      </c>
      <c r="CL250" s="99" t="s">
        <v>153</v>
      </c>
      <c r="CM250" s="100" t="s">
        <v>153</v>
      </c>
      <c r="CN250" s="101" t="s">
        <v>1278</v>
      </c>
      <c r="CO250" s="102">
        <v>0.12</v>
      </c>
      <c r="CP250" s="103">
        <v>89</v>
      </c>
      <c r="CQ250" s="104">
        <v>-0.03</v>
      </c>
      <c r="CR250" s="105">
        <v>-19.89</v>
      </c>
      <c r="CS250" s="106">
        <v>0.19</v>
      </c>
      <c r="CT250" s="107">
        <v>90</v>
      </c>
      <c r="CU250" s="108">
        <v>0.06</v>
      </c>
      <c r="CV250" s="109">
        <v>82</v>
      </c>
      <c r="CW250" s="110">
        <v>-0.31</v>
      </c>
      <c r="CX250" s="111">
        <v>20</v>
      </c>
      <c r="CY250" s="112">
        <v>0.68</v>
      </c>
      <c r="CZ250" s="113">
        <v>96</v>
      </c>
      <c r="DA250" s="114">
        <v>0.06</v>
      </c>
      <c r="DB250" s="115">
        <v>82</v>
      </c>
      <c r="DC250" s="116">
        <v>81.3</v>
      </c>
      <c r="DD250" s="117">
        <v>99</v>
      </c>
      <c r="DE250" s="118">
        <v>0.19</v>
      </c>
      <c r="DF250" s="119">
        <v>0.23</v>
      </c>
      <c r="DG250" s="120">
        <v>122.93</v>
      </c>
      <c r="DH250" s="121">
        <v>100</v>
      </c>
      <c r="DI250" s="122">
        <v>39.67</v>
      </c>
      <c r="DJ250" s="123">
        <v>95</v>
      </c>
      <c r="DK250" s="124">
        <v>95.61</v>
      </c>
      <c r="DL250" s="125">
        <v>97</v>
      </c>
      <c r="DM250" s="126">
        <v>150.25</v>
      </c>
      <c r="DN250" s="127">
        <v>100</v>
      </c>
      <c r="DO250" s="128">
        <v>39.67</v>
      </c>
      <c r="DP250" s="129">
        <v>95</v>
      </c>
      <c r="DQ250" s="130">
        <v>56605</v>
      </c>
      <c r="DR250" s="131">
        <v>330</v>
      </c>
      <c r="DS250" s="132">
        <v>0.59</v>
      </c>
      <c r="DT250" s="133">
        <v>2402</v>
      </c>
      <c r="DU250" s="134">
        <v>5</v>
      </c>
      <c r="DV250" s="135">
        <v>0.21</v>
      </c>
      <c r="DW250" s="136">
        <v>12450</v>
      </c>
      <c r="DX250" s="137">
        <v>12</v>
      </c>
      <c r="DY250" s="138">
        <v>0.1</v>
      </c>
      <c r="DZ250" s="139" t="s">
        <v>191</v>
      </c>
      <c r="EA250" s="140">
        <v>44402</v>
      </c>
      <c r="EB250" s="141">
        <v>14700</v>
      </c>
      <c r="EC250" s="142">
        <v>44395</v>
      </c>
      <c r="ED250" s="143" t="s">
        <v>226</v>
      </c>
      <c r="EE250" s="278" t="str">
        <f>HYPERLINK("https://my.pitchbook.com?c=51497-56", "View company online")</f>
        <v>View company online</v>
      </c>
    </row>
    <row r="251" spans="1:135" x14ac:dyDescent="0.45">
      <c r="A251" s="144" t="s">
        <v>5507</v>
      </c>
      <c r="B251" s="145" t="s">
        <v>5508</v>
      </c>
      <c r="C251" s="146" t="s">
        <v>153</v>
      </c>
      <c r="D251" s="147" t="s">
        <v>153</v>
      </c>
      <c r="E251" s="148" t="s">
        <v>5509</v>
      </c>
      <c r="F251" s="149" t="s">
        <v>153</v>
      </c>
      <c r="G251" s="150" t="s">
        <v>5510</v>
      </c>
      <c r="H251" s="151" t="s">
        <v>153</v>
      </c>
      <c r="I251" s="152" t="s">
        <v>5507</v>
      </c>
      <c r="J251" s="153" t="s">
        <v>5511</v>
      </c>
      <c r="K251" s="154" t="s">
        <v>232</v>
      </c>
      <c r="L251" s="155" t="s">
        <v>2162</v>
      </c>
      <c r="M251" s="156" t="s">
        <v>2773</v>
      </c>
      <c r="N251" s="157" t="s">
        <v>5512</v>
      </c>
      <c r="O251" s="158" t="s">
        <v>153</v>
      </c>
      <c r="P251" s="159" t="s">
        <v>5513</v>
      </c>
      <c r="Q251" s="160" t="s">
        <v>204</v>
      </c>
      <c r="R251" s="161" t="s">
        <v>153</v>
      </c>
      <c r="S251" s="162" t="s">
        <v>163</v>
      </c>
      <c r="T251" s="163" t="s">
        <v>205</v>
      </c>
      <c r="U251" s="164" t="s">
        <v>237</v>
      </c>
      <c r="V251" s="165" t="s">
        <v>153</v>
      </c>
      <c r="W251" s="166">
        <v>7188</v>
      </c>
      <c r="X251" s="167" t="s">
        <v>5514</v>
      </c>
      <c r="Y251" s="168" t="s">
        <v>153</v>
      </c>
      <c r="Z251" s="169" t="s">
        <v>153</v>
      </c>
      <c r="AA251" s="170">
        <v>1868</v>
      </c>
      <c r="AB251" s="171" t="s">
        <v>153</v>
      </c>
      <c r="AC251" s="172" t="s">
        <v>153</v>
      </c>
      <c r="AD251" s="173" t="s">
        <v>153</v>
      </c>
      <c r="AE251" s="174" t="s">
        <v>153</v>
      </c>
      <c r="AF251" s="175" t="s">
        <v>153</v>
      </c>
      <c r="AG251" s="176" t="s">
        <v>153</v>
      </c>
      <c r="AH251" s="177" t="s">
        <v>153</v>
      </c>
      <c r="AI251" s="178" t="s">
        <v>153</v>
      </c>
      <c r="AJ251" s="179" t="s">
        <v>153</v>
      </c>
      <c r="AK251" s="180" t="s">
        <v>153</v>
      </c>
      <c r="AL251" s="181" t="s">
        <v>153</v>
      </c>
      <c r="AM251" s="182" t="s">
        <v>153</v>
      </c>
      <c r="AN251" s="183" t="s">
        <v>3444</v>
      </c>
      <c r="AO251" s="184" t="s">
        <v>5515</v>
      </c>
      <c r="AP251" s="185" t="s">
        <v>5516</v>
      </c>
      <c r="AQ251" s="186" t="s">
        <v>171</v>
      </c>
      <c r="AR251" s="187" t="s">
        <v>153</v>
      </c>
      <c r="AS251" s="188" t="s">
        <v>153</v>
      </c>
      <c r="AT251" s="189" t="s">
        <v>5517</v>
      </c>
      <c r="AU251" s="190" t="s">
        <v>5518</v>
      </c>
      <c r="AV251" s="191" t="s">
        <v>153</v>
      </c>
      <c r="AW251" s="192" t="s">
        <v>5519</v>
      </c>
      <c r="AX251" s="193" t="s">
        <v>5520</v>
      </c>
      <c r="AY251" s="194" t="s">
        <v>5521</v>
      </c>
      <c r="AZ251" s="195" t="s">
        <v>2546</v>
      </c>
      <c r="BA251" s="196" t="s">
        <v>153</v>
      </c>
      <c r="BB251" s="197" t="s">
        <v>153</v>
      </c>
      <c r="BC251" s="198" t="s">
        <v>153</v>
      </c>
      <c r="BD251" s="199" t="s">
        <v>2547</v>
      </c>
      <c r="BE251" s="200" t="s">
        <v>2547</v>
      </c>
      <c r="BF251" s="201" t="s">
        <v>5522</v>
      </c>
      <c r="BG251" s="202" t="s">
        <v>153</v>
      </c>
      <c r="BH251" s="203" t="s">
        <v>153</v>
      </c>
      <c r="BI251" s="204" t="s">
        <v>5523</v>
      </c>
      <c r="BJ251" s="205" t="s">
        <v>153</v>
      </c>
      <c r="BK251" s="206" t="s">
        <v>153</v>
      </c>
      <c r="BL251" s="207" t="s">
        <v>153</v>
      </c>
      <c r="BM251" s="208" t="s">
        <v>153</v>
      </c>
      <c r="BN251" s="209" t="s">
        <v>153</v>
      </c>
      <c r="BO251" s="210" t="s">
        <v>5524</v>
      </c>
      <c r="BP251" s="211" t="s">
        <v>5525</v>
      </c>
      <c r="BQ251" s="212">
        <v>35339</v>
      </c>
      <c r="BR251" s="213" t="s">
        <v>153</v>
      </c>
      <c r="BS251" s="214" t="s">
        <v>153</v>
      </c>
      <c r="BT251" s="215" t="s">
        <v>153</v>
      </c>
      <c r="BU251" s="216" t="s">
        <v>153</v>
      </c>
      <c r="BV251" s="217" t="s">
        <v>251</v>
      </c>
      <c r="BW251" s="218" t="s">
        <v>153</v>
      </c>
      <c r="BX251" s="219" t="s">
        <v>153</v>
      </c>
      <c r="BY251" s="220" t="s">
        <v>252</v>
      </c>
      <c r="BZ251" s="221" t="s">
        <v>153</v>
      </c>
      <c r="CA251" s="222" t="s">
        <v>190</v>
      </c>
      <c r="CB251" s="223">
        <v>40632</v>
      </c>
      <c r="CC251" s="224">
        <v>14600</v>
      </c>
      <c r="CD251" s="225" t="s">
        <v>153</v>
      </c>
      <c r="CE251" s="226">
        <v>14600</v>
      </c>
      <c r="CF251" s="227" t="s">
        <v>186</v>
      </c>
      <c r="CG251" s="228" t="s">
        <v>226</v>
      </c>
      <c r="CH251" s="229" t="s">
        <v>153</v>
      </c>
      <c r="CI251" s="230" t="s">
        <v>153</v>
      </c>
      <c r="CJ251" s="231" t="s">
        <v>225</v>
      </c>
      <c r="CK251" s="232">
        <v>40632</v>
      </c>
      <c r="CL251" s="233" t="s">
        <v>153</v>
      </c>
      <c r="CM251" s="234" t="s">
        <v>153</v>
      </c>
      <c r="CN251" s="235" t="s">
        <v>190</v>
      </c>
      <c r="CO251" s="236" t="s">
        <v>153</v>
      </c>
      <c r="CP251" s="237" t="s">
        <v>153</v>
      </c>
      <c r="CQ251" s="238" t="s">
        <v>153</v>
      </c>
      <c r="CR251" s="239" t="s">
        <v>153</v>
      </c>
      <c r="CS251" s="240" t="s">
        <v>153</v>
      </c>
      <c r="CT251" s="241" t="s">
        <v>153</v>
      </c>
      <c r="CU251" s="242" t="s">
        <v>153</v>
      </c>
      <c r="CV251" s="243" t="s">
        <v>153</v>
      </c>
      <c r="CW251" s="244" t="s">
        <v>153</v>
      </c>
      <c r="CX251" s="245" t="s">
        <v>153</v>
      </c>
      <c r="CY251" s="246" t="s">
        <v>153</v>
      </c>
      <c r="CZ251" s="247" t="s">
        <v>153</v>
      </c>
      <c r="DA251" s="248" t="s">
        <v>153</v>
      </c>
      <c r="DB251" s="249" t="s">
        <v>153</v>
      </c>
      <c r="DC251" s="250" t="s">
        <v>153</v>
      </c>
      <c r="DD251" s="251" t="s">
        <v>153</v>
      </c>
      <c r="DE251" s="252" t="s">
        <v>153</v>
      </c>
      <c r="DF251" s="253" t="s">
        <v>153</v>
      </c>
      <c r="DG251" s="254" t="s">
        <v>153</v>
      </c>
      <c r="DH251" s="255" t="s">
        <v>153</v>
      </c>
      <c r="DI251" s="256" t="s">
        <v>153</v>
      </c>
      <c r="DJ251" s="257" t="s">
        <v>153</v>
      </c>
      <c r="DK251" s="258" t="s">
        <v>153</v>
      </c>
      <c r="DL251" s="259" t="s">
        <v>153</v>
      </c>
      <c r="DM251" s="260" t="s">
        <v>153</v>
      </c>
      <c r="DN251" s="261" t="s">
        <v>153</v>
      </c>
      <c r="DO251" s="262" t="s">
        <v>153</v>
      </c>
      <c r="DP251" s="263" t="s">
        <v>153</v>
      </c>
      <c r="DQ251" s="264" t="s">
        <v>153</v>
      </c>
      <c r="DR251" s="265" t="s">
        <v>153</v>
      </c>
      <c r="DS251" s="266" t="s">
        <v>153</v>
      </c>
      <c r="DT251" s="267" t="s">
        <v>153</v>
      </c>
      <c r="DU251" s="268" t="s">
        <v>153</v>
      </c>
      <c r="DV251" s="269" t="s">
        <v>153</v>
      </c>
      <c r="DW251" s="270" t="s">
        <v>153</v>
      </c>
      <c r="DX251" s="271" t="s">
        <v>153</v>
      </c>
      <c r="DY251" s="272" t="s">
        <v>153</v>
      </c>
      <c r="DZ251" s="273" t="s">
        <v>191</v>
      </c>
      <c r="EA251" s="274">
        <v>43940</v>
      </c>
      <c r="EB251" s="275">
        <v>14600</v>
      </c>
      <c r="EC251" s="276">
        <v>40632</v>
      </c>
      <c r="ED251" s="277" t="s">
        <v>226</v>
      </c>
      <c r="EE251" s="279" t="str">
        <f>HYPERLINK("https://my.pitchbook.com?c=165736-09", "View company online")</f>
        <v>View company online</v>
      </c>
    </row>
    <row r="252" spans="1:135" x14ac:dyDescent="0.45">
      <c r="A252" s="10" t="s">
        <v>5526</v>
      </c>
      <c r="B252" s="11" t="s">
        <v>5527</v>
      </c>
      <c r="C252" s="12" t="s">
        <v>153</v>
      </c>
      <c r="D252" s="13" t="s">
        <v>153</v>
      </c>
      <c r="E252" s="14" t="s">
        <v>153</v>
      </c>
      <c r="F252" s="15" t="s">
        <v>5528</v>
      </c>
      <c r="G252" s="16" t="s">
        <v>5529</v>
      </c>
      <c r="H252" s="17" t="s">
        <v>5530</v>
      </c>
      <c r="I252" s="18" t="s">
        <v>5526</v>
      </c>
      <c r="J252" s="19" t="s">
        <v>5531</v>
      </c>
      <c r="K252" s="20" t="s">
        <v>232</v>
      </c>
      <c r="L252" s="21" t="s">
        <v>362</v>
      </c>
      <c r="M252" s="22" t="s">
        <v>4656</v>
      </c>
      <c r="N252" s="23" t="s">
        <v>5532</v>
      </c>
      <c r="O252" s="24" t="s">
        <v>153</v>
      </c>
      <c r="P252" s="25" t="s">
        <v>5533</v>
      </c>
      <c r="Q252" s="26" t="s">
        <v>162</v>
      </c>
      <c r="R252" s="27" t="s">
        <v>153</v>
      </c>
      <c r="S252" s="28" t="s">
        <v>290</v>
      </c>
      <c r="T252" s="29" t="s">
        <v>164</v>
      </c>
      <c r="U252" s="30" t="s">
        <v>565</v>
      </c>
      <c r="V252" s="31" t="s">
        <v>5534</v>
      </c>
      <c r="W252" s="32">
        <v>229</v>
      </c>
      <c r="X252" s="33" t="s">
        <v>5535</v>
      </c>
      <c r="Y252" s="34" t="s">
        <v>153</v>
      </c>
      <c r="Z252" s="35" t="s">
        <v>153</v>
      </c>
      <c r="AA252" s="36">
        <v>2004</v>
      </c>
      <c r="AB252" s="37" t="s">
        <v>153</v>
      </c>
      <c r="AC252" s="38" t="s">
        <v>153</v>
      </c>
      <c r="AD252" s="39" t="s">
        <v>428</v>
      </c>
      <c r="AE252" s="40" t="s">
        <v>153</v>
      </c>
      <c r="AF252" s="41" t="s">
        <v>153</v>
      </c>
      <c r="AG252" s="42" t="s">
        <v>153</v>
      </c>
      <c r="AH252" s="43" t="s">
        <v>153</v>
      </c>
      <c r="AI252" s="44" t="s">
        <v>153</v>
      </c>
      <c r="AJ252" s="45" t="s">
        <v>153</v>
      </c>
      <c r="AK252" s="46" t="s">
        <v>153</v>
      </c>
      <c r="AL252" s="47" t="s">
        <v>153</v>
      </c>
      <c r="AM252" s="48" t="s">
        <v>153</v>
      </c>
      <c r="AN252" s="49" t="s">
        <v>1595</v>
      </c>
      <c r="AO252" s="50" t="s">
        <v>5536</v>
      </c>
      <c r="AP252" s="51" t="s">
        <v>5537</v>
      </c>
      <c r="AQ252" s="52" t="s">
        <v>5090</v>
      </c>
      <c r="AR252" s="53" t="s">
        <v>5538</v>
      </c>
      <c r="AS252" s="54" t="s">
        <v>5539</v>
      </c>
      <c r="AT252" s="55" t="s">
        <v>5540</v>
      </c>
      <c r="AU252" s="56" t="s">
        <v>5541</v>
      </c>
      <c r="AV252" s="57" t="s">
        <v>1577</v>
      </c>
      <c r="AW252" s="58" t="s">
        <v>5542</v>
      </c>
      <c r="AX252" s="59" t="s">
        <v>308</v>
      </c>
      <c r="AY252" s="60" t="s">
        <v>5543</v>
      </c>
      <c r="AZ252" s="61" t="s">
        <v>215</v>
      </c>
      <c r="BA252" s="62" t="s">
        <v>5539</v>
      </c>
      <c r="BB252" s="63" t="s">
        <v>5544</v>
      </c>
      <c r="BC252" s="64" t="s">
        <v>5545</v>
      </c>
      <c r="BD252" s="65" t="s">
        <v>216</v>
      </c>
      <c r="BE252" s="66" t="s">
        <v>217</v>
      </c>
      <c r="BF252" s="67" t="s">
        <v>5546</v>
      </c>
      <c r="BG252" s="68" t="s">
        <v>153</v>
      </c>
      <c r="BH252" s="69" t="s">
        <v>153</v>
      </c>
      <c r="BI252" s="70" t="s">
        <v>153</v>
      </c>
      <c r="BJ252" s="71" t="s">
        <v>2879</v>
      </c>
      <c r="BK252" s="72" t="s">
        <v>153</v>
      </c>
      <c r="BL252" s="73" t="s">
        <v>153</v>
      </c>
      <c r="BM252" s="74" t="s">
        <v>2881</v>
      </c>
      <c r="BN252" s="75" t="s">
        <v>153</v>
      </c>
      <c r="BO252" s="76" t="s">
        <v>5547</v>
      </c>
      <c r="BP252" s="77" t="s">
        <v>5548</v>
      </c>
      <c r="BQ252" s="78">
        <v>38205</v>
      </c>
      <c r="BR252" s="79">
        <v>405</v>
      </c>
      <c r="BS252" s="80" t="s">
        <v>186</v>
      </c>
      <c r="BT252" s="81">
        <v>410</v>
      </c>
      <c r="BU252" s="82" t="s">
        <v>186</v>
      </c>
      <c r="BV252" s="83" t="s">
        <v>251</v>
      </c>
      <c r="BW252" s="84" t="s">
        <v>153</v>
      </c>
      <c r="BX252" s="85" t="s">
        <v>153</v>
      </c>
      <c r="BY252" s="86" t="s">
        <v>252</v>
      </c>
      <c r="BZ252" s="87" t="s">
        <v>153</v>
      </c>
      <c r="CA252" s="88" t="s">
        <v>190</v>
      </c>
      <c r="CB252" s="89">
        <v>44155</v>
      </c>
      <c r="CC252" s="90">
        <v>14600</v>
      </c>
      <c r="CD252" s="91" t="s">
        <v>186</v>
      </c>
      <c r="CE252" s="92">
        <v>14600</v>
      </c>
      <c r="CF252" s="93" t="s">
        <v>153</v>
      </c>
      <c r="CG252" s="94" t="s">
        <v>188</v>
      </c>
      <c r="CH252" s="95" t="s">
        <v>5549</v>
      </c>
      <c r="CI252" s="96" t="s">
        <v>4234</v>
      </c>
      <c r="CJ252" s="97" t="s">
        <v>165</v>
      </c>
      <c r="CK252" s="98">
        <v>44155</v>
      </c>
      <c r="CL252" s="99" t="s">
        <v>153</v>
      </c>
      <c r="CM252" s="100" t="s">
        <v>153</v>
      </c>
      <c r="CN252" s="101" t="s">
        <v>190</v>
      </c>
      <c r="CO252" s="102">
        <v>0.69</v>
      </c>
      <c r="CP252" s="103">
        <v>94</v>
      </c>
      <c r="CQ252" s="104">
        <v>-0.08</v>
      </c>
      <c r="CR252" s="105">
        <v>-10.48</v>
      </c>
      <c r="CS252" s="106">
        <v>1.4</v>
      </c>
      <c r="CT252" s="107">
        <v>96</v>
      </c>
      <c r="CU252" s="108">
        <v>-0.01</v>
      </c>
      <c r="CV252" s="109">
        <v>40</v>
      </c>
      <c r="CW252" s="110">
        <v>2.66</v>
      </c>
      <c r="CX252" s="111">
        <v>88</v>
      </c>
      <c r="CY252" s="112">
        <v>0.14000000000000001</v>
      </c>
      <c r="CZ252" s="113">
        <v>91</v>
      </c>
      <c r="DA252" s="114">
        <v>-0.01</v>
      </c>
      <c r="DB252" s="115">
        <v>40</v>
      </c>
      <c r="DC252" s="116">
        <v>7.42</v>
      </c>
      <c r="DD252" s="117">
        <v>89</v>
      </c>
      <c r="DE252" s="118">
        <v>-0.08</v>
      </c>
      <c r="DF252" s="119">
        <v>-1.06</v>
      </c>
      <c r="DG252" s="120">
        <v>10.79</v>
      </c>
      <c r="DH252" s="121">
        <v>92</v>
      </c>
      <c r="DI252" s="122">
        <v>4.04</v>
      </c>
      <c r="DJ252" s="123">
        <v>75</v>
      </c>
      <c r="DK252" s="124">
        <v>3.84</v>
      </c>
      <c r="DL252" s="125">
        <v>75</v>
      </c>
      <c r="DM252" s="126">
        <v>17.75</v>
      </c>
      <c r="DN252" s="127">
        <v>94</v>
      </c>
      <c r="DO252" s="128">
        <v>4.04</v>
      </c>
      <c r="DP252" s="129">
        <v>75</v>
      </c>
      <c r="DQ252" s="130">
        <v>2238</v>
      </c>
      <c r="DR252" s="131">
        <v>136</v>
      </c>
      <c r="DS252" s="132">
        <v>6.47</v>
      </c>
      <c r="DT252" s="133">
        <v>286</v>
      </c>
      <c r="DU252" s="134">
        <v>-4</v>
      </c>
      <c r="DV252" s="135">
        <v>-1.38</v>
      </c>
      <c r="DW252" s="136">
        <v>1268</v>
      </c>
      <c r="DX252" s="137">
        <v>3</v>
      </c>
      <c r="DY252" s="138">
        <v>0.24</v>
      </c>
      <c r="DZ252" s="139" t="s">
        <v>191</v>
      </c>
      <c r="EA252" s="140">
        <v>44376</v>
      </c>
      <c r="EB252" s="141">
        <v>14600</v>
      </c>
      <c r="EC252" s="142">
        <v>44155</v>
      </c>
      <c r="ED252" s="143" t="s">
        <v>188</v>
      </c>
      <c r="EE252" s="278" t="str">
        <f>HYPERLINK("https://my.pitchbook.com?c=41579-74", "View company online")</f>
        <v>View company online</v>
      </c>
    </row>
    <row r="253" spans="1:135" x14ac:dyDescent="0.45">
      <c r="A253" s="144" t="s">
        <v>5550</v>
      </c>
      <c r="B253" s="145" t="s">
        <v>5551</v>
      </c>
      <c r="C253" s="146" t="s">
        <v>153</v>
      </c>
      <c r="D253" s="147" t="s">
        <v>153</v>
      </c>
      <c r="E253" s="148" t="s">
        <v>5552</v>
      </c>
      <c r="F253" s="149" t="s">
        <v>153</v>
      </c>
      <c r="G253" s="150" t="s">
        <v>5553</v>
      </c>
      <c r="H253" s="151" t="s">
        <v>153</v>
      </c>
      <c r="I253" s="152" t="s">
        <v>5550</v>
      </c>
      <c r="J253" s="153" t="s">
        <v>5554</v>
      </c>
      <c r="K253" s="154" t="s">
        <v>882</v>
      </c>
      <c r="L253" s="155" t="s">
        <v>1257</v>
      </c>
      <c r="M253" s="156" t="s">
        <v>2561</v>
      </c>
      <c r="N253" s="157" t="s">
        <v>5555</v>
      </c>
      <c r="O253" s="158" t="s">
        <v>153</v>
      </c>
      <c r="P253" s="159" t="s">
        <v>5556</v>
      </c>
      <c r="Q253" s="160" t="s">
        <v>564</v>
      </c>
      <c r="R253" s="161" t="s">
        <v>153</v>
      </c>
      <c r="S253" s="162" t="s">
        <v>290</v>
      </c>
      <c r="T253" s="163" t="s">
        <v>164</v>
      </c>
      <c r="U253" s="164" t="s">
        <v>165</v>
      </c>
      <c r="V253" s="165" t="s">
        <v>5557</v>
      </c>
      <c r="W253" s="166">
        <v>350</v>
      </c>
      <c r="X253" s="167" t="s">
        <v>5558</v>
      </c>
      <c r="Y253" s="168" t="s">
        <v>153</v>
      </c>
      <c r="Z253" s="169" t="s">
        <v>153</v>
      </c>
      <c r="AA253" s="170">
        <v>1972</v>
      </c>
      <c r="AB253" s="171" t="s">
        <v>5559</v>
      </c>
      <c r="AC253" s="172" t="s">
        <v>153</v>
      </c>
      <c r="AD253" s="173" t="s">
        <v>153</v>
      </c>
      <c r="AE253" s="174" t="s">
        <v>153</v>
      </c>
      <c r="AF253" s="175" t="s">
        <v>153</v>
      </c>
      <c r="AG253" s="176" t="s">
        <v>153</v>
      </c>
      <c r="AH253" s="177" t="s">
        <v>153</v>
      </c>
      <c r="AI253" s="178" t="s">
        <v>153</v>
      </c>
      <c r="AJ253" s="179" t="s">
        <v>153</v>
      </c>
      <c r="AK253" s="180" t="s">
        <v>153</v>
      </c>
      <c r="AL253" s="181" t="s">
        <v>153</v>
      </c>
      <c r="AM253" s="182" t="s">
        <v>153</v>
      </c>
      <c r="AN253" s="183" t="s">
        <v>456</v>
      </c>
      <c r="AO253" s="184" t="s">
        <v>5560</v>
      </c>
      <c r="AP253" s="185" t="s">
        <v>5561</v>
      </c>
      <c r="AQ253" s="186" t="s">
        <v>1241</v>
      </c>
      <c r="AR253" s="187" t="s">
        <v>5562</v>
      </c>
      <c r="AS253" s="188" t="s">
        <v>5563</v>
      </c>
      <c r="AT253" s="189" t="s">
        <v>1399</v>
      </c>
      <c r="AU253" s="190" t="s">
        <v>5564</v>
      </c>
      <c r="AV253" s="191" t="s">
        <v>5565</v>
      </c>
      <c r="AW253" s="192" t="s">
        <v>1402</v>
      </c>
      <c r="AX253" s="193" t="s">
        <v>153</v>
      </c>
      <c r="AY253" s="194" t="s">
        <v>5566</v>
      </c>
      <c r="AZ253" s="195" t="s">
        <v>1404</v>
      </c>
      <c r="BA253" s="196" t="s">
        <v>5563</v>
      </c>
      <c r="BB253" s="197" t="s">
        <v>5567</v>
      </c>
      <c r="BC253" s="198" t="s">
        <v>153</v>
      </c>
      <c r="BD253" s="199" t="s">
        <v>1406</v>
      </c>
      <c r="BE253" s="200" t="s">
        <v>1407</v>
      </c>
      <c r="BF253" s="201" t="s">
        <v>5568</v>
      </c>
      <c r="BG253" s="202" t="s">
        <v>153</v>
      </c>
      <c r="BH253" s="203" t="s">
        <v>153</v>
      </c>
      <c r="BI253" s="204" t="s">
        <v>5559</v>
      </c>
      <c r="BJ253" s="205" t="s">
        <v>5569</v>
      </c>
      <c r="BK253" s="206" t="s">
        <v>5570</v>
      </c>
      <c r="BL253" s="207" t="s">
        <v>153</v>
      </c>
      <c r="BM253" s="208" t="s">
        <v>5571</v>
      </c>
      <c r="BN253" s="209" t="s">
        <v>5572</v>
      </c>
      <c r="BO253" s="210" t="s">
        <v>153</v>
      </c>
      <c r="BP253" s="211" t="s">
        <v>5573</v>
      </c>
      <c r="BQ253" s="212">
        <v>38749</v>
      </c>
      <c r="BR253" s="213">
        <v>125.49</v>
      </c>
      <c r="BS253" s="214" t="s">
        <v>186</v>
      </c>
      <c r="BT253" s="215">
        <v>125.49</v>
      </c>
      <c r="BU253" s="216" t="s">
        <v>186</v>
      </c>
      <c r="BV253" s="217" t="s">
        <v>188</v>
      </c>
      <c r="BW253" s="218" t="s">
        <v>729</v>
      </c>
      <c r="BX253" s="219" t="s">
        <v>153</v>
      </c>
      <c r="BY253" s="220" t="s">
        <v>165</v>
      </c>
      <c r="BZ253" s="221" t="s">
        <v>1607</v>
      </c>
      <c r="CA253" s="222" t="s">
        <v>190</v>
      </c>
      <c r="CB253" s="223">
        <v>42354</v>
      </c>
      <c r="CC253" s="224">
        <v>14582</v>
      </c>
      <c r="CD253" s="225" t="s">
        <v>186</v>
      </c>
      <c r="CE253" s="226">
        <v>14582</v>
      </c>
      <c r="CF253" s="227" t="s">
        <v>187</v>
      </c>
      <c r="CG253" s="228" t="s">
        <v>226</v>
      </c>
      <c r="CH253" s="229" t="s">
        <v>153</v>
      </c>
      <c r="CI253" s="230" t="s">
        <v>153</v>
      </c>
      <c r="CJ253" s="231" t="s">
        <v>225</v>
      </c>
      <c r="CK253" s="232">
        <v>42354</v>
      </c>
      <c r="CL253" s="233" t="s">
        <v>153</v>
      </c>
      <c r="CM253" s="234" t="s">
        <v>153</v>
      </c>
      <c r="CN253" s="235" t="s">
        <v>190</v>
      </c>
      <c r="CO253" s="236" t="s">
        <v>153</v>
      </c>
      <c r="CP253" s="237" t="s">
        <v>153</v>
      </c>
      <c r="CQ253" s="238" t="s">
        <v>153</v>
      </c>
      <c r="CR253" s="239" t="s">
        <v>153</v>
      </c>
      <c r="CS253" s="240" t="s">
        <v>153</v>
      </c>
      <c r="CT253" s="241" t="s">
        <v>153</v>
      </c>
      <c r="CU253" s="242" t="s">
        <v>153</v>
      </c>
      <c r="CV253" s="243" t="s">
        <v>153</v>
      </c>
      <c r="CW253" s="244" t="s">
        <v>153</v>
      </c>
      <c r="CX253" s="245" t="s">
        <v>153</v>
      </c>
      <c r="CY253" s="246" t="s">
        <v>153</v>
      </c>
      <c r="CZ253" s="247" t="s">
        <v>153</v>
      </c>
      <c r="DA253" s="248" t="s">
        <v>153</v>
      </c>
      <c r="DB253" s="249" t="s">
        <v>153</v>
      </c>
      <c r="DC253" s="250" t="s">
        <v>153</v>
      </c>
      <c r="DD253" s="251" t="s">
        <v>153</v>
      </c>
      <c r="DE253" s="252" t="s">
        <v>153</v>
      </c>
      <c r="DF253" s="253" t="s">
        <v>153</v>
      </c>
      <c r="DG253" s="254" t="s">
        <v>153</v>
      </c>
      <c r="DH253" s="255" t="s">
        <v>153</v>
      </c>
      <c r="DI253" s="256" t="s">
        <v>153</v>
      </c>
      <c r="DJ253" s="257" t="s">
        <v>153</v>
      </c>
      <c r="DK253" s="258" t="s">
        <v>153</v>
      </c>
      <c r="DL253" s="259" t="s">
        <v>153</v>
      </c>
      <c r="DM253" s="260" t="s">
        <v>153</v>
      </c>
      <c r="DN253" s="261" t="s">
        <v>153</v>
      </c>
      <c r="DO253" s="262" t="s">
        <v>153</v>
      </c>
      <c r="DP253" s="263" t="s">
        <v>153</v>
      </c>
      <c r="DQ253" s="264" t="s">
        <v>153</v>
      </c>
      <c r="DR253" s="265" t="s">
        <v>153</v>
      </c>
      <c r="DS253" s="266" t="s">
        <v>153</v>
      </c>
      <c r="DT253" s="267" t="s">
        <v>153</v>
      </c>
      <c r="DU253" s="268" t="s">
        <v>153</v>
      </c>
      <c r="DV253" s="269" t="s">
        <v>153</v>
      </c>
      <c r="DW253" s="270" t="s">
        <v>153</v>
      </c>
      <c r="DX253" s="271" t="s">
        <v>153</v>
      </c>
      <c r="DY253" s="272" t="s">
        <v>153</v>
      </c>
      <c r="DZ253" s="273" t="s">
        <v>191</v>
      </c>
      <c r="EA253" s="274">
        <v>44147</v>
      </c>
      <c r="EB253" s="275">
        <v>14582</v>
      </c>
      <c r="EC253" s="276">
        <v>42354</v>
      </c>
      <c r="ED253" s="277" t="s">
        <v>226</v>
      </c>
      <c r="EE253" s="279" t="str">
        <f>HYPERLINK("https://my.pitchbook.com?c=11348-20", "View company online")</f>
        <v>View company online</v>
      </c>
    </row>
    <row r="254" spans="1:135" x14ac:dyDescent="0.45">
      <c r="A254" s="10" t="s">
        <v>5574</v>
      </c>
      <c r="B254" s="11" t="s">
        <v>5575</v>
      </c>
      <c r="C254" s="12" t="s">
        <v>153</v>
      </c>
      <c r="D254" s="13" t="s">
        <v>153</v>
      </c>
      <c r="E254" s="14" t="s">
        <v>153</v>
      </c>
      <c r="F254" s="15" t="s">
        <v>153</v>
      </c>
      <c r="G254" s="16" t="s">
        <v>153</v>
      </c>
      <c r="H254" s="17" t="s">
        <v>153</v>
      </c>
      <c r="I254" s="18" t="s">
        <v>5574</v>
      </c>
      <c r="J254" s="19" t="s">
        <v>5576</v>
      </c>
      <c r="K254" s="20" t="s">
        <v>882</v>
      </c>
      <c r="L254" s="21" t="s">
        <v>2888</v>
      </c>
      <c r="M254" s="22" t="s">
        <v>2889</v>
      </c>
      <c r="N254" s="23" t="s">
        <v>3484</v>
      </c>
      <c r="O254" s="24" t="s">
        <v>153</v>
      </c>
      <c r="P254" s="25" t="s">
        <v>5577</v>
      </c>
      <c r="Q254" s="26" t="s">
        <v>162</v>
      </c>
      <c r="R254" s="27" t="s">
        <v>153</v>
      </c>
      <c r="S254" s="28" t="s">
        <v>290</v>
      </c>
      <c r="T254" s="29" t="s">
        <v>1392</v>
      </c>
      <c r="U254" s="30" t="s">
        <v>2000</v>
      </c>
      <c r="V254" s="31" t="s">
        <v>153</v>
      </c>
      <c r="W254" s="32" t="s">
        <v>153</v>
      </c>
      <c r="X254" s="33" t="s">
        <v>153</v>
      </c>
      <c r="Y254" s="34" t="s">
        <v>153</v>
      </c>
      <c r="Z254" s="35" t="s">
        <v>153</v>
      </c>
      <c r="AA254" s="36" t="s">
        <v>153</v>
      </c>
      <c r="AB254" s="37" t="s">
        <v>153</v>
      </c>
      <c r="AC254" s="38" t="s">
        <v>153</v>
      </c>
      <c r="AD254" s="39" t="s">
        <v>153</v>
      </c>
      <c r="AE254" s="40" t="s">
        <v>153</v>
      </c>
      <c r="AF254" s="41" t="s">
        <v>153</v>
      </c>
      <c r="AG254" s="42" t="s">
        <v>153</v>
      </c>
      <c r="AH254" s="43" t="s">
        <v>153</v>
      </c>
      <c r="AI254" s="44" t="s">
        <v>153</v>
      </c>
      <c r="AJ254" s="45" t="s">
        <v>153</v>
      </c>
      <c r="AK254" s="46" t="s">
        <v>153</v>
      </c>
      <c r="AL254" s="47" t="s">
        <v>153</v>
      </c>
      <c r="AM254" s="48" t="s">
        <v>153</v>
      </c>
      <c r="AN254" s="49" t="s">
        <v>153</v>
      </c>
      <c r="AO254" s="50" t="s">
        <v>153</v>
      </c>
      <c r="AP254" s="51" t="s">
        <v>153</v>
      </c>
      <c r="AQ254" s="52" t="s">
        <v>153</v>
      </c>
      <c r="AR254" s="53" t="s">
        <v>153</v>
      </c>
      <c r="AS254" s="54" t="s">
        <v>153</v>
      </c>
      <c r="AT254" s="55" t="s">
        <v>5578</v>
      </c>
      <c r="AU254" s="56" t="s">
        <v>153</v>
      </c>
      <c r="AV254" s="57" t="s">
        <v>153</v>
      </c>
      <c r="AW254" s="58" t="s">
        <v>5579</v>
      </c>
      <c r="AX254" s="59" t="s">
        <v>177</v>
      </c>
      <c r="AY254" s="60" t="s">
        <v>5580</v>
      </c>
      <c r="AZ254" s="61" t="s">
        <v>179</v>
      </c>
      <c r="BA254" s="62" t="s">
        <v>153</v>
      </c>
      <c r="BB254" s="63" t="s">
        <v>153</v>
      </c>
      <c r="BC254" s="64" t="s">
        <v>153</v>
      </c>
      <c r="BD254" s="65" t="s">
        <v>180</v>
      </c>
      <c r="BE254" s="66" t="s">
        <v>181</v>
      </c>
      <c r="BF254" s="67" t="s">
        <v>5581</v>
      </c>
      <c r="BG254" s="68" t="s">
        <v>5582</v>
      </c>
      <c r="BH254" s="69">
        <v>2</v>
      </c>
      <c r="BI254" s="70" t="s">
        <v>153</v>
      </c>
      <c r="BJ254" s="71" t="s">
        <v>5583</v>
      </c>
      <c r="BK254" s="72" t="s">
        <v>153</v>
      </c>
      <c r="BL254" s="73" t="s">
        <v>5584</v>
      </c>
      <c r="BM254" s="74" t="s">
        <v>5585</v>
      </c>
      <c r="BN254" s="75" t="s">
        <v>153</v>
      </c>
      <c r="BO254" s="76" t="s">
        <v>153</v>
      </c>
      <c r="BP254" s="77" t="s">
        <v>153</v>
      </c>
      <c r="BQ254" s="78">
        <v>39720</v>
      </c>
      <c r="BR254" s="79" t="s">
        <v>153</v>
      </c>
      <c r="BS254" s="80" t="s">
        <v>153</v>
      </c>
      <c r="BT254" s="81" t="s">
        <v>153</v>
      </c>
      <c r="BU254" s="82" t="s">
        <v>153</v>
      </c>
      <c r="BV254" s="83" t="s">
        <v>1524</v>
      </c>
      <c r="BW254" s="84" t="s">
        <v>1525</v>
      </c>
      <c r="BX254" s="85" t="s">
        <v>1526</v>
      </c>
      <c r="BY254" s="86" t="s">
        <v>225</v>
      </c>
      <c r="BZ254" s="87" t="s">
        <v>153</v>
      </c>
      <c r="CA254" s="88" t="s">
        <v>190</v>
      </c>
      <c r="CB254" s="89">
        <v>42825</v>
      </c>
      <c r="CC254" s="90">
        <v>14570.79</v>
      </c>
      <c r="CD254" s="91" t="s">
        <v>186</v>
      </c>
      <c r="CE254" s="92">
        <v>14570.79</v>
      </c>
      <c r="CF254" s="93" t="s">
        <v>186</v>
      </c>
      <c r="CG254" s="94" t="s">
        <v>188</v>
      </c>
      <c r="CH254" s="95" t="s">
        <v>1525</v>
      </c>
      <c r="CI254" s="96" t="s">
        <v>1526</v>
      </c>
      <c r="CJ254" s="97" t="s">
        <v>165</v>
      </c>
      <c r="CK254" s="98">
        <v>42825</v>
      </c>
      <c r="CL254" s="99" t="s">
        <v>153</v>
      </c>
      <c r="CM254" s="100" t="s">
        <v>153</v>
      </c>
      <c r="CN254" s="101" t="s">
        <v>190</v>
      </c>
      <c r="CO254" s="102" t="s">
        <v>153</v>
      </c>
      <c r="CP254" s="103" t="s">
        <v>153</v>
      </c>
      <c r="CQ254" s="104" t="s">
        <v>153</v>
      </c>
      <c r="CR254" s="105" t="s">
        <v>153</v>
      </c>
      <c r="CS254" s="106" t="s">
        <v>153</v>
      </c>
      <c r="CT254" s="107" t="s">
        <v>153</v>
      </c>
      <c r="CU254" s="108" t="s">
        <v>153</v>
      </c>
      <c r="CV254" s="109" t="s">
        <v>153</v>
      </c>
      <c r="CW254" s="110" t="s">
        <v>153</v>
      </c>
      <c r="CX254" s="111" t="s">
        <v>153</v>
      </c>
      <c r="CY254" s="112" t="s">
        <v>153</v>
      </c>
      <c r="CZ254" s="113" t="s">
        <v>153</v>
      </c>
      <c r="DA254" s="114" t="s">
        <v>153</v>
      </c>
      <c r="DB254" s="115" t="s">
        <v>153</v>
      </c>
      <c r="DC254" s="116" t="s">
        <v>153</v>
      </c>
      <c r="DD254" s="117" t="s">
        <v>153</v>
      </c>
      <c r="DE254" s="118" t="s">
        <v>153</v>
      </c>
      <c r="DF254" s="119" t="s">
        <v>153</v>
      </c>
      <c r="DG254" s="120" t="s">
        <v>153</v>
      </c>
      <c r="DH254" s="121" t="s">
        <v>153</v>
      </c>
      <c r="DI254" s="122" t="s">
        <v>153</v>
      </c>
      <c r="DJ254" s="123" t="s">
        <v>153</v>
      </c>
      <c r="DK254" s="124" t="s">
        <v>153</v>
      </c>
      <c r="DL254" s="125" t="s">
        <v>153</v>
      </c>
      <c r="DM254" s="126" t="s">
        <v>153</v>
      </c>
      <c r="DN254" s="127" t="s">
        <v>153</v>
      </c>
      <c r="DO254" s="128" t="s">
        <v>153</v>
      </c>
      <c r="DP254" s="129" t="s">
        <v>153</v>
      </c>
      <c r="DQ254" s="130" t="s">
        <v>153</v>
      </c>
      <c r="DR254" s="131" t="s">
        <v>153</v>
      </c>
      <c r="DS254" s="132" t="s">
        <v>153</v>
      </c>
      <c r="DT254" s="133" t="s">
        <v>153</v>
      </c>
      <c r="DU254" s="134" t="s">
        <v>153</v>
      </c>
      <c r="DV254" s="135" t="s">
        <v>153</v>
      </c>
      <c r="DW254" s="136" t="s">
        <v>153</v>
      </c>
      <c r="DX254" s="137" t="s">
        <v>153</v>
      </c>
      <c r="DY254" s="138" t="s">
        <v>153</v>
      </c>
      <c r="DZ254" s="139" t="s">
        <v>191</v>
      </c>
      <c r="EA254" s="140">
        <v>44084</v>
      </c>
      <c r="EB254" s="141">
        <v>14570.79</v>
      </c>
      <c r="EC254" s="142">
        <v>42825</v>
      </c>
      <c r="ED254" s="143" t="s">
        <v>188</v>
      </c>
      <c r="EE254" s="278" t="str">
        <f>HYPERLINK("https://my.pitchbook.com?c=155660-95", "View company online")</f>
        <v>View company online</v>
      </c>
    </row>
    <row r="255" spans="1:135" x14ac:dyDescent="0.45">
      <c r="A255" s="144" t="s">
        <v>5586</v>
      </c>
      <c r="B255" s="145" t="s">
        <v>5587</v>
      </c>
      <c r="C255" s="146" t="s">
        <v>153</v>
      </c>
      <c r="D255" s="147" t="s">
        <v>153</v>
      </c>
      <c r="E255" s="148" t="s">
        <v>5588</v>
      </c>
      <c r="F255" s="149" t="s">
        <v>153</v>
      </c>
      <c r="G255" s="150" t="s">
        <v>5589</v>
      </c>
      <c r="H255" s="151" t="s">
        <v>153</v>
      </c>
      <c r="I255" s="152" t="s">
        <v>5586</v>
      </c>
      <c r="J255" s="153" t="s">
        <v>5590</v>
      </c>
      <c r="K255" s="154" t="s">
        <v>257</v>
      </c>
      <c r="L255" s="155" t="s">
        <v>5591</v>
      </c>
      <c r="M255" s="156" t="s">
        <v>5592</v>
      </c>
      <c r="N255" s="157" t="s">
        <v>5593</v>
      </c>
      <c r="O255" s="158" t="s">
        <v>5594</v>
      </c>
      <c r="P255" s="159" t="s">
        <v>5595</v>
      </c>
      <c r="Q255" s="160" t="s">
        <v>204</v>
      </c>
      <c r="R255" s="161" t="s">
        <v>153</v>
      </c>
      <c r="S255" s="162" t="s">
        <v>163</v>
      </c>
      <c r="T255" s="163" t="s">
        <v>205</v>
      </c>
      <c r="U255" s="164" t="s">
        <v>887</v>
      </c>
      <c r="V255" s="165" t="s">
        <v>5596</v>
      </c>
      <c r="W255" s="166" t="s">
        <v>153</v>
      </c>
      <c r="X255" s="167" t="s">
        <v>153</v>
      </c>
      <c r="Y255" s="168" t="s">
        <v>153</v>
      </c>
      <c r="Z255" s="169" t="s">
        <v>153</v>
      </c>
      <c r="AA255" s="170" t="s">
        <v>153</v>
      </c>
      <c r="AB255" s="171" t="s">
        <v>153</v>
      </c>
      <c r="AC255" s="172" t="s">
        <v>153</v>
      </c>
      <c r="AD255" s="173" t="s">
        <v>153</v>
      </c>
      <c r="AE255" s="174" t="s">
        <v>153</v>
      </c>
      <c r="AF255" s="175" t="s">
        <v>153</v>
      </c>
      <c r="AG255" s="176" t="s">
        <v>153</v>
      </c>
      <c r="AH255" s="177" t="s">
        <v>153</v>
      </c>
      <c r="AI255" s="178" t="s">
        <v>153</v>
      </c>
      <c r="AJ255" s="179" t="s">
        <v>153</v>
      </c>
      <c r="AK255" s="180" t="s">
        <v>153</v>
      </c>
      <c r="AL255" s="181" t="s">
        <v>153</v>
      </c>
      <c r="AM255" s="182" t="s">
        <v>153</v>
      </c>
      <c r="AN255" s="183" t="s">
        <v>153</v>
      </c>
      <c r="AO255" s="184" t="s">
        <v>153</v>
      </c>
      <c r="AP255" s="185" t="s">
        <v>153</v>
      </c>
      <c r="AQ255" s="186" t="s">
        <v>153</v>
      </c>
      <c r="AR255" s="187" t="s">
        <v>153</v>
      </c>
      <c r="AS255" s="188" t="s">
        <v>153</v>
      </c>
      <c r="AT255" s="189" t="s">
        <v>404</v>
      </c>
      <c r="AU255" s="190" t="s">
        <v>5597</v>
      </c>
      <c r="AV255" s="191" t="s">
        <v>153</v>
      </c>
      <c r="AW255" s="192" t="s">
        <v>407</v>
      </c>
      <c r="AX255" s="193" t="s">
        <v>408</v>
      </c>
      <c r="AY255" s="194" t="s">
        <v>5598</v>
      </c>
      <c r="AZ255" s="195" t="s">
        <v>215</v>
      </c>
      <c r="BA255" s="196" t="s">
        <v>153</v>
      </c>
      <c r="BB255" s="197" t="s">
        <v>153</v>
      </c>
      <c r="BC255" s="198" t="s">
        <v>153</v>
      </c>
      <c r="BD255" s="199" t="s">
        <v>216</v>
      </c>
      <c r="BE255" s="200" t="s">
        <v>217</v>
      </c>
      <c r="BF255" s="201" t="s">
        <v>5599</v>
      </c>
      <c r="BG255" s="202" t="s">
        <v>153</v>
      </c>
      <c r="BH255" s="203" t="s">
        <v>153</v>
      </c>
      <c r="BI255" s="204" t="s">
        <v>5600</v>
      </c>
      <c r="BJ255" s="205" t="s">
        <v>5601</v>
      </c>
      <c r="BK255" s="206" t="s">
        <v>153</v>
      </c>
      <c r="BL255" s="207" t="s">
        <v>153</v>
      </c>
      <c r="BM255" s="208" t="s">
        <v>153</v>
      </c>
      <c r="BN255" s="209" t="s">
        <v>153</v>
      </c>
      <c r="BO255" s="210" t="s">
        <v>153</v>
      </c>
      <c r="BP255" s="211" t="s">
        <v>153</v>
      </c>
      <c r="BQ255" s="212">
        <v>36087</v>
      </c>
      <c r="BR255" s="213">
        <v>14450</v>
      </c>
      <c r="BS255" s="214" t="s">
        <v>186</v>
      </c>
      <c r="BT255" s="215">
        <v>14450</v>
      </c>
      <c r="BU255" s="216" t="s">
        <v>186</v>
      </c>
      <c r="BV255" s="217" t="s">
        <v>226</v>
      </c>
      <c r="BW255" s="218" t="s">
        <v>153</v>
      </c>
      <c r="BX255" s="219" t="s">
        <v>153</v>
      </c>
      <c r="BY255" s="220" t="s">
        <v>225</v>
      </c>
      <c r="BZ255" s="221" t="s">
        <v>153</v>
      </c>
      <c r="CA255" s="222" t="s">
        <v>190</v>
      </c>
      <c r="CB255" s="223">
        <v>36087</v>
      </c>
      <c r="CC255" s="224">
        <v>14450</v>
      </c>
      <c r="CD255" s="225" t="s">
        <v>186</v>
      </c>
      <c r="CE255" s="226">
        <v>14450</v>
      </c>
      <c r="CF255" s="227" t="s">
        <v>186</v>
      </c>
      <c r="CG255" s="228" t="s">
        <v>226</v>
      </c>
      <c r="CH255" s="229" t="s">
        <v>153</v>
      </c>
      <c r="CI255" s="230" t="s">
        <v>153</v>
      </c>
      <c r="CJ255" s="231" t="s">
        <v>225</v>
      </c>
      <c r="CK255" s="232">
        <v>36087</v>
      </c>
      <c r="CL255" s="233" t="s">
        <v>153</v>
      </c>
      <c r="CM255" s="234" t="s">
        <v>153</v>
      </c>
      <c r="CN255" s="235" t="s">
        <v>190</v>
      </c>
      <c r="CO255" s="236" t="s">
        <v>153</v>
      </c>
      <c r="CP255" s="237" t="s">
        <v>153</v>
      </c>
      <c r="CQ255" s="238" t="s">
        <v>153</v>
      </c>
      <c r="CR255" s="239" t="s">
        <v>153</v>
      </c>
      <c r="CS255" s="240" t="s">
        <v>153</v>
      </c>
      <c r="CT255" s="241" t="s">
        <v>153</v>
      </c>
      <c r="CU255" s="242" t="s">
        <v>153</v>
      </c>
      <c r="CV255" s="243" t="s">
        <v>153</v>
      </c>
      <c r="CW255" s="244" t="s">
        <v>153</v>
      </c>
      <c r="CX255" s="245" t="s">
        <v>153</v>
      </c>
      <c r="CY255" s="246" t="s">
        <v>153</v>
      </c>
      <c r="CZ255" s="247" t="s">
        <v>153</v>
      </c>
      <c r="DA255" s="248" t="s">
        <v>153</v>
      </c>
      <c r="DB255" s="249" t="s">
        <v>153</v>
      </c>
      <c r="DC255" s="250" t="s">
        <v>153</v>
      </c>
      <c r="DD255" s="251" t="s">
        <v>153</v>
      </c>
      <c r="DE255" s="252" t="s">
        <v>153</v>
      </c>
      <c r="DF255" s="253" t="s">
        <v>153</v>
      </c>
      <c r="DG255" s="254" t="s">
        <v>153</v>
      </c>
      <c r="DH255" s="255" t="s">
        <v>153</v>
      </c>
      <c r="DI255" s="256" t="s">
        <v>153</v>
      </c>
      <c r="DJ255" s="257" t="s">
        <v>153</v>
      </c>
      <c r="DK255" s="258" t="s">
        <v>153</v>
      </c>
      <c r="DL255" s="259" t="s">
        <v>153</v>
      </c>
      <c r="DM255" s="260" t="s">
        <v>153</v>
      </c>
      <c r="DN255" s="261" t="s">
        <v>153</v>
      </c>
      <c r="DO255" s="262" t="s">
        <v>153</v>
      </c>
      <c r="DP255" s="263" t="s">
        <v>153</v>
      </c>
      <c r="DQ255" s="264" t="s">
        <v>153</v>
      </c>
      <c r="DR255" s="265" t="s">
        <v>153</v>
      </c>
      <c r="DS255" s="266" t="s">
        <v>153</v>
      </c>
      <c r="DT255" s="267" t="s">
        <v>153</v>
      </c>
      <c r="DU255" s="268" t="s">
        <v>153</v>
      </c>
      <c r="DV255" s="269" t="s">
        <v>153</v>
      </c>
      <c r="DW255" s="270" t="s">
        <v>153</v>
      </c>
      <c r="DX255" s="271" t="s">
        <v>153</v>
      </c>
      <c r="DY255" s="272" t="s">
        <v>153</v>
      </c>
      <c r="DZ255" s="273" t="s">
        <v>191</v>
      </c>
      <c r="EA255" s="274">
        <v>44236</v>
      </c>
      <c r="EB255" s="275">
        <v>14450</v>
      </c>
      <c r="EC255" s="276">
        <v>36087</v>
      </c>
      <c r="ED255" s="277" t="s">
        <v>226</v>
      </c>
      <c r="EE255" s="279" t="str">
        <f>HYPERLINK("https://my.pitchbook.com?c=12046-24", "View company online")</f>
        <v>View company online</v>
      </c>
    </row>
    <row r="256" spans="1:135" x14ac:dyDescent="0.45">
      <c r="A256" s="10" t="s">
        <v>5602</v>
      </c>
      <c r="B256" s="11" t="s">
        <v>5603</v>
      </c>
      <c r="C256" s="12" t="s">
        <v>153</v>
      </c>
      <c r="D256" s="13" t="s">
        <v>153</v>
      </c>
      <c r="E256" s="14" t="s">
        <v>153</v>
      </c>
      <c r="F256" s="15" t="s">
        <v>5604</v>
      </c>
      <c r="G256" s="16" t="s">
        <v>153</v>
      </c>
      <c r="H256" s="17" t="s">
        <v>153</v>
      </c>
      <c r="I256" s="18" t="s">
        <v>5602</v>
      </c>
      <c r="J256" s="19" t="s">
        <v>5605</v>
      </c>
      <c r="K256" s="20" t="s">
        <v>232</v>
      </c>
      <c r="L256" s="21" t="s">
        <v>1016</v>
      </c>
      <c r="M256" s="22" t="s">
        <v>2416</v>
      </c>
      <c r="N256" s="23" t="s">
        <v>5606</v>
      </c>
      <c r="O256" s="24" t="s">
        <v>153</v>
      </c>
      <c r="P256" s="25" t="s">
        <v>5607</v>
      </c>
      <c r="Q256" s="26" t="s">
        <v>204</v>
      </c>
      <c r="R256" s="27" t="s">
        <v>153</v>
      </c>
      <c r="S256" s="28" t="s">
        <v>163</v>
      </c>
      <c r="T256" s="29" t="s">
        <v>1392</v>
      </c>
      <c r="U256" s="30" t="s">
        <v>206</v>
      </c>
      <c r="V256" s="31" t="s">
        <v>5608</v>
      </c>
      <c r="W256" s="32" t="s">
        <v>153</v>
      </c>
      <c r="X256" s="33" t="s">
        <v>153</v>
      </c>
      <c r="Y256" s="34" t="s">
        <v>153</v>
      </c>
      <c r="Z256" s="35" t="s">
        <v>153</v>
      </c>
      <c r="AA256" s="36" t="s">
        <v>153</v>
      </c>
      <c r="AB256" s="37" t="s">
        <v>153</v>
      </c>
      <c r="AC256" s="38" t="s">
        <v>153</v>
      </c>
      <c r="AD256" s="39" t="s">
        <v>153</v>
      </c>
      <c r="AE256" s="40" t="s">
        <v>153</v>
      </c>
      <c r="AF256" s="41" t="s">
        <v>153</v>
      </c>
      <c r="AG256" s="42" t="s">
        <v>153</v>
      </c>
      <c r="AH256" s="43" t="s">
        <v>153</v>
      </c>
      <c r="AI256" s="44" t="s">
        <v>153</v>
      </c>
      <c r="AJ256" s="45" t="s">
        <v>153</v>
      </c>
      <c r="AK256" s="46" t="s">
        <v>153</v>
      </c>
      <c r="AL256" s="47" t="s">
        <v>153</v>
      </c>
      <c r="AM256" s="48" t="s">
        <v>153</v>
      </c>
      <c r="AN256" s="49" t="s">
        <v>153</v>
      </c>
      <c r="AO256" s="50" t="s">
        <v>5609</v>
      </c>
      <c r="AP256" s="51" t="s">
        <v>5610</v>
      </c>
      <c r="AQ256" s="52" t="s">
        <v>171</v>
      </c>
      <c r="AR256" s="53" t="s">
        <v>153</v>
      </c>
      <c r="AS256" s="54" t="s">
        <v>5611</v>
      </c>
      <c r="AT256" s="55" t="s">
        <v>5612</v>
      </c>
      <c r="AU256" s="56" t="s">
        <v>5613</v>
      </c>
      <c r="AV256" s="57" t="s">
        <v>5614</v>
      </c>
      <c r="AW256" s="58" t="s">
        <v>5615</v>
      </c>
      <c r="AX256" s="59" t="s">
        <v>153</v>
      </c>
      <c r="AY256" s="60" t="s">
        <v>153</v>
      </c>
      <c r="AZ256" s="61" t="s">
        <v>5616</v>
      </c>
      <c r="BA256" s="62" t="s">
        <v>5611</v>
      </c>
      <c r="BB256" s="63" t="s">
        <v>153</v>
      </c>
      <c r="BC256" s="64" t="s">
        <v>153</v>
      </c>
      <c r="BD256" s="65" t="s">
        <v>5323</v>
      </c>
      <c r="BE256" s="66" t="s">
        <v>5617</v>
      </c>
      <c r="BF256" s="67" t="s">
        <v>5618</v>
      </c>
      <c r="BG256" s="68" t="s">
        <v>5619</v>
      </c>
      <c r="BH256" s="69">
        <v>1</v>
      </c>
      <c r="BI256" s="70" t="s">
        <v>153</v>
      </c>
      <c r="BJ256" s="71" t="s">
        <v>5620</v>
      </c>
      <c r="BK256" s="72" t="s">
        <v>153</v>
      </c>
      <c r="BL256" s="73" t="s">
        <v>5621</v>
      </c>
      <c r="BM256" s="74" t="s">
        <v>5622</v>
      </c>
      <c r="BN256" s="75" t="s">
        <v>153</v>
      </c>
      <c r="BO256" s="76" t="s">
        <v>153</v>
      </c>
      <c r="BP256" s="77" t="s">
        <v>153</v>
      </c>
      <c r="BQ256" s="78">
        <v>39083</v>
      </c>
      <c r="BR256" s="79">
        <v>0.59</v>
      </c>
      <c r="BS256" s="80" t="s">
        <v>186</v>
      </c>
      <c r="BT256" s="81">
        <v>3.37</v>
      </c>
      <c r="BU256" s="82" t="s">
        <v>187</v>
      </c>
      <c r="BV256" s="83" t="s">
        <v>906</v>
      </c>
      <c r="BW256" s="84" t="s">
        <v>153</v>
      </c>
      <c r="BX256" s="85" t="s">
        <v>153</v>
      </c>
      <c r="BY256" s="86" t="s">
        <v>153</v>
      </c>
      <c r="BZ256" s="87" t="s">
        <v>153</v>
      </c>
      <c r="CA256" s="88" t="s">
        <v>190</v>
      </c>
      <c r="CB256" s="89">
        <v>42780</v>
      </c>
      <c r="CC256" s="90">
        <v>14400</v>
      </c>
      <c r="CD256" s="91" t="s">
        <v>186</v>
      </c>
      <c r="CE256" s="92">
        <v>81586.399999999994</v>
      </c>
      <c r="CF256" s="93" t="s">
        <v>187</v>
      </c>
      <c r="CG256" s="94" t="s">
        <v>906</v>
      </c>
      <c r="CH256" s="95" t="s">
        <v>153</v>
      </c>
      <c r="CI256" s="96" t="s">
        <v>153</v>
      </c>
      <c r="CJ256" s="97" t="s">
        <v>225</v>
      </c>
      <c r="CK256" s="98">
        <v>42780</v>
      </c>
      <c r="CL256" s="99" t="s">
        <v>153</v>
      </c>
      <c r="CM256" s="100" t="s">
        <v>153</v>
      </c>
      <c r="CN256" s="101" t="s">
        <v>190</v>
      </c>
      <c r="CO256" s="102">
        <v>-3.21</v>
      </c>
      <c r="CP256" s="103">
        <v>1</v>
      </c>
      <c r="CQ256" s="104">
        <v>-0.06</v>
      </c>
      <c r="CR256" s="105">
        <v>-1.82</v>
      </c>
      <c r="CS256" s="106">
        <v>-3.21</v>
      </c>
      <c r="CT256" s="107">
        <v>1</v>
      </c>
      <c r="CU256" s="108" t="s">
        <v>153</v>
      </c>
      <c r="CV256" s="109" t="s">
        <v>153</v>
      </c>
      <c r="CW256" s="110">
        <v>-7.76</v>
      </c>
      <c r="CX256" s="111">
        <v>2</v>
      </c>
      <c r="CY256" s="112">
        <v>1.35</v>
      </c>
      <c r="CZ256" s="113">
        <v>99</v>
      </c>
      <c r="DA256" s="114" t="s">
        <v>153</v>
      </c>
      <c r="DB256" s="115" t="s">
        <v>153</v>
      </c>
      <c r="DC256" s="116">
        <v>12.42</v>
      </c>
      <c r="DD256" s="117">
        <v>93</v>
      </c>
      <c r="DE256" s="118">
        <v>0.06</v>
      </c>
      <c r="DF256" s="119">
        <v>0.51</v>
      </c>
      <c r="DG256" s="120">
        <v>12.42</v>
      </c>
      <c r="DH256" s="121">
        <v>93</v>
      </c>
      <c r="DI256" s="122" t="s">
        <v>153</v>
      </c>
      <c r="DJ256" s="123" t="s">
        <v>153</v>
      </c>
      <c r="DK256" s="124">
        <v>6.84</v>
      </c>
      <c r="DL256" s="125">
        <v>82</v>
      </c>
      <c r="DM256" s="126">
        <v>18</v>
      </c>
      <c r="DN256" s="127">
        <v>94</v>
      </c>
      <c r="DO256" s="128" t="s">
        <v>153</v>
      </c>
      <c r="DP256" s="129" t="s">
        <v>153</v>
      </c>
      <c r="DQ256" s="130">
        <v>4066</v>
      </c>
      <c r="DR256" s="131">
        <v>-42</v>
      </c>
      <c r="DS256" s="132">
        <v>-1.02</v>
      </c>
      <c r="DT256" s="133">
        <v>287</v>
      </c>
      <c r="DU256" s="134">
        <v>3</v>
      </c>
      <c r="DV256" s="135">
        <v>1.06</v>
      </c>
      <c r="DW256" s="136" t="s">
        <v>153</v>
      </c>
      <c r="DX256" s="137" t="s">
        <v>153</v>
      </c>
      <c r="DY256" s="138" t="s">
        <v>153</v>
      </c>
      <c r="DZ256" s="139" t="s">
        <v>191</v>
      </c>
      <c r="EA256" s="140">
        <v>44402</v>
      </c>
      <c r="EB256" s="141">
        <v>81586.399999999994</v>
      </c>
      <c r="EC256" s="142">
        <v>42780</v>
      </c>
      <c r="ED256" s="143" t="s">
        <v>906</v>
      </c>
      <c r="EE256" s="278" t="str">
        <f>HYPERLINK("https://my.pitchbook.com?c=454406-32", "View company online")</f>
        <v>View company online</v>
      </c>
    </row>
    <row r="257" spans="1:135" x14ac:dyDescent="0.45">
      <c r="A257" s="144" t="s">
        <v>5623</v>
      </c>
      <c r="B257" s="145" t="s">
        <v>5624</v>
      </c>
      <c r="C257" s="146" t="s">
        <v>153</v>
      </c>
      <c r="D257" s="147" t="s">
        <v>153</v>
      </c>
      <c r="E257" s="148" t="s">
        <v>5625</v>
      </c>
      <c r="F257" s="149" t="s">
        <v>5626</v>
      </c>
      <c r="G257" s="150" t="s">
        <v>5627</v>
      </c>
      <c r="H257" s="151" t="s">
        <v>153</v>
      </c>
      <c r="I257" s="152" t="s">
        <v>5623</v>
      </c>
      <c r="J257" s="153" t="s">
        <v>5628</v>
      </c>
      <c r="K257" s="154" t="s">
        <v>882</v>
      </c>
      <c r="L257" s="155" t="s">
        <v>883</v>
      </c>
      <c r="M257" s="156" t="s">
        <v>2243</v>
      </c>
      <c r="N257" s="157" t="s">
        <v>5629</v>
      </c>
      <c r="O257" s="158" t="s">
        <v>796</v>
      </c>
      <c r="P257" s="159" t="s">
        <v>5630</v>
      </c>
      <c r="Q257" s="160" t="s">
        <v>204</v>
      </c>
      <c r="R257" s="161" t="s">
        <v>153</v>
      </c>
      <c r="S257" s="162" t="s">
        <v>163</v>
      </c>
      <c r="T257" s="163" t="s">
        <v>205</v>
      </c>
      <c r="U257" s="164" t="s">
        <v>237</v>
      </c>
      <c r="V257" s="165" t="s">
        <v>5631</v>
      </c>
      <c r="W257" s="166">
        <v>200</v>
      </c>
      <c r="X257" s="167" t="s">
        <v>5632</v>
      </c>
      <c r="Y257" s="168" t="s">
        <v>153</v>
      </c>
      <c r="Z257" s="169" t="s">
        <v>153</v>
      </c>
      <c r="AA257" s="170">
        <v>1886</v>
      </c>
      <c r="AB257" s="171" t="s">
        <v>153</v>
      </c>
      <c r="AC257" s="172" t="s">
        <v>153</v>
      </c>
      <c r="AD257" s="173" t="s">
        <v>153</v>
      </c>
      <c r="AE257" s="174" t="s">
        <v>153</v>
      </c>
      <c r="AF257" s="175" t="s">
        <v>153</v>
      </c>
      <c r="AG257" s="176" t="s">
        <v>153</v>
      </c>
      <c r="AH257" s="177" t="s">
        <v>153</v>
      </c>
      <c r="AI257" s="178" t="s">
        <v>153</v>
      </c>
      <c r="AJ257" s="179" t="s">
        <v>153</v>
      </c>
      <c r="AK257" s="180" t="s">
        <v>153</v>
      </c>
      <c r="AL257" s="181" t="s">
        <v>153</v>
      </c>
      <c r="AM257" s="182" t="s">
        <v>153</v>
      </c>
      <c r="AN257" s="183" t="s">
        <v>2458</v>
      </c>
      <c r="AO257" s="184" t="s">
        <v>153</v>
      </c>
      <c r="AP257" s="185" t="s">
        <v>153</v>
      </c>
      <c r="AQ257" s="186" t="s">
        <v>153</v>
      </c>
      <c r="AR257" s="187" t="s">
        <v>153</v>
      </c>
      <c r="AS257" s="188" t="s">
        <v>153</v>
      </c>
      <c r="AT257" s="189" t="s">
        <v>5633</v>
      </c>
      <c r="AU257" s="190" t="s">
        <v>5634</v>
      </c>
      <c r="AV257" s="191" t="s">
        <v>5635</v>
      </c>
      <c r="AW257" s="192" t="s">
        <v>5636</v>
      </c>
      <c r="AX257" s="193" t="s">
        <v>177</v>
      </c>
      <c r="AY257" s="194" t="s">
        <v>5637</v>
      </c>
      <c r="AZ257" s="195" t="s">
        <v>179</v>
      </c>
      <c r="BA257" s="196" t="s">
        <v>153</v>
      </c>
      <c r="BB257" s="197" t="s">
        <v>153</v>
      </c>
      <c r="BC257" s="198" t="s">
        <v>153</v>
      </c>
      <c r="BD257" s="199" t="s">
        <v>180</v>
      </c>
      <c r="BE257" s="200" t="s">
        <v>181</v>
      </c>
      <c r="BF257" s="201" t="s">
        <v>5638</v>
      </c>
      <c r="BG257" s="202" t="s">
        <v>153</v>
      </c>
      <c r="BH257" s="203" t="s">
        <v>153</v>
      </c>
      <c r="BI257" s="204" t="s">
        <v>1309</v>
      </c>
      <c r="BJ257" s="205" t="s">
        <v>153</v>
      </c>
      <c r="BK257" s="206" t="s">
        <v>153</v>
      </c>
      <c r="BL257" s="207" t="s">
        <v>153</v>
      </c>
      <c r="BM257" s="208" t="s">
        <v>153</v>
      </c>
      <c r="BN257" s="209" t="s">
        <v>153</v>
      </c>
      <c r="BO257" s="210" t="s">
        <v>5639</v>
      </c>
      <c r="BP257" s="211" t="s">
        <v>5640</v>
      </c>
      <c r="BQ257" s="212">
        <v>34638</v>
      </c>
      <c r="BR257" s="213" t="s">
        <v>153</v>
      </c>
      <c r="BS257" s="214" t="s">
        <v>153</v>
      </c>
      <c r="BT257" s="215" t="s">
        <v>153</v>
      </c>
      <c r="BU257" s="216" t="s">
        <v>153</v>
      </c>
      <c r="BV257" s="217" t="s">
        <v>251</v>
      </c>
      <c r="BW257" s="218" t="s">
        <v>153</v>
      </c>
      <c r="BX257" s="219" t="s">
        <v>153</v>
      </c>
      <c r="BY257" s="220" t="s">
        <v>252</v>
      </c>
      <c r="BZ257" s="221" t="s">
        <v>153</v>
      </c>
      <c r="CA257" s="222" t="s">
        <v>190</v>
      </c>
      <c r="CB257" s="223">
        <v>38782</v>
      </c>
      <c r="CC257" s="224">
        <v>14400</v>
      </c>
      <c r="CD257" s="225" t="s">
        <v>186</v>
      </c>
      <c r="CE257" s="226">
        <v>14400</v>
      </c>
      <c r="CF257" s="227" t="s">
        <v>186</v>
      </c>
      <c r="CG257" s="228" t="s">
        <v>226</v>
      </c>
      <c r="CH257" s="229" t="s">
        <v>153</v>
      </c>
      <c r="CI257" s="230" t="s">
        <v>153</v>
      </c>
      <c r="CJ257" s="231" t="s">
        <v>225</v>
      </c>
      <c r="CK257" s="232">
        <v>38782</v>
      </c>
      <c r="CL257" s="233" t="s">
        <v>153</v>
      </c>
      <c r="CM257" s="234" t="s">
        <v>153</v>
      </c>
      <c r="CN257" s="235" t="s">
        <v>190</v>
      </c>
      <c r="CO257" s="236" t="s">
        <v>153</v>
      </c>
      <c r="CP257" s="237" t="s">
        <v>153</v>
      </c>
      <c r="CQ257" s="238" t="s">
        <v>153</v>
      </c>
      <c r="CR257" s="239" t="s">
        <v>153</v>
      </c>
      <c r="CS257" s="240" t="s">
        <v>153</v>
      </c>
      <c r="CT257" s="241" t="s">
        <v>153</v>
      </c>
      <c r="CU257" s="242" t="s">
        <v>153</v>
      </c>
      <c r="CV257" s="243" t="s">
        <v>153</v>
      </c>
      <c r="CW257" s="244" t="s">
        <v>153</v>
      </c>
      <c r="CX257" s="245" t="s">
        <v>153</v>
      </c>
      <c r="CY257" s="246" t="s">
        <v>153</v>
      </c>
      <c r="CZ257" s="247" t="s">
        <v>153</v>
      </c>
      <c r="DA257" s="248" t="s">
        <v>153</v>
      </c>
      <c r="DB257" s="249" t="s">
        <v>153</v>
      </c>
      <c r="DC257" s="250" t="s">
        <v>153</v>
      </c>
      <c r="DD257" s="251" t="s">
        <v>153</v>
      </c>
      <c r="DE257" s="252" t="s">
        <v>153</v>
      </c>
      <c r="DF257" s="253" t="s">
        <v>153</v>
      </c>
      <c r="DG257" s="254" t="s">
        <v>153</v>
      </c>
      <c r="DH257" s="255" t="s">
        <v>153</v>
      </c>
      <c r="DI257" s="256" t="s">
        <v>153</v>
      </c>
      <c r="DJ257" s="257" t="s">
        <v>153</v>
      </c>
      <c r="DK257" s="258" t="s">
        <v>153</v>
      </c>
      <c r="DL257" s="259" t="s">
        <v>153</v>
      </c>
      <c r="DM257" s="260" t="s">
        <v>153</v>
      </c>
      <c r="DN257" s="261" t="s">
        <v>153</v>
      </c>
      <c r="DO257" s="262" t="s">
        <v>153</v>
      </c>
      <c r="DP257" s="263" t="s">
        <v>153</v>
      </c>
      <c r="DQ257" s="264" t="s">
        <v>153</v>
      </c>
      <c r="DR257" s="265" t="s">
        <v>153</v>
      </c>
      <c r="DS257" s="266" t="s">
        <v>153</v>
      </c>
      <c r="DT257" s="267" t="s">
        <v>153</v>
      </c>
      <c r="DU257" s="268" t="s">
        <v>153</v>
      </c>
      <c r="DV257" s="269" t="s">
        <v>153</v>
      </c>
      <c r="DW257" s="270" t="s">
        <v>153</v>
      </c>
      <c r="DX257" s="271" t="s">
        <v>153</v>
      </c>
      <c r="DY257" s="272" t="s">
        <v>153</v>
      </c>
      <c r="DZ257" s="273" t="s">
        <v>191</v>
      </c>
      <c r="EA257" s="274">
        <v>44217</v>
      </c>
      <c r="EB257" s="275">
        <v>14400</v>
      </c>
      <c r="EC257" s="276">
        <v>38782</v>
      </c>
      <c r="ED257" s="277" t="s">
        <v>226</v>
      </c>
      <c r="EE257" s="279" t="str">
        <f>HYPERLINK("https://my.pitchbook.com?c=58483-54", "View company online")</f>
        <v>View company online</v>
      </c>
    </row>
    <row r="258" spans="1:135" x14ac:dyDescent="0.45">
      <c r="A258" s="10" t="s">
        <v>5641</v>
      </c>
      <c r="B258" s="11" t="s">
        <v>5642</v>
      </c>
      <c r="C258" s="12" t="s">
        <v>153</v>
      </c>
      <c r="D258" s="13" t="s">
        <v>153</v>
      </c>
      <c r="E258" s="14" t="s">
        <v>5643</v>
      </c>
      <c r="F258" s="15" t="s">
        <v>153</v>
      </c>
      <c r="G258" s="16" t="s">
        <v>5644</v>
      </c>
      <c r="H258" s="17" t="s">
        <v>153</v>
      </c>
      <c r="I258" s="18" t="s">
        <v>5641</v>
      </c>
      <c r="J258" s="19" t="s">
        <v>5645</v>
      </c>
      <c r="K258" s="20" t="s">
        <v>232</v>
      </c>
      <c r="L258" s="21" t="s">
        <v>233</v>
      </c>
      <c r="M258" s="22" t="s">
        <v>3219</v>
      </c>
      <c r="N258" s="23" t="s">
        <v>3220</v>
      </c>
      <c r="O258" s="24" t="s">
        <v>5646</v>
      </c>
      <c r="P258" s="25" t="s">
        <v>5647</v>
      </c>
      <c r="Q258" s="26" t="s">
        <v>204</v>
      </c>
      <c r="R258" s="27">
        <v>14320.76</v>
      </c>
      <c r="S258" s="28" t="s">
        <v>163</v>
      </c>
      <c r="T258" s="29" t="s">
        <v>1392</v>
      </c>
      <c r="U258" s="30" t="s">
        <v>206</v>
      </c>
      <c r="V258" s="31" t="s">
        <v>5648</v>
      </c>
      <c r="W258" s="32" t="s">
        <v>153</v>
      </c>
      <c r="X258" s="33" t="s">
        <v>153</v>
      </c>
      <c r="Y258" s="34" t="s">
        <v>153</v>
      </c>
      <c r="Z258" s="35" t="s">
        <v>153</v>
      </c>
      <c r="AA258" s="36">
        <v>2003</v>
      </c>
      <c r="AB258" s="37" t="s">
        <v>153</v>
      </c>
      <c r="AC258" s="38" t="s">
        <v>153</v>
      </c>
      <c r="AD258" s="39" t="s">
        <v>153</v>
      </c>
      <c r="AE258" s="40" t="s">
        <v>153</v>
      </c>
      <c r="AF258" s="41" t="s">
        <v>153</v>
      </c>
      <c r="AG258" s="42" t="s">
        <v>153</v>
      </c>
      <c r="AH258" s="43" t="s">
        <v>153</v>
      </c>
      <c r="AI258" s="44" t="s">
        <v>153</v>
      </c>
      <c r="AJ258" s="45" t="s">
        <v>153</v>
      </c>
      <c r="AK258" s="46" t="s">
        <v>153</v>
      </c>
      <c r="AL258" s="47" t="s">
        <v>153</v>
      </c>
      <c r="AM258" s="48" t="s">
        <v>153</v>
      </c>
      <c r="AN258" s="49" t="s">
        <v>918</v>
      </c>
      <c r="AO258" s="50" t="s">
        <v>5649</v>
      </c>
      <c r="AP258" s="51" t="s">
        <v>5650</v>
      </c>
      <c r="AQ258" s="52" t="s">
        <v>573</v>
      </c>
      <c r="AR258" s="53" t="s">
        <v>153</v>
      </c>
      <c r="AS258" s="54" t="s">
        <v>153</v>
      </c>
      <c r="AT258" s="55" t="s">
        <v>5651</v>
      </c>
      <c r="AU258" s="56" t="s">
        <v>5652</v>
      </c>
      <c r="AV258" s="57" t="s">
        <v>153</v>
      </c>
      <c r="AW258" s="58" t="s">
        <v>5653</v>
      </c>
      <c r="AX258" s="59" t="s">
        <v>5654</v>
      </c>
      <c r="AY258" s="60" t="s">
        <v>153</v>
      </c>
      <c r="AZ258" s="61" t="s">
        <v>1519</v>
      </c>
      <c r="BA258" s="62" t="s">
        <v>153</v>
      </c>
      <c r="BB258" s="63" t="s">
        <v>153</v>
      </c>
      <c r="BC258" s="64" t="s">
        <v>153</v>
      </c>
      <c r="BD258" s="65" t="s">
        <v>1406</v>
      </c>
      <c r="BE258" s="66" t="s">
        <v>1407</v>
      </c>
      <c r="BF258" s="67" t="s">
        <v>5655</v>
      </c>
      <c r="BG258" s="68" t="s">
        <v>5656</v>
      </c>
      <c r="BH258" s="69">
        <v>3</v>
      </c>
      <c r="BI258" s="70" t="s">
        <v>153</v>
      </c>
      <c r="BJ258" s="71" t="s">
        <v>153</v>
      </c>
      <c r="BK258" s="72" t="s">
        <v>153</v>
      </c>
      <c r="BL258" s="73" t="s">
        <v>5657</v>
      </c>
      <c r="BM258" s="74" t="s">
        <v>153</v>
      </c>
      <c r="BN258" s="75" t="s">
        <v>153</v>
      </c>
      <c r="BO258" s="76" t="s">
        <v>153</v>
      </c>
      <c r="BP258" s="77" t="s">
        <v>153</v>
      </c>
      <c r="BQ258" s="78">
        <v>43034</v>
      </c>
      <c r="BR258" s="79" t="s">
        <v>153</v>
      </c>
      <c r="BS258" s="80" t="s">
        <v>153</v>
      </c>
      <c r="BT258" s="81" t="s">
        <v>153</v>
      </c>
      <c r="BU258" s="82" t="s">
        <v>153</v>
      </c>
      <c r="BV258" s="83" t="s">
        <v>906</v>
      </c>
      <c r="BW258" s="84" t="s">
        <v>153</v>
      </c>
      <c r="BX258" s="85" t="s">
        <v>153</v>
      </c>
      <c r="BY258" s="86" t="s">
        <v>225</v>
      </c>
      <c r="BZ258" s="87" t="s">
        <v>153</v>
      </c>
      <c r="CA258" s="88" t="s">
        <v>190</v>
      </c>
      <c r="CB258" s="89">
        <v>43842</v>
      </c>
      <c r="CC258" s="90">
        <v>14320.76</v>
      </c>
      <c r="CD258" s="91" t="s">
        <v>186</v>
      </c>
      <c r="CE258" s="92" t="s">
        <v>153</v>
      </c>
      <c r="CF258" s="93" t="s">
        <v>153</v>
      </c>
      <c r="CG258" s="94" t="s">
        <v>225</v>
      </c>
      <c r="CH258" s="95" t="s">
        <v>225</v>
      </c>
      <c r="CI258" s="96" t="s">
        <v>153</v>
      </c>
      <c r="CJ258" s="97" t="s">
        <v>225</v>
      </c>
      <c r="CK258" s="98">
        <v>43842</v>
      </c>
      <c r="CL258" s="99" t="s">
        <v>153</v>
      </c>
      <c r="CM258" s="100" t="s">
        <v>153</v>
      </c>
      <c r="CN258" s="101" t="s">
        <v>190</v>
      </c>
      <c r="CO258" s="102">
        <v>-1.85</v>
      </c>
      <c r="CP258" s="103">
        <v>2</v>
      </c>
      <c r="CQ258" s="104">
        <v>-0.24</v>
      </c>
      <c r="CR258" s="105">
        <v>-14.97</v>
      </c>
      <c r="CS258" s="106">
        <v>-1.85</v>
      </c>
      <c r="CT258" s="107">
        <v>2</v>
      </c>
      <c r="CU258" s="108" t="s">
        <v>153</v>
      </c>
      <c r="CV258" s="109" t="s">
        <v>153</v>
      </c>
      <c r="CW258" s="110" t="s">
        <v>153</v>
      </c>
      <c r="CX258" s="111" t="s">
        <v>153</v>
      </c>
      <c r="CY258" s="112">
        <v>-1.85</v>
      </c>
      <c r="CZ258" s="113">
        <v>1</v>
      </c>
      <c r="DA258" s="114" t="s">
        <v>153</v>
      </c>
      <c r="DB258" s="115" t="s">
        <v>153</v>
      </c>
      <c r="DC258" s="116">
        <v>38.81</v>
      </c>
      <c r="DD258" s="117">
        <v>98</v>
      </c>
      <c r="DE258" s="118">
        <v>-0.81</v>
      </c>
      <c r="DF258" s="119">
        <v>-2.0499999999999998</v>
      </c>
      <c r="DG258" s="120">
        <v>38.81</v>
      </c>
      <c r="DH258" s="121">
        <v>98</v>
      </c>
      <c r="DI258" s="122" t="s">
        <v>153</v>
      </c>
      <c r="DJ258" s="123" t="s">
        <v>153</v>
      </c>
      <c r="DK258" s="124" t="s">
        <v>153</v>
      </c>
      <c r="DL258" s="125" t="s">
        <v>153</v>
      </c>
      <c r="DM258" s="126">
        <v>38.81</v>
      </c>
      <c r="DN258" s="127">
        <v>98</v>
      </c>
      <c r="DO258" s="128" t="s">
        <v>153</v>
      </c>
      <c r="DP258" s="129" t="s">
        <v>153</v>
      </c>
      <c r="DQ258" s="130" t="s">
        <v>153</v>
      </c>
      <c r="DR258" s="131" t="s">
        <v>153</v>
      </c>
      <c r="DS258" s="132" t="s">
        <v>153</v>
      </c>
      <c r="DT258" s="133">
        <v>626</v>
      </c>
      <c r="DU258" s="134">
        <v>-15</v>
      </c>
      <c r="DV258" s="135">
        <v>-2.34</v>
      </c>
      <c r="DW258" s="136" t="s">
        <v>153</v>
      </c>
      <c r="DX258" s="137" t="s">
        <v>153</v>
      </c>
      <c r="DY258" s="138" t="s">
        <v>153</v>
      </c>
      <c r="DZ258" s="139" t="s">
        <v>191</v>
      </c>
      <c r="EA258" s="140">
        <v>43887</v>
      </c>
      <c r="EB258" s="141" t="s">
        <v>153</v>
      </c>
      <c r="EC258" s="142" t="s">
        <v>153</v>
      </c>
      <c r="ED258" s="143" t="s">
        <v>153</v>
      </c>
      <c r="EE258" s="278" t="str">
        <f>HYPERLINK("https://my.pitchbook.com?c=222531-85", "View company online")</f>
        <v>View company online</v>
      </c>
    </row>
    <row r="259" spans="1:135" x14ac:dyDescent="0.45">
      <c r="A259" s="144" t="s">
        <v>5658</v>
      </c>
      <c r="B259" s="145" t="s">
        <v>5659</v>
      </c>
      <c r="C259" s="146" t="s">
        <v>153</v>
      </c>
      <c r="D259" s="147" t="s">
        <v>153</v>
      </c>
      <c r="E259" s="148" t="s">
        <v>153</v>
      </c>
      <c r="F259" s="149" t="s">
        <v>153</v>
      </c>
      <c r="G259" s="150" t="s">
        <v>5660</v>
      </c>
      <c r="H259" s="151" t="s">
        <v>5661</v>
      </c>
      <c r="I259" s="152" t="s">
        <v>5658</v>
      </c>
      <c r="J259" s="153" t="s">
        <v>5662</v>
      </c>
      <c r="K259" s="154" t="s">
        <v>257</v>
      </c>
      <c r="L259" s="155" t="s">
        <v>258</v>
      </c>
      <c r="M259" s="156" t="s">
        <v>259</v>
      </c>
      <c r="N259" s="157" t="s">
        <v>3345</v>
      </c>
      <c r="O259" s="158" t="s">
        <v>153</v>
      </c>
      <c r="P259" s="159" t="s">
        <v>5663</v>
      </c>
      <c r="Q259" s="160" t="s">
        <v>289</v>
      </c>
      <c r="R259" s="161">
        <v>160.85</v>
      </c>
      <c r="S259" s="162" t="s">
        <v>290</v>
      </c>
      <c r="T259" s="163" t="s">
        <v>205</v>
      </c>
      <c r="U259" s="164" t="s">
        <v>941</v>
      </c>
      <c r="V259" s="165" t="s">
        <v>5664</v>
      </c>
      <c r="W259" s="166">
        <v>628</v>
      </c>
      <c r="X259" s="167" t="s">
        <v>5665</v>
      </c>
      <c r="Y259" s="168" t="s">
        <v>153</v>
      </c>
      <c r="Z259" s="169" t="s">
        <v>153</v>
      </c>
      <c r="AA259" s="170">
        <v>2003</v>
      </c>
      <c r="AB259" s="171" t="s">
        <v>153</v>
      </c>
      <c r="AC259" s="172" t="s">
        <v>153</v>
      </c>
      <c r="AD259" s="173" t="s">
        <v>153</v>
      </c>
      <c r="AE259" s="174" t="s">
        <v>153</v>
      </c>
      <c r="AF259" s="175" t="s">
        <v>153</v>
      </c>
      <c r="AG259" s="176" t="s">
        <v>153</v>
      </c>
      <c r="AH259" s="177" t="s">
        <v>153</v>
      </c>
      <c r="AI259" s="178" t="s">
        <v>153</v>
      </c>
      <c r="AJ259" s="179" t="s">
        <v>153</v>
      </c>
      <c r="AK259" s="180" t="s">
        <v>153</v>
      </c>
      <c r="AL259" s="181" t="s">
        <v>153</v>
      </c>
      <c r="AM259" s="182" t="s">
        <v>153</v>
      </c>
      <c r="AN259" s="183" t="s">
        <v>5666</v>
      </c>
      <c r="AO259" s="184" t="s">
        <v>153</v>
      </c>
      <c r="AP259" s="185" t="s">
        <v>153</v>
      </c>
      <c r="AQ259" s="186" t="s">
        <v>153</v>
      </c>
      <c r="AR259" s="187" t="s">
        <v>153</v>
      </c>
      <c r="AS259" s="188" t="s">
        <v>153</v>
      </c>
      <c r="AT259" s="189" t="s">
        <v>997</v>
      </c>
      <c r="AU259" s="190" t="s">
        <v>5667</v>
      </c>
      <c r="AV259" s="191" t="s">
        <v>5668</v>
      </c>
      <c r="AW259" s="192" t="s">
        <v>999</v>
      </c>
      <c r="AX259" s="193" t="s">
        <v>308</v>
      </c>
      <c r="AY259" s="194" t="s">
        <v>2294</v>
      </c>
      <c r="AZ259" s="195" t="s">
        <v>215</v>
      </c>
      <c r="BA259" s="196" t="s">
        <v>153</v>
      </c>
      <c r="BB259" s="197" t="s">
        <v>153</v>
      </c>
      <c r="BC259" s="198" t="s">
        <v>153</v>
      </c>
      <c r="BD259" s="199" t="s">
        <v>216</v>
      </c>
      <c r="BE259" s="200" t="s">
        <v>217</v>
      </c>
      <c r="BF259" s="201" t="s">
        <v>5669</v>
      </c>
      <c r="BG259" s="202" t="s">
        <v>5670</v>
      </c>
      <c r="BH259" s="203">
        <v>2</v>
      </c>
      <c r="BI259" s="204" t="s">
        <v>265</v>
      </c>
      <c r="BJ259" s="205" t="s">
        <v>5671</v>
      </c>
      <c r="BK259" s="206" t="s">
        <v>153</v>
      </c>
      <c r="BL259" s="207" t="s">
        <v>153</v>
      </c>
      <c r="BM259" s="208" t="s">
        <v>5672</v>
      </c>
      <c r="BN259" s="209" t="s">
        <v>153</v>
      </c>
      <c r="BO259" s="210" t="s">
        <v>5673</v>
      </c>
      <c r="BP259" s="211" t="s">
        <v>5674</v>
      </c>
      <c r="BQ259" s="212" t="s">
        <v>153</v>
      </c>
      <c r="BR259" s="213" t="s">
        <v>153</v>
      </c>
      <c r="BS259" s="214" t="s">
        <v>153</v>
      </c>
      <c r="BT259" s="215" t="s">
        <v>153</v>
      </c>
      <c r="BU259" s="216" t="s">
        <v>153</v>
      </c>
      <c r="BV259" s="217" t="s">
        <v>471</v>
      </c>
      <c r="BW259" s="218" t="s">
        <v>153</v>
      </c>
      <c r="BX259" s="219" t="s">
        <v>153</v>
      </c>
      <c r="BY259" s="220" t="s">
        <v>472</v>
      </c>
      <c r="BZ259" s="221" t="s">
        <v>153</v>
      </c>
      <c r="CA259" s="222" t="s">
        <v>190</v>
      </c>
      <c r="CB259" s="223">
        <v>42641</v>
      </c>
      <c r="CC259" s="224">
        <v>14300</v>
      </c>
      <c r="CD259" s="225" t="s">
        <v>187</v>
      </c>
      <c r="CE259" s="226">
        <v>14300</v>
      </c>
      <c r="CF259" s="227" t="s">
        <v>187</v>
      </c>
      <c r="CG259" s="228" t="s">
        <v>226</v>
      </c>
      <c r="CH259" s="229" t="s">
        <v>153</v>
      </c>
      <c r="CI259" s="230" t="s">
        <v>153</v>
      </c>
      <c r="CJ259" s="231" t="s">
        <v>225</v>
      </c>
      <c r="CK259" s="232">
        <v>42641</v>
      </c>
      <c r="CL259" s="233" t="s">
        <v>153</v>
      </c>
      <c r="CM259" s="234" t="s">
        <v>153</v>
      </c>
      <c r="CN259" s="235" t="s">
        <v>190</v>
      </c>
      <c r="CO259" s="236" t="s">
        <v>153</v>
      </c>
      <c r="CP259" s="237" t="s">
        <v>153</v>
      </c>
      <c r="CQ259" s="238" t="s">
        <v>153</v>
      </c>
      <c r="CR259" s="239" t="s">
        <v>153</v>
      </c>
      <c r="CS259" s="240" t="s">
        <v>153</v>
      </c>
      <c r="CT259" s="241" t="s">
        <v>153</v>
      </c>
      <c r="CU259" s="242" t="s">
        <v>153</v>
      </c>
      <c r="CV259" s="243" t="s">
        <v>153</v>
      </c>
      <c r="CW259" s="244" t="s">
        <v>153</v>
      </c>
      <c r="CX259" s="245" t="s">
        <v>153</v>
      </c>
      <c r="CY259" s="246" t="s">
        <v>153</v>
      </c>
      <c r="CZ259" s="247" t="s">
        <v>153</v>
      </c>
      <c r="DA259" s="248" t="s">
        <v>153</v>
      </c>
      <c r="DB259" s="249" t="s">
        <v>153</v>
      </c>
      <c r="DC259" s="250" t="s">
        <v>153</v>
      </c>
      <c r="DD259" s="251" t="s">
        <v>153</v>
      </c>
      <c r="DE259" s="252" t="s">
        <v>153</v>
      </c>
      <c r="DF259" s="253" t="s">
        <v>153</v>
      </c>
      <c r="DG259" s="254" t="s">
        <v>153</v>
      </c>
      <c r="DH259" s="255" t="s">
        <v>153</v>
      </c>
      <c r="DI259" s="256" t="s">
        <v>153</v>
      </c>
      <c r="DJ259" s="257" t="s">
        <v>153</v>
      </c>
      <c r="DK259" s="258" t="s">
        <v>153</v>
      </c>
      <c r="DL259" s="259" t="s">
        <v>153</v>
      </c>
      <c r="DM259" s="260" t="s">
        <v>153</v>
      </c>
      <c r="DN259" s="261" t="s">
        <v>153</v>
      </c>
      <c r="DO259" s="262" t="s">
        <v>153</v>
      </c>
      <c r="DP259" s="263" t="s">
        <v>153</v>
      </c>
      <c r="DQ259" s="264" t="s">
        <v>153</v>
      </c>
      <c r="DR259" s="265" t="s">
        <v>153</v>
      </c>
      <c r="DS259" s="266" t="s">
        <v>153</v>
      </c>
      <c r="DT259" s="267" t="s">
        <v>153</v>
      </c>
      <c r="DU259" s="268" t="s">
        <v>153</v>
      </c>
      <c r="DV259" s="269" t="s">
        <v>153</v>
      </c>
      <c r="DW259" s="270" t="s">
        <v>153</v>
      </c>
      <c r="DX259" s="271" t="s">
        <v>153</v>
      </c>
      <c r="DY259" s="272" t="s">
        <v>153</v>
      </c>
      <c r="DZ259" s="273" t="s">
        <v>191</v>
      </c>
      <c r="EA259" s="274">
        <v>44322</v>
      </c>
      <c r="EB259" s="275">
        <v>14300</v>
      </c>
      <c r="EC259" s="276">
        <v>42641</v>
      </c>
      <c r="ED259" s="277" t="s">
        <v>226</v>
      </c>
      <c r="EE259" s="279" t="str">
        <f>HYPERLINK("https://my.pitchbook.com?c=41950-72", "View company online")</f>
        <v>View company online</v>
      </c>
    </row>
    <row r="260" spans="1:135" x14ac:dyDescent="0.45">
      <c r="A260" s="10" t="s">
        <v>5675</v>
      </c>
      <c r="B260" s="11" t="s">
        <v>5676</v>
      </c>
      <c r="C260" s="12" t="s">
        <v>153</v>
      </c>
      <c r="D260" s="13" t="s">
        <v>153</v>
      </c>
      <c r="E260" s="14" t="s">
        <v>5677</v>
      </c>
      <c r="F260" s="15" t="s">
        <v>153</v>
      </c>
      <c r="G260" s="16" t="s">
        <v>5678</v>
      </c>
      <c r="H260" s="17" t="s">
        <v>153</v>
      </c>
      <c r="I260" s="18" t="s">
        <v>5675</v>
      </c>
      <c r="J260" s="19" t="s">
        <v>5679</v>
      </c>
      <c r="K260" s="20" t="s">
        <v>232</v>
      </c>
      <c r="L260" s="21" t="s">
        <v>233</v>
      </c>
      <c r="M260" s="22" t="s">
        <v>3219</v>
      </c>
      <c r="N260" s="23" t="s">
        <v>3220</v>
      </c>
      <c r="O260" s="24" t="s">
        <v>153</v>
      </c>
      <c r="P260" s="25" t="s">
        <v>5680</v>
      </c>
      <c r="Q260" s="26" t="s">
        <v>204</v>
      </c>
      <c r="R260" s="27" t="s">
        <v>153</v>
      </c>
      <c r="S260" s="28" t="s">
        <v>163</v>
      </c>
      <c r="T260" s="29" t="s">
        <v>164</v>
      </c>
      <c r="U260" s="30" t="s">
        <v>237</v>
      </c>
      <c r="V260" s="31" t="s">
        <v>5681</v>
      </c>
      <c r="W260" s="32">
        <v>12400</v>
      </c>
      <c r="X260" s="33" t="s">
        <v>5682</v>
      </c>
      <c r="Y260" s="34" t="s">
        <v>153</v>
      </c>
      <c r="Z260" s="35" t="s">
        <v>153</v>
      </c>
      <c r="AA260" s="36">
        <v>1887</v>
      </c>
      <c r="AB260" s="37" t="s">
        <v>5683</v>
      </c>
      <c r="AC260" s="38" t="s">
        <v>153</v>
      </c>
      <c r="AD260" s="39" t="s">
        <v>153</v>
      </c>
      <c r="AE260" s="40" t="s">
        <v>153</v>
      </c>
      <c r="AF260" s="41" t="s">
        <v>153</v>
      </c>
      <c r="AG260" s="42" t="s">
        <v>153</v>
      </c>
      <c r="AH260" s="43" t="s">
        <v>153</v>
      </c>
      <c r="AI260" s="44" t="s">
        <v>153</v>
      </c>
      <c r="AJ260" s="45" t="s">
        <v>153</v>
      </c>
      <c r="AK260" s="46" t="s">
        <v>153</v>
      </c>
      <c r="AL260" s="47" t="s">
        <v>153</v>
      </c>
      <c r="AM260" s="48" t="s">
        <v>153</v>
      </c>
      <c r="AN260" s="49" t="s">
        <v>4923</v>
      </c>
      <c r="AO260" s="50" t="s">
        <v>5684</v>
      </c>
      <c r="AP260" s="51" t="s">
        <v>5685</v>
      </c>
      <c r="AQ260" s="52" t="s">
        <v>3871</v>
      </c>
      <c r="AR260" s="53" t="s">
        <v>153</v>
      </c>
      <c r="AS260" s="54" t="s">
        <v>5686</v>
      </c>
      <c r="AT260" s="55" t="s">
        <v>5687</v>
      </c>
      <c r="AU260" s="56" t="s">
        <v>5688</v>
      </c>
      <c r="AV260" s="57" t="s">
        <v>153</v>
      </c>
      <c r="AW260" s="58" t="s">
        <v>5689</v>
      </c>
      <c r="AX260" s="59" t="s">
        <v>1128</v>
      </c>
      <c r="AY260" s="60" t="s">
        <v>5690</v>
      </c>
      <c r="AZ260" s="61" t="s">
        <v>215</v>
      </c>
      <c r="BA260" s="62" t="s">
        <v>5686</v>
      </c>
      <c r="BB260" s="63" t="s">
        <v>5691</v>
      </c>
      <c r="BC260" s="64" t="s">
        <v>153</v>
      </c>
      <c r="BD260" s="65" t="s">
        <v>216</v>
      </c>
      <c r="BE260" s="66" t="s">
        <v>217</v>
      </c>
      <c r="BF260" s="67" t="s">
        <v>5692</v>
      </c>
      <c r="BG260" s="68" t="s">
        <v>153</v>
      </c>
      <c r="BH260" s="69" t="s">
        <v>153</v>
      </c>
      <c r="BI260" s="70" t="s">
        <v>5683</v>
      </c>
      <c r="BJ260" s="71" t="s">
        <v>153</v>
      </c>
      <c r="BK260" s="72" t="s">
        <v>153</v>
      </c>
      <c r="BL260" s="73" t="s">
        <v>153</v>
      </c>
      <c r="BM260" s="74" t="s">
        <v>153</v>
      </c>
      <c r="BN260" s="75" t="s">
        <v>153</v>
      </c>
      <c r="BO260" s="76" t="s">
        <v>153</v>
      </c>
      <c r="BP260" s="77" t="s">
        <v>5693</v>
      </c>
      <c r="BQ260" s="78">
        <v>32958</v>
      </c>
      <c r="BR260" s="79" t="s">
        <v>153</v>
      </c>
      <c r="BS260" s="80" t="s">
        <v>153</v>
      </c>
      <c r="BT260" s="81" t="s">
        <v>153</v>
      </c>
      <c r="BU260" s="82" t="s">
        <v>153</v>
      </c>
      <c r="BV260" s="83" t="s">
        <v>251</v>
      </c>
      <c r="BW260" s="84" t="s">
        <v>153</v>
      </c>
      <c r="BX260" s="85" t="s">
        <v>153</v>
      </c>
      <c r="BY260" s="86" t="s">
        <v>252</v>
      </c>
      <c r="BZ260" s="87" t="s">
        <v>153</v>
      </c>
      <c r="CA260" s="88" t="s">
        <v>190</v>
      </c>
      <c r="CB260" s="89">
        <v>38289</v>
      </c>
      <c r="CC260" s="90">
        <v>14300</v>
      </c>
      <c r="CD260" s="91" t="s">
        <v>186</v>
      </c>
      <c r="CE260" s="92">
        <v>14300</v>
      </c>
      <c r="CF260" s="93" t="s">
        <v>186</v>
      </c>
      <c r="CG260" s="94" t="s">
        <v>226</v>
      </c>
      <c r="CH260" s="95" t="s">
        <v>153</v>
      </c>
      <c r="CI260" s="96" t="s">
        <v>153</v>
      </c>
      <c r="CJ260" s="97" t="s">
        <v>225</v>
      </c>
      <c r="CK260" s="98">
        <v>38289</v>
      </c>
      <c r="CL260" s="99" t="s">
        <v>153</v>
      </c>
      <c r="CM260" s="100" t="s">
        <v>153</v>
      </c>
      <c r="CN260" s="101" t="s">
        <v>190</v>
      </c>
      <c r="CO260" s="102">
        <v>1.1299999999999999</v>
      </c>
      <c r="CP260" s="103">
        <v>96</v>
      </c>
      <c r="CQ260" s="104">
        <v>0.02</v>
      </c>
      <c r="CR260" s="105">
        <v>1.69</v>
      </c>
      <c r="CS260" s="106">
        <v>1.89</v>
      </c>
      <c r="CT260" s="107">
        <v>98</v>
      </c>
      <c r="CU260" s="108" t="s">
        <v>153</v>
      </c>
      <c r="CV260" s="109" t="s">
        <v>153</v>
      </c>
      <c r="CW260" s="110">
        <v>3.29</v>
      </c>
      <c r="CX260" s="111">
        <v>90</v>
      </c>
      <c r="CY260" s="112">
        <v>0.49</v>
      </c>
      <c r="CZ260" s="113">
        <v>94</v>
      </c>
      <c r="DA260" s="114" t="s">
        <v>153</v>
      </c>
      <c r="DB260" s="115" t="s">
        <v>153</v>
      </c>
      <c r="DC260" s="116">
        <v>12.44</v>
      </c>
      <c r="DD260" s="117">
        <v>93</v>
      </c>
      <c r="DE260" s="118">
        <v>7.0000000000000007E-2</v>
      </c>
      <c r="DF260" s="119">
        <v>0.61</v>
      </c>
      <c r="DG260" s="120">
        <v>12.98</v>
      </c>
      <c r="DH260" s="121">
        <v>93</v>
      </c>
      <c r="DI260" s="122" t="s">
        <v>153</v>
      </c>
      <c r="DJ260" s="123" t="s">
        <v>153</v>
      </c>
      <c r="DK260" s="124">
        <v>7.84</v>
      </c>
      <c r="DL260" s="125">
        <v>83</v>
      </c>
      <c r="DM260" s="126">
        <v>18.13</v>
      </c>
      <c r="DN260" s="127">
        <v>94</v>
      </c>
      <c r="DO260" s="128" t="s">
        <v>153</v>
      </c>
      <c r="DP260" s="129" t="s">
        <v>153</v>
      </c>
      <c r="DQ260" s="130">
        <v>4684</v>
      </c>
      <c r="DR260" s="131">
        <v>-130</v>
      </c>
      <c r="DS260" s="132">
        <v>-2.7</v>
      </c>
      <c r="DT260" s="133">
        <v>290</v>
      </c>
      <c r="DU260" s="134">
        <v>1</v>
      </c>
      <c r="DV260" s="135">
        <v>0.35</v>
      </c>
      <c r="DW260" s="136" t="s">
        <v>153</v>
      </c>
      <c r="DX260" s="137" t="s">
        <v>153</v>
      </c>
      <c r="DY260" s="138" t="s">
        <v>153</v>
      </c>
      <c r="DZ260" s="139" t="s">
        <v>191</v>
      </c>
      <c r="EA260" s="140">
        <v>43940</v>
      </c>
      <c r="EB260" s="141">
        <v>14300</v>
      </c>
      <c r="EC260" s="142">
        <v>38289</v>
      </c>
      <c r="ED260" s="143" t="s">
        <v>226</v>
      </c>
      <c r="EE260" s="278" t="str">
        <f>HYPERLINK("https://my.pitchbook.com?c=60942-88", "View company online")</f>
        <v>View company online</v>
      </c>
    </row>
    <row r="261" spans="1:135" x14ac:dyDescent="0.45">
      <c r="A261" s="144" t="s">
        <v>5694</v>
      </c>
      <c r="B261" s="145" t="s">
        <v>5695</v>
      </c>
      <c r="C261" s="146" t="s">
        <v>153</v>
      </c>
      <c r="D261" s="147" t="s">
        <v>153</v>
      </c>
      <c r="E261" s="148" t="s">
        <v>153</v>
      </c>
      <c r="F261" s="149" t="s">
        <v>5696</v>
      </c>
      <c r="G261" s="150" t="s">
        <v>5697</v>
      </c>
      <c r="H261" s="151" t="s">
        <v>5698</v>
      </c>
      <c r="I261" s="152" t="s">
        <v>5694</v>
      </c>
      <c r="J261" s="153" t="s">
        <v>5699</v>
      </c>
      <c r="K261" s="154" t="s">
        <v>198</v>
      </c>
      <c r="L261" s="155" t="s">
        <v>199</v>
      </c>
      <c r="M261" s="156" t="s">
        <v>3167</v>
      </c>
      <c r="N261" s="157" t="s">
        <v>5700</v>
      </c>
      <c r="O261" s="158" t="s">
        <v>5701</v>
      </c>
      <c r="P261" s="159" t="s">
        <v>5702</v>
      </c>
      <c r="Q261" s="160" t="s">
        <v>162</v>
      </c>
      <c r="R261" s="161">
        <v>8257.86</v>
      </c>
      <c r="S261" s="162" t="s">
        <v>290</v>
      </c>
      <c r="T261" s="163" t="s">
        <v>1392</v>
      </c>
      <c r="U261" s="164" t="s">
        <v>1791</v>
      </c>
      <c r="V261" s="165" t="s">
        <v>5703</v>
      </c>
      <c r="W261" s="166">
        <v>3781</v>
      </c>
      <c r="X261" s="167" t="s">
        <v>5704</v>
      </c>
      <c r="Y261" s="168" t="s">
        <v>153</v>
      </c>
      <c r="Z261" s="169" t="s">
        <v>153</v>
      </c>
      <c r="AA261" s="170">
        <v>2007</v>
      </c>
      <c r="AB261" s="171" t="s">
        <v>153</v>
      </c>
      <c r="AC261" s="172" t="s">
        <v>153</v>
      </c>
      <c r="AD261" s="173" t="s">
        <v>428</v>
      </c>
      <c r="AE261" s="174" t="s">
        <v>153</v>
      </c>
      <c r="AF261" s="175" t="s">
        <v>153</v>
      </c>
      <c r="AG261" s="176" t="s">
        <v>153</v>
      </c>
      <c r="AH261" s="177" t="s">
        <v>153</v>
      </c>
      <c r="AI261" s="178" t="s">
        <v>153</v>
      </c>
      <c r="AJ261" s="179" t="s">
        <v>153</v>
      </c>
      <c r="AK261" s="180" t="s">
        <v>153</v>
      </c>
      <c r="AL261" s="181" t="s">
        <v>153</v>
      </c>
      <c r="AM261" s="182" t="s">
        <v>153</v>
      </c>
      <c r="AN261" s="183" t="s">
        <v>3395</v>
      </c>
      <c r="AO261" s="184" t="s">
        <v>5705</v>
      </c>
      <c r="AP261" s="185" t="s">
        <v>5706</v>
      </c>
      <c r="AQ261" s="186" t="s">
        <v>512</v>
      </c>
      <c r="AR261" s="187" t="s">
        <v>5707</v>
      </c>
      <c r="AS261" s="188" t="s">
        <v>5708</v>
      </c>
      <c r="AT261" s="189" t="s">
        <v>5709</v>
      </c>
      <c r="AU261" s="190" t="s">
        <v>5710</v>
      </c>
      <c r="AV261" s="191" t="s">
        <v>5711</v>
      </c>
      <c r="AW261" s="192" t="s">
        <v>5712</v>
      </c>
      <c r="AX261" s="193" t="s">
        <v>1291</v>
      </c>
      <c r="AY261" s="194" t="s">
        <v>5713</v>
      </c>
      <c r="AZ261" s="195" t="s">
        <v>215</v>
      </c>
      <c r="BA261" s="196" t="s">
        <v>5708</v>
      </c>
      <c r="BB261" s="197" t="s">
        <v>153</v>
      </c>
      <c r="BC261" s="198" t="s">
        <v>5714</v>
      </c>
      <c r="BD261" s="199" t="s">
        <v>216</v>
      </c>
      <c r="BE261" s="200" t="s">
        <v>217</v>
      </c>
      <c r="BF261" s="201" t="s">
        <v>5715</v>
      </c>
      <c r="BG261" s="202" t="s">
        <v>5716</v>
      </c>
      <c r="BH261" s="203">
        <v>6</v>
      </c>
      <c r="BI261" s="204" t="s">
        <v>153</v>
      </c>
      <c r="BJ261" s="205" t="s">
        <v>5717</v>
      </c>
      <c r="BK261" s="206" t="s">
        <v>153</v>
      </c>
      <c r="BL261" s="207" t="s">
        <v>5718</v>
      </c>
      <c r="BM261" s="208" t="s">
        <v>5719</v>
      </c>
      <c r="BN261" s="209" t="s">
        <v>153</v>
      </c>
      <c r="BO261" s="210" t="s">
        <v>5720</v>
      </c>
      <c r="BP261" s="211" t="s">
        <v>5721</v>
      </c>
      <c r="BQ261" s="212">
        <v>39324</v>
      </c>
      <c r="BR261" s="213">
        <v>219</v>
      </c>
      <c r="BS261" s="214" t="s">
        <v>186</v>
      </c>
      <c r="BT261" s="215" t="s">
        <v>153</v>
      </c>
      <c r="BU261" s="216" t="s">
        <v>153</v>
      </c>
      <c r="BV261" s="217" t="s">
        <v>709</v>
      </c>
      <c r="BW261" s="218" t="s">
        <v>153</v>
      </c>
      <c r="BX261" s="219" t="s">
        <v>153</v>
      </c>
      <c r="BY261" s="220" t="s">
        <v>165</v>
      </c>
      <c r="BZ261" s="221" t="s">
        <v>153</v>
      </c>
      <c r="CA261" s="222" t="s">
        <v>190</v>
      </c>
      <c r="CB261" s="223">
        <v>43863</v>
      </c>
      <c r="CC261" s="224">
        <v>14300</v>
      </c>
      <c r="CD261" s="225" t="s">
        <v>186</v>
      </c>
      <c r="CE261" s="226">
        <v>14300</v>
      </c>
      <c r="CF261" s="227" t="s">
        <v>187</v>
      </c>
      <c r="CG261" s="228" t="s">
        <v>188</v>
      </c>
      <c r="CH261" s="229" t="s">
        <v>930</v>
      </c>
      <c r="CI261" s="230" t="s">
        <v>153</v>
      </c>
      <c r="CJ261" s="231" t="s">
        <v>165</v>
      </c>
      <c r="CK261" s="232">
        <v>43863</v>
      </c>
      <c r="CL261" s="233" t="s">
        <v>153</v>
      </c>
      <c r="CM261" s="234" t="s">
        <v>5722</v>
      </c>
      <c r="CN261" s="235" t="s">
        <v>190</v>
      </c>
      <c r="CO261" s="236">
        <v>-0.2</v>
      </c>
      <c r="CP261" s="237">
        <v>6</v>
      </c>
      <c r="CQ261" s="238">
        <v>-0.02</v>
      </c>
      <c r="CR261" s="239">
        <v>-14.49</v>
      </c>
      <c r="CS261" s="240">
        <v>-0.36</v>
      </c>
      <c r="CT261" s="241">
        <v>6</v>
      </c>
      <c r="CU261" s="242">
        <v>-0.03</v>
      </c>
      <c r="CV261" s="243">
        <v>36</v>
      </c>
      <c r="CW261" s="244">
        <v>-1.04</v>
      </c>
      <c r="CX261" s="245">
        <v>16</v>
      </c>
      <c r="CY261" s="246">
        <v>0.31</v>
      </c>
      <c r="CZ261" s="247">
        <v>93</v>
      </c>
      <c r="DA261" s="248">
        <v>-0.03</v>
      </c>
      <c r="DB261" s="249">
        <v>36</v>
      </c>
      <c r="DC261" s="250">
        <v>42.31</v>
      </c>
      <c r="DD261" s="251">
        <v>98</v>
      </c>
      <c r="DE261" s="252">
        <v>0.09</v>
      </c>
      <c r="DF261" s="253">
        <v>0.2</v>
      </c>
      <c r="DG261" s="254">
        <v>57.83</v>
      </c>
      <c r="DH261" s="255">
        <v>99</v>
      </c>
      <c r="DI261" s="256">
        <v>26.8</v>
      </c>
      <c r="DJ261" s="257">
        <v>93</v>
      </c>
      <c r="DK261" s="258">
        <v>15.84</v>
      </c>
      <c r="DL261" s="259">
        <v>89</v>
      </c>
      <c r="DM261" s="260">
        <v>99.81</v>
      </c>
      <c r="DN261" s="261">
        <v>99</v>
      </c>
      <c r="DO261" s="262">
        <v>26.8</v>
      </c>
      <c r="DP261" s="263">
        <v>93</v>
      </c>
      <c r="DQ261" s="264">
        <v>9417</v>
      </c>
      <c r="DR261" s="265">
        <v>-92</v>
      </c>
      <c r="DS261" s="266">
        <v>-0.97</v>
      </c>
      <c r="DT261" s="267">
        <v>1597</v>
      </c>
      <c r="DU261" s="268">
        <v>0</v>
      </c>
      <c r="DV261" s="269">
        <v>0</v>
      </c>
      <c r="DW261" s="270">
        <v>8415</v>
      </c>
      <c r="DX261" s="271">
        <v>1</v>
      </c>
      <c r="DY261" s="272">
        <v>0.01</v>
      </c>
      <c r="DZ261" s="273" t="s">
        <v>191</v>
      </c>
      <c r="EA261" s="274">
        <v>44398</v>
      </c>
      <c r="EB261" s="275">
        <v>14300</v>
      </c>
      <c r="EC261" s="276">
        <v>43863</v>
      </c>
      <c r="ED261" s="277" t="s">
        <v>188</v>
      </c>
      <c r="EE261" s="279" t="str">
        <f>HYPERLINK("https://my.pitchbook.com?c=10713-79", "View company online")</f>
        <v>View company online</v>
      </c>
    </row>
    <row r="262" spans="1:135" x14ac:dyDescent="0.45">
      <c r="A262" s="10" t="s">
        <v>5723</v>
      </c>
      <c r="B262" s="11" t="s">
        <v>5724</v>
      </c>
      <c r="C262" s="12" t="s">
        <v>153</v>
      </c>
      <c r="D262" s="13" t="s">
        <v>153</v>
      </c>
      <c r="E262" s="14" t="s">
        <v>153</v>
      </c>
      <c r="F262" s="15" t="s">
        <v>5725</v>
      </c>
      <c r="G262" s="16" t="s">
        <v>5726</v>
      </c>
      <c r="H262" s="17" t="s">
        <v>153</v>
      </c>
      <c r="I262" s="18" t="s">
        <v>5723</v>
      </c>
      <c r="J262" s="19" t="s">
        <v>5727</v>
      </c>
      <c r="K262" s="20" t="s">
        <v>232</v>
      </c>
      <c r="L262" s="21" t="s">
        <v>1016</v>
      </c>
      <c r="M262" s="22" t="s">
        <v>1639</v>
      </c>
      <c r="N262" s="23" t="s">
        <v>5728</v>
      </c>
      <c r="O262" s="24" t="s">
        <v>1167</v>
      </c>
      <c r="P262" s="25" t="s">
        <v>5729</v>
      </c>
      <c r="Q262" s="26" t="s">
        <v>564</v>
      </c>
      <c r="R262" s="27">
        <v>19469.939999999999</v>
      </c>
      <c r="S262" s="28" t="s">
        <v>290</v>
      </c>
      <c r="T262" s="29" t="s">
        <v>291</v>
      </c>
      <c r="U262" s="30" t="s">
        <v>1791</v>
      </c>
      <c r="V262" s="31" t="s">
        <v>5730</v>
      </c>
      <c r="W262" s="32">
        <v>8964</v>
      </c>
      <c r="X262" s="33" t="s">
        <v>5731</v>
      </c>
      <c r="Y262" s="34" t="s">
        <v>372</v>
      </c>
      <c r="Z262" s="35" t="s">
        <v>5725</v>
      </c>
      <c r="AA262" s="36">
        <v>2000</v>
      </c>
      <c r="AB262" s="37" t="s">
        <v>153</v>
      </c>
      <c r="AC262" s="38" t="s">
        <v>1929</v>
      </c>
      <c r="AD262" s="39" t="s">
        <v>5732</v>
      </c>
      <c r="AE262" s="40">
        <v>8558</v>
      </c>
      <c r="AF262" s="41">
        <v>5010</v>
      </c>
      <c r="AG262" s="42">
        <v>2085</v>
      </c>
      <c r="AH262" s="43">
        <v>79246.679999999993</v>
      </c>
      <c r="AI262" s="44">
        <v>4000</v>
      </c>
      <c r="AJ262" s="45">
        <v>3151</v>
      </c>
      <c r="AK262" s="46">
        <v>68297.25</v>
      </c>
      <c r="AL262" s="47">
        <v>15943</v>
      </c>
      <c r="AM262" s="48">
        <v>20.89</v>
      </c>
      <c r="AN262" s="49" t="s">
        <v>376</v>
      </c>
      <c r="AO262" s="50" t="s">
        <v>5733</v>
      </c>
      <c r="AP262" s="51" t="s">
        <v>5734</v>
      </c>
      <c r="AQ262" s="52" t="s">
        <v>4199</v>
      </c>
      <c r="AR262" s="53" t="s">
        <v>5735</v>
      </c>
      <c r="AS262" s="54" t="s">
        <v>5736</v>
      </c>
      <c r="AT262" s="55" t="s">
        <v>404</v>
      </c>
      <c r="AU262" s="56" t="s">
        <v>5737</v>
      </c>
      <c r="AV262" s="57" t="s">
        <v>5738</v>
      </c>
      <c r="AW262" s="58" t="s">
        <v>407</v>
      </c>
      <c r="AX262" s="59" t="s">
        <v>408</v>
      </c>
      <c r="AY262" s="60" t="s">
        <v>5739</v>
      </c>
      <c r="AZ262" s="61" t="s">
        <v>215</v>
      </c>
      <c r="BA262" s="62" t="s">
        <v>5736</v>
      </c>
      <c r="BB262" s="63" t="s">
        <v>5740</v>
      </c>
      <c r="BC262" s="64" t="s">
        <v>153</v>
      </c>
      <c r="BD262" s="65" t="s">
        <v>216</v>
      </c>
      <c r="BE262" s="66" t="s">
        <v>217</v>
      </c>
      <c r="BF262" s="67" t="s">
        <v>5741</v>
      </c>
      <c r="BG262" s="68" t="s">
        <v>5742</v>
      </c>
      <c r="BH262" s="69">
        <v>1</v>
      </c>
      <c r="BI262" s="70" t="s">
        <v>153</v>
      </c>
      <c r="BJ262" s="71" t="s">
        <v>5743</v>
      </c>
      <c r="BK262" s="72" t="s">
        <v>153</v>
      </c>
      <c r="BL262" s="73" t="s">
        <v>153</v>
      </c>
      <c r="BM262" s="74" t="s">
        <v>5744</v>
      </c>
      <c r="BN262" s="75" t="s">
        <v>153</v>
      </c>
      <c r="BO262" s="76" t="s">
        <v>153</v>
      </c>
      <c r="BP262" s="77" t="s">
        <v>5745</v>
      </c>
      <c r="BQ262" s="78">
        <v>36586</v>
      </c>
      <c r="BR262" s="79" t="s">
        <v>153</v>
      </c>
      <c r="BS262" s="80" t="s">
        <v>153</v>
      </c>
      <c r="BT262" s="81" t="s">
        <v>153</v>
      </c>
      <c r="BU262" s="82" t="s">
        <v>153</v>
      </c>
      <c r="BV262" s="83" t="s">
        <v>709</v>
      </c>
      <c r="BW262" s="84" t="s">
        <v>3593</v>
      </c>
      <c r="BX262" s="85" t="s">
        <v>153</v>
      </c>
      <c r="BY262" s="86" t="s">
        <v>165</v>
      </c>
      <c r="BZ262" s="87" t="s">
        <v>153</v>
      </c>
      <c r="CA262" s="88" t="s">
        <v>190</v>
      </c>
      <c r="CB262" s="89">
        <v>42465</v>
      </c>
      <c r="CC262" s="90">
        <v>14277.64</v>
      </c>
      <c r="CD262" s="91" t="s">
        <v>186</v>
      </c>
      <c r="CE262" s="92" t="s">
        <v>153</v>
      </c>
      <c r="CF262" s="93" t="s">
        <v>153</v>
      </c>
      <c r="CG262" s="94" t="s">
        <v>4289</v>
      </c>
      <c r="CH262" s="95" t="s">
        <v>3593</v>
      </c>
      <c r="CI262" s="96" t="s">
        <v>153</v>
      </c>
      <c r="CJ262" s="97" t="s">
        <v>4290</v>
      </c>
      <c r="CK262" s="98">
        <v>42465</v>
      </c>
      <c r="CL262" s="99">
        <v>14277.64</v>
      </c>
      <c r="CM262" s="100" t="s">
        <v>5746</v>
      </c>
      <c r="CN262" s="101" t="s">
        <v>190</v>
      </c>
      <c r="CO262" s="102">
        <v>-0.05</v>
      </c>
      <c r="CP262" s="103">
        <v>9</v>
      </c>
      <c r="CQ262" s="104">
        <v>-0.01</v>
      </c>
      <c r="CR262" s="105">
        <v>-36.64</v>
      </c>
      <c r="CS262" s="106">
        <v>-0.25</v>
      </c>
      <c r="CT262" s="107">
        <v>6</v>
      </c>
      <c r="CU262" s="108">
        <v>0.02</v>
      </c>
      <c r="CV262" s="109">
        <v>78</v>
      </c>
      <c r="CW262" s="110">
        <v>0.33</v>
      </c>
      <c r="CX262" s="111">
        <v>78</v>
      </c>
      <c r="CY262" s="112">
        <v>-0.83</v>
      </c>
      <c r="CZ262" s="113">
        <v>2</v>
      </c>
      <c r="DA262" s="114">
        <v>0.02</v>
      </c>
      <c r="DB262" s="115">
        <v>78</v>
      </c>
      <c r="DC262" s="116">
        <v>158.69</v>
      </c>
      <c r="DD262" s="117">
        <v>100</v>
      </c>
      <c r="DE262" s="118">
        <v>0.24</v>
      </c>
      <c r="DF262" s="119">
        <v>0.15</v>
      </c>
      <c r="DG262" s="120">
        <v>63.24</v>
      </c>
      <c r="DH262" s="121">
        <v>99</v>
      </c>
      <c r="DI262" s="122">
        <v>170.57</v>
      </c>
      <c r="DJ262" s="123">
        <v>99</v>
      </c>
      <c r="DK262" s="124">
        <v>19.29</v>
      </c>
      <c r="DL262" s="125">
        <v>91</v>
      </c>
      <c r="DM262" s="126">
        <v>107.19</v>
      </c>
      <c r="DN262" s="127">
        <v>99</v>
      </c>
      <c r="DO262" s="128">
        <v>170.57</v>
      </c>
      <c r="DP262" s="129">
        <v>99</v>
      </c>
      <c r="DQ262" s="130">
        <v>11414</v>
      </c>
      <c r="DR262" s="131">
        <v>85</v>
      </c>
      <c r="DS262" s="132">
        <v>0.75</v>
      </c>
      <c r="DT262" s="133">
        <v>1721</v>
      </c>
      <c r="DU262" s="134">
        <v>-16</v>
      </c>
      <c r="DV262" s="135">
        <v>-0.92</v>
      </c>
      <c r="DW262" s="136">
        <v>53543</v>
      </c>
      <c r="DX262" s="137">
        <v>41</v>
      </c>
      <c r="DY262" s="138">
        <v>0.08</v>
      </c>
      <c r="DZ262" s="139" t="s">
        <v>191</v>
      </c>
      <c r="EA262" s="140">
        <v>44400</v>
      </c>
      <c r="EB262" s="141">
        <v>3112.97</v>
      </c>
      <c r="EC262" s="142">
        <v>38915</v>
      </c>
      <c r="ED262" s="143" t="s">
        <v>5747</v>
      </c>
      <c r="EE262" s="278" t="str">
        <f>HYPERLINK("https://my.pitchbook.com?c=11746-54", "View company online")</f>
        <v>View company online</v>
      </c>
    </row>
    <row r="263" spans="1:135" x14ac:dyDescent="0.45">
      <c r="A263" s="144" t="s">
        <v>5748</v>
      </c>
      <c r="B263" s="145" t="s">
        <v>5749</v>
      </c>
      <c r="C263" s="146" t="s">
        <v>153</v>
      </c>
      <c r="D263" s="147" t="s">
        <v>153</v>
      </c>
      <c r="E263" s="148" t="s">
        <v>153</v>
      </c>
      <c r="F263" s="149" t="s">
        <v>5750</v>
      </c>
      <c r="G263" s="150" t="s">
        <v>5751</v>
      </c>
      <c r="H263" s="151" t="s">
        <v>153</v>
      </c>
      <c r="I263" s="152" t="s">
        <v>5748</v>
      </c>
      <c r="J263" s="153" t="s">
        <v>5752</v>
      </c>
      <c r="K263" s="154" t="s">
        <v>232</v>
      </c>
      <c r="L263" s="155" t="s">
        <v>233</v>
      </c>
      <c r="M263" s="156" t="s">
        <v>4039</v>
      </c>
      <c r="N263" s="157" t="s">
        <v>5193</v>
      </c>
      <c r="O263" s="158" t="s">
        <v>153</v>
      </c>
      <c r="P263" s="159" t="s">
        <v>5753</v>
      </c>
      <c r="Q263" s="160" t="s">
        <v>204</v>
      </c>
      <c r="R263" s="161" t="s">
        <v>153</v>
      </c>
      <c r="S263" s="162" t="s">
        <v>290</v>
      </c>
      <c r="T263" s="163" t="s">
        <v>205</v>
      </c>
      <c r="U263" s="164" t="s">
        <v>206</v>
      </c>
      <c r="V263" s="165" t="s">
        <v>5754</v>
      </c>
      <c r="W263" s="166">
        <v>23295</v>
      </c>
      <c r="X263" s="167" t="s">
        <v>5755</v>
      </c>
      <c r="Y263" s="168" t="s">
        <v>153</v>
      </c>
      <c r="Z263" s="169" t="s">
        <v>153</v>
      </c>
      <c r="AA263" s="170">
        <v>1872</v>
      </c>
      <c r="AB263" s="171" t="s">
        <v>153</v>
      </c>
      <c r="AC263" s="172" t="s">
        <v>153</v>
      </c>
      <c r="AD263" s="173" t="s">
        <v>153</v>
      </c>
      <c r="AE263" s="174" t="s">
        <v>153</v>
      </c>
      <c r="AF263" s="175" t="s">
        <v>153</v>
      </c>
      <c r="AG263" s="176" t="s">
        <v>153</v>
      </c>
      <c r="AH263" s="177" t="s">
        <v>153</v>
      </c>
      <c r="AI263" s="178" t="s">
        <v>153</v>
      </c>
      <c r="AJ263" s="179" t="s">
        <v>153</v>
      </c>
      <c r="AK263" s="180" t="s">
        <v>153</v>
      </c>
      <c r="AL263" s="181" t="s">
        <v>153</v>
      </c>
      <c r="AM263" s="182" t="s">
        <v>153</v>
      </c>
      <c r="AN263" s="183" t="s">
        <v>3725</v>
      </c>
      <c r="AO263" s="184" t="s">
        <v>153</v>
      </c>
      <c r="AP263" s="185" t="s">
        <v>153</v>
      </c>
      <c r="AQ263" s="186" t="s">
        <v>153</v>
      </c>
      <c r="AR263" s="187" t="s">
        <v>153</v>
      </c>
      <c r="AS263" s="188" t="s">
        <v>153</v>
      </c>
      <c r="AT263" s="189" t="s">
        <v>5756</v>
      </c>
      <c r="AU263" s="190" t="s">
        <v>5757</v>
      </c>
      <c r="AV263" s="191" t="s">
        <v>153</v>
      </c>
      <c r="AW263" s="192" t="s">
        <v>5758</v>
      </c>
      <c r="AX263" s="193" t="s">
        <v>153</v>
      </c>
      <c r="AY263" s="194" t="s">
        <v>5759</v>
      </c>
      <c r="AZ263" s="195" t="s">
        <v>352</v>
      </c>
      <c r="BA263" s="196" t="s">
        <v>153</v>
      </c>
      <c r="BB263" s="197" t="s">
        <v>153</v>
      </c>
      <c r="BC263" s="198" t="s">
        <v>153</v>
      </c>
      <c r="BD263" s="199" t="s">
        <v>180</v>
      </c>
      <c r="BE263" s="200" t="s">
        <v>181</v>
      </c>
      <c r="BF263" s="201" t="s">
        <v>5760</v>
      </c>
      <c r="BG263" s="202" t="s">
        <v>153</v>
      </c>
      <c r="BH263" s="203" t="s">
        <v>153</v>
      </c>
      <c r="BI263" s="204" t="s">
        <v>5761</v>
      </c>
      <c r="BJ263" s="205" t="s">
        <v>5762</v>
      </c>
      <c r="BK263" s="206" t="s">
        <v>153</v>
      </c>
      <c r="BL263" s="207" t="s">
        <v>153</v>
      </c>
      <c r="BM263" s="208" t="s">
        <v>5763</v>
      </c>
      <c r="BN263" s="209" t="s">
        <v>153</v>
      </c>
      <c r="BO263" s="210" t="s">
        <v>5764</v>
      </c>
      <c r="BP263" s="211" t="s">
        <v>153</v>
      </c>
      <c r="BQ263" s="212">
        <v>36982</v>
      </c>
      <c r="BR263" s="213">
        <v>18077.36</v>
      </c>
      <c r="BS263" s="214" t="s">
        <v>187</v>
      </c>
      <c r="BT263" s="215">
        <v>22596.7</v>
      </c>
      <c r="BU263" s="216" t="s">
        <v>187</v>
      </c>
      <c r="BV263" s="217" t="s">
        <v>226</v>
      </c>
      <c r="BW263" s="218" t="s">
        <v>153</v>
      </c>
      <c r="BX263" s="219" t="s">
        <v>153</v>
      </c>
      <c r="BY263" s="220" t="s">
        <v>225</v>
      </c>
      <c r="BZ263" s="221" t="s">
        <v>153</v>
      </c>
      <c r="CA263" s="222" t="s">
        <v>190</v>
      </c>
      <c r="CB263" s="223">
        <v>39448</v>
      </c>
      <c r="CC263" s="224">
        <v>14260.22</v>
      </c>
      <c r="CD263" s="225" t="s">
        <v>186</v>
      </c>
      <c r="CE263" s="226">
        <v>14260.22</v>
      </c>
      <c r="CF263" s="227" t="s">
        <v>186</v>
      </c>
      <c r="CG263" s="228" t="s">
        <v>226</v>
      </c>
      <c r="CH263" s="229" t="s">
        <v>729</v>
      </c>
      <c r="CI263" s="230" t="s">
        <v>153</v>
      </c>
      <c r="CJ263" s="231" t="s">
        <v>225</v>
      </c>
      <c r="CK263" s="232">
        <v>39448</v>
      </c>
      <c r="CL263" s="233" t="s">
        <v>153</v>
      </c>
      <c r="CM263" s="234" t="s">
        <v>153</v>
      </c>
      <c r="CN263" s="235" t="s">
        <v>190</v>
      </c>
      <c r="CO263" s="236" t="s">
        <v>153</v>
      </c>
      <c r="CP263" s="237" t="s">
        <v>153</v>
      </c>
      <c r="CQ263" s="238" t="s">
        <v>153</v>
      </c>
      <c r="CR263" s="239" t="s">
        <v>153</v>
      </c>
      <c r="CS263" s="240" t="s">
        <v>153</v>
      </c>
      <c r="CT263" s="241" t="s">
        <v>153</v>
      </c>
      <c r="CU263" s="242" t="s">
        <v>153</v>
      </c>
      <c r="CV263" s="243" t="s">
        <v>153</v>
      </c>
      <c r="CW263" s="244" t="s">
        <v>153</v>
      </c>
      <c r="CX263" s="245" t="s">
        <v>153</v>
      </c>
      <c r="CY263" s="246" t="s">
        <v>153</v>
      </c>
      <c r="CZ263" s="247" t="s">
        <v>153</v>
      </c>
      <c r="DA263" s="248" t="s">
        <v>153</v>
      </c>
      <c r="DB263" s="249" t="s">
        <v>153</v>
      </c>
      <c r="DC263" s="250" t="s">
        <v>153</v>
      </c>
      <c r="DD263" s="251" t="s">
        <v>153</v>
      </c>
      <c r="DE263" s="252" t="s">
        <v>153</v>
      </c>
      <c r="DF263" s="253" t="s">
        <v>153</v>
      </c>
      <c r="DG263" s="254" t="s">
        <v>153</v>
      </c>
      <c r="DH263" s="255" t="s">
        <v>153</v>
      </c>
      <c r="DI263" s="256" t="s">
        <v>153</v>
      </c>
      <c r="DJ263" s="257" t="s">
        <v>153</v>
      </c>
      <c r="DK263" s="258" t="s">
        <v>153</v>
      </c>
      <c r="DL263" s="259" t="s">
        <v>153</v>
      </c>
      <c r="DM263" s="260" t="s">
        <v>153</v>
      </c>
      <c r="DN263" s="261" t="s">
        <v>153</v>
      </c>
      <c r="DO263" s="262" t="s">
        <v>153</v>
      </c>
      <c r="DP263" s="263" t="s">
        <v>153</v>
      </c>
      <c r="DQ263" s="264" t="s">
        <v>153</v>
      </c>
      <c r="DR263" s="265" t="s">
        <v>153</v>
      </c>
      <c r="DS263" s="266" t="s">
        <v>153</v>
      </c>
      <c r="DT263" s="267" t="s">
        <v>153</v>
      </c>
      <c r="DU263" s="268" t="s">
        <v>153</v>
      </c>
      <c r="DV263" s="269" t="s">
        <v>153</v>
      </c>
      <c r="DW263" s="270" t="s">
        <v>153</v>
      </c>
      <c r="DX263" s="271" t="s">
        <v>153</v>
      </c>
      <c r="DY263" s="272" t="s">
        <v>153</v>
      </c>
      <c r="DZ263" s="273" t="s">
        <v>191</v>
      </c>
      <c r="EA263" s="274">
        <v>44391</v>
      </c>
      <c r="EB263" s="275">
        <v>14260.22</v>
      </c>
      <c r="EC263" s="276">
        <v>39448</v>
      </c>
      <c r="ED263" s="277" t="s">
        <v>226</v>
      </c>
      <c r="EE263" s="279" t="str">
        <f>HYPERLINK("https://my.pitchbook.com?c=121903-21", "View company online")</f>
        <v>View company online</v>
      </c>
    </row>
    <row r="264" spans="1:135" x14ac:dyDescent="0.45">
      <c r="A264" s="10" t="s">
        <v>5765</v>
      </c>
      <c r="B264" s="11" t="s">
        <v>5766</v>
      </c>
      <c r="C264" s="12" t="s">
        <v>153</v>
      </c>
      <c r="D264" s="13" t="s">
        <v>153</v>
      </c>
      <c r="E264" s="14" t="s">
        <v>153</v>
      </c>
      <c r="F264" s="15" t="s">
        <v>153</v>
      </c>
      <c r="G264" s="16" t="s">
        <v>5767</v>
      </c>
      <c r="H264" s="17" t="s">
        <v>153</v>
      </c>
      <c r="I264" s="18" t="s">
        <v>5765</v>
      </c>
      <c r="J264" s="19" t="s">
        <v>5768</v>
      </c>
      <c r="K264" s="20" t="s">
        <v>882</v>
      </c>
      <c r="L264" s="21" t="s">
        <v>883</v>
      </c>
      <c r="M264" s="22" t="s">
        <v>1369</v>
      </c>
      <c r="N264" s="23" t="s">
        <v>5769</v>
      </c>
      <c r="O264" s="24" t="s">
        <v>261</v>
      </c>
      <c r="P264" s="25" t="s">
        <v>5770</v>
      </c>
      <c r="Q264" s="26" t="s">
        <v>564</v>
      </c>
      <c r="R264" s="27" t="s">
        <v>153</v>
      </c>
      <c r="S264" s="28" t="s">
        <v>290</v>
      </c>
      <c r="T264" s="29" t="s">
        <v>164</v>
      </c>
      <c r="U264" s="30" t="s">
        <v>3170</v>
      </c>
      <c r="V264" s="31" t="s">
        <v>5771</v>
      </c>
      <c r="W264" s="32" t="s">
        <v>153</v>
      </c>
      <c r="X264" s="33" t="s">
        <v>153</v>
      </c>
      <c r="Y264" s="34" t="s">
        <v>153</v>
      </c>
      <c r="Z264" s="35" t="s">
        <v>153</v>
      </c>
      <c r="AA264" s="36">
        <v>1994</v>
      </c>
      <c r="AB264" s="37" t="s">
        <v>5772</v>
      </c>
      <c r="AC264" s="38" t="s">
        <v>153</v>
      </c>
      <c r="AD264" s="39" t="s">
        <v>153</v>
      </c>
      <c r="AE264" s="40" t="s">
        <v>153</v>
      </c>
      <c r="AF264" s="41" t="s">
        <v>153</v>
      </c>
      <c r="AG264" s="42" t="s">
        <v>153</v>
      </c>
      <c r="AH264" s="43" t="s">
        <v>153</v>
      </c>
      <c r="AI264" s="44" t="s">
        <v>153</v>
      </c>
      <c r="AJ264" s="45" t="s">
        <v>153</v>
      </c>
      <c r="AK264" s="46" t="s">
        <v>153</v>
      </c>
      <c r="AL264" s="47" t="s">
        <v>153</v>
      </c>
      <c r="AM264" s="48" t="s">
        <v>153</v>
      </c>
      <c r="AN264" s="49" t="s">
        <v>918</v>
      </c>
      <c r="AO264" s="50" t="s">
        <v>5773</v>
      </c>
      <c r="AP264" s="51" t="s">
        <v>5774</v>
      </c>
      <c r="AQ264" s="52" t="s">
        <v>171</v>
      </c>
      <c r="AR264" s="53" t="s">
        <v>153</v>
      </c>
      <c r="AS264" s="54" t="s">
        <v>5775</v>
      </c>
      <c r="AT264" s="55" t="s">
        <v>5776</v>
      </c>
      <c r="AU264" s="56" t="s">
        <v>5777</v>
      </c>
      <c r="AV264" s="57" t="s">
        <v>153</v>
      </c>
      <c r="AW264" s="58" t="s">
        <v>5778</v>
      </c>
      <c r="AX264" s="59" t="s">
        <v>5779</v>
      </c>
      <c r="AY264" s="60" t="s">
        <v>153</v>
      </c>
      <c r="AZ264" s="61" t="s">
        <v>3761</v>
      </c>
      <c r="BA264" s="62" t="s">
        <v>5775</v>
      </c>
      <c r="BB264" s="63" t="s">
        <v>5780</v>
      </c>
      <c r="BC264" s="64" t="s">
        <v>5781</v>
      </c>
      <c r="BD264" s="65" t="s">
        <v>1406</v>
      </c>
      <c r="BE264" s="66" t="s">
        <v>1407</v>
      </c>
      <c r="BF264" s="67" t="s">
        <v>5782</v>
      </c>
      <c r="BG264" s="68" t="s">
        <v>153</v>
      </c>
      <c r="BH264" s="69" t="s">
        <v>153</v>
      </c>
      <c r="BI264" s="70" t="s">
        <v>5772</v>
      </c>
      <c r="BJ264" s="71" t="s">
        <v>5783</v>
      </c>
      <c r="BK264" s="72" t="s">
        <v>153</v>
      </c>
      <c r="BL264" s="73" t="s">
        <v>153</v>
      </c>
      <c r="BM264" s="74" t="s">
        <v>5784</v>
      </c>
      <c r="BN264" s="75" t="s">
        <v>153</v>
      </c>
      <c r="BO264" s="76" t="s">
        <v>153</v>
      </c>
      <c r="BP264" s="77" t="s">
        <v>153</v>
      </c>
      <c r="BQ264" s="78">
        <v>39542</v>
      </c>
      <c r="BR264" s="79">
        <v>193.22</v>
      </c>
      <c r="BS264" s="80" t="s">
        <v>186</v>
      </c>
      <c r="BT264" s="81">
        <v>276.02</v>
      </c>
      <c r="BU264" s="82" t="s">
        <v>187</v>
      </c>
      <c r="BV264" s="83" t="s">
        <v>188</v>
      </c>
      <c r="BW264" s="84" t="s">
        <v>153</v>
      </c>
      <c r="BX264" s="85" t="s">
        <v>153</v>
      </c>
      <c r="BY264" s="86" t="s">
        <v>165</v>
      </c>
      <c r="BZ264" s="87" t="s">
        <v>153</v>
      </c>
      <c r="CA264" s="88" t="s">
        <v>190</v>
      </c>
      <c r="CB264" s="89">
        <v>42614</v>
      </c>
      <c r="CC264" s="90">
        <v>14223.73</v>
      </c>
      <c r="CD264" s="91" t="s">
        <v>186</v>
      </c>
      <c r="CE264" s="92">
        <v>14770.23</v>
      </c>
      <c r="CF264" s="93" t="s">
        <v>187</v>
      </c>
      <c r="CG264" s="94" t="s">
        <v>226</v>
      </c>
      <c r="CH264" s="95" t="s">
        <v>153</v>
      </c>
      <c r="CI264" s="96" t="s">
        <v>153</v>
      </c>
      <c r="CJ264" s="97" t="s">
        <v>225</v>
      </c>
      <c r="CK264" s="98">
        <v>42614</v>
      </c>
      <c r="CL264" s="99" t="s">
        <v>153</v>
      </c>
      <c r="CM264" s="100" t="s">
        <v>153</v>
      </c>
      <c r="CN264" s="101" t="s">
        <v>190</v>
      </c>
      <c r="CO264" s="102" t="s">
        <v>153</v>
      </c>
      <c r="CP264" s="103" t="s">
        <v>153</v>
      </c>
      <c r="CQ264" s="104" t="s">
        <v>153</v>
      </c>
      <c r="CR264" s="105" t="s">
        <v>153</v>
      </c>
      <c r="CS264" s="106" t="s">
        <v>153</v>
      </c>
      <c r="CT264" s="107" t="s">
        <v>153</v>
      </c>
      <c r="CU264" s="108" t="s">
        <v>153</v>
      </c>
      <c r="CV264" s="109" t="s">
        <v>153</v>
      </c>
      <c r="CW264" s="110" t="s">
        <v>153</v>
      </c>
      <c r="CX264" s="111" t="s">
        <v>153</v>
      </c>
      <c r="CY264" s="112" t="s">
        <v>153</v>
      </c>
      <c r="CZ264" s="113" t="s">
        <v>153</v>
      </c>
      <c r="DA264" s="114" t="s">
        <v>153</v>
      </c>
      <c r="DB264" s="115" t="s">
        <v>153</v>
      </c>
      <c r="DC264" s="116" t="s">
        <v>153</v>
      </c>
      <c r="DD264" s="117" t="s">
        <v>153</v>
      </c>
      <c r="DE264" s="118" t="s">
        <v>153</v>
      </c>
      <c r="DF264" s="119" t="s">
        <v>153</v>
      </c>
      <c r="DG264" s="120" t="s">
        <v>153</v>
      </c>
      <c r="DH264" s="121" t="s">
        <v>153</v>
      </c>
      <c r="DI264" s="122" t="s">
        <v>153</v>
      </c>
      <c r="DJ264" s="123" t="s">
        <v>153</v>
      </c>
      <c r="DK264" s="124" t="s">
        <v>153</v>
      </c>
      <c r="DL264" s="125" t="s">
        <v>153</v>
      </c>
      <c r="DM264" s="126" t="s">
        <v>153</v>
      </c>
      <c r="DN264" s="127" t="s">
        <v>153</v>
      </c>
      <c r="DO264" s="128" t="s">
        <v>153</v>
      </c>
      <c r="DP264" s="129" t="s">
        <v>153</v>
      </c>
      <c r="DQ264" s="130" t="s">
        <v>153</v>
      </c>
      <c r="DR264" s="131" t="s">
        <v>153</v>
      </c>
      <c r="DS264" s="132" t="s">
        <v>153</v>
      </c>
      <c r="DT264" s="133" t="s">
        <v>153</v>
      </c>
      <c r="DU264" s="134" t="s">
        <v>153</v>
      </c>
      <c r="DV264" s="135" t="s">
        <v>153</v>
      </c>
      <c r="DW264" s="136" t="s">
        <v>153</v>
      </c>
      <c r="DX264" s="137" t="s">
        <v>153</v>
      </c>
      <c r="DY264" s="138" t="s">
        <v>153</v>
      </c>
      <c r="DZ264" s="139" t="s">
        <v>191</v>
      </c>
      <c r="EA264" s="140">
        <v>44387</v>
      </c>
      <c r="EB264" s="141">
        <v>14770.23</v>
      </c>
      <c r="EC264" s="142">
        <v>42614</v>
      </c>
      <c r="ED264" s="143" t="s">
        <v>226</v>
      </c>
      <c r="EE264" s="278" t="str">
        <f>HYPERLINK("https://my.pitchbook.com?c=63889-84", "View company online")</f>
        <v>View company online</v>
      </c>
    </row>
    <row r="265" spans="1:135" x14ac:dyDescent="0.45">
      <c r="A265" s="144" t="s">
        <v>5785</v>
      </c>
      <c r="B265" s="145" t="s">
        <v>5786</v>
      </c>
      <c r="C265" s="146" t="s">
        <v>153</v>
      </c>
      <c r="D265" s="147" t="s">
        <v>153</v>
      </c>
      <c r="E265" s="148" t="s">
        <v>5787</v>
      </c>
      <c r="F265" s="149" t="s">
        <v>5788</v>
      </c>
      <c r="G265" s="150" t="s">
        <v>5789</v>
      </c>
      <c r="H265" s="151" t="s">
        <v>153</v>
      </c>
      <c r="I265" s="152" t="s">
        <v>5785</v>
      </c>
      <c r="J265" s="153" t="s">
        <v>5790</v>
      </c>
      <c r="K265" s="154" t="s">
        <v>232</v>
      </c>
      <c r="L265" s="155" t="s">
        <v>233</v>
      </c>
      <c r="M265" s="156" t="s">
        <v>326</v>
      </c>
      <c r="N265" s="157" t="s">
        <v>5791</v>
      </c>
      <c r="O265" s="158" t="s">
        <v>153</v>
      </c>
      <c r="P265" s="159" t="s">
        <v>5792</v>
      </c>
      <c r="Q265" s="160" t="s">
        <v>204</v>
      </c>
      <c r="R265" s="161">
        <v>4858.3</v>
      </c>
      <c r="S265" s="162" t="s">
        <v>290</v>
      </c>
      <c r="T265" s="163" t="s">
        <v>205</v>
      </c>
      <c r="U265" s="164" t="s">
        <v>369</v>
      </c>
      <c r="V265" s="165" t="s">
        <v>5793</v>
      </c>
      <c r="W265" s="166">
        <v>10800</v>
      </c>
      <c r="X265" s="167" t="s">
        <v>5794</v>
      </c>
      <c r="Y265" s="168" t="s">
        <v>153</v>
      </c>
      <c r="Z265" s="169" t="s">
        <v>153</v>
      </c>
      <c r="AA265" s="170">
        <v>1996</v>
      </c>
      <c r="AB265" s="171" t="s">
        <v>153</v>
      </c>
      <c r="AC265" s="172" t="s">
        <v>153</v>
      </c>
      <c r="AD265" s="173" t="s">
        <v>153</v>
      </c>
      <c r="AE265" s="174" t="s">
        <v>153</v>
      </c>
      <c r="AF265" s="175" t="s">
        <v>153</v>
      </c>
      <c r="AG265" s="176" t="s">
        <v>153</v>
      </c>
      <c r="AH265" s="177" t="s">
        <v>153</v>
      </c>
      <c r="AI265" s="178" t="s">
        <v>153</v>
      </c>
      <c r="AJ265" s="179" t="s">
        <v>153</v>
      </c>
      <c r="AK265" s="180" t="s">
        <v>153</v>
      </c>
      <c r="AL265" s="181" t="s">
        <v>153</v>
      </c>
      <c r="AM265" s="182" t="s">
        <v>153</v>
      </c>
      <c r="AN265" s="183" t="s">
        <v>739</v>
      </c>
      <c r="AO265" s="184" t="s">
        <v>153</v>
      </c>
      <c r="AP265" s="185" t="s">
        <v>153</v>
      </c>
      <c r="AQ265" s="186" t="s">
        <v>153</v>
      </c>
      <c r="AR265" s="187" t="s">
        <v>153</v>
      </c>
      <c r="AS265" s="188" t="s">
        <v>153</v>
      </c>
      <c r="AT265" s="189" t="s">
        <v>5795</v>
      </c>
      <c r="AU265" s="190" t="s">
        <v>5796</v>
      </c>
      <c r="AV265" s="191" t="s">
        <v>153</v>
      </c>
      <c r="AW265" s="192" t="s">
        <v>5797</v>
      </c>
      <c r="AX265" s="193" t="s">
        <v>153</v>
      </c>
      <c r="AY265" s="194" t="s">
        <v>5798</v>
      </c>
      <c r="AZ265" s="195" t="s">
        <v>681</v>
      </c>
      <c r="BA265" s="196" t="s">
        <v>153</v>
      </c>
      <c r="BB265" s="197" t="s">
        <v>153</v>
      </c>
      <c r="BC265" s="198" t="s">
        <v>153</v>
      </c>
      <c r="BD265" s="199" t="s">
        <v>180</v>
      </c>
      <c r="BE265" s="200" t="s">
        <v>684</v>
      </c>
      <c r="BF265" s="201" t="s">
        <v>5799</v>
      </c>
      <c r="BG265" s="202" t="s">
        <v>153</v>
      </c>
      <c r="BH265" s="203" t="s">
        <v>153</v>
      </c>
      <c r="BI265" s="204" t="s">
        <v>5800</v>
      </c>
      <c r="BJ265" s="205" t="s">
        <v>5801</v>
      </c>
      <c r="BK265" s="206" t="s">
        <v>153</v>
      </c>
      <c r="BL265" s="207" t="s">
        <v>153</v>
      </c>
      <c r="BM265" s="208" t="s">
        <v>5802</v>
      </c>
      <c r="BN265" s="209" t="s">
        <v>153</v>
      </c>
      <c r="BO265" s="210" t="s">
        <v>5803</v>
      </c>
      <c r="BP265" s="211" t="s">
        <v>5804</v>
      </c>
      <c r="BQ265" s="212">
        <v>35065</v>
      </c>
      <c r="BR265" s="213" t="s">
        <v>153</v>
      </c>
      <c r="BS265" s="214" t="s">
        <v>153</v>
      </c>
      <c r="BT265" s="215" t="s">
        <v>153</v>
      </c>
      <c r="BU265" s="216" t="s">
        <v>153</v>
      </c>
      <c r="BV265" s="217" t="s">
        <v>589</v>
      </c>
      <c r="BW265" s="218" t="s">
        <v>153</v>
      </c>
      <c r="BX265" s="219" t="s">
        <v>153</v>
      </c>
      <c r="BY265" s="220" t="s">
        <v>225</v>
      </c>
      <c r="BZ265" s="221" t="s">
        <v>153</v>
      </c>
      <c r="CA265" s="222" t="s">
        <v>190</v>
      </c>
      <c r="CB265" s="223">
        <v>39598</v>
      </c>
      <c r="CC265" s="224">
        <v>14005.06</v>
      </c>
      <c r="CD265" s="225" t="s">
        <v>186</v>
      </c>
      <c r="CE265" s="226">
        <v>14005.06</v>
      </c>
      <c r="CF265" s="227" t="s">
        <v>186</v>
      </c>
      <c r="CG265" s="228" t="s">
        <v>226</v>
      </c>
      <c r="CH265" s="229" t="s">
        <v>729</v>
      </c>
      <c r="CI265" s="230" t="s">
        <v>153</v>
      </c>
      <c r="CJ265" s="231" t="s">
        <v>225</v>
      </c>
      <c r="CK265" s="232">
        <v>39598</v>
      </c>
      <c r="CL265" s="233" t="s">
        <v>153</v>
      </c>
      <c r="CM265" s="234" t="s">
        <v>153</v>
      </c>
      <c r="CN265" s="235" t="s">
        <v>190</v>
      </c>
      <c r="CO265" s="236" t="s">
        <v>153</v>
      </c>
      <c r="CP265" s="237" t="s">
        <v>153</v>
      </c>
      <c r="CQ265" s="238" t="s">
        <v>153</v>
      </c>
      <c r="CR265" s="239" t="s">
        <v>153</v>
      </c>
      <c r="CS265" s="240" t="s">
        <v>153</v>
      </c>
      <c r="CT265" s="241" t="s">
        <v>153</v>
      </c>
      <c r="CU265" s="242" t="s">
        <v>153</v>
      </c>
      <c r="CV265" s="243" t="s">
        <v>153</v>
      </c>
      <c r="CW265" s="244" t="s">
        <v>153</v>
      </c>
      <c r="CX265" s="245" t="s">
        <v>153</v>
      </c>
      <c r="CY265" s="246" t="s">
        <v>153</v>
      </c>
      <c r="CZ265" s="247" t="s">
        <v>153</v>
      </c>
      <c r="DA265" s="248" t="s">
        <v>153</v>
      </c>
      <c r="DB265" s="249" t="s">
        <v>153</v>
      </c>
      <c r="DC265" s="250" t="s">
        <v>153</v>
      </c>
      <c r="DD265" s="251" t="s">
        <v>153</v>
      </c>
      <c r="DE265" s="252" t="s">
        <v>153</v>
      </c>
      <c r="DF265" s="253" t="s">
        <v>153</v>
      </c>
      <c r="DG265" s="254" t="s">
        <v>153</v>
      </c>
      <c r="DH265" s="255" t="s">
        <v>153</v>
      </c>
      <c r="DI265" s="256" t="s">
        <v>153</v>
      </c>
      <c r="DJ265" s="257" t="s">
        <v>153</v>
      </c>
      <c r="DK265" s="258" t="s">
        <v>153</v>
      </c>
      <c r="DL265" s="259" t="s">
        <v>153</v>
      </c>
      <c r="DM265" s="260" t="s">
        <v>153</v>
      </c>
      <c r="DN265" s="261" t="s">
        <v>153</v>
      </c>
      <c r="DO265" s="262" t="s">
        <v>153</v>
      </c>
      <c r="DP265" s="263" t="s">
        <v>153</v>
      </c>
      <c r="DQ265" s="264" t="s">
        <v>153</v>
      </c>
      <c r="DR265" s="265" t="s">
        <v>153</v>
      </c>
      <c r="DS265" s="266" t="s">
        <v>153</v>
      </c>
      <c r="DT265" s="267" t="s">
        <v>153</v>
      </c>
      <c r="DU265" s="268" t="s">
        <v>153</v>
      </c>
      <c r="DV265" s="269" t="s">
        <v>153</v>
      </c>
      <c r="DW265" s="270" t="s">
        <v>153</v>
      </c>
      <c r="DX265" s="271" t="s">
        <v>153</v>
      </c>
      <c r="DY265" s="272" t="s">
        <v>153</v>
      </c>
      <c r="DZ265" s="273" t="s">
        <v>191</v>
      </c>
      <c r="EA265" s="274">
        <v>44368</v>
      </c>
      <c r="EB265" s="275">
        <v>14005.06</v>
      </c>
      <c r="EC265" s="276">
        <v>39598</v>
      </c>
      <c r="ED265" s="277" t="s">
        <v>226</v>
      </c>
      <c r="EE265" s="279" t="str">
        <f>HYPERLINK("https://my.pitchbook.com?c=57984-58", "View company online")</f>
        <v>View company online</v>
      </c>
    </row>
    <row r="266" spans="1:135" x14ac:dyDescent="0.45">
      <c r="A266" s="10" t="s">
        <v>5805</v>
      </c>
      <c r="B266" s="11" t="s">
        <v>5806</v>
      </c>
      <c r="C266" s="12" t="s">
        <v>153</v>
      </c>
      <c r="D266" s="13" t="s">
        <v>153</v>
      </c>
      <c r="E266" s="14" t="s">
        <v>5807</v>
      </c>
      <c r="F266" s="15" t="s">
        <v>5808</v>
      </c>
      <c r="G266" s="16" t="s">
        <v>5809</v>
      </c>
      <c r="H266" s="17" t="s">
        <v>5810</v>
      </c>
      <c r="I266" s="18" t="s">
        <v>5805</v>
      </c>
      <c r="J266" s="19" t="s">
        <v>5811</v>
      </c>
      <c r="K266" s="20" t="s">
        <v>882</v>
      </c>
      <c r="L266" s="21" t="s">
        <v>1257</v>
      </c>
      <c r="M266" s="22" t="s">
        <v>3812</v>
      </c>
      <c r="N266" s="23" t="s">
        <v>5812</v>
      </c>
      <c r="O266" s="24" t="s">
        <v>1877</v>
      </c>
      <c r="P266" s="25" t="s">
        <v>5813</v>
      </c>
      <c r="Q266" s="26" t="s">
        <v>204</v>
      </c>
      <c r="R266" s="27">
        <v>273</v>
      </c>
      <c r="S266" s="28" t="s">
        <v>163</v>
      </c>
      <c r="T266" s="29" t="s">
        <v>205</v>
      </c>
      <c r="U266" s="30" t="s">
        <v>237</v>
      </c>
      <c r="V266" s="31" t="s">
        <v>5814</v>
      </c>
      <c r="W266" s="32">
        <v>1900</v>
      </c>
      <c r="X266" s="33" t="s">
        <v>5815</v>
      </c>
      <c r="Y266" s="34" t="s">
        <v>153</v>
      </c>
      <c r="Z266" s="35" t="s">
        <v>153</v>
      </c>
      <c r="AA266" s="36">
        <v>2011</v>
      </c>
      <c r="AB266" s="37" t="s">
        <v>153</v>
      </c>
      <c r="AC266" s="38" t="s">
        <v>153</v>
      </c>
      <c r="AD266" s="39" t="s">
        <v>153</v>
      </c>
      <c r="AE266" s="40" t="s">
        <v>153</v>
      </c>
      <c r="AF266" s="41" t="s">
        <v>153</v>
      </c>
      <c r="AG266" s="42" t="s">
        <v>153</v>
      </c>
      <c r="AH266" s="43" t="s">
        <v>153</v>
      </c>
      <c r="AI266" s="44" t="s">
        <v>153</v>
      </c>
      <c r="AJ266" s="45" t="s">
        <v>153</v>
      </c>
      <c r="AK266" s="46" t="s">
        <v>153</v>
      </c>
      <c r="AL266" s="47" t="s">
        <v>153</v>
      </c>
      <c r="AM266" s="48" t="s">
        <v>153</v>
      </c>
      <c r="AN266" s="49" t="s">
        <v>509</v>
      </c>
      <c r="AO266" s="50" t="s">
        <v>153</v>
      </c>
      <c r="AP266" s="51" t="s">
        <v>153</v>
      </c>
      <c r="AQ266" s="52" t="s">
        <v>153</v>
      </c>
      <c r="AR266" s="53" t="s">
        <v>153</v>
      </c>
      <c r="AS266" s="54" t="s">
        <v>153</v>
      </c>
      <c r="AT266" s="55" t="s">
        <v>2337</v>
      </c>
      <c r="AU266" s="56" t="s">
        <v>2827</v>
      </c>
      <c r="AV266" s="57" t="s">
        <v>153</v>
      </c>
      <c r="AW266" s="58" t="s">
        <v>2339</v>
      </c>
      <c r="AX266" s="59" t="s">
        <v>1128</v>
      </c>
      <c r="AY266" s="60" t="s">
        <v>2828</v>
      </c>
      <c r="AZ266" s="61" t="s">
        <v>215</v>
      </c>
      <c r="BA266" s="62" t="s">
        <v>153</v>
      </c>
      <c r="BB266" s="63" t="s">
        <v>153</v>
      </c>
      <c r="BC266" s="64" t="s">
        <v>153</v>
      </c>
      <c r="BD266" s="65" t="s">
        <v>216</v>
      </c>
      <c r="BE266" s="66" t="s">
        <v>217</v>
      </c>
      <c r="BF266" s="67" t="s">
        <v>5816</v>
      </c>
      <c r="BG266" s="68" t="s">
        <v>153</v>
      </c>
      <c r="BH266" s="69" t="s">
        <v>153</v>
      </c>
      <c r="BI266" s="70" t="s">
        <v>5817</v>
      </c>
      <c r="BJ266" s="71" t="s">
        <v>153</v>
      </c>
      <c r="BK266" s="72" t="s">
        <v>153</v>
      </c>
      <c r="BL266" s="73" t="s">
        <v>153</v>
      </c>
      <c r="BM266" s="74" t="s">
        <v>153</v>
      </c>
      <c r="BN266" s="75" t="s">
        <v>153</v>
      </c>
      <c r="BO266" s="76" t="s">
        <v>5818</v>
      </c>
      <c r="BP266" s="77" t="s">
        <v>5819</v>
      </c>
      <c r="BQ266" s="78">
        <v>40653</v>
      </c>
      <c r="BR266" s="79">
        <v>273</v>
      </c>
      <c r="BS266" s="80" t="s">
        <v>186</v>
      </c>
      <c r="BT266" s="81">
        <v>320.35000000000002</v>
      </c>
      <c r="BU266" s="82" t="s">
        <v>186</v>
      </c>
      <c r="BV266" s="83" t="s">
        <v>251</v>
      </c>
      <c r="BW266" s="84" t="s">
        <v>153</v>
      </c>
      <c r="BX266" s="85" t="s">
        <v>153</v>
      </c>
      <c r="BY266" s="86" t="s">
        <v>252</v>
      </c>
      <c r="BZ266" s="87" t="s">
        <v>153</v>
      </c>
      <c r="CA266" s="88" t="s">
        <v>190</v>
      </c>
      <c r="CB266" s="89">
        <v>43676</v>
      </c>
      <c r="CC266" s="90">
        <v>14000</v>
      </c>
      <c r="CD266" s="91" t="s">
        <v>186</v>
      </c>
      <c r="CE266" s="92">
        <v>14000</v>
      </c>
      <c r="CF266" s="93" t="s">
        <v>187</v>
      </c>
      <c r="CG266" s="94" t="s">
        <v>226</v>
      </c>
      <c r="CH266" s="95" t="s">
        <v>153</v>
      </c>
      <c r="CI266" s="96" t="s">
        <v>153</v>
      </c>
      <c r="CJ266" s="97" t="s">
        <v>225</v>
      </c>
      <c r="CK266" s="98">
        <v>43676</v>
      </c>
      <c r="CL266" s="99" t="s">
        <v>153</v>
      </c>
      <c r="CM266" s="100" t="s">
        <v>153</v>
      </c>
      <c r="CN266" s="101" t="s">
        <v>190</v>
      </c>
      <c r="CO266" s="102" t="s">
        <v>153</v>
      </c>
      <c r="CP266" s="103" t="s">
        <v>153</v>
      </c>
      <c r="CQ266" s="104" t="s">
        <v>153</v>
      </c>
      <c r="CR266" s="105" t="s">
        <v>153</v>
      </c>
      <c r="CS266" s="106" t="s">
        <v>153</v>
      </c>
      <c r="CT266" s="107" t="s">
        <v>153</v>
      </c>
      <c r="CU266" s="108" t="s">
        <v>153</v>
      </c>
      <c r="CV266" s="109" t="s">
        <v>153</v>
      </c>
      <c r="CW266" s="110" t="s">
        <v>153</v>
      </c>
      <c r="CX266" s="111" t="s">
        <v>153</v>
      </c>
      <c r="CY266" s="112" t="s">
        <v>153</v>
      </c>
      <c r="CZ266" s="113" t="s">
        <v>153</v>
      </c>
      <c r="DA266" s="114" t="s">
        <v>153</v>
      </c>
      <c r="DB266" s="115" t="s">
        <v>153</v>
      </c>
      <c r="DC266" s="116" t="s">
        <v>153</v>
      </c>
      <c r="DD266" s="117" t="s">
        <v>153</v>
      </c>
      <c r="DE266" s="118" t="s">
        <v>153</v>
      </c>
      <c r="DF266" s="119" t="s">
        <v>153</v>
      </c>
      <c r="DG266" s="120" t="s">
        <v>153</v>
      </c>
      <c r="DH266" s="121" t="s">
        <v>153</v>
      </c>
      <c r="DI266" s="122" t="s">
        <v>153</v>
      </c>
      <c r="DJ266" s="123" t="s">
        <v>153</v>
      </c>
      <c r="DK266" s="124" t="s">
        <v>153</v>
      </c>
      <c r="DL266" s="125" t="s">
        <v>153</v>
      </c>
      <c r="DM266" s="126" t="s">
        <v>153</v>
      </c>
      <c r="DN266" s="127" t="s">
        <v>153</v>
      </c>
      <c r="DO266" s="128" t="s">
        <v>153</v>
      </c>
      <c r="DP266" s="129" t="s">
        <v>153</v>
      </c>
      <c r="DQ266" s="130" t="s">
        <v>153</v>
      </c>
      <c r="DR266" s="131" t="s">
        <v>153</v>
      </c>
      <c r="DS266" s="132" t="s">
        <v>153</v>
      </c>
      <c r="DT266" s="133" t="s">
        <v>153</v>
      </c>
      <c r="DU266" s="134" t="s">
        <v>153</v>
      </c>
      <c r="DV266" s="135" t="s">
        <v>153</v>
      </c>
      <c r="DW266" s="136" t="s">
        <v>153</v>
      </c>
      <c r="DX266" s="137" t="s">
        <v>153</v>
      </c>
      <c r="DY266" s="138" t="s">
        <v>153</v>
      </c>
      <c r="DZ266" s="139" t="s">
        <v>191</v>
      </c>
      <c r="EA266" s="140">
        <v>44292</v>
      </c>
      <c r="EB266" s="141">
        <v>14000</v>
      </c>
      <c r="EC266" s="142">
        <v>43676</v>
      </c>
      <c r="ED266" s="143" t="s">
        <v>226</v>
      </c>
      <c r="EE266" s="278" t="str">
        <f>HYPERLINK("https://my.pitchbook.com?c=51467-23", "View company online")</f>
        <v>View company online</v>
      </c>
    </row>
    <row r="267" spans="1:135" x14ac:dyDescent="0.45">
      <c r="A267" s="144" t="s">
        <v>5820</v>
      </c>
      <c r="B267" s="145" t="s">
        <v>5821</v>
      </c>
      <c r="C267" s="146" t="s">
        <v>153</v>
      </c>
      <c r="D267" s="147" t="s">
        <v>153</v>
      </c>
      <c r="E267" s="148" t="s">
        <v>153</v>
      </c>
      <c r="F267" s="149" t="s">
        <v>5822</v>
      </c>
      <c r="G267" s="150" t="s">
        <v>5823</v>
      </c>
      <c r="H267" s="151" t="s">
        <v>153</v>
      </c>
      <c r="I267" s="152" t="s">
        <v>5820</v>
      </c>
      <c r="J267" s="153" t="s">
        <v>5824</v>
      </c>
      <c r="K267" s="154" t="s">
        <v>882</v>
      </c>
      <c r="L267" s="155" t="s">
        <v>1257</v>
      </c>
      <c r="M267" s="156" t="s">
        <v>5825</v>
      </c>
      <c r="N267" s="157" t="s">
        <v>5826</v>
      </c>
      <c r="O267" s="158" t="s">
        <v>1234</v>
      </c>
      <c r="P267" s="159" t="s">
        <v>5827</v>
      </c>
      <c r="Q267" s="160" t="s">
        <v>204</v>
      </c>
      <c r="R267" s="161" t="s">
        <v>153</v>
      </c>
      <c r="S267" s="162" t="s">
        <v>163</v>
      </c>
      <c r="T267" s="163" t="s">
        <v>205</v>
      </c>
      <c r="U267" s="164" t="s">
        <v>206</v>
      </c>
      <c r="V267" s="165" t="s">
        <v>5828</v>
      </c>
      <c r="W267" s="166" t="s">
        <v>153</v>
      </c>
      <c r="X267" s="167" t="s">
        <v>153</v>
      </c>
      <c r="Y267" s="168" t="s">
        <v>153</v>
      </c>
      <c r="Z267" s="169" t="s">
        <v>153</v>
      </c>
      <c r="AA267" s="170" t="s">
        <v>153</v>
      </c>
      <c r="AB267" s="171" t="s">
        <v>153</v>
      </c>
      <c r="AC267" s="172" t="s">
        <v>153</v>
      </c>
      <c r="AD267" s="173" t="s">
        <v>153</v>
      </c>
      <c r="AE267" s="174" t="s">
        <v>153</v>
      </c>
      <c r="AF267" s="175" t="s">
        <v>153</v>
      </c>
      <c r="AG267" s="176" t="s">
        <v>153</v>
      </c>
      <c r="AH267" s="177" t="s">
        <v>153</v>
      </c>
      <c r="AI267" s="178" t="s">
        <v>153</v>
      </c>
      <c r="AJ267" s="179" t="s">
        <v>153</v>
      </c>
      <c r="AK267" s="180" t="s">
        <v>153</v>
      </c>
      <c r="AL267" s="181" t="s">
        <v>153</v>
      </c>
      <c r="AM267" s="182" t="s">
        <v>153</v>
      </c>
      <c r="AN267" s="183" t="s">
        <v>153</v>
      </c>
      <c r="AO267" s="184" t="s">
        <v>5829</v>
      </c>
      <c r="AP267" s="185" t="s">
        <v>5830</v>
      </c>
      <c r="AQ267" s="186" t="s">
        <v>968</v>
      </c>
      <c r="AR267" s="187" t="s">
        <v>153</v>
      </c>
      <c r="AS267" s="188" t="s">
        <v>153</v>
      </c>
      <c r="AT267" s="189" t="s">
        <v>5831</v>
      </c>
      <c r="AU267" s="190" t="s">
        <v>5832</v>
      </c>
      <c r="AV267" s="191" t="s">
        <v>153</v>
      </c>
      <c r="AW267" s="192" t="s">
        <v>5833</v>
      </c>
      <c r="AX267" s="193" t="s">
        <v>213</v>
      </c>
      <c r="AY267" s="194" t="s">
        <v>5834</v>
      </c>
      <c r="AZ267" s="195" t="s">
        <v>215</v>
      </c>
      <c r="BA267" s="196" t="s">
        <v>153</v>
      </c>
      <c r="BB267" s="197" t="s">
        <v>153</v>
      </c>
      <c r="BC267" s="198" t="s">
        <v>153</v>
      </c>
      <c r="BD267" s="199" t="s">
        <v>216</v>
      </c>
      <c r="BE267" s="200" t="s">
        <v>217</v>
      </c>
      <c r="BF267" s="201" t="s">
        <v>5835</v>
      </c>
      <c r="BG267" s="202" t="s">
        <v>153</v>
      </c>
      <c r="BH267" s="203" t="s">
        <v>153</v>
      </c>
      <c r="BI267" s="204" t="s">
        <v>5836</v>
      </c>
      <c r="BJ267" s="205" t="s">
        <v>5837</v>
      </c>
      <c r="BK267" s="206" t="s">
        <v>153</v>
      </c>
      <c r="BL267" s="207" t="s">
        <v>153</v>
      </c>
      <c r="BM267" s="208" t="s">
        <v>5838</v>
      </c>
      <c r="BN267" s="209" t="s">
        <v>153</v>
      </c>
      <c r="BO267" s="210" t="s">
        <v>153</v>
      </c>
      <c r="BP267" s="211" t="s">
        <v>153</v>
      </c>
      <c r="BQ267" s="212">
        <v>38353</v>
      </c>
      <c r="BR267" s="213">
        <v>14000</v>
      </c>
      <c r="BS267" s="214" t="s">
        <v>186</v>
      </c>
      <c r="BT267" s="215">
        <v>14000</v>
      </c>
      <c r="BU267" s="216" t="s">
        <v>186</v>
      </c>
      <c r="BV267" s="217" t="s">
        <v>226</v>
      </c>
      <c r="BW267" s="218" t="s">
        <v>729</v>
      </c>
      <c r="BX267" s="219" t="s">
        <v>153</v>
      </c>
      <c r="BY267" s="220" t="s">
        <v>225</v>
      </c>
      <c r="BZ267" s="221" t="s">
        <v>153</v>
      </c>
      <c r="CA267" s="222" t="s">
        <v>190</v>
      </c>
      <c r="CB267" s="223">
        <v>38353</v>
      </c>
      <c r="CC267" s="224">
        <v>14000</v>
      </c>
      <c r="CD267" s="225" t="s">
        <v>186</v>
      </c>
      <c r="CE267" s="226">
        <v>14000</v>
      </c>
      <c r="CF267" s="227" t="s">
        <v>186</v>
      </c>
      <c r="CG267" s="228" t="s">
        <v>226</v>
      </c>
      <c r="CH267" s="229" t="s">
        <v>729</v>
      </c>
      <c r="CI267" s="230" t="s">
        <v>153</v>
      </c>
      <c r="CJ267" s="231" t="s">
        <v>225</v>
      </c>
      <c r="CK267" s="232">
        <v>38353</v>
      </c>
      <c r="CL267" s="233" t="s">
        <v>153</v>
      </c>
      <c r="CM267" s="234" t="s">
        <v>153</v>
      </c>
      <c r="CN267" s="235" t="s">
        <v>190</v>
      </c>
      <c r="CO267" s="236" t="s">
        <v>153</v>
      </c>
      <c r="CP267" s="237" t="s">
        <v>153</v>
      </c>
      <c r="CQ267" s="238" t="s">
        <v>153</v>
      </c>
      <c r="CR267" s="239" t="s">
        <v>153</v>
      </c>
      <c r="CS267" s="240" t="s">
        <v>153</v>
      </c>
      <c r="CT267" s="241" t="s">
        <v>153</v>
      </c>
      <c r="CU267" s="242" t="s">
        <v>153</v>
      </c>
      <c r="CV267" s="243" t="s">
        <v>153</v>
      </c>
      <c r="CW267" s="244" t="s">
        <v>153</v>
      </c>
      <c r="CX267" s="245" t="s">
        <v>153</v>
      </c>
      <c r="CY267" s="246" t="s">
        <v>153</v>
      </c>
      <c r="CZ267" s="247" t="s">
        <v>153</v>
      </c>
      <c r="DA267" s="248" t="s">
        <v>153</v>
      </c>
      <c r="DB267" s="249" t="s">
        <v>153</v>
      </c>
      <c r="DC267" s="250" t="s">
        <v>153</v>
      </c>
      <c r="DD267" s="251" t="s">
        <v>153</v>
      </c>
      <c r="DE267" s="252" t="s">
        <v>153</v>
      </c>
      <c r="DF267" s="253" t="s">
        <v>153</v>
      </c>
      <c r="DG267" s="254" t="s">
        <v>153</v>
      </c>
      <c r="DH267" s="255" t="s">
        <v>153</v>
      </c>
      <c r="DI267" s="256" t="s">
        <v>153</v>
      </c>
      <c r="DJ267" s="257" t="s">
        <v>153</v>
      </c>
      <c r="DK267" s="258" t="s">
        <v>153</v>
      </c>
      <c r="DL267" s="259" t="s">
        <v>153</v>
      </c>
      <c r="DM267" s="260" t="s">
        <v>153</v>
      </c>
      <c r="DN267" s="261" t="s">
        <v>153</v>
      </c>
      <c r="DO267" s="262" t="s">
        <v>153</v>
      </c>
      <c r="DP267" s="263" t="s">
        <v>153</v>
      </c>
      <c r="DQ267" s="264" t="s">
        <v>153</v>
      </c>
      <c r="DR267" s="265" t="s">
        <v>153</v>
      </c>
      <c r="DS267" s="266" t="s">
        <v>153</v>
      </c>
      <c r="DT267" s="267" t="s">
        <v>153</v>
      </c>
      <c r="DU267" s="268" t="s">
        <v>153</v>
      </c>
      <c r="DV267" s="269" t="s">
        <v>153</v>
      </c>
      <c r="DW267" s="270" t="s">
        <v>153</v>
      </c>
      <c r="DX267" s="271" t="s">
        <v>153</v>
      </c>
      <c r="DY267" s="272" t="s">
        <v>153</v>
      </c>
      <c r="DZ267" s="273" t="s">
        <v>191</v>
      </c>
      <c r="EA267" s="274">
        <v>43755</v>
      </c>
      <c r="EB267" s="275">
        <v>14000</v>
      </c>
      <c r="EC267" s="276">
        <v>38353</v>
      </c>
      <c r="ED267" s="277" t="s">
        <v>226</v>
      </c>
      <c r="EE267" s="279" t="str">
        <f>HYPERLINK("https://my.pitchbook.com?c=155000-62", "View company online")</f>
        <v>View company online</v>
      </c>
    </row>
    <row r="268" spans="1:135" x14ac:dyDescent="0.45">
      <c r="A268" s="10" t="s">
        <v>5839</v>
      </c>
      <c r="B268" s="11" t="s">
        <v>5840</v>
      </c>
      <c r="C268" s="12" t="s">
        <v>153</v>
      </c>
      <c r="D268" s="13" t="s">
        <v>153</v>
      </c>
      <c r="E268" s="14" t="s">
        <v>153</v>
      </c>
      <c r="F268" s="15" t="s">
        <v>5841</v>
      </c>
      <c r="G268" s="16" t="s">
        <v>5842</v>
      </c>
      <c r="H268" s="17" t="s">
        <v>5843</v>
      </c>
      <c r="I268" s="18" t="s">
        <v>5839</v>
      </c>
      <c r="J268" s="19" t="s">
        <v>5844</v>
      </c>
      <c r="K268" s="20" t="s">
        <v>257</v>
      </c>
      <c r="L268" s="21" t="s">
        <v>258</v>
      </c>
      <c r="M268" s="22" t="s">
        <v>259</v>
      </c>
      <c r="N268" s="23" t="s">
        <v>5845</v>
      </c>
      <c r="O268" s="24" t="s">
        <v>450</v>
      </c>
      <c r="P268" s="25" t="s">
        <v>5846</v>
      </c>
      <c r="Q268" s="26" t="s">
        <v>367</v>
      </c>
      <c r="R268" s="27">
        <v>180.32</v>
      </c>
      <c r="S268" s="28" t="s">
        <v>290</v>
      </c>
      <c r="T268" s="29" t="s">
        <v>291</v>
      </c>
      <c r="U268" s="30" t="s">
        <v>292</v>
      </c>
      <c r="V268" s="31" t="s">
        <v>5847</v>
      </c>
      <c r="W268" s="32">
        <v>101465</v>
      </c>
      <c r="X268" s="33" t="s">
        <v>5848</v>
      </c>
      <c r="Y268" s="34" t="s">
        <v>5849</v>
      </c>
      <c r="Z268" s="35" t="s">
        <v>5850</v>
      </c>
      <c r="AA268" s="36">
        <v>1896</v>
      </c>
      <c r="AB268" s="37" t="s">
        <v>153</v>
      </c>
      <c r="AC268" s="38" t="s">
        <v>570</v>
      </c>
      <c r="AD268" s="39" t="s">
        <v>1736</v>
      </c>
      <c r="AE268" s="40">
        <v>62111.16</v>
      </c>
      <c r="AF268" s="41">
        <v>44883.44</v>
      </c>
      <c r="AG268" s="42">
        <v>15223.48</v>
      </c>
      <c r="AH268" s="43">
        <v>315168.52</v>
      </c>
      <c r="AI268" s="44">
        <v>24557.78</v>
      </c>
      <c r="AJ268" s="45">
        <v>19703.73</v>
      </c>
      <c r="AK268" s="46">
        <v>329224.2</v>
      </c>
      <c r="AL268" s="47">
        <v>3521.88</v>
      </c>
      <c r="AM268" s="48">
        <v>-5.1100000000000003</v>
      </c>
      <c r="AN268" s="49" t="s">
        <v>168</v>
      </c>
      <c r="AO268" s="50" t="s">
        <v>5851</v>
      </c>
      <c r="AP268" s="51" t="s">
        <v>5852</v>
      </c>
      <c r="AQ268" s="52" t="s">
        <v>5853</v>
      </c>
      <c r="AR268" s="53" t="s">
        <v>5854</v>
      </c>
      <c r="AS268" s="54" t="s">
        <v>5855</v>
      </c>
      <c r="AT268" s="55" t="s">
        <v>5856</v>
      </c>
      <c r="AU268" s="56" t="s">
        <v>5857</v>
      </c>
      <c r="AV268" s="57" t="s">
        <v>5858</v>
      </c>
      <c r="AW268" s="58" t="s">
        <v>5859</v>
      </c>
      <c r="AX268" s="59" t="s">
        <v>153</v>
      </c>
      <c r="AY268" s="60" t="s">
        <v>5860</v>
      </c>
      <c r="AZ268" s="61" t="s">
        <v>1426</v>
      </c>
      <c r="BA268" s="62" t="s">
        <v>5855</v>
      </c>
      <c r="BB268" s="63" t="s">
        <v>153</v>
      </c>
      <c r="BC268" s="64" t="s">
        <v>153</v>
      </c>
      <c r="BD268" s="65" t="s">
        <v>180</v>
      </c>
      <c r="BE268" s="66" t="s">
        <v>181</v>
      </c>
      <c r="BF268" s="67" t="s">
        <v>5861</v>
      </c>
      <c r="BG268" s="68" t="s">
        <v>5862</v>
      </c>
      <c r="BH268" s="69">
        <v>16</v>
      </c>
      <c r="BI268" s="70" t="s">
        <v>153</v>
      </c>
      <c r="BJ268" s="71" t="s">
        <v>5863</v>
      </c>
      <c r="BK268" s="72" t="s">
        <v>153</v>
      </c>
      <c r="BL268" s="73" t="s">
        <v>5864</v>
      </c>
      <c r="BM268" s="74" t="s">
        <v>5865</v>
      </c>
      <c r="BN268" s="75" t="s">
        <v>153</v>
      </c>
      <c r="BO268" s="76" t="s">
        <v>5866</v>
      </c>
      <c r="BP268" s="77" t="s">
        <v>153</v>
      </c>
      <c r="BQ268" s="78" t="s">
        <v>153</v>
      </c>
      <c r="BR268" s="79" t="s">
        <v>153</v>
      </c>
      <c r="BS268" s="80" t="s">
        <v>153</v>
      </c>
      <c r="BT268" s="81" t="s">
        <v>153</v>
      </c>
      <c r="BU268" s="82" t="s">
        <v>153</v>
      </c>
      <c r="BV268" s="83" t="s">
        <v>225</v>
      </c>
      <c r="BW268" s="84" t="s">
        <v>225</v>
      </c>
      <c r="BX268" s="85" t="s">
        <v>153</v>
      </c>
      <c r="BY268" s="86" t="s">
        <v>225</v>
      </c>
      <c r="BZ268" s="87" t="s">
        <v>153</v>
      </c>
      <c r="CA268" s="88" t="s">
        <v>190</v>
      </c>
      <c r="CB268" s="89">
        <v>42667</v>
      </c>
      <c r="CC268" s="90">
        <v>14000</v>
      </c>
      <c r="CD268" s="91" t="s">
        <v>187</v>
      </c>
      <c r="CE268" s="92">
        <v>42424.24</v>
      </c>
      <c r="CF268" s="93" t="s">
        <v>187</v>
      </c>
      <c r="CG268" s="94" t="s">
        <v>5867</v>
      </c>
      <c r="CH268" s="95" t="s">
        <v>153</v>
      </c>
      <c r="CI268" s="96" t="s">
        <v>153</v>
      </c>
      <c r="CJ268" s="97" t="s">
        <v>225</v>
      </c>
      <c r="CK268" s="98">
        <v>42667</v>
      </c>
      <c r="CL268" s="99" t="s">
        <v>153</v>
      </c>
      <c r="CM268" s="100" t="s">
        <v>153</v>
      </c>
      <c r="CN268" s="101" t="s">
        <v>394</v>
      </c>
      <c r="CO268" s="102">
        <v>0.27</v>
      </c>
      <c r="CP268" s="103">
        <v>91</v>
      </c>
      <c r="CQ268" s="104">
        <v>0</v>
      </c>
      <c r="CR268" s="105">
        <v>0</v>
      </c>
      <c r="CS268" s="106">
        <v>0.82</v>
      </c>
      <c r="CT268" s="107">
        <v>94</v>
      </c>
      <c r="CU268" s="108">
        <v>0</v>
      </c>
      <c r="CV268" s="109">
        <v>41</v>
      </c>
      <c r="CW268" s="110">
        <v>0.82</v>
      </c>
      <c r="CX268" s="111">
        <v>81</v>
      </c>
      <c r="CY268" s="112" t="s">
        <v>153</v>
      </c>
      <c r="CZ268" s="113" t="s">
        <v>153</v>
      </c>
      <c r="DA268" s="114">
        <v>0</v>
      </c>
      <c r="DB268" s="115">
        <v>41</v>
      </c>
      <c r="DC268" s="116">
        <v>347.27</v>
      </c>
      <c r="DD268" s="117">
        <v>100</v>
      </c>
      <c r="DE268" s="118">
        <v>1.56</v>
      </c>
      <c r="DF268" s="119">
        <v>0.45</v>
      </c>
      <c r="DG268" s="120">
        <v>302.79000000000002</v>
      </c>
      <c r="DH268" s="121">
        <v>100</v>
      </c>
      <c r="DI268" s="122">
        <v>738.56</v>
      </c>
      <c r="DJ268" s="123">
        <v>100</v>
      </c>
      <c r="DK268" s="124">
        <v>302.79000000000002</v>
      </c>
      <c r="DL268" s="125">
        <v>99</v>
      </c>
      <c r="DM268" s="126" t="s">
        <v>153</v>
      </c>
      <c r="DN268" s="127" t="s">
        <v>153</v>
      </c>
      <c r="DO268" s="128">
        <v>738.56</v>
      </c>
      <c r="DP268" s="129">
        <v>100</v>
      </c>
      <c r="DQ268" s="130">
        <v>179104</v>
      </c>
      <c r="DR268" s="131">
        <v>1640</v>
      </c>
      <c r="DS268" s="132">
        <v>0.92</v>
      </c>
      <c r="DT268" s="133" t="s">
        <v>153</v>
      </c>
      <c r="DU268" s="134" t="s">
        <v>153</v>
      </c>
      <c r="DV268" s="135" t="s">
        <v>153</v>
      </c>
      <c r="DW268" s="136">
        <v>231867</v>
      </c>
      <c r="DX268" s="137">
        <v>155</v>
      </c>
      <c r="DY268" s="138">
        <v>7.0000000000000007E-2</v>
      </c>
      <c r="DZ268" s="139" t="s">
        <v>191</v>
      </c>
      <c r="EA268" s="140">
        <v>44362</v>
      </c>
      <c r="EB268" s="141">
        <v>42424.24</v>
      </c>
      <c r="EC268" s="142">
        <v>42667</v>
      </c>
      <c r="ED268" s="143" t="s">
        <v>5867</v>
      </c>
      <c r="EE268" s="278" t="str">
        <f>HYPERLINK("https://my.pitchbook.com?c=53417-80", "View company online")</f>
        <v>View company online</v>
      </c>
    </row>
    <row r="269" spans="1:135" x14ac:dyDescent="0.45">
      <c r="A269" s="144" t="s">
        <v>5868</v>
      </c>
      <c r="B269" s="145" t="s">
        <v>5869</v>
      </c>
      <c r="C269" s="146" t="s">
        <v>153</v>
      </c>
      <c r="D269" s="147" t="s">
        <v>153</v>
      </c>
      <c r="E269" s="148" t="s">
        <v>5870</v>
      </c>
      <c r="F269" s="149" t="s">
        <v>5871</v>
      </c>
      <c r="G269" s="150" t="s">
        <v>5872</v>
      </c>
      <c r="H269" s="151" t="s">
        <v>153</v>
      </c>
      <c r="I269" s="152" t="s">
        <v>5868</v>
      </c>
      <c r="J269" s="153" t="s">
        <v>5873</v>
      </c>
      <c r="K269" s="154" t="s">
        <v>198</v>
      </c>
      <c r="L269" s="155" t="s">
        <v>199</v>
      </c>
      <c r="M269" s="156" t="s">
        <v>344</v>
      </c>
      <c r="N269" s="157" t="s">
        <v>345</v>
      </c>
      <c r="O269" s="158" t="s">
        <v>399</v>
      </c>
      <c r="P269" s="159" t="s">
        <v>5874</v>
      </c>
      <c r="Q269" s="160" t="s">
        <v>367</v>
      </c>
      <c r="R269" s="161" t="s">
        <v>153</v>
      </c>
      <c r="S269" s="162" t="s">
        <v>290</v>
      </c>
      <c r="T269" s="163" t="s">
        <v>291</v>
      </c>
      <c r="U269" s="164" t="s">
        <v>292</v>
      </c>
      <c r="V269" s="165" t="s">
        <v>5875</v>
      </c>
      <c r="W269" s="166">
        <v>65920</v>
      </c>
      <c r="X269" s="167" t="s">
        <v>5876</v>
      </c>
      <c r="Y269" s="168" t="s">
        <v>2843</v>
      </c>
      <c r="Z269" s="169" t="s">
        <v>5877</v>
      </c>
      <c r="AA269" s="170">
        <v>1984</v>
      </c>
      <c r="AB269" s="171" t="s">
        <v>5878</v>
      </c>
      <c r="AC269" s="172" t="s">
        <v>153</v>
      </c>
      <c r="AD269" s="173" t="s">
        <v>428</v>
      </c>
      <c r="AE269" s="174">
        <v>49090.55</v>
      </c>
      <c r="AF269" s="175">
        <v>23611.46</v>
      </c>
      <c r="AG269" s="176">
        <v>4633.0600000000004</v>
      </c>
      <c r="AH269" s="177">
        <v>107413.25</v>
      </c>
      <c r="AI269" s="178">
        <v>15198.15</v>
      </c>
      <c r="AJ269" s="179">
        <v>8631.33</v>
      </c>
      <c r="AK269" s="180">
        <v>62094.21</v>
      </c>
      <c r="AL269" s="181">
        <v>35922.07</v>
      </c>
      <c r="AM269" s="182">
        <v>7.08</v>
      </c>
      <c r="AN269" s="183" t="s">
        <v>1765</v>
      </c>
      <c r="AO269" s="184" t="s">
        <v>2846</v>
      </c>
      <c r="AP269" s="185" t="s">
        <v>2847</v>
      </c>
      <c r="AQ269" s="186" t="s">
        <v>2694</v>
      </c>
      <c r="AR269" s="187" t="s">
        <v>2849</v>
      </c>
      <c r="AS269" s="188" t="s">
        <v>2850</v>
      </c>
      <c r="AT269" s="189" t="s">
        <v>1399</v>
      </c>
      <c r="AU269" s="190" t="s">
        <v>5879</v>
      </c>
      <c r="AV269" s="191" t="s">
        <v>153</v>
      </c>
      <c r="AW269" s="192" t="s">
        <v>1402</v>
      </c>
      <c r="AX269" s="193" t="s">
        <v>153</v>
      </c>
      <c r="AY269" s="194" t="s">
        <v>5880</v>
      </c>
      <c r="AZ269" s="195" t="s">
        <v>1404</v>
      </c>
      <c r="BA269" s="196" t="s">
        <v>5881</v>
      </c>
      <c r="BB269" s="197" t="s">
        <v>5882</v>
      </c>
      <c r="BC269" s="198" t="s">
        <v>153</v>
      </c>
      <c r="BD269" s="199" t="s">
        <v>1406</v>
      </c>
      <c r="BE269" s="200" t="s">
        <v>1407</v>
      </c>
      <c r="BF269" s="201" t="s">
        <v>5883</v>
      </c>
      <c r="BG269" s="202" t="s">
        <v>153</v>
      </c>
      <c r="BH269" s="203" t="s">
        <v>153</v>
      </c>
      <c r="BI269" s="204" t="s">
        <v>153</v>
      </c>
      <c r="BJ269" s="205" t="s">
        <v>5884</v>
      </c>
      <c r="BK269" s="206" t="s">
        <v>5878</v>
      </c>
      <c r="BL269" s="207" t="s">
        <v>153</v>
      </c>
      <c r="BM269" s="208" t="s">
        <v>5885</v>
      </c>
      <c r="BN269" s="209" t="s">
        <v>5886</v>
      </c>
      <c r="BO269" s="210" t="s">
        <v>5887</v>
      </c>
      <c r="BP269" s="211" t="s">
        <v>5888</v>
      </c>
      <c r="BQ269" s="212">
        <v>37895</v>
      </c>
      <c r="BR269" s="213">
        <v>2220</v>
      </c>
      <c r="BS269" s="214" t="s">
        <v>186</v>
      </c>
      <c r="BT269" s="215">
        <v>3328.33</v>
      </c>
      <c r="BU269" s="216" t="s">
        <v>186</v>
      </c>
      <c r="BV269" s="217" t="s">
        <v>188</v>
      </c>
      <c r="BW269" s="218" t="s">
        <v>153</v>
      </c>
      <c r="BX269" s="219" t="s">
        <v>153</v>
      </c>
      <c r="BY269" s="220" t="s">
        <v>165</v>
      </c>
      <c r="BZ269" s="221" t="s">
        <v>5889</v>
      </c>
      <c r="CA269" s="222" t="s">
        <v>190</v>
      </c>
      <c r="CB269" s="223">
        <v>44071</v>
      </c>
      <c r="CC269" s="224">
        <v>14000</v>
      </c>
      <c r="CD269" s="225" t="s">
        <v>186</v>
      </c>
      <c r="CE269" s="226">
        <v>63348.42</v>
      </c>
      <c r="CF269" s="227" t="s">
        <v>186</v>
      </c>
      <c r="CG269" s="228" t="s">
        <v>906</v>
      </c>
      <c r="CH269" s="229" t="s">
        <v>153</v>
      </c>
      <c r="CI269" s="230" t="s">
        <v>153</v>
      </c>
      <c r="CJ269" s="231" t="s">
        <v>225</v>
      </c>
      <c r="CK269" s="232">
        <v>44071</v>
      </c>
      <c r="CL269" s="233" t="s">
        <v>153</v>
      </c>
      <c r="CM269" s="234" t="s">
        <v>153</v>
      </c>
      <c r="CN269" s="235" t="s">
        <v>394</v>
      </c>
      <c r="CO269" s="236">
        <v>0.45</v>
      </c>
      <c r="CP269" s="237">
        <v>93</v>
      </c>
      <c r="CQ269" s="238">
        <v>0</v>
      </c>
      <c r="CR269" s="239">
        <v>-0.39</v>
      </c>
      <c r="CS269" s="240">
        <v>0.46</v>
      </c>
      <c r="CT269" s="241">
        <v>92</v>
      </c>
      <c r="CU269" s="242" t="s">
        <v>153</v>
      </c>
      <c r="CV269" s="243" t="s">
        <v>153</v>
      </c>
      <c r="CW269" s="244" t="s">
        <v>153</v>
      </c>
      <c r="CX269" s="245" t="s">
        <v>153</v>
      </c>
      <c r="CY269" s="246">
        <v>0.46</v>
      </c>
      <c r="CZ269" s="247">
        <v>94</v>
      </c>
      <c r="DA269" s="248" t="s">
        <v>153</v>
      </c>
      <c r="DB269" s="249" t="s">
        <v>153</v>
      </c>
      <c r="DC269" s="250">
        <v>911.81</v>
      </c>
      <c r="DD269" s="251">
        <v>100</v>
      </c>
      <c r="DE269" s="252">
        <v>0.16</v>
      </c>
      <c r="DF269" s="253">
        <v>0.02</v>
      </c>
      <c r="DG269" s="254">
        <v>42</v>
      </c>
      <c r="DH269" s="255">
        <v>98</v>
      </c>
      <c r="DI269" s="256" t="s">
        <v>153</v>
      </c>
      <c r="DJ269" s="257" t="s">
        <v>153</v>
      </c>
      <c r="DK269" s="258" t="s">
        <v>153</v>
      </c>
      <c r="DL269" s="259" t="s">
        <v>153</v>
      </c>
      <c r="DM269" s="260">
        <v>42</v>
      </c>
      <c r="DN269" s="261">
        <v>98</v>
      </c>
      <c r="DO269" s="262" t="s">
        <v>153</v>
      </c>
      <c r="DP269" s="263" t="s">
        <v>153</v>
      </c>
      <c r="DQ269" s="264" t="s">
        <v>153</v>
      </c>
      <c r="DR269" s="265" t="s">
        <v>153</v>
      </c>
      <c r="DS269" s="266" t="s">
        <v>153</v>
      </c>
      <c r="DT269" s="267">
        <v>669</v>
      </c>
      <c r="DU269" s="268">
        <v>5</v>
      </c>
      <c r="DV269" s="269">
        <v>0.75</v>
      </c>
      <c r="DW269" s="270" t="s">
        <v>153</v>
      </c>
      <c r="DX269" s="271" t="s">
        <v>153</v>
      </c>
      <c r="DY269" s="272" t="s">
        <v>153</v>
      </c>
      <c r="DZ269" s="273" t="s">
        <v>191</v>
      </c>
      <c r="EA269" s="274">
        <v>44329</v>
      </c>
      <c r="EB269" s="275">
        <v>63348.42</v>
      </c>
      <c r="EC269" s="276">
        <v>44071</v>
      </c>
      <c r="ED269" s="277" t="s">
        <v>906</v>
      </c>
      <c r="EE269" s="279" t="str">
        <f>HYPERLINK("https://my.pitchbook.com?c=10204-21", "View company online")</f>
        <v>View company online</v>
      </c>
    </row>
    <row r="270" spans="1:135" x14ac:dyDescent="0.45">
      <c r="A270" s="10" t="s">
        <v>5890</v>
      </c>
      <c r="B270" s="11" t="s">
        <v>5891</v>
      </c>
      <c r="C270" s="12" t="s">
        <v>153</v>
      </c>
      <c r="D270" s="13" t="s">
        <v>153</v>
      </c>
      <c r="E270" s="14" t="s">
        <v>153</v>
      </c>
      <c r="F270" s="15" t="s">
        <v>5892</v>
      </c>
      <c r="G270" s="16" t="s">
        <v>5893</v>
      </c>
      <c r="H270" s="17" t="s">
        <v>5894</v>
      </c>
      <c r="I270" s="18" t="s">
        <v>5890</v>
      </c>
      <c r="J270" s="19" t="s">
        <v>5895</v>
      </c>
      <c r="K270" s="20" t="s">
        <v>882</v>
      </c>
      <c r="L270" s="21" t="s">
        <v>1231</v>
      </c>
      <c r="M270" s="22" t="s">
        <v>5896</v>
      </c>
      <c r="N270" s="23" t="s">
        <v>5897</v>
      </c>
      <c r="O270" s="24" t="s">
        <v>1234</v>
      </c>
      <c r="P270" s="25" t="s">
        <v>5898</v>
      </c>
      <c r="Q270" s="26" t="s">
        <v>564</v>
      </c>
      <c r="R270" s="27">
        <v>40.85</v>
      </c>
      <c r="S270" s="28" t="s">
        <v>290</v>
      </c>
      <c r="T270" s="29" t="s">
        <v>291</v>
      </c>
      <c r="U270" s="30" t="s">
        <v>1063</v>
      </c>
      <c r="V270" s="31" t="s">
        <v>153</v>
      </c>
      <c r="W270" s="32">
        <v>1965</v>
      </c>
      <c r="X270" s="33" t="s">
        <v>5899</v>
      </c>
      <c r="Y270" s="34" t="s">
        <v>5900</v>
      </c>
      <c r="Z270" s="35" t="s">
        <v>5901</v>
      </c>
      <c r="AA270" s="36">
        <v>1976</v>
      </c>
      <c r="AB270" s="37" t="s">
        <v>5902</v>
      </c>
      <c r="AC270" s="38" t="s">
        <v>153</v>
      </c>
      <c r="AD270" s="39" t="s">
        <v>153</v>
      </c>
      <c r="AE270" s="40" t="s">
        <v>153</v>
      </c>
      <c r="AF270" s="41" t="s">
        <v>153</v>
      </c>
      <c r="AG270" s="42" t="s">
        <v>153</v>
      </c>
      <c r="AH270" s="43" t="s">
        <v>153</v>
      </c>
      <c r="AI270" s="44" t="s">
        <v>153</v>
      </c>
      <c r="AJ270" s="45" t="s">
        <v>153</v>
      </c>
      <c r="AK270" s="46" t="s">
        <v>153</v>
      </c>
      <c r="AL270" s="47" t="s">
        <v>153</v>
      </c>
      <c r="AM270" s="48" t="s">
        <v>153</v>
      </c>
      <c r="AN270" s="49" t="s">
        <v>153</v>
      </c>
      <c r="AO270" s="50" t="s">
        <v>5903</v>
      </c>
      <c r="AP270" s="51" t="s">
        <v>5904</v>
      </c>
      <c r="AQ270" s="52" t="s">
        <v>512</v>
      </c>
      <c r="AR270" s="53" t="s">
        <v>5905</v>
      </c>
      <c r="AS270" s="54" t="s">
        <v>5906</v>
      </c>
      <c r="AT270" s="55" t="s">
        <v>5907</v>
      </c>
      <c r="AU270" s="56" t="s">
        <v>5908</v>
      </c>
      <c r="AV270" s="57" t="s">
        <v>153</v>
      </c>
      <c r="AW270" s="58" t="s">
        <v>5909</v>
      </c>
      <c r="AX270" s="59" t="s">
        <v>153</v>
      </c>
      <c r="AY270" s="60" t="s">
        <v>153</v>
      </c>
      <c r="AZ270" s="61" t="s">
        <v>247</v>
      </c>
      <c r="BA270" s="62" t="s">
        <v>5906</v>
      </c>
      <c r="BB270" s="63" t="s">
        <v>5910</v>
      </c>
      <c r="BC270" s="64" t="s">
        <v>5911</v>
      </c>
      <c r="BD270" s="65" t="s">
        <v>248</v>
      </c>
      <c r="BE270" s="66" t="s">
        <v>248</v>
      </c>
      <c r="BF270" s="67" t="s">
        <v>5912</v>
      </c>
      <c r="BG270" s="68" t="s">
        <v>153</v>
      </c>
      <c r="BH270" s="69" t="s">
        <v>153</v>
      </c>
      <c r="BI270" s="70" t="s">
        <v>5902</v>
      </c>
      <c r="BJ270" s="71" t="s">
        <v>5913</v>
      </c>
      <c r="BK270" s="72" t="s">
        <v>153</v>
      </c>
      <c r="BL270" s="73" t="s">
        <v>153</v>
      </c>
      <c r="BM270" s="74" t="s">
        <v>5914</v>
      </c>
      <c r="BN270" s="75" t="s">
        <v>153</v>
      </c>
      <c r="BO270" s="76" t="s">
        <v>153</v>
      </c>
      <c r="BP270" s="77" t="s">
        <v>5915</v>
      </c>
      <c r="BQ270" s="78" t="s">
        <v>153</v>
      </c>
      <c r="BR270" s="79" t="s">
        <v>153</v>
      </c>
      <c r="BS270" s="80" t="s">
        <v>153</v>
      </c>
      <c r="BT270" s="81" t="s">
        <v>153</v>
      </c>
      <c r="BU270" s="82" t="s">
        <v>153</v>
      </c>
      <c r="BV270" s="83" t="s">
        <v>709</v>
      </c>
      <c r="BW270" s="84" t="s">
        <v>153</v>
      </c>
      <c r="BX270" s="85" t="s">
        <v>153</v>
      </c>
      <c r="BY270" s="86" t="s">
        <v>165</v>
      </c>
      <c r="BZ270" s="87" t="s">
        <v>153</v>
      </c>
      <c r="CA270" s="88" t="s">
        <v>190</v>
      </c>
      <c r="CB270" s="89">
        <v>42879</v>
      </c>
      <c r="CC270" s="90">
        <v>14000</v>
      </c>
      <c r="CD270" s="91" t="s">
        <v>186</v>
      </c>
      <c r="CE270" s="92">
        <v>14000</v>
      </c>
      <c r="CF270" s="93" t="s">
        <v>187</v>
      </c>
      <c r="CG270" s="94" t="s">
        <v>226</v>
      </c>
      <c r="CH270" s="95" t="s">
        <v>153</v>
      </c>
      <c r="CI270" s="96" t="s">
        <v>153</v>
      </c>
      <c r="CJ270" s="97" t="s">
        <v>225</v>
      </c>
      <c r="CK270" s="98">
        <v>42879</v>
      </c>
      <c r="CL270" s="99" t="s">
        <v>153</v>
      </c>
      <c r="CM270" s="100" t="s">
        <v>153</v>
      </c>
      <c r="CN270" s="101" t="s">
        <v>190</v>
      </c>
      <c r="CO270" s="102">
        <v>0.05</v>
      </c>
      <c r="CP270" s="103">
        <v>88</v>
      </c>
      <c r="CQ270" s="104">
        <v>-0.15</v>
      </c>
      <c r="CR270" s="105">
        <v>-75.53</v>
      </c>
      <c r="CS270" s="106">
        <v>0.05</v>
      </c>
      <c r="CT270" s="107">
        <v>89</v>
      </c>
      <c r="CU270" s="108" t="s">
        <v>153</v>
      </c>
      <c r="CV270" s="109" t="s">
        <v>153</v>
      </c>
      <c r="CW270" s="110" t="s">
        <v>153</v>
      </c>
      <c r="CX270" s="111" t="s">
        <v>153</v>
      </c>
      <c r="CY270" s="112">
        <v>0.05</v>
      </c>
      <c r="CZ270" s="113">
        <v>90</v>
      </c>
      <c r="DA270" s="114" t="s">
        <v>153</v>
      </c>
      <c r="DB270" s="115" t="s">
        <v>153</v>
      </c>
      <c r="DC270" s="116">
        <v>67.44</v>
      </c>
      <c r="DD270" s="117">
        <v>99</v>
      </c>
      <c r="DE270" s="118">
        <v>-0.06</v>
      </c>
      <c r="DF270" s="119">
        <v>-0.09</v>
      </c>
      <c r="DG270" s="120">
        <v>67.44</v>
      </c>
      <c r="DH270" s="121">
        <v>99</v>
      </c>
      <c r="DI270" s="122" t="s">
        <v>153</v>
      </c>
      <c r="DJ270" s="123" t="s">
        <v>153</v>
      </c>
      <c r="DK270" s="124" t="s">
        <v>153</v>
      </c>
      <c r="DL270" s="125" t="s">
        <v>153</v>
      </c>
      <c r="DM270" s="126">
        <v>67.44</v>
      </c>
      <c r="DN270" s="127">
        <v>99</v>
      </c>
      <c r="DO270" s="128" t="s">
        <v>153</v>
      </c>
      <c r="DP270" s="129" t="s">
        <v>153</v>
      </c>
      <c r="DQ270" s="130" t="s">
        <v>153</v>
      </c>
      <c r="DR270" s="131" t="s">
        <v>153</v>
      </c>
      <c r="DS270" s="132" t="s">
        <v>153</v>
      </c>
      <c r="DT270" s="133">
        <v>1079</v>
      </c>
      <c r="DU270" s="134">
        <v>-1</v>
      </c>
      <c r="DV270" s="135">
        <v>-0.09</v>
      </c>
      <c r="DW270" s="136" t="s">
        <v>153</v>
      </c>
      <c r="DX270" s="137" t="s">
        <v>153</v>
      </c>
      <c r="DY270" s="138" t="s">
        <v>153</v>
      </c>
      <c r="DZ270" s="139" t="s">
        <v>191</v>
      </c>
      <c r="EA270" s="140">
        <v>44285</v>
      </c>
      <c r="EB270" s="141">
        <v>14000</v>
      </c>
      <c r="EC270" s="142">
        <v>42879</v>
      </c>
      <c r="ED270" s="143" t="s">
        <v>226</v>
      </c>
      <c r="EE270" s="278" t="str">
        <f>HYPERLINK("https://my.pitchbook.com?c=157659-49", "View company online")</f>
        <v>View company online</v>
      </c>
    </row>
    <row r="271" spans="1:135" x14ac:dyDescent="0.45">
      <c r="A271" s="144" t="s">
        <v>5916</v>
      </c>
      <c r="B271" s="145" t="s">
        <v>5917</v>
      </c>
      <c r="C271" s="146" t="s">
        <v>153</v>
      </c>
      <c r="D271" s="147" t="s">
        <v>153</v>
      </c>
      <c r="E271" s="148" t="s">
        <v>5918</v>
      </c>
      <c r="F271" s="149" t="s">
        <v>153</v>
      </c>
      <c r="G271" s="150" t="s">
        <v>5919</v>
      </c>
      <c r="H271" s="151" t="s">
        <v>5920</v>
      </c>
      <c r="I271" s="152" t="s">
        <v>5916</v>
      </c>
      <c r="J271" s="153" t="s">
        <v>5921</v>
      </c>
      <c r="K271" s="154" t="s">
        <v>257</v>
      </c>
      <c r="L271" s="155" t="s">
        <v>478</v>
      </c>
      <c r="M271" s="156" t="s">
        <v>5922</v>
      </c>
      <c r="N271" s="157" t="s">
        <v>5923</v>
      </c>
      <c r="O271" s="158" t="s">
        <v>5924</v>
      </c>
      <c r="P271" s="159" t="s">
        <v>5925</v>
      </c>
      <c r="Q271" s="160" t="s">
        <v>289</v>
      </c>
      <c r="R271" s="161">
        <v>592.24</v>
      </c>
      <c r="S271" s="162" t="s">
        <v>368</v>
      </c>
      <c r="T271" s="163" t="s">
        <v>205</v>
      </c>
      <c r="U271" s="164" t="s">
        <v>941</v>
      </c>
      <c r="V271" s="165" t="s">
        <v>5926</v>
      </c>
      <c r="W271" s="166">
        <v>900</v>
      </c>
      <c r="X271" s="167" t="s">
        <v>5927</v>
      </c>
      <c r="Y271" s="168" t="s">
        <v>153</v>
      </c>
      <c r="Z271" s="169" t="s">
        <v>153</v>
      </c>
      <c r="AA271" s="170">
        <v>2008</v>
      </c>
      <c r="AB271" s="171" t="s">
        <v>5928</v>
      </c>
      <c r="AC271" s="172" t="s">
        <v>153</v>
      </c>
      <c r="AD271" s="173" t="s">
        <v>570</v>
      </c>
      <c r="AE271" s="174">
        <v>317.44</v>
      </c>
      <c r="AF271" s="175">
        <v>241.01</v>
      </c>
      <c r="AG271" s="176">
        <v>-39.020000000000003</v>
      </c>
      <c r="AH271" s="177">
        <v>13805.85</v>
      </c>
      <c r="AI271" s="178">
        <v>-30.79</v>
      </c>
      <c r="AJ271" s="179">
        <v>-38.96</v>
      </c>
      <c r="AK271" s="180" t="s">
        <v>153</v>
      </c>
      <c r="AL271" s="181">
        <v>-378.58</v>
      </c>
      <c r="AM271" s="182">
        <v>125.44</v>
      </c>
      <c r="AN271" s="183" t="s">
        <v>5929</v>
      </c>
      <c r="AO271" s="184" t="s">
        <v>5930</v>
      </c>
      <c r="AP271" s="185" t="s">
        <v>5931</v>
      </c>
      <c r="AQ271" s="186" t="s">
        <v>512</v>
      </c>
      <c r="AR271" s="187" t="s">
        <v>5932</v>
      </c>
      <c r="AS271" s="188" t="s">
        <v>5933</v>
      </c>
      <c r="AT271" s="189" t="s">
        <v>4307</v>
      </c>
      <c r="AU271" s="190" t="s">
        <v>5934</v>
      </c>
      <c r="AV271" s="191" t="s">
        <v>5935</v>
      </c>
      <c r="AW271" s="192" t="s">
        <v>4310</v>
      </c>
      <c r="AX271" s="193" t="s">
        <v>308</v>
      </c>
      <c r="AY271" s="194" t="s">
        <v>4311</v>
      </c>
      <c r="AZ271" s="195" t="s">
        <v>215</v>
      </c>
      <c r="BA271" s="196" t="s">
        <v>153</v>
      </c>
      <c r="BB271" s="197" t="s">
        <v>153</v>
      </c>
      <c r="BC271" s="198" t="s">
        <v>153</v>
      </c>
      <c r="BD271" s="199" t="s">
        <v>216</v>
      </c>
      <c r="BE271" s="200" t="s">
        <v>217</v>
      </c>
      <c r="BF271" s="201" t="s">
        <v>5936</v>
      </c>
      <c r="BG271" s="202" t="s">
        <v>5937</v>
      </c>
      <c r="BH271" s="203">
        <v>4</v>
      </c>
      <c r="BI271" s="204" t="s">
        <v>5928</v>
      </c>
      <c r="BJ271" s="205" t="s">
        <v>5938</v>
      </c>
      <c r="BK271" s="206" t="s">
        <v>153</v>
      </c>
      <c r="BL271" s="207" t="s">
        <v>5939</v>
      </c>
      <c r="BM271" s="208" t="s">
        <v>5940</v>
      </c>
      <c r="BN271" s="209" t="s">
        <v>153</v>
      </c>
      <c r="BO271" s="210" t="s">
        <v>5941</v>
      </c>
      <c r="BP271" s="211" t="s">
        <v>5942</v>
      </c>
      <c r="BQ271" s="212">
        <v>41556</v>
      </c>
      <c r="BR271" s="213">
        <v>8</v>
      </c>
      <c r="BS271" s="214" t="s">
        <v>186</v>
      </c>
      <c r="BT271" s="215" t="s">
        <v>153</v>
      </c>
      <c r="BU271" s="216" t="s">
        <v>153</v>
      </c>
      <c r="BV271" s="217" t="s">
        <v>471</v>
      </c>
      <c r="BW271" s="218" t="s">
        <v>153</v>
      </c>
      <c r="BX271" s="219" t="s">
        <v>153</v>
      </c>
      <c r="BY271" s="220" t="s">
        <v>472</v>
      </c>
      <c r="BZ271" s="221" t="s">
        <v>153</v>
      </c>
      <c r="CA271" s="222" t="s">
        <v>190</v>
      </c>
      <c r="CB271" s="223">
        <v>44134</v>
      </c>
      <c r="CC271" s="224">
        <v>13938.04</v>
      </c>
      <c r="CD271" s="225" t="s">
        <v>186</v>
      </c>
      <c r="CE271" s="226">
        <v>13938.04</v>
      </c>
      <c r="CF271" s="227" t="s">
        <v>187</v>
      </c>
      <c r="CG271" s="228" t="s">
        <v>226</v>
      </c>
      <c r="CH271" s="229" t="s">
        <v>153</v>
      </c>
      <c r="CI271" s="230" t="s">
        <v>153</v>
      </c>
      <c r="CJ271" s="231" t="s">
        <v>225</v>
      </c>
      <c r="CK271" s="232">
        <v>44134</v>
      </c>
      <c r="CL271" s="233" t="s">
        <v>153</v>
      </c>
      <c r="CM271" s="234" t="s">
        <v>153</v>
      </c>
      <c r="CN271" s="235" t="s">
        <v>190</v>
      </c>
      <c r="CO271" s="236" t="s">
        <v>153</v>
      </c>
      <c r="CP271" s="237" t="s">
        <v>153</v>
      </c>
      <c r="CQ271" s="238" t="s">
        <v>153</v>
      </c>
      <c r="CR271" s="239" t="s">
        <v>153</v>
      </c>
      <c r="CS271" s="240" t="s">
        <v>153</v>
      </c>
      <c r="CT271" s="241" t="s">
        <v>153</v>
      </c>
      <c r="CU271" s="242" t="s">
        <v>153</v>
      </c>
      <c r="CV271" s="243" t="s">
        <v>153</v>
      </c>
      <c r="CW271" s="244" t="s">
        <v>153</v>
      </c>
      <c r="CX271" s="245" t="s">
        <v>153</v>
      </c>
      <c r="CY271" s="246" t="s">
        <v>153</v>
      </c>
      <c r="CZ271" s="247" t="s">
        <v>153</v>
      </c>
      <c r="DA271" s="248" t="s">
        <v>153</v>
      </c>
      <c r="DB271" s="249" t="s">
        <v>153</v>
      </c>
      <c r="DC271" s="250" t="s">
        <v>153</v>
      </c>
      <c r="DD271" s="251" t="s">
        <v>153</v>
      </c>
      <c r="DE271" s="252" t="s">
        <v>153</v>
      </c>
      <c r="DF271" s="253" t="s">
        <v>153</v>
      </c>
      <c r="DG271" s="254" t="s">
        <v>153</v>
      </c>
      <c r="DH271" s="255" t="s">
        <v>153</v>
      </c>
      <c r="DI271" s="256" t="s">
        <v>153</v>
      </c>
      <c r="DJ271" s="257" t="s">
        <v>153</v>
      </c>
      <c r="DK271" s="258" t="s">
        <v>153</v>
      </c>
      <c r="DL271" s="259" t="s">
        <v>153</v>
      </c>
      <c r="DM271" s="260" t="s">
        <v>153</v>
      </c>
      <c r="DN271" s="261" t="s">
        <v>153</v>
      </c>
      <c r="DO271" s="262" t="s">
        <v>153</v>
      </c>
      <c r="DP271" s="263" t="s">
        <v>153</v>
      </c>
      <c r="DQ271" s="264" t="s">
        <v>153</v>
      </c>
      <c r="DR271" s="265" t="s">
        <v>153</v>
      </c>
      <c r="DS271" s="266" t="s">
        <v>153</v>
      </c>
      <c r="DT271" s="267" t="s">
        <v>153</v>
      </c>
      <c r="DU271" s="268" t="s">
        <v>153</v>
      </c>
      <c r="DV271" s="269" t="s">
        <v>153</v>
      </c>
      <c r="DW271" s="270" t="s">
        <v>153</v>
      </c>
      <c r="DX271" s="271" t="s">
        <v>153</v>
      </c>
      <c r="DY271" s="272" t="s">
        <v>153</v>
      </c>
      <c r="DZ271" s="273" t="s">
        <v>191</v>
      </c>
      <c r="EA271" s="274">
        <v>44344</v>
      </c>
      <c r="EB271" s="275">
        <v>13938.04</v>
      </c>
      <c r="EC271" s="276">
        <v>44134</v>
      </c>
      <c r="ED271" s="277" t="s">
        <v>226</v>
      </c>
      <c r="EE271" s="279" t="str">
        <f>HYPERLINK("https://my.pitchbook.com?c=61078-87", "View company online")</f>
        <v>View company online</v>
      </c>
    </row>
    <row r="272" spans="1:135" x14ac:dyDescent="0.45">
      <c r="A272" s="10" t="s">
        <v>5943</v>
      </c>
      <c r="B272" s="11" t="s">
        <v>5944</v>
      </c>
      <c r="C272" s="12" t="s">
        <v>153</v>
      </c>
      <c r="D272" s="13" t="s">
        <v>153</v>
      </c>
      <c r="E272" s="14" t="s">
        <v>5945</v>
      </c>
      <c r="F272" s="15" t="s">
        <v>153</v>
      </c>
      <c r="G272" s="16" t="s">
        <v>5946</v>
      </c>
      <c r="H272" s="17" t="s">
        <v>5947</v>
      </c>
      <c r="I272" s="18" t="s">
        <v>5943</v>
      </c>
      <c r="J272" s="19" t="s">
        <v>5948</v>
      </c>
      <c r="K272" s="20" t="s">
        <v>257</v>
      </c>
      <c r="L272" s="21" t="s">
        <v>478</v>
      </c>
      <c r="M272" s="22" t="s">
        <v>1819</v>
      </c>
      <c r="N272" s="23" t="s">
        <v>5949</v>
      </c>
      <c r="O272" s="24" t="s">
        <v>1139</v>
      </c>
      <c r="P272" s="25" t="s">
        <v>5950</v>
      </c>
      <c r="Q272" s="26" t="s">
        <v>204</v>
      </c>
      <c r="R272" s="27" t="s">
        <v>153</v>
      </c>
      <c r="S272" s="28" t="s">
        <v>163</v>
      </c>
      <c r="T272" s="29" t="s">
        <v>164</v>
      </c>
      <c r="U272" s="30" t="s">
        <v>292</v>
      </c>
      <c r="V272" s="31" t="s">
        <v>5951</v>
      </c>
      <c r="W272" s="32">
        <v>3000</v>
      </c>
      <c r="X272" s="33" t="s">
        <v>5952</v>
      </c>
      <c r="Y272" s="34" t="s">
        <v>153</v>
      </c>
      <c r="Z272" s="35" t="s">
        <v>153</v>
      </c>
      <c r="AA272" s="36">
        <v>1988</v>
      </c>
      <c r="AB272" s="37" t="s">
        <v>1465</v>
      </c>
      <c r="AC272" s="38" t="s">
        <v>153</v>
      </c>
      <c r="AD272" s="39" t="s">
        <v>153</v>
      </c>
      <c r="AE272" s="40" t="s">
        <v>153</v>
      </c>
      <c r="AF272" s="41" t="s">
        <v>153</v>
      </c>
      <c r="AG272" s="42" t="s">
        <v>153</v>
      </c>
      <c r="AH272" s="43" t="s">
        <v>153</v>
      </c>
      <c r="AI272" s="44" t="s">
        <v>153</v>
      </c>
      <c r="AJ272" s="45" t="s">
        <v>153</v>
      </c>
      <c r="AK272" s="46" t="s">
        <v>153</v>
      </c>
      <c r="AL272" s="47" t="s">
        <v>153</v>
      </c>
      <c r="AM272" s="48" t="s">
        <v>153</v>
      </c>
      <c r="AN272" s="49" t="s">
        <v>5953</v>
      </c>
      <c r="AO272" s="50" t="s">
        <v>153</v>
      </c>
      <c r="AP272" s="51" t="s">
        <v>153</v>
      </c>
      <c r="AQ272" s="52" t="s">
        <v>153</v>
      </c>
      <c r="AR272" s="53" t="s">
        <v>153</v>
      </c>
      <c r="AS272" s="54" t="s">
        <v>153</v>
      </c>
      <c r="AT272" s="55" t="s">
        <v>5954</v>
      </c>
      <c r="AU272" s="56" t="s">
        <v>5955</v>
      </c>
      <c r="AV272" s="57" t="s">
        <v>153</v>
      </c>
      <c r="AW272" s="58" t="s">
        <v>5956</v>
      </c>
      <c r="AX272" s="59" t="s">
        <v>5957</v>
      </c>
      <c r="AY272" s="60" t="s">
        <v>5958</v>
      </c>
      <c r="AZ272" s="61" t="s">
        <v>215</v>
      </c>
      <c r="BA272" s="62" t="s">
        <v>5959</v>
      </c>
      <c r="BB272" s="63" t="s">
        <v>5960</v>
      </c>
      <c r="BC272" s="64" t="s">
        <v>153</v>
      </c>
      <c r="BD272" s="65" t="s">
        <v>216</v>
      </c>
      <c r="BE272" s="66" t="s">
        <v>217</v>
      </c>
      <c r="BF272" s="67" t="s">
        <v>5961</v>
      </c>
      <c r="BG272" s="68" t="s">
        <v>153</v>
      </c>
      <c r="BH272" s="69" t="s">
        <v>153</v>
      </c>
      <c r="BI272" s="70" t="s">
        <v>1465</v>
      </c>
      <c r="BJ272" s="71" t="s">
        <v>5962</v>
      </c>
      <c r="BK272" s="72" t="s">
        <v>5963</v>
      </c>
      <c r="BL272" s="73" t="s">
        <v>153</v>
      </c>
      <c r="BM272" s="74" t="s">
        <v>5964</v>
      </c>
      <c r="BN272" s="75" t="s">
        <v>5965</v>
      </c>
      <c r="BO272" s="76" t="s">
        <v>5966</v>
      </c>
      <c r="BP272" s="77" t="s">
        <v>355</v>
      </c>
      <c r="BQ272" s="78">
        <v>33239</v>
      </c>
      <c r="BR272" s="79" t="s">
        <v>153</v>
      </c>
      <c r="BS272" s="80" t="s">
        <v>153</v>
      </c>
      <c r="BT272" s="81" t="s">
        <v>153</v>
      </c>
      <c r="BU272" s="82" t="s">
        <v>153</v>
      </c>
      <c r="BV272" s="83" t="s">
        <v>393</v>
      </c>
      <c r="BW272" s="84" t="s">
        <v>153</v>
      </c>
      <c r="BX272" s="85" t="s">
        <v>153</v>
      </c>
      <c r="BY272" s="86" t="s">
        <v>165</v>
      </c>
      <c r="BZ272" s="87" t="s">
        <v>153</v>
      </c>
      <c r="CA272" s="88" t="s">
        <v>190</v>
      </c>
      <c r="CB272" s="89">
        <v>39252</v>
      </c>
      <c r="CC272" s="90">
        <v>13791</v>
      </c>
      <c r="CD272" s="91" t="s">
        <v>186</v>
      </c>
      <c r="CE272" s="92">
        <v>13791</v>
      </c>
      <c r="CF272" s="93" t="s">
        <v>186</v>
      </c>
      <c r="CG272" s="94" t="s">
        <v>226</v>
      </c>
      <c r="CH272" s="95" t="s">
        <v>153</v>
      </c>
      <c r="CI272" s="96" t="s">
        <v>153</v>
      </c>
      <c r="CJ272" s="97" t="s">
        <v>225</v>
      </c>
      <c r="CK272" s="98">
        <v>39252</v>
      </c>
      <c r="CL272" s="99" t="s">
        <v>153</v>
      </c>
      <c r="CM272" s="100" t="s">
        <v>153</v>
      </c>
      <c r="CN272" s="101" t="s">
        <v>190</v>
      </c>
      <c r="CO272" s="102">
        <v>0.11</v>
      </c>
      <c r="CP272" s="103">
        <v>89</v>
      </c>
      <c r="CQ272" s="104">
        <v>0.05</v>
      </c>
      <c r="CR272" s="105">
        <v>98.53</v>
      </c>
      <c r="CS272" s="106">
        <v>0.11</v>
      </c>
      <c r="CT272" s="107">
        <v>90</v>
      </c>
      <c r="CU272" s="108" t="s">
        <v>153</v>
      </c>
      <c r="CV272" s="109" t="s">
        <v>153</v>
      </c>
      <c r="CW272" s="110" t="s">
        <v>153</v>
      </c>
      <c r="CX272" s="111" t="s">
        <v>153</v>
      </c>
      <c r="CY272" s="112">
        <v>0.11</v>
      </c>
      <c r="CZ272" s="113">
        <v>91</v>
      </c>
      <c r="DA272" s="114" t="s">
        <v>153</v>
      </c>
      <c r="DB272" s="115" t="s">
        <v>153</v>
      </c>
      <c r="DC272" s="116">
        <v>74</v>
      </c>
      <c r="DD272" s="117">
        <v>99</v>
      </c>
      <c r="DE272" s="118">
        <v>0</v>
      </c>
      <c r="DF272" s="119">
        <v>0</v>
      </c>
      <c r="DG272" s="120">
        <v>74</v>
      </c>
      <c r="DH272" s="121">
        <v>99</v>
      </c>
      <c r="DI272" s="122" t="s">
        <v>153</v>
      </c>
      <c r="DJ272" s="123" t="s">
        <v>153</v>
      </c>
      <c r="DK272" s="124" t="s">
        <v>153</v>
      </c>
      <c r="DL272" s="125" t="s">
        <v>153</v>
      </c>
      <c r="DM272" s="126">
        <v>74</v>
      </c>
      <c r="DN272" s="127">
        <v>99</v>
      </c>
      <c r="DO272" s="128" t="s">
        <v>153</v>
      </c>
      <c r="DP272" s="129" t="s">
        <v>153</v>
      </c>
      <c r="DQ272" s="130" t="s">
        <v>153</v>
      </c>
      <c r="DR272" s="131" t="s">
        <v>153</v>
      </c>
      <c r="DS272" s="132" t="s">
        <v>153</v>
      </c>
      <c r="DT272" s="133">
        <v>1184</v>
      </c>
      <c r="DU272" s="134">
        <v>0</v>
      </c>
      <c r="DV272" s="135">
        <v>0</v>
      </c>
      <c r="DW272" s="136" t="s">
        <v>153</v>
      </c>
      <c r="DX272" s="137" t="s">
        <v>153</v>
      </c>
      <c r="DY272" s="138" t="s">
        <v>153</v>
      </c>
      <c r="DZ272" s="139" t="s">
        <v>191</v>
      </c>
      <c r="EA272" s="140">
        <v>44379</v>
      </c>
      <c r="EB272" s="141">
        <v>13791</v>
      </c>
      <c r="EC272" s="142">
        <v>39252</v>
      </c>
      <c r="ED272" s="143" t="s">
        <v>226</v>
      </c>
      <c r="EE272" s="278" t="str">
        <f>HYPERLINK("https://my.pitchbook.com?c=11980-27", "View company online")</f>
        <v>View company online</v>
      </c>
    </row>
    <row r="273" spans="1:135" x14ac:dyDescent="0.45">
      <c r="A273" s="144" t="s">
        <v>5967</v>
      </c>
      <c r="B273" s="145" t="s">
        <v>5968</v>
      </c>
      <c r="C273" s="146" t="s">
        <v>153</v>
      </c>
      <c r="D273" s="147" t="s">
        <v>153</v>
      </c>
      <c r="E273" s="148" t="s">
        <v>153</v>
      </c>
      <c r="F273" s="149" t="s">
        <v>153</v>
      </c>
      <c r="G273" s="150" t="s">
        <v>5969</v>
      </c>
      <c r="H273" s="151" t="s">
        <v>153</v>
      </c>
      <c r="I273" s="152" t="s">
        <v>5967</v>
      </c>
      <c r="J273" s="153" t="s">
        <v>5970</v>
      </c>
      <c r="K273" s="154" t="s">
        <v>882</v>
      </c>
      <c r="L273" s="155" t="s">
        <v>883</v>
      </c>
      <c r="M273" s="156" t="s">
        <v>3626</v>
      </c>
      <c r="N273" s="157" t="s">
        <v>5971</v>
      </c>
      <c r="O273" s="158" t="s">
        <v>365</v>
      </c>
      <c r="P273" s="159" t="s">
        <v>5972</v>
      </c>
      <c r="Q273" s="160" t="s">
        <v>204</v>
      </c>
      <c r="R273" s="161" t="s">
        <v>153</v>
      </c>
      <c r="S273" s="162" t="s">
        <v>290</v>
      </c>
      <c r="T273" s="163" t="s">
        <v>164</v>
      </c>
      <c r="U273" s="164" t="s">
        <v>206</v>
      </c>
      <c r="V273" s="165" t="s">
        <v>5973</v>
      </c>
      <c r="W273" s="166">
        <v>325</v>
      </c>
      <c r="X273" s="167" t="s">
        <v>5974</v>
      </c>
      <c r="Y273" s="168" t="s">
        <v>153</v>
      </c>
      <c r="Z273" s="169" t="s">
        <v>153</v>
      </c>
      <c r="AA273" s="170">
        <v>1934</v>
      </c>
      <c r="AB273" s="171" t="s">
        <v>5975</v>
      </c>
      <c r="AC273" s="172" t="s">
        <v>153</v>
      </c>
      <c r="AD273" s="173" t="s">
        <v>153</v>
      </c>
      <c r="AE273" s="174" t="s">
        <v>153</v>
      </c>
      <c r="AF273" s="175" t="s">
        <v>153</v>
      </c>
      <c r="AG273" s="176" t="s">
        <v>153</v>
      </c>
      <c r="AH273" s="177" t="s">
        <v>153</v>
      </c>
      <c r="AI273" s="178" t="s">
        <v>153</v>
      </c>
      <c r="AJ273" s="179" t="s">
        <v>153</v>
      </c>
      <c r="AK273" s="180" t="s">
        <v>153</v>
      </c>
      <c r="AL273" s="181" t="s">
        <v>153</v>
      </c>
      <c r="AM273" s="182" t="s">
        <v>153</v>
      </c>
      <c r="AN273" s="183" t="s">
        <v>456</v>
      </c>
      <c r="AO273" s="184" t="s">
        <v>153</v>
      </c>
      <c r="AP273" s="185" t="s">
        <v>153</v>
      </c>
      <c r="AQ273" s="186" t="s">
        <v>153</v>
      </c>
      <c r="AR273" s="187" t="s">
        <v>153</v>
      </c>
      <c r="AS273" s="188" t="s">
        <v>153</v>
      </c>
      <c r="AT273" s="189" t="s">
        <v>5976</v>
      </c>
      <c r="AU273" s="190" t="s">
        <v>5977</v>
      </c>
      <c r="AV273" s="191" t="s">
        <v>153</v>
      </c>
      <c r="AW273" s="192" t="s">
        <v>5978</v>
      </c>
      <c r="AX273" s="193" t="s">
        <v>153</v>
      </c>
      <c r="AY273" s="194" t="s">
        <v>5979</v>
      </c>
      <c r="AZ273" s="195" t="s">
        <v>352</v>
      </c>
      <c r="BA273" s="196" t="s">
        <v>5980</v>
      </c>
      <c r="BB273" s="197" t="s">
        <v>5981</v>
      </c>
      <c r="BC273" s="198" t="s">
        <v>5982</v>
      </c>
      <c r="BD273" s="199" t="s">
        <v>180</v>
      </c>
      <c r="BE273" s="200" t="s">
        <v>181</v>
      </c>
      <c r="BF273" s="201" t="s">
        <v>5983</v>
      </c>
      <c r="BG273" s="202" t="s">
        <v>153</v>
      </c>
      <c r="BH273" s="203" t="s">
        <v>153</v>
      </c>
      <c r="BI273" s="204" t="s">
        <v>5975</v>
      </c>
      <c r="BJ273" s="205" t="s">
        <v>153</v>
      </c>
      <c r="BK273" s="206" t="s">
        <v>153</v>
      </c>
      <c r="BL273" s="207" t="s">
        <v>153</v>
      </c>
      <c r="BM273" s="208" t="s">
        <v>153</v>
      </c>
      <c r="BN273" s="209" t="s">
        <v>153</v>
      </c>
      <c r="BO273" s="210" t="s">
        <v>5984</v>
      </c>
      <c r="BP273" s="211" t="s">
        <v>153</v>
      </c>
      <c r="BQ273" s="212">
        <v>41019</v>
      </c>
      <c r="BR273" s="213">
        <v>13779.62</v>
      </c>
      <c r="BS273" s="214" t="s">
        <v>186</v>
      </c>
      <c r="BT273" s="215">
        <v>26499.26</v>
      </c>
      <c r="BU273" s="216" t="s">
        <v>187</v>
      </c>
      <c r="BV273" s="217" t="s">
        <v>226</v>
      </c>
      <c r="BW273" s="218" t="s">
        <v>153</v>
      </c>
      <c r="BX273" s="219" t="s">
        <v>153</v>
      </c>
      <c r="BY273" s="220" t="s">
        <v>225</v>
      </c>
      <c r="BZ273" s="221" t="s">
        <v>153</v>
      </c>
      <c r="CA273" s="222" t="s">
        <v>190</v>
      </c>
      <c r="CB273" s="223">
        <v>41019</v>
      </c>
      <c r="CC273" s="224">
        <v>13779.62</v>
      </c>
      <c r="CD273" s="225" t="s">
        <v>186</v>
      </c>
      <c r="CE273" s="226">
        <v>26499.26</v>
      </c>
      <c r="CF273" s="227" t="s">
        <v>187</v>
      </c>
      <c r="CG273" s="228" t="s">
        <v>226</v>
      </c>
      <c r="CH273" s="229" t="s">
        <v>153</v>
      </c>
      <c r="CI273" s="230" t="s">
        <v>153</v>
      </c>
      <c r="CJ273" s="231" t="s">
        <v>225</v>
      </c>
      <c r="CK273" s="232">
        <v>41019</v>
      </c>
      <c r="CL273" s="233" t="s">
        <v>153</v>
      </c>
      <c r="CM273" s="234" t="s">
        <v>153</v>
      </c>
      <c r="CN273" s="235" t="s">
        <v>190</v>
      </c>
      <c r="CO273" s="236">
        <v>10.56</v>
      </c>
      <c r="CP273" s="237">
        <v>100</v>
      </c>
      <c r="CQ273" s="238">
        <v>0.76</v>
      </c>
      <c r="CR273" s="239">
        <v>7.71</v>
      </c>
      <c r="CS273" s="240">
        <v>10.56</v>
      </c>
      <c r="CT273" s="241">
        <v>100</v>
      </c>
      <c r="CU273" s="242" t="s">
        <v>153</v>
      </c>
      <c r="CV273" s="243" t="s">
        <v>153</v>
      </c>
      <c r="CW273" s="244" t="s">
        <v>153</v>
      </c>
      <c r="CX273" s="245" t="s">
        <v>153</v>
      </c>
      <c r="CY273" s="246">
        <v>10.56</v>
      </c>
      <c r="CZ273" s="247">
        <v>100</v>
      </c>
      <c r="DA273" s="248" t="s">
        <v>153</v>
      </c>
      <c r="DB273" s="249" t="s">
        <v>153</v>
      </c>
      <c r="DC273" s="250">
        <v>32.94</v>
      </c>
      <c r="DD273" s="251">
        <v>98</v>
      </c>
      <c r="DE273" s="252">
        <v>2.38</v>
      </c>
      <c r="DF273" s="253">
        <v>7.77</v>
      </c>
      <c r="DG273" s="254">
        <v>32.94</v>
      </c>
      <c r="DH273" s="255">
        <v>97</v>
      </c>
      <c r="DI273" s="256" t="s">
        <v>153</v>
      </c>
      <c r="DJ273" s="257" t="s">
        <v>153</v>
      </c>
      <c r="DK273" s="258" t="s">
        <v>153</v>
      </c>
      <c r="DL273" s="259" t="s">
        <v>153</v>
      </c>
      <c r="DM273" s="260">
        <v>32.94</v>
      </c>
      <c r="DN273" s="261">
        <v>97</v>
      </c>
      <c r="DO273" s="262" t="s">
        <v>153</v>
      </c>
      <c r="DP273" s="263" t="s">
        <v>153</v>
      </c>
      <c r="DQ273" s="264" t="s">
        <v>153</v>
      </c>
      <c r="DR273" s="265" t="s">
        <v>153</v>
      </c>
      <c r="DS273" s="266" t="s">
        <v>153</v>
      </c>
      <c r="DT273" s="267">
        <v>511</v>
      </c>
      <c r="DU273" s="268">
        <v>41</v>
      </c>
      <c r="DV273" s="269">
        <v>8.7200000000000006</v>
      </c>
      <c r="DW273" s="270" t="s">
        <v>153</v>
      </c>
      <c r="DX273" s="271" t="s">
        <v>153</v>
      </c>
      <c r="DY273" s="272" t="s">
        <v>153</v>
      </c>
      <c r="DZ273" s="273" t="s">
        <v>191</v>
      </c>
      <c r="EA273" s="274">
        <v>44398</v>
      </c>
      <c r="EB273" s="275">
        <v>26499.26</v>
      </c>
      <c r="EC273" s="276">
        <v>41019</v>
      </c>
      <c r="ED273" s="277" t="s">
        <v>226</v>
      </c>
      <c r="EE273" s="279" t="str">
        <f>HYPERLINK("https://my.pitchbook.com?c=185232-16", "View company online")</f>
        <v>View company online</v>
      </c>
    </row>
    <row r="274" spans="1:135" x14ac:dyDescent="0.45">
      <c r="A274" s="10" t="s">
        <v>5985</v>
      </c>
      <c r="B274" s="11" t="s">
        <v>5986</v>
      </c>
      <c r="C274" s="12" t="s">
        <v>153</v>
      </c>
      <c r="D274" s="13" t="s">
        <v>153</v>
      </c>
      <c r="E274" s="14" t="s">
        <v>5987</v>
      </c>
      <c r="F274" s="15" t="s">
        <v>153</v>
      </c>
      <c r="G274" s="16" t="s">
        <v>5988</v>
      </c>
      <c r="H274" s="17" t="s">
        <v>5989</v>
      </c>
      <c r="I274" s="18" t="s">
        <v>5985</v>
      </c>
      <c r="J274" s="19" t="s">
        <v>5990</v>
      </c>
      <c r="K274" s="20" t="s">
        <v>882</v>
      </c>
      <c r="L274" s="21" t="s">
        <v>883</v>
      </c>
      <c r="M274" s="22" t="s">
        <v>2243</v>
      </c>
      <c r="N274" s="23" t="s">
        <v>5991</v>
      </c>
      <c r="O274" s="24" t="s">
        <v>261</v>
      </c>
      <c r="P274" s="25" t="s">
        <v>5992</v>
      </c>
      <c r="Q274" s="26" t="s">
        <v>204</v>
      </c>
      <c r="R274" s="27" t="s">
        <v>153</v>
      </c>
      <c r="S274" s="28" t="s">
        <v>290</v>
      </c>
      <c r="T274" s="29" t="s">
        <v>164</v>
      </c>
      <c r="U274" s="30" t="s">
        <v>237</v>
      </c>
      <c r="V274" s="31" t="s">
        <v>5993</v>
      </c>
      <c r="W274" s="32">
        <v>5001</v>
      </c>
      <c r="X274" s="33" t="s">
        <v>5994</v>
      </c>
      <c r="Y274" s="34" t="s">
        <v>153</v>
      </c>
      <c r="Z274" s="35" t="s">
        <v>153</v>
      </c>
      <c r="AA274" s="36">
        <v>1946</v>
      </c>
      <c r="AB274" s="37" t="s">
        <v>3371</v>
      </c>
      <c r="AC274" s="38" t="s">
        <v>153</v>
      </c>
      <c r="AD274" s="39" t="s">
        <v>428</v>
      </c>
      <c r="AE274" s="40" t="s">
        <v>153</v>
      </c>
      <c r="AF274" s="41" t="s">
        <v>153</v>
      </c>
      <c r="AG274" s="42" t="s">
        <v>153</v>
      </c>
      <c r="AH274" s="43" t="s">
        <v>153</v>
      </c>
      <c r="AI274" s="44" t="s">
        <v>153</v>
      </c>
      <c r="AJ274" s="45" t="s">
        <v>153</v>
      </c>
      <c r="AK274" s="46" t="s">
        <v>153</v>
      </c>
      <c r="AL274" s="47" t="s">
        <v>153</v>
      </c>
      <c r="AM274" s="48" t="s">
        <v>153</v>
      </c>
      <c r="AN274" s="49" t="s">
        <v>1595</v>
      </c>
      <c r="AO274" s="50" t="s">
        <v>5995</v>
      </c>
      <c r="AP274" s="51" t="s">
        <v>5996</v>
      </c>
      <c r="AQ274" s="52" t="s">
        <v>512</v>
      </c>
      <c r="AR274" s="53" t="s">
        <v>5997</v>
      </c>
      <c r="AS274" s="54" t="s">
        <v>5998</v>
      </c>
      <c r="AT274" s="55" t="s">
        <v>5999</v>
      </c>
      <c r="AU274" s="56" t="s">
        <v>6000</v>
      </c>
      <c r="AV274" s="57" t="s">
        <v>153</v>
      </c>
      <c r="AW274" s="58" t="s">
        <v>6001</v>
      </c>
      <c r="AX274" s="59" t="s">
        <v>436</v>
      </c>
      <c r="AY274" s="60" t="s">
        <v>6002</v>
      </c>
      <c r="AZ274" s="61" t="s">
        <v>215</v>
      </c>
      <c r="BA274" s="62" t="s">
        <v>5998</v>
      </c>
      <c r="BB274" s="63" t="s">
        <v>6003</v>
      </c>
      <c r="BC274" s="64" t="s">
        <v>153</v>
      </c>
      <c r="BD274" s="65" t="s">
        <v>216</v>
      </c>
      <c r="BE274" s="66" t="s">
        <v>217</v>
      </c>
      <c r="BF274" s="67" t="s">
        <v>6004</v>
      </c>
      <c r="BG274" s="68" t="s">
        <v>153</v>
      </c>
      <c r="BH274" s="69" t="s">
        <v>153</v>
      </c>
      <c r="BI274" s="70" t="s">
        <v>3371</v>
      </c>
      <c r="BJ274" s="71" t="s">
        <v>153</v>
      </c>
      <c r="BK274" s="72" t="s">
        <v>153</v>
      </c>
      <c r="BL274" s="73" t="s">
        <v>153</v>
      </c>
      <c r="BM274" s="74" t="s">
        <v>153</v>
      </c>
      <c r="BN274" s="75" t="s">
        <v>153</v>
      </c>
      <c r="BO274" s="76" t="s">
        <v>6005</v>
      </c>
      <c r="BP274" s="77" t="s">
        <v>6006</v>
      </c>
      <c r="BQ274" s="78">
        <v>28503</v>
      </c>
      <c r="BR274" s="79" t="s">
        <v>153</v>
      </c>
      <c r="BS274" s="80" t="s">
        <v>153</v>
      </c>
      <c r="BT274" s="81" t="s">
        <v>153</v>
      </c>
      <c r="BU274" s="82" t="s">
        <v>153</v>
      </c>
      <c r="BV274" s="83" t="s">
        <v>251</v>
      </c>
      <c r="BW274" s="84" t="s">
        <v>153</v>
      </c>
      <c r="BX274" s="85" t="s">
        <v>153</v>
      </c>
      <c r="BY274" s="86" t="s">
        <v>252</v>
      </c>
      <c r="BZ274" s="87" t="s">
        <v>153</v>
      </c>
      <c r="CA274" s="88" t="s">
        <v>190</v>
      </c>
      <c r="CB274" s="89">
        <v>42247</v>
      </c>
      <c r="CC274" s="90">
        <v>13577.6</v>
      </c>
      <c r="CD274" s="91" t="s">
        <v>186</v>
      </c>
      <c r="CE274" s="92">
        <v>13577.6</v>
      </c>
      <c r="CF274" s="93" t="s">
        <v>187</v>
      </c>
      <c r="CG274" s="94" t="s">
        <v>226</v>
      </c>
      <c r="CH274" s="95" t="s">
        <v>153</v>
      </c>
      <c r="CI274" s="96" t="s">
        <v>153</v>
      </c>
      <c r="CJ274" s="97" t="s">
        <v>225</v>
      </c>
      <c r="CK274" s="98">
        <v>42247</v>
      </c>
      <c r="CL274" s="99" t="s">
        <v>153</v>
      </c>
      <c r="CM274" s="100" t="s">
        <v>153</v>
      </c>
      <c r="CN274" s="101" t="s">
        <v>190</v>
      </c>
      <c r="CO274" s="102">
        <v>0.6</v>
      </c>
      <c r="CP274" s="103">
        <v>94</v>
      </c>
      <c r="CQ274" s="104">
        <v>0.03</v>
      </c>
      <c r="CR274" s="105">
        <v>4.75</v>
      </c>
      <c r="CS274" s="106">
        <v>1.1299999999999999</v>
      </c>
      <c r="CT274" s="107">
        <v>96</v>
      </c>
      <c r="CU274" s="108">
        <v>7.0000000000000007E-2</v>
      </c>
      <c r="CV274" s="109">
        <v>83</v>
      </c>
      <c r="CW274" s="110">
        <v>1.98</v>
      </c>
      <c r="CX274" s="111">
        <v>86</v>
      </c>
      <c r="CY274" s="112">
        <v>0.28999999999999998</v>
      </c>
      <c r="CZ274" s="113">
        <v>92</v>
      </c>
      <c r="DA274" s="114">
        <v>7.0000000000000007E-2</v>
      </c>
      <c r="DB274" s="115">
        <v>83</v>
      </c>
      <c r="DC274" s="116">
        <v>60.02</v>
      </c>
      <c r="DD274" s="117">
        <v>99</v>
      </c>
      <c r="DE274" s="118">
        <v>0.12</v>
      </c>
      <c r="DF274" s="119">
        <v>0.21</v>
      </c>
      <c r="DG274" s="120">
        <v>111.71</v>
      </c>
      <c r="DH274" s="121">
        <v>99</v>
      </c>
      <c r="DI274" s="122">
        <v>8.32</v>
      </c>
      <c r="DJ274" s="123">
        <v>84</v>
      </c>
      <c r="DK274" s="124">
        <v>50.11</v>
      </c>
      <c r="DL274" s="125">
        <v>95</v>
      </c>
      <c r="DM274" s="126">
        <v>173.31</v>
      </c>
      <c r="DN274" s="127">
        <v>100</v>
      </c>
      <c r="DO274" s="128">
        <v>8.32</v>
      </c>
      <c r="DP274" s="129">
        <v>84</v>
      </c>
      <c r="DQ274" s="130">
        <v>29578</v>
      </c>
      <c r="DR274" s="131">
        <v>495</v>
      </c>
      <c r="DS274" s="132">
        <v>1.7</v>
      </c>
      <c r="DT274" s="133">
        <v>2770</v>
      </c>
      <c r="DU274" s="134">
        <v>9</v>
      </c>
      <c r="DV274" s="135">
        <v>0.33</v>
      </c>
      <c r="DW274" s="136">
        <v>2612</v>
      </c>
      <c r="DX274" s="137">
        <v>4</v>
      </c>
      <c r="DY274" s="138">
        <v>0.15</v>
      </c>
      <c r="DZ274" s="139" t="s">
        <v>191</v>
      </c>
      <c r="EA274" s="140">
        <v>44384</v>
      </c>
      <c r="EB274" s="141">
        <v>13577.6</v>
      </c>
      <c r="EC274" s="142">
        <v>42247</v>
      </c>
      <c r="ED274" s="143" t="s">
        <v>226</v>
      </c>
      <c r="EE274" s="278" t="str">
        <f>HYPERLINK("https://my.pitchbook.com?c=41247-64", "View company online")</f>
        <v>View company online</v>
      </c>
    </row>
    <row r="275" spans="1:135" x14ac:dyDescent="0.45">
      <c r="A275" s="144" t="s">
        <v>6007</v>
      </c>
      <c r="B275" s="145" t="s">
        <v>6008</v>
      </c>
      <c r="C275" s="146" t="s">
        <v>153</v>
      </c>
      <c r="D275" s="147" t="s">
        <v>153</v>
      </c>
      <c r="E275" s="148" t="s">
        <v>6009</v>
      </c>
      <c r="F275" s="149" t="s">
        <v>6010</v>
      </c>
      <c r="G275" s="150" t="s">
        <v>6011</v>
      </c>
      <c r="H275" s="151" t="s">
        <v>6012</v>
      </c>
      <c r="I275" s="152" t="s">
        <v>6007</v>
      </c>
      <c r="J275" s="153" t="s">
        <v>6013</v>
      </c>
      <c r="K275" s="154" t="s">
        <v>157</v>
      </c>
      <c r="L275" s="155" t="s">
        <v>1667</v>
      </c>
      <c r="M275" s="156" t="s">
        <v>1668</v>
      </c>
      <c r="N275" s="157" t="s">
        <v>1669</v>
      </c>
      <c r="O275" s="158" t="s">
        <v>365</v>
      </c>
      <c r="P275" s="159" t="s">
        <v>6014</v>
      </c>
      <c r="Q275" s="160" t="s">
        <v>564</v>
      </c>
      <c r="R275" s="161">
        <v>1592.26</v>
      </c>
      <c r="S275" s="162" t="s">
        <v>290</v>
      </c>
      <c r="T275" s="163" t="s">
        <v>205</v>
      </c>
      <c r="U275" s="164" t="s">
        <v>1063</v>
      </c>
      <c r="V275" s="165" t="s">
        <v>153</v>
      </c>
      <c r="W275" s="166">
        <v>78900</v>
      </c>
      <c r="X275" s="167" t="s">
        <v>6015</v>
      </c>
      <c r="Y275" s="168" t="s">
        <v>153</v>
      </c>
      <c r="Z275" s="169" t="s">
        <v>153</v>
      </c>
      <c r="AA275" s="170">
        <v>1904</v>
      </c>
      <c r="AB275" s="171" t="s">
        <v>153</v>
      </c>
      <c r="AC275" s="172" t="s">
        <v>153</v>
      </c>
      <c r="AD275" s="173" t="s">
        <v>153</v>
      </c>
      <c r="AE275" s="174" t="s">
        <v>153</v>
      </c>
      <c r="AF275" s="175" t="s">
        <v>153</v>
      </c>
      <c r="AG275" s="176" t="s">
        <v>153</v>
      </c>
      <c r="AH275" s="177" t="s">
        <v>153</v>
      </c>
      <c r="AI275" s="178" t="s">
        <v>153</v>
      </c>
      <c r="AJ275" s="179" t="s">
        <v>153</v>
      </c>
      <c r="AK275" s="180" t="s">
        <v>153</v>
      </c>
      <c r="AL275" s="181" t="s">
        <v>153</v>
      </c>
      <c r="AM275" s="182" t="s">
        <v>153</v>
      </c>
      <c r="AN275" s="183" t="s">
        <v>1046</v>
      </c>
      <c r="AO275" s="184" t="s">
        <v>6016</v>
      </c>
      <c r="AP275" s="185" t="s">
        <v>6017</v>
      </c>
      <c r="AQ275" s="186" t="s">
        <v>2655</v>
      </c>
      <c r="AR275" s="187" t="s">
        <v>6018</v>
      </c>
      <c r="AS275" s="188" t="s">
        <v>6019</v>
      </c>
      <c r="AT275" s="189" t="s">
        <v>6020</v>
      </c>
      <c r="AU275" s="190" t="s">
        <v>6021</v>
      </c>
      <c r="AV275" s="191" t="s">
        <v>153</v>
      </c>
      <c r="AW275" s="192" t="s">
        <v>6022</v>
      </c>
      <c r="AX275" s="193" t="s">
        <v>6023</v>
      </c>
      <c r="AY275" s="194" t="s">
        <v>6024</v>
      </c>
      <c r="AZ275" s="195" t="s">
        <v>215</v>
      </c>
      <c r="BA275" s="196" t="s">
        <v>153</v>
      </c>
      <c r="BB275" s="197" t="s">
        <v>153</v>
      </c>
      <c r="BC275" s="198" t="s">
        <v>153</v>
      </c>
      <c r="BD275" s="199" t="s">
        <v>216</v>
      </c>
      <c r="BE275" s="200" t="s">
        <v>217</v>
      </c>
      <c r="BF275" s="201" t="s">
        <v>6025</v>
      </c>
      <c r="BG275" s="202" t="s">
        <v>153</v>
      </c>
      <c r="BH275" s="203" t="s">
        <v>153</v>
      </c>
      <c r="BI275" s="204" t="s">
        <v>6026</v>
      </c>
      <c r="BJ275" s="205" t="s">
        <v>6027</v>
      </c>
      <c r="BK275" s="206" t="s">
        <v>153</v>
      </c>
      <c r="BL275" s="207" t="s">
        <v>153</v>
      </c>
      <c r="BM275" s="208" t="s">
        <v>6028</v>
      </c>
      <c r="BN275" s="209" t="s">
        <v>153</v>
      </c>
      <c r="BO275" s="210" t="s">
        <v>6029</v>
      </c>
      <c r="BP275" s="211" t="s">
        <v>6030</v>
      </c>
      <c r="BQ275" s="212">
        <v>37680</v>
      </c>
      <c r="BR275" s="213">
        <v>4443</v>
      </c>
      <c r="BS275" s="214" t="s">
        <v>186</v>
      </c>
      <c r="BT275" s="215">
        <v>4443</v>
      </c>
      <c r="BU275" s="216" t="s">
        <v>153</v>
      </c>
      <c r="BV275" s="217" t="s">
        <v>188</v>
      </c>
      <c r="BW275" s="218" t="s">
        <v>6031</v>
      </c>
      <c r="BX275" s="219" t="s">
        <v>729</v>
      </c>
      <c r="BY275" s="220" t="s">
        <v>165</v>
      </c>
      <c r="BZ275" s="221" t="s">
        <v>1607</v>
      </c>
      <c r="CA275" s="222" t="s">
        <v>190</v>
      </c>
      <c r="CB275" s="223">
        <v>42139</v>
      </c>
      <c r="CC275" s="224">
        <v>13500</v>
      </c>
      <c r="CD275" s="225" t="s">
        <v>186</v>
      </c>
      <c r="CE275" s="226">
        <v>13500</v>
      </c>
      <c r="CF275" s="227" t="s">
        <v>186</v>
      </c>
      <c r="CG275" s="228" t="s">
        <v>226</v>
      </c>
      <c r="CH275" s="229" t="s">
        <v>930</v>
      </c>
      <c r="CI275" s="230" t="s">
        <v>153</v>
      </c>
      <c r="CJ275" s="231" t="s">
        <v>225</v>
      </c>
      <c r="CK275" s="232">
        <v>42139</v>
      </c>
      <c r="CL275" s="233" t="s">
        <v>153</v>
      </c>
      <c r="CM275" s="234" t="s">
        <v>153</v>
      </c>
      <c r="CN275" s="235" t="s">
        <v>190</v>
      </c>
      <c r="CO275" s="236" t="s">
        <v>153</v>
      </c>
      <c r="CP275" s="237" t="s">
        <v>153</v>
      </c>
      <c r="CQ275" s="238" t="s">
        <v>153</v>
      </c>
      <c r="CR275" s="239" t="s">
        <v>153</v>
      </c>
      <c r="CS275" s="240" t="s">
        <v>153</v>
      </c>
      <c r="CT275" s="241" t="s">
        <v>153</v>
      </c>
      <c r="CU275" s="242" t="s">
        <v>153</v>
      </c>
      <c r="CV275" s="243" t="s">
        <v>153</v>
      </c>
      <c r="CW275" s="244" t="s">
        <v>153</v>
      </c>
      <c r="CX275" s="245" t="s">
        <v>153</v>
      </c>
      <c r="CY275" s="246" t="s">
        <v>153</v>
      </c>
      <c r="CZ275" s="247" t="s">
        <v>153</v>
      </c>
      <c r="DA275" s="248" t="s">
        <v>153</v>
      </c>
      <c r="DB275" s="249" t="s">
        <v>153</v>
      </c>
      <c r="DC275" s="250" t="s">
        <v>153</v>
      </c>
      <c r="DD275" s="251" t="s">
        <v>153</v>
      </c>
      <c r="DE275" s="252" t="s">
        <v>153</v>
      </c>
      <c r="DF275" s="253" t="s">
        <v>153</v>
      </c>
      <c r="DG275" s="254" t="s">
        <v>153</v>
      </c>
      <c r="DH275" s="255" t="s">
        <v>153</v>
      </c>
      <c r="DI275" s="256" t="s">
        <v>153</v>
      </c>
      <c r="DJ275" s="257" t="s">
        <v>153</v>
      </c>
      <c r="DK275" s="258" t="s">
        <v>153</v>
      </c>
      <c r="DL275" s="259" t="s">
        <v>153</v>
      </c>
      <c r="DM275" s="260" t="s">
        <v>153</v>
      </c>
      <c r="DN275" s="261" t="s">
        <v>153</v>
      </c>
      <c r="DO275" s="262" t="s">
        <v>153</v>
      </c>
      <c r="DP275" s="263" t="s">
        <v>153</v>
      </c>
      <c r="DQ275" s="264" t="s">
        <v>153</v>
      </c>
      <c r="DR275" s="265" t="s">
        <v>153</v>
      </c>
      <c r="DS275" s="266" t="s">
        <v>153</v>
      </c>
      <c r="DT275" s="267" t="s">
        <v>153</v>
      </c>
      <c r="DU275" s="268" t="s">
        <v>153</v>
      </c>
      <c r="DV275" s="269" t="s">
        <v>153</v>
      </c>
      <c r="DW275" s="270" t="s">
        <v>153</v>
      </c>
      <c r="DX275" s="271" t="s">
        <v>153</v>
      </c>
      <c r="DY275" s="272" t="s">
        <v>153</v>
      </c>
      <c r="DZ275" s="273" t="s">
        <v>191</v>
      </c>
      <c r="EA275" s="274">
        <v>44402</v>
      </c>
      <c r="EB275" s="275">
        <v>13500</v>
      </c>
      <c r="EC275" s="276">
        <v>42139</v>
      </c>
      <c r="ED275" s="277" t="s">
        <v>226</v>
      </c>
      <c r="EE275" s="279" t="str">
        <f>HYPERLINK("https://my.pitchbook.com?c=10306-90", "View company online")</f>
        <v>View company online</v>
      </c>
    </row>
    <row r="276" spans="1:135" x14ac:dyDescent="0.45">
      <c r="A276" s="10" t="s">
        <v>6032</v>
      </c>
      <c r="B276" s="11" t="s">
        <v>6033</v>
      </c>
      <c r="C276" s="12" t="s">
        <v>153</v>
      </c>
      <c r="D276" s="13" t="s">
        <v>153</v>
      </c>
      <c r="E276" s="14" t="s">
        <v>153</v>
      </c>
      <c r="F276" s="15" t="s">
        <v>153</v>
      </c>
      <c r="G276" s="16" t="s">
        <v>153</v>
      </c>
      <c r="H276" s="17" t="s">
        <v>153</v>
      </c>
      <c r="I276" s="18" t="s">
        <v>6032</v>
      </c>
      <c r="J276" s="19" t="s">
        <v>6034</v>
      </c>
      <c r="K276" s="20" t="s">
        <v>882</v>
      </c>
      <c r="L276" s="21" t="s">
        <v>1257</v>
      </c>
      <c r="M276" s="22" t="s">
        <v>5055</v>
      </c>
      <c r="N276" s="23" t="s">
        <v>6035</v>
      </c>
      <c r="O276" s="24" t="s">
        <v>6036</v>
      </c>
      <c r="P276" s="25" t="s">
        <v>6037</v>
      </c>
      <c r="Q276" s="26" t="s">
        <v>204</v>
      </c>
      <c r="R276" s="27" t="s">
        <v>153</v>
      </c>
      <c r="S276" s="28" t="s">
        <v>163</v>
      </c>
      <c r="T276" s="29" t="s">
        <v>205</v>
      </c>
      <c r="U276" s="30" t="s">
        <v>237</v>
      </c>
      <c r="V276" s="31" t="s">
        <v>153</v>
      </c>
      <c r="W276" s="32" t="s">
        <v>153</v>
      </c>
      <c r="X276" s="33" t="s">
        <v>153</v>
      </c>
      <c r="Y276" s="34" t="s">
        <v>153</v>
      </c>
      <c r="Z276" s="35" t="s">
        <v>153</v>
      </c>
      <c r="AA276" s="36" t="s">
        <v>153</v>
      </c>
      <c r="AB276" s="37" t="s">
        <v>153</v>
      </c>
      <c r="AC276" s="38" t="s">
        <v>153</v>
      </c>
      <c r="AD276" s="39" t="s">
        <v>153</v>
      </c>
      <c r="AE276" s="40" t="s">
        <v>153</v>
      </c>
      <c r="AF276" s="41" t="s">
        <v>153</v>
      </c>
      <c r="AG276" s="42" t="s">
        <v>153</v>
      </c>
      <c r="AH276" s="43" t="s">
        <v>153</v>
      </c>
      <c r="AI276" s="44" t="s">
        <v>153</v>
      </c>
      <c r="AJ276" s="45" t="s">
        <v>153</v>
      </c>
      <c r="AK276" s="46" t="s">
        <v>153</v>
      </c>
      <c r="AL276" s="47" t="s">
        <v>153</v>
      </c>
      <c r="AM276" s="48" t="s">
        <v>153</v>
      </c>
      <c r="AN276" s="49" t="s">
        <v>6038</v>
      </c>
      <c r="AO276" s="50" t="s">
        <v>153</v>
      </c>
      <c r="AP276" s="51" t="s">
        <v>153</v>
      </c>
      <c r="AQ276" s="52" t="s">
        <v>153</v>
      </c>
      <c r="AR276" s="53" t="s">
        <v>153</v>
      </c>
      <c r="AS276" s="54" t="s">
        <v>153</v>
      </c>
      <c r="AT276" s="55" t="s">
        <v>1124</v>
      </c>
      <c r="AU276" s="56" t="s">
        <v>6039</v>
      </c>
      <c r="AV276" s="57" t="s">
        <v>4537</v>
      </c>
      <c r="AW276" s="58" t="s">
        <v>1127</v>
      </c>
      <c r="AX276" s="59" t="s">
        <v>1128</v>
      </c>
      <c r="AY276" s="60" t="s">
        <v>1129</v>
      </c>
      <c r="AZ276" s="61" t="s">
        <v>215</v>
      </c>
      <c r="BA276" s="62" t="s">
        <v>153</v>
      </c>
      <c r="BB276" s="63" t="s">
        <v>153</v>
      </c>
      <c r="BC276" s="64" t="s">
        <v>153</v>
      </c>
      <c r="BD276" s="65" t="s">
        <v>216</v>
      </c>
      <c r="BE276" s="66" t="s">
        <v>217</v>
      </c>
      <c r="BF276" s="67" t="s">
        <v>6040</v>
      </c>
      <c r="BG276" s="68" t="s">
        <v>153</v>
      </c>
      <c r="BH276" s="69" t="s">
        <v>153</v>
      </c>
      <c r="BI276" s="70" t="s">
        <v>6041</v>
      </c>
      <c r="BJ276" s="71" t="s">
        <v>153</v>
      </c>
      <c r="BK276" s="72" t="s">
        <v>153</v>
      </c>
      <c r="BL276" s="73" t="s">
        <v>153</v>
      </c>
      <c r="BM276" s="74" t="s">
        <v>153</v>
      </c>
      <c r="BN276" s="75" t="s">
        <v>153</v>
      </c>
      <c r="BO276" s="76" t="s">
        <v>153</v>
      </c>
      <c r="BP276" s="77" t="s">
        <v>6042</v>
      </c>
      <c r="BQ276" s="78">
        <v>30396</v>
      </c>
      <c r="BR276" s="79" t="s">
        <v>153</v>
      </c>
      <c r="BS276" s="80" t="s">
        <v>153</v>
      </c>
      <c r="BT276" s="81" t="s">
        <v>153</v>
      </c>
      <c r="BU276" s="82" t="s">
        <v>153</v>
      </c>
      <c r="BV276" s="83" t="s">
        <v>251</v>
      </c>
      <c r="BW276" s="84" t="s">
        <v>153</v>
      </c>
      <c r="BX276" s="85" t="s">
        <v>153</v>
      </c>
      <c r="BY276" s="86" t="s">
        <v>252</v>
      </c>
      <c r="BZ276" s="87" t="s">
        <v>153</v>
      </c>
      <c r="CA276" s="88" t="s">
        <v>190</v>
      </c>
      <c r="CB276" s="89">
        <v>35992</v>
      </c>
      <c r="CC276" s="90">
        <v>13470</v>
      </c>
      <c r="CD276" s="91" t="s">
        <v>186</v>
      </c>
      <c r="CE276" s="92">
        <v>13470</v>
      </c>
      <c r="CF276" s="93" t="s">
        <v>186</v>
      </c>
      <c r="CG276" s="94" t="s">
        <v>226</v>
      </c>
      <c r="CH276" s="95" t="s">
        <v>153</v>
      </c>
      <c r="CI276" s="96" t="s">
        <v>153</v>
      </c>
      <c r="CJ276" s="97" t="s">
        <v>225</v>
      </c>
      <c r="CK276" s="98">
        <v>35992</v>
      </c>
      <c r="CL276" s="99" t="s">
        <v>153</v>
      </c>
      <c r="CM276" s="100" t="s">
        <v>153</v>
      </c>
      <c r="CN276" s="101" t="s">
        <v>190</v>
      </c>
      <c r="CO276" s="102" t="s">
        <v>153</v>
      </c>
      <c r="CP276" s="103" t="s">
        <v>153</v>
      </c>
      <c r="CQ276" s="104" t="s">
        <v>153</v>
      </c>
      <c r="CR276" s="105" t="s">
        <v>153</v>
      </c>
      <c r="CS276" s="106" t="s">
        <v>153</v>
      </c>
      <c r="CT276" s="107" t="s">
        <v>153</v>
      </c>
      <c r="CU276" s="108" t="s">
        <v>153</v>
      </c>
      <c r="CV276" s="109" t="s">
        <v>153</v>
      </c>
      <c r="CW276" s="110" t="s">
        <v>153</v>
      </c>
      <c r="CX276" s="111" t="s">
        <v>153</v>
      </c>
      <c r="CY276" s="112" t="s">
        <v>153</v>
      </c>
      <c r="CZ276" s="113" t="s">
        <v>153</v>
      </c>
      <c r="DA276" s="114" t="s">
        <v>153</v>
      </c>
      <c r="DB276" s="115" t="s">
        <v>153</v>
      </c>
      <c r="DC276" s="116" t="s">
        <v>153</v>
      </c>
      <c r="DD276" s="117" t="s">
        <v>153</v>
      </c>
      <c r="DE276" s="118" t="s">
        <v>153</v>
      </c>
      <c r="DF276" s="119" t="s">
        <v>153</v>
      </c>
      <c r="DG276" s="120" t="s">
        <v>153</v>
      </c>
      <c r="DH276" s="121" t="s">
        <v>153</v>
      </c>
      <c r="DI276" s="122" t="s">
        <v>153</v>
      </c>
      <c r="DJ276" s="123" t="s">
        <v>153</v>
      </c>
      <c r="DK276" s="124" t="s">
        <v>153</v>
      </c>
      <c r="DL276" s="125" t="s">
        <v>153</v>
      </c>
      <c r="DM276" s="126" t="s">
        <v>153</v>
      </c>
      <c r="DN276" s="127" t="s">
        <v>153</v>
      </c>
      <c r="DO276" s="128" t="s">
        <v>153</v>
      </c>
      <c r="DP276" s="129" t="s">
        <v>153</v>
      </c>
      <c r="DQ276" s="130" t="s">
        <v>153</v>
      </c>
      <c r="DR276" s="131" t="s">
        <v>153</v>
      </c>
      <c r="DS276" s="132" t="s">
        <v>153</v>
      </c>
      <c r="DT276" s="133" t="s">
        <v>153</v>
      </c>
      <c r="DU276" s="134" t="s">
        <v>153</v>
      </c>
      <c r="DV276" s="135" t="s">
        <v>153</v>
      </c>
      <c r="DW276" s="136" t="s">
        <v>153</v>
      </c>
      <c r="DX276" s="137" t="s">
        <v>153</v>
      </c>
      <c r="DY276" s="138" t="s">
        <v>153</v>
      </c>
      <c r="DZ276" s="139" t="s">
        <v>191</v>
      </c>
      <c r="EA276" s="140">
        <v>44147</v>
      </c>
      <c r="EB276" s="141">
        <v>13470</v>
      </c>
      <c r="EC276" s="142">
        <v>35992</v>
      </c>
      <c r="ED276" s="143" t="s">
        <v>226</v>
      </c>
      <c r="EE276" s="278" t="str">
        <f>HYPERLINK("https://my.pitchbook.com?c=99977-50", "View company online")</f>
        <v>View company online</v>
      </c>
    </row>
    <row r="277" spans="1:135" x14ac:dyDescent="0.45">
      <c r="A277" s="144" t="s">
        <v>6043</v>
      </c>
      <c r="B277" s="145" t="s">
        <v>6044</v>
      </c>
      <c r="C277" s="146" t="s">
        <v>153</v>
      </c>
      <c r="D277" s="147" t="s">
        <v>153</v>
      </c>
      <c r="E277" s="148" t="s">
        <v>153</v>
      </c>
      <c r="F277" s="149" t="s">
        <v>153</v>
      </c>
      <c r="G277" s="150" t="s">
        <v>6045</v>
      </c>
      <c r="H277" s="151" t="s">
        <v>6046</v>
      </c>
      <c r="I277" s="152" t="s">
        <v>6043</v>
      </c>
      <c r="J277" s="153" t="s">
        <v>6047</v>
      </c>
      <c r="K277" s="154" t="s">
        <v>559</v>
      </c>
      <c r="L277" s="155" t="s">
        <v>560</v>
      </c>
      <c r="M277" s="156" t="s">
        <v>3573</v>
      </c>
      <c r="N277" s="157" t="s">
        <v>6048</v>
      </c>
      <c r="O277" s="158" t="s">
        <v>261</v>
      </c>
      <c r="P277" s="159" t="s">
        <v>6049</v>
      </c>
      <c r="Q277" s="160" t="s">
        <v>204</v>
      </c>
      <c r="R277" s="161">
        <v>4.5999999999999996</v>
      </c>
      <c r="S277" s="162" t="s">
        <v>290</v>
      </c>
      <c r="T277" s="163" t="s">
        <v>164</v>
      </c>
      <c r="U277" s="164" t="s">
        <v>237</v>
      </c>
      <c r="V277" s="165" t="s">
        <v>6050</v>
      </c>
      <c r="W277" s="166">
        <v>18500</v>
      </c>
      <c r="X277" s="167" t="s">
        <v>6051</v>
      </c>
      <c r="Y277" s="168" t="s">
        <v>153</v>
      </c>
      <c r="Z277" s="169" t="s">
        <v>153</v>
      </c>
      <c r="AA277" s="170">
        <v>1982</v>
      </c>
      <c r="AB277" s="171" t="s">
        <v>6052</v>
      </c>
      <c r="AC277" s="172" t="s">
        <v>153</v>
      </c>
      <c r="AD277" s="173" t="s">
        <v>428</v>
      </c>
      <c r="AE277" s="174" t="s">
        <v>153</v>
      </c>
      <c r="AF277" s="175" t="s">
        <v>153</v>
      </c>
      <c r="AG277" s="176" t="s">
        <v>153</v>
      </c>
      <c r="AH277" s="177" t="s">
        <v>153</v>
      </c>
      <c r="AI277" s="178" t="s">
        <v>153</v>
      </c>
      <c r="AJ277" s="179" t="s">
        <v>153</v>
      </c>
      <c r="AK277" s="180" t="s">
        <v>153</v>
      </c>
      <c r="AL277" s="181" t="s">
        <v>153</v>
      </c>
      <c r="AM277" s="182" t="s">
        <v>153</v>
      </c>
      <c r="AN277" s="183" t="s">
        <v>2112</v>
      </c>
      <c r="AO277" s="184" t="s">
        <v>6053</v>
      </c>
      <c r="AP277" s="185" t="s">
        <v>6054</v>
      </c>
      <c r="AQ277" s="186" t="s">
        <v>6055</v>
      </c>
      <c r="AR277" s="187" t="s">
        <v>6056</v>
      </c>
      <c r="AS277" s="188" t="s">
        <v>6057</v>
      </c>
      <c r="AT277" s="189" t="s">
        <v>6058</v>
      </c>
      <c r="AU277" s="190" t="s">
        <v>6059</v>
      </c>
      <c r="AV277" s="191" t="s">
        <v>6060</v>
      </c>
      <c r="AW277" s="192" t="s">
        <v>6061</v>
      </c>
      <c r="AX277" s="193" t="s">
        <v>2727</v>
      </c>
      <c r="AY277" s="194" t="s">
        <v>6062</v>
      </c>
      <c r="AZ277" s="195" t="s">
        <v>215</v>
      </c>
      <c r="BA277" s="196" t="s">
        <v>6057</v>
      </c>
      <c r="BB277" s="197" t="s">
        <v>6063</v>
      </c>
      <c r="BC277" s="198" t="s">
        <v>153</v>
      </c>
      <c r="BD277" s="199" t="s">
        <v>216</v>
      </c>
      <c r="BE277" s="200" t="s">
        <v>217</v>
      </c>
      <c r="BF277" s="201" t="s">
        <v>6064</v>
      </c>
      <c r="BG277" s="202" t="s">
        <v>153</v>
      </c>
      <c r="BH277" s="203" t="s">
        <v>153</v>
      </c>
      <c r="BI277" s="204" t="s">
        <v>6052</v>
      </c>
      <c r="BJ277" s="205" t="s">
        <v>153</v>
      </c>
      <c r="BK277" s="206" t="s">
        <v>6065</v>
      </c>
      <c r="BL277" s="207" t="s">
        <v>153</v>
      </c>
      <c r="BM277" s="208" t="s">
        <v>153</v>
      </c>
      <c r="BN277" s="209" t="s">
        <v>6066</v>
      </c>
      <c r="BO277" s="210" t="s">
        <v>6067</v>
      </c>
      <c r="BP277" s="211" t="s">
        <v>6068</v>
      </c>
      <c r="BQ277" s="212">
        <v>31765</v>
      </c>
      <c r="BR277" s="213">
        <v>4.5999999999999996</v>
      </c>
      <c r="BS277" s="214" t="s">
        <v>186</v>
      </c>
      <c r="BT277" s="215" t="s">
        <v>153</v>
      </c>
      <c r="BU277" s="216" t="s">
        <v>153</v>
      </c>
      <c r="BV277" s="217" t="s">
        <v>251</v>
      </c>
      <c r="BW277" s="218" t="s">
        <v>153</v>
      </c>
      <c r="BX277" s="219" t="s">
        <v>153</v>
      </c>
      <c r="BY277" s="220" t="s">
        <v>252</v>
      </c>
      <c r="BZ277" s="221" t="s">
        <v>153</v>
      </c>
      <c r="CA277" s="222" t="s">
        <v>190</v>
      </c>
      <c r="CB277" s="223">
        <v>42513</v>
      </c>
      <c r="CC277" s="224">
        <v>13400</v>
      </c>
      <c r="CD277" s="225" t="s">
        <v>186</v>
      </c>
      <c r="CE277" s="226">
        <v>13400</v>
      </c>
      <c r="CF277" s="227" t="s">
        <v>186</v>
      </c>
      <c r="CG277" s="228" t="s">
        <v>226</v>
      </c>
      <c r="CH277" s="229" t="s">
        <v>153</v>
      </c>
      <c r="CI277" s="230" t="s">
        <v>153</v>
      </c>
      <c r="CJ277" s="231" t="s">
        <v>225</v>
      </c>
      <c r="CK277" s="232">
        <v>42513</v>
      </c>
      <c r="CL277" s="233" t="s">
        <v>153</v>
      </c>
      <c r="CM277" s="234" t="s">
        <v>5101</v>
      </c>
      <c r="CN277" s="235" t="s">
        <v>190</v>
      </c>
      <c r="CO277" s="236">
        <v>0.52</v>
      </c>
      <c r="CP277" s="237">
        <v>93</v>
      </c>
      <c r="CQ277" s="238">
        <v>-0.03</v>
      </c>
      <c r="CR277" s="239">
        <v>-5.58</v>
      </c>
      <c r="CS277" s="240">
        <v>0.92</v>
      </c>
      <c r="CT277" s="241">
        <v>95</v>
      </c>
      <c r="CU277" s="242">
        <v>0.13</v>
      </c>
      <c r="CV277" s="243">
        <v>88</v>
      </c>
      <c r="CW277" s="244">
        <v>0.98</v>
      </c>
      <c r="CX277" s="245">
        <v>82</v>
      </c>
      <c r="CY277" s="246">
        <v>0.87</v>
      </c>
      <c r="CZ277" s="247">
        <v>97</v>
      </c>
      <c r="DA277" s="248">
        <v>0.13</v>
      </c>
      <c r="DB277" s="249">
        <v>88</v>
      </c>
      <c r="DC277" s="250">
        <v>136.84</v>
      </c>
      <c r="DD277" s="251">
        <v>100</v>
      </c>
      <c r="DE277" s="252">
        <v>0.39</v>
      </c>
      <c r="DF277" s="253">
        <v>0.28999999999999998</v>
      </c>
      <c r="DG277" s="254">
        <v>266.11</v>
      </c>
      <c r="DH277" s="255">
        <v>100</v>
      </c>
      <c r="DI277" s="256">
        <v>7.58</v>
      </c>
      <c r="DJ277" s="257">
        <v>83</v>
      </c>
      <c r="DK277" s="258">
        <v>318.89999999999998</v>
      </c>
      <c r="DL277" s="259">
        <v>99</v>
      </c>
      <c r="DM277" s="260">
        <v>213.31</v>
      </c>
      <c r="DN277" s="261">
        <v>100</v>
      </c>
      <c r="DO277" s="262">
        <v>7.58</v>
      </c>
      <c r="DP277" s="263">
        <v>83</v>
      </c>
      <c r="DQ277" s="264">
        <v>187966</v>
      </c>
      <c r="DR277" s="265">
        <v>4192</v>
      </c>
      <c r="DS277" s="266">
        <v>2.2799999999999998</v>
      </c>
      <c r="DT277" s="267">
        <v>3403</v>
      </c>
      <c r="DU277" s="268">
        <v>24</v>
      </c>
      <c r="DV277" s="269">
        <v>0.71</v>
      </c>
      <c r="DW277" s="270">
        <v>2377</v>
      </c>
      <c r="DX277" s="271">
        <v>7</v>
      </c>
      <c r="DY277" s="272">
        <v>0.3</v>
      </c>
      <c r="DZ277" s="273" t="s">
        <v>191</v>
      </c>
      <c r="EA277" s="274">
        <v>44333</v>
      </c>
      <c r="EB277" s="275">
        <v>13400</v>
      </c>
      <c r="EC277" s="276">
        <v>42513</v>
      </c>
      <c r="ED277" s="277" t="s">
        <v>226</v>
      </c>
      <c r="EE277" s="279" t="str">
        <f>HYPERLINK("https://my.pitchbook.com?c=41124-97", "View company online")</f>
        <v>View company online</v>
      </c>
    </row>
    <row r="278" spans="1:135" x14ac:dyDescent="0.45">
      <c r="A278" s="10" t="s">
        <v>6069</v>
      </c>
      <c r="B278" s="11" t="s">
        <v>6070</v>
      </c>
      <c r="C278" s="12" t="s">
        <v>153</v>
      </c>
      <c r="D278" s="13" t="s">
        <v>153</v>
      </c>
      <c r="E278" s="14" t="s">
        <v>153</v>
      </c>
      <c r="F278" s="15" t="s">
        <v>153</v>
      </c>
      <c r="G278" s="16" t="s">
        <v>153</v>
      </c>
      <c r="H278" s="17" t="s">
        <v>153</v>
      </c>
      <c r="I278" s="18" t="s">
        <v>6069</v>
      </c>
      <c r="J278" s="19" t="s">
        <v>6071</v>
      </c>
      <c r="K278" s="20" t="s">
        <v>882</v>
      </c>
      <c r="L278" s="21" t="s">
        <v>2888</v>
      </c>
      <c r="M278" s="22" t="s">
        <v>2889</v>
      </c>
      <c r="N278" s="23" t="s">
        <v>6072</v>
      </c>
      <c r="O278" s="24" t="s">
        <v>153</v>
      </c>
      <c r="P278" s="25" t="s">
        <v>6073</v>
      </c>
      <c r="Q278" s="26" t="s">
        <v>204</v>
      </c>
      <c r="R278" s="27" t="s">
        <v>153</v>
      </c>
      <c r="S278" s="28" t="s">
        <v>153</v>
      </c>
      <c r="T278" s="29" t="s">
        <v>205</v>
      </c>
      <c r="U278" s="30" t="s">
        <v>206</v>
      </c>
      <c r="V278" s="31" t="s">
        <v>6074</v>
      </c>
      <c r="W278" s="32" t="s">
        <v>153</v>
      </c>
      <c r="X278" s="33" t="s">
        <v>153</v>
      </c>
      <c r="Y278" s="34" t="s">
        <v>153</v>
      </c>
      <c r="Z278" s="35" t="s">
        <v>153</v>
      </c>
      <c r="AA278" s="36" t="s">
        <v>153</v>
      </c>
      <c r="AB278" s="37" t="s">
        <v>153</v>
      </c>
      <c r="AC278" s="38" t="s">
        <v>153</v>
      </c>
      <c r="AD278" s="39" t="s">
        <v>153</v>
      </c>
      <c r="AE278" s="40" t="s">
        <v>153</v>
      </c>
      <c r="AF278" s="41" t="s">
        <v>153</v>
      </c>
      <c r="AG278" s="42" t="s">
        <v>153</v>
      </c>
      <c r="AH278" s="43" t="s">
        <v>153</v>
      </c>
      <c r="AI278" s="44" t="s">
        <v>153</v>
      </c>
      <c r="AJ278" s="45" t="s">
        <v>153</v>
      </c>
      <c r="AK278" s="46" t="s">
        <v>153</v>
      </c>
      <c r="AL278" s="47" t="s">
        <v>153</v>
      </c>
      <c r="AM278" s="48" t="s">
        <v>153</v>
      </c>
      <c r="AN278" s="49" t="s">
        <v>456</v>
      </c>
      <c r="AO278" s="50" t="s">
        <v>153</v>
      </c>
      <c r="AP278" s="51" t="s">
        <v>153</v>
      </c>
      <c r="AQ278" s="52" t="s">
        <v>153</v>
      </c>
      <c r="AR278" s="53" t="s">
        <v>153</v>
      </c>
      <c r="AS278" s="54" t="s">
        <v>153</v>
      </c>
      <c r="AT278" s="55" t="s">
        <v>461</v>
      </c>
      <c r="AU278" s="56" t="s">
        <v>462</v>
      </c>
      <c r="AV278" s="57" t="s">
        <v>153</v>
      </c>
      <c r="AW278" s="58" t="s">
        <v>463</v>
      </c>
      <c r="AX278" s="59" t="s">
        <v>273</v>
      </c>
      <c r="AY278" s="60" t="s">
        <v>464</v>
      </c>
      <c r="AZ278" s="61" t="s">
        <v>215</v>
      </c>
      <c r="BA278" s="62" t="s">
        <v>153</v>
      </c>
      <c r="BB278" s="63" t="s">
        <v>153</v>
      </c>
      <c r="BC278" s="64" t="s">
        <v>153</v>
      </c>
      <c r="BD278" s="65" t="s">
        <v>216</v>
      </c>
      <c r="BE278" s="66" t="s">
        <v>217</v>
      </c>
      <c r="BF278" s="67" t="s">
        <v>6075</v>
      </c>
      <c r="BG278" s="68" t="s">
        <v>153</v>
      </c>
      <c r="BH278" s="69" t="s">
        <v>153</v>
      </c>
      <c r="BI278" s="70" t="s">
        <v>4744</v>
      </c>
      <c r="BJ278" s="71" t="s">
        <v>444</v>
      </c>
      <c r="BK278" s="72" t="s">
        <v>153</v>
      </c>
      <c r="BL278" s="73" t="s">
        <v>153</v>
      </c>
      <c r="BM278" s="74" t="s">
        <v>6076</v>
      </c>
      <c r="BN278" s="75" t="s">
        <v>153</v>
      </c>
      <c r="BO278" s="76" t="s">
        <v>153</v>
      </c>
      <c r="BP278" s="77" t="s">
        <v>153</v>
      </c>
      <c r="BQ278" s="78">
        <v>43789</v>
      </c>
      <c r="BR278" s="79">
        <v>13400</v>
      </c>
      <c r="BS278" s="80" t="s">
        <v>186</v>
      </c>
      <c r="BT278" s="81">
        <v>13400</v>
      </c>
      <c r="BU278" s="82" t="s">
        <v>187</v>
      </c>
      <c r="BV278" s="83" t="s">
        <v>1524</v>
      </c>
      <c r="BW278" s="84" t="s">
        <v>1525</v>
      </c>
      <c r="BX278" s="85" t="s">
        <v>1526</v>
      </c>
      <c r="BY278" s="86" t="s">
        <v>225</v>
      </c>
      <c r="BZ278" s="87" t="s">
        <v>153</v>
      </c>
      <c r="CA278" s="88" t="s">
        <v>190</v>
      </c>
      <c r="CB278" s="89">
        <v>43789</v>
      </c>
      <c r="CC278" s="90">
        <v>13400</v>
      </c>
      <c r="CD278" s="91" t="s">
        <v>186</v>
      </c>
      <c r="CE278" s="92">
        <v>13400</v>
      </c>
      <c r="CF278" s="93" t="s">
        <v>187</v>
      </c>
      <c r="CG278" s="94" t="s">
        <v>1524</v>
      </c>
      <c r="CH278" s="95" t="s">
        <v>1525</v>
      </c>
      <c r="CI278" s="96" t="s">
        <v>1526</v>
      </c>
      <c r="CJ278" s="97" t="s">
        <v>225</v>
      </c>
      <c r="CK278" s="98">
        <v>43789</v>
      </c>
      <c r="CL278" s="99" t="s">
        <v>153</v>
      </c>
      <c r="CM278" s="100" t="s">
        <v>153</v>
      </c>
      <c r="CN278" s="101" t="s">
        <v>190</v>
      </c>
      <c r="CO278" s="102" t="s">
        <v>153</v>
      </c>
      <c r="CP278" s="103" t="s">
        <v>153</v>
      </c>
      <c r="CQ278" s="104" t="s">
        <v>153</v>
      </c>
      <c r="CR278" s="105" t="s">
        <v>153</v>
      </c>
      <c r="CS278" s="106" t="s">
        <v>153</v>
      </c>
      <c r="CT278" s="107" t="s">
        <v>153</v>
      </c>
      <c r="CU278" s="108" t="s">
        <v>153</v>
      </c>
      <c r="CV278" s="109" t="s">
        <v>153</v>
      </c>
      <c r="CW278" s="110" t="s">
        <v>153</v>
      </c>
      <c r="CX278" s="111" t="s">
        <v>153</v>
      </c>
      <c r="CY278" s="112" t="s">
        <v>153</v>
      </c>
      <c r="CZ278" s="113" t="s">
        <v>153</v>
      </c>
      <c r="DA278" s="114" t="s">
        <v>153</v>
      </c>
      <c r="DB278" s="115" t="s">
        <v>153</v>
      </c>
      <c r="DC278" s="116" t="s">
        <v>153</v>
      </c>
      <c r="DD278" s="117" t="s">
        <v>153</v>
      </c>
      <c r="DE278" s="118" t="s">
        <v>153</v>
      </c>
      <c r="DF278" s="119" t="s">
        <v>153</v>
      </c>
      <c r="DG278" s="120" t="s">
        <v>153</v>
      </c>
      <c r="DH278" s="121" t="s">
        <v>153</v>
      </c>
      <c r="DI278" s="122" t="s">
        <v>153</v>
      </c>
      <c r="DJ278" s="123" t="s">
        <v>153</v>
      </c>
      <c r="DK278" s="124" t="s">
        <v>153</v>
      </c>
      <c r="DL278" s="125" t="s">
        <v>153</v>
      </c>
      <c r="DM278" s="126" t="s">
        <v>153</v>
      </c>
      <c r="DN278" s="127" t="s">
        <v>153</v>
      </c>
      <c r="DO278" s="128" t="s">
        <v>153</v>
      </c>
      <c r="DP278" s="129" t="s">
        <v>153</v>
      </c>
      <c r="DQ278" s="130" t="s">
        <v>153</v>
      </c>
      <c r="DR278" s="131" t="s">
        <v>153</v>
      </c>
      <c r="DS278" s="132" t="s">
        <v>153</v>
      </c>
      <c r="DT278" s="133" t="s">
        <v>153</v>
      </c>
      <c r="DU278" s="134" t="s">
        <v>153</v>
      </c>
      <c r="DV278" s="135" t="s">
        <v>153</v>
      </c>
      <c r="DW278" s="136" t="s">
        <v>153</v>
      </c>
      <c r="DX278" s="137" t="s">
        <v>153</v>
      </c>
      <c r="DY278" s="138" t="s">
        <v>153</v>
      </c>
      <c r="DZ278" s="139" t="s">
        <v>191</v>
      </c>
      <c r="EA278" s="140">
        <v>44274</v>
      </c>
      <c r="EB278" s="141">
        <v>13400</v>
      </c>
      <c r="EC278" s="142">
        <v>43789</v>
      </c>
      <c r="ED278" s="143" t="s">
        <v>1524</v>
      </c>
      <c r="EE278" s="278" t="str">
        <f>HYPERLINK("https://my.pitchbook.com?c=279497-71", "View company online")</f>
        <v>View company online</v>
      </c>
    </row>
    <row r="279" spans="1:135" x14ac:dyDescent="0.45">
      <c r="A279" s="144" t="s">
        <v>6077</v>
      </c>
      <c r="B279" s="145" t="s">
        <v>6078</v>
      </c>
      <c r="C279" s="146" t="s">
        <v>153</v>
      </c>
      <c r="D279" s="147" t="s">
        <v>153</v>
      </c>
      <c r="E279" s="148" t="s">
        <v>153</v>
      </c>
      <c r="F279" s="149" t="s">
        <v>153</v>
      </c>
      <c r="G279" s="150" t="s">
        <v>6079</v>
      </c>
      <c r="H279" s="151" t="s">
        <v>6080</v>
      </c>
      <c r="I279" s="152" t="s">
        <v>6077</v>
      </c>
      <c r="J279" s="153" t="s">
        <v>6081</v>
      </c>
      <c r="K279" s="154" t="s">
        <v>157</v>
      </c>
      <c r="L279" s="155" t="s">
        <v>817</v>
      </c>
      <c r="M279" s="156" t="s">
        <v>863</v>
      </c>
      <c r="N279" s="157" t="s">
        <v>864</v>
      </c>
      <c r="O279" s="158" t="s">
        <v>153</v>
      </c>
      <c r="P279" s="159" t="s">
        <v>6082</v>
      </c>
      <c r="Q279" s="160" t="s">
        <v>204</v>
      </c>
      <c r="R279" s="161" t="s">
        <v>153</v>
      </c>
      <c r="S279" s="162" t="s">
        <v>290</v>
      </c>
      <c r="T279" s="163" t="s">
        <v>164</v>
      </c>
      <c r="U279" s="164" t="s">
        <v>237</v>
      </c>
      <c r="V279" s="165" t="s">
        <v>6083</v>
      </c>
      <c r="W279" s="166">
        <v>11858</v>
      </c>
      <c r="X279" s="167" t="s">
        <v>6084</v>
      </c>
      <c r="Y279" s="168" t="s">
        <v>153</v>
      </c>
      <c r="Z279" s="169" t="s">
        <v>153</v>
      </c>
      <c r="AA279" s="170">
        <v>1876</v>
      </c>
      <c r="AB279" s="171" t="s">
        <v>6085</v>
      </c>
      <c r="AC279" s="172" t="s">
        <v>153</v>
      </c>
      <c r="AD279" s="173" t="s">
        <v>428</v>
      </c>
      <c r="AE279" s="174" t="s">
        <v>153</v>
      </c>
      <c r="AF279" s="175" t="s">
        <v>153</v>
      </c>
      <c r="AG279" s="176" t="s">
        <v>153</v>
      </c>
      <c r="AH279" s="177" t="s">
        <v>153</v>
      </c>
      <c r="AI279" s="178" t="s">
        <v>153</v>
      </c>
      <c r="AJ279" s="179" t="s">
        <v>153</v>
      </c>
      <c r="AK279" s="180" t="s">
        <v>153</v>
      </c>
      <c r="AL279" s="181" t="s">
        <v>153</v>
      </c>
      <c r="AM279" s="182" t="s">
        <v>153</v>
      </c>
      <c r="AN279" s="183" t="s">
        <v>1217</v>
      </c>
      <c r="AO279" s="184" t="s">
        <v>153</v>
      </c>
      <c r="AP279" s="185" t="s">
        <v>153</v>
      </c>
      <c r="AQ279" s="186" t="s">
        <v>153</v>
      </c>
      <c r="AR279" s="187" t="s">
        <v>153</v>
      </c>
      <c r="AS279" s="188" t="s">
        <v>153</v>
      </c>
      <c r="AT279" s="189" t="s">
        <v>780</v>
      </c>
      <c r="AU279" s="190" t="s">
        <v>6086</v>
      </c>
      <c r="AV279" s="191" t="s">
        <v>153</v>
      </c>
      <c r="AW279" s="192" t="s">
        <v>782</v>
      </c>
      <c r="AX279" s="193" t="s">
        <v>783</v>
      </c>
      <c r="AY279" s="194" t="s">
        <v>6087</v>
      </c>
      <c r="AZ279" s="195" t="s">
        <v>215</v>
      </c>
      <c r="BA279" s="196" t="s">
        <v>6088</v>
      </c>
      <c r="BB279" s="197" t="s">
        <v>153</v>
      </c>
      <c r="BC279" s="198" t="s">
        <v>153</v>
      </c>
      <c r="BD279" s="199" t="s">
        <v>216</v>
      </c>
      <c r="BE279" s="200" t="s">
        <v>217</v>
      </c>
      <c r="BF279" s="201" t="s">
        <v>6089</v>
      </c>
      <c r="BG279" s="202" t="s">
        <v>153</v>
      </c>
      <c r="BH279" s="203" t="s">
        <v>153</v>
      </c>
      <c r="BI279" s="204" t="s">
        <v>6085</v>
      </c>
      <c r="BJ279" s="205" t="s">
        <v>153</v>
      </c>
      <c r="BK279" s="206" t="s">
        <v>6090</v>
      </c>
      <c r="BL279" s="207" t="s">
        <v>153</v>
      </c>
      <c r="BM279" s="208" t="s">
        <v>153</v>
      </c>
      <c r="BN279" s="209" t="s">
        <v>6091</v>
      </c>
      <c r="BO279" s="210" t="s">
        <v>6092</v>
      </c>
      <c r="BP279" s="211" t="s">
        <v>6093</v>
      </c>
      <c r="BQ279" s="212">
        <v>26451</v>
      </c>
      <c r="BR279" s="213" t="s">
        <v>153</v>
      </c>
      <c r="BS279" s="214" t="s">
        <v>153</v>
      </c>
      <c r="BT279" s="215" t="s">
        <v>153</v>
      </c>
      <c r="BU279" s="216" t="s">
        <v>153</v>
      </c>
      <c r="BV279" s="217" t="s">
        <v>251</v>
      </c>
      <c r="BW279" s="218" t="s">
        <v>153</v>
      </c>
      <c r="BX279" s="219" t="s">
        <v>153</v>
      </c>
      <c r="BY279" s="220" t="s">
        <v>252</v>
      </c>
      <c r="BZ279" s="221" t="s">
        <v>153</v>
      </c>
      <c r="CA279" s="222" t="s">
        <v>190</v>
      </c>
      <c r="CB279" s="223">
        <v>36864</v>
      </c>
      <c r="CC279" s="224">
        <v>13400</v>
      </c>
      <c r="CD279" s="225" t="s">
        <v>186</v>
      </c>
      <c r="CE279" s="226">
        <v>13400</v>
      </c>
      <c r="CF279" s="227" t="s">
        <v>186</v>
      </c>
      <c r="CG279" s="228" t="s">
        <v>226</v>
      </c>
      <c r="CH279" s="229" t="s">
        <v>153</v>
      </c>
      <c r="CI279" s="230" t="s">
        <v>153</v>
      </c>
      <c r="CJ279" s="231" t="s">
        <v>225</v>
      </c>
      <c r="CK279" s="232">
        <v>36864</v>
      </c>
      <c r="CL279" s="233" t="s">
        <v>153</v>
      </c>
      <c r="CM279" s="234" t="s">
        <v>153</v>
      </c>
      <c r="CN279" s="235" t="s">
        <v>190</v>
      </c>
      <c r="CO279" s="236">
        <v>-0.57999999999999996</v>
      </c>
      <c r="CP279" s="237">
        <v>4</v>
      </c>
      <c r="CQ279" s="238">
        <v>-0.05</v>
      </c>
      <c r="CR279" s="239">
        <v>-9.7799999999999994</v>
      </c>
      <c r="CS279" s="240">
        <v>-1.03</v>
      </c>
      <c r="CT279" s="241">
        <v>4</v>
      </c>
      <c r="CU279" s="242">
        <v>-0.13</v>
      </c>
      <c r="CV279" s="243">
        <v>13</v>
      </c>
      <c r="CW279" s="244">
        <v>-2.37</v>
      </c>
      <c r="CX279" s="245">
        <v>11</v>
      </c>
      <c r="CY279" s="246">
        <v>0.32</v>
      </c>
      <c r="CZ279" s="247">
        <v>93</v>
      </c>
      <c r="DA279" s="248">
        <v>-0.13</v>
      </c>
      <c r="DB279" s="249">
        <v>13</v>
      </c>
      <c r="DC279" s="250">
        <v>437.27</v>
      </c>
      <c r="DD279" s="251">
        <v>100</v>
      </c>
      <c r="DE279" s="252">
        <v>1.83</v>
      </c>
      <c r="DF279" s="253">
        <v>0.42</v>
      </c>
      <c r="DG279" s="254">
        <v>267.39999999999998</v>
      </c>
      <c r="DH279" s="255">
        <v>100</v>
      </c>
      <c r="DI279" s="256">
        <v>607.14</v>
      </c>
      <c r="DJ279" s="257">
        <v>100</v>
      </c>
      <c r="DK279" s="258">
        <v>187.61</v>
      </c>
      <c r="DL279" s="259">
        <v>98</v>
      </c>
      <c r="DM279" s="260">
        <v>347.19</v>
      </c>
      <c r="DN279" s="261">
        <v>100</v>
      </c>
      <c r="DO279" s="262">
        <v>607.14</v>
      </c>
      <c r="DP279" s="263">
        <v>100</v>
      </c>
      <c r="DQ279" s="264">
        <v>111984</v>
      </c>
      <c r="DR279" s="265">
        <v>-2691</v>
      </c>
      <c r="DS279" s="266">
        <v>-2.35</v>
      </c>
      <c r="DT279" s="267">
        <v>5557</v>
      </c>
      <c r="DU279" s="268">
        <v>-7</v>
      </c>
      <c r="DV279" s="269">
        <v>-0.13</v>
      </c>
      <c r="DW279" s="270">
        <v>190648</v>
      </c>
      <c r="DX279" s="271">
        <v>-23</v>
      </c>
      <c r="DY279" s="272">
        <v>-0.01</v>
      </c>
      <c r="DZ279" s="273" t="s">
        <v>191</v>
      </c>
      <c r="EA279" s="274">
        <v>44390</v>
      </c>
      <c r="EB279" s="275">
        <v>13400</v>
      </c>
      <c r="EC279" s="276">
        <v>36864</v>
      </c>
      <c r="ED279" s="277" t="s">
        <v>226</v>
      </c>
      <c r="EE279" s="279" t="str">
        <f>HYPERLINK("https://my.pitchbook.com?c=12786-13", "View company online")</f>
        <v>View company online</v>
      </c>
    </row>
    <row r="280" spans="1:135" x14ac:dyDescent="0.45">
      <c r="A280" s="10" t="s">
        <v>6094</v>
      </c>
      <c r="B280" s="11" t="s">
        <v>6095</v>
      </c>
      <c r="C280" s="12" t="s">
        <v>153</v>
      </c>
      <c r="D280" s="13" t="s">
        <v>153</v>
      </c>
      <c r="E280" s="14" t="s">
        <v>6096</v>
      </c>
      <c r="F280" s="15" t="s">
        <v>6097</v>
      </c>
      <c r="G280" s="16" t="s">
        <v>6098</v>
      </c>
      <c r="H280" s="17" t="s">
        <v>153</v>
      </c>
      <c r="I280" s="18" t="s">
        <v>6094</v>
      </c>
      <c r="J280" s="19" t="s">
        <v>6099</v>
      </c>
      <c r="K280" s="20" t="s">
        <v>257</v>
      </c>
      <c r="L280" s="21" t="s">
        <v>258</v>
      </c>
      <c r="M280" s="22" t="s">
        <v>259</v>
      </c>
      <c r="N280" s="23" t="s">
        <v>6100</v>
      </c>
      <c r="O280" s="24" t="s">
        <v>261</v>
      </c>
      <c r="P280" s="25" t="s">
        <v>6101</v>
      </c>
      <c r="Q280" s="26" t="s">
        <v>162</v>
      </c>
      <c r="R280" s="27" t="s">
        <v>153</v>
      </c>
      <c r="S280" s="28" t="s">
        <v>163</v>
      </c>
      <c r="T280" s="29" t="s">
        <v>205</v>
      </c>
      <c r="U280" s="30" t="s">
        <v>369</v>
      </c>
      <c r="V280" s="31" t="s">
        <v>6102</v>
      </c>
      <c r="W280" s="32">
        <v>4750</v>
      </c>
      <c r="X280" s="33" t="s">
        <v>6103</v>
      </c>
      <c r="Y280" s="34" t="s">
        <v>153</v>
      </c>
      <c r="Z280" s="35" t="s">
        <v>153</v>
      </c>
      <c r="AA280" s="36">
        <v>1970</v>
      </c>
      <c r="AB280" s="37" t="s">
        <v>153</v>
      </c>
      <c r="AC280" s="38" t="s">
        <v>153</v>
      </c>
      <c r="AD280" s="39" t="s">
        <v>153</v>
      </c>
      <c r="AE280" s="40" t="s">
        <v>153</v>
      </c>
      <c r="AF280" s="41" t="s">
        <v>153</v>
      </c>
      <c r="AG280" s="42" t="s">
        <v>153</v>
      </c>
      <c r="AH280" s="43" t="s">
        <v>153</v>
      </c>
      <c r="AI280" s="44" t="s">
        <v>153</v>
      </c>
      <c r="AJ280" s="45" t="s">
        <v>153</v>
      </c>
      <c r="AK280" s="46" t="s">
        <v>153</v>
      </c>
      <c r="AL280" s="47" t="s">
        <v>153</v>
      </c>
      <c r="AM280" s="48" t="s">
        <v>153</v>
      </c>
      <c r="AN280" s="49" t="s">
        <v>2438</v>
      </c>
      <c r="AO280" s="50" t="s">
        <v>153</v>
      </c>
      <c r="AP280" s="51" t="s">
        <v>153</v>
      </c>
      <c r="AQ280" s="52" t="s">
        <v>153</v>
      </c>
      <c r="AR280" s="53" t="s">
        <v>153</v>
      </c>
      <c r="AS280" s="54" t="s">
        <v>153</v>
      </c>
      <c r="AT280" s="55" t="s">
        <v>6104</v>
      </c>
      <c r="AU280" s="56" t="s">
        <v>6105</v>
      </c>
      <c r="AV280" s="57" t="s">
        <v>6106</v>
      </c>
      <c r="AW280" s="58" t="s">
        <v>6107</v>
      </c>
      <c r="AX280" s="59" t="s">
        <v>153</v>
      </c>
      <c r="AY280" s="60" t="s">
        <v>153</v>
      </c>
      <c r="AZ280" s="61" t="s">
        <v>352</v>
      </c>
      <c r="BA280" s="62" t="s">
        <v>153</v>
      </c>
      <c r="BB280" s="63" t="s">
        <v>153</v>
      </c>
      <c r="BC280" s="64" t="s">
        <v>153</v>
      </c>
      <c r="BD280" s="65" t="s">
        <v>180</v>
      </c>
      <c r="BE280" s="66" t="s">
        <v>181</v>
      </c>
      <c r="BF280" s="67" t="s">
        <v>6108</v>
      </c>
      <c r="BG280" s="68" t="s">
        <v>153</v>
      </c>
      <c r="BH280" s="69" t="s">
        <v>153</v>
      </c>
      <c r="BI280" s="70" t="s">
        <v>153</v>
      </c>
      <c r="BJ280" s="71" t="s">
        <v>6109</v>
      </c>
      <c r="BK280" s="72" t="s">
        <v>153</v>
      </c>
      <c r="BL280" s="73" t="s">
        <v>153</v>
      </c>
      <c r="BM280" s="74" t="s">
        <v>6110</v>
      </c>
      <c r="BN280" s="75" t="s">
        <v>153</v>
      </c>
      <c r="BO280" s="76" t="s">
        <v>6111</v>
      </c>
      <c r="BP280" s="77" t="s">
        <v>277</v>
      </c>
      <c r="BQ280" s="78">
        <v>36734</v>
      </c>
      <c r="BR280" s="79" t="s">
        <v>153</v>
      </c>
      <c r="BS280" s="80" t="s">
        <v>153</v>
      </c>
      <c r="BT280" s="81" t="s">
        <v>153</v>
      </c>
      <c r="BU280" s="82" t="s">
        <v>153</v>
      </c>
      <c r="BV280" s="83" t="s">
        <v>251</v>
      </c>
      <c r="BW280" s="84" t="s">
        <v>153</v>
      </c>
      <c r="BX280" s="85" t="s">
        <v>153</v>
      </c>
      <c r="BY280" s="86" t="s">
        <v>252</v>
      </c>
      <c r="BZ280" s="87" t="s">
        <v>153</v>
      </c>
      <c r="CA280" s="88" t="s">
        <v>190</v>
      </c>
      <c r="CB280" s="89">
        <v>38981</v>
      </c>
      <c r="CC280" s="90">
        <v>13255.48</v>
      </c>
      <c r="CD280" s="91" t="s">
        <v>186</v>
      </c>
      <c r="CE280" s="92">
        <v>20551.09</v>
      </c>
      <c r="CF280" s="93" t="s">
        <v>187</v>
      </c>
      <c r="CG280" s="94" t="s">
        <v>226</v>
      </c>
      <c r="CH280" s="95" t="s">
        <v>153</v>
      </c>
      <c r="CI280" s="96" t="s">
        <v>153</v>
      </c>
      <c r="CJ280" s="97" t="s">
        <v>225</v>
      </c>
      <c r="CK280" s="98">
        <v>38981</v>
      </c>
      <c r="CL280" s="99" t="s">
        <v>153</v>
      </c>
      <c r="CM280" s="100" t="s">
        <v>153</v>
      </c>
      <c r="CN280" s="101" t="s">
        <v>190</v>
      </c>
      <c r="CO280" s="102" t="s">
        <v>153</v>
      </c>
      <c r="CP280" s="103" t="s">
        <v>153</v>
      </c>
      <c r="CQ280" s="104" t="s">
        <v>153</v>
      </c>
      <c r="CR280" s="105" t="s">
        <v>153</v>
      </c>
      <c r="CS280" s="106" t="s">
        <v>153</v>
      </c>
      <c r="CT280" s="107" t="s">
        <v>153</v>
      </c>
      <c r="CU280" s="108" t="s">
        <v>153</v>
      </c>
      <c r="CV280" s="109" t="s">
        <v>153</v>
      </c>
      <c r="CW280" s="110" t="s">
        <v>153</v>
      </c>
      <c r="CX280" s="111" t="s">
        <v>153</v>
      </c>
      <c r="CY280" s="112" t="s">
        <v>153</v>
      </c>
      <c r="CZ280" s="113" t="s">
        <v>153</v>
      </c>
      <c r="DA280" s="114" t="s">
        <v>153</v>
      </c>
      <c r="DB280" s="115" t="s">
        <v>153</v>
      </c>
      <c r="DC280" s="116" t="s">
        <v>153</v>
      </c>
      <c r="DD280" s="117" t="s">
        <v>153</v>
      </c>
      <c r="DE280" s="118" t="s">
        <v>153</v>
      </c>
      <c r="DF280" s="119" t="s">
        <v>153</v>
      </c>
      <c r="DG280" s="120" t="s">
        <v>153</v>
      </c>
      <c r="DH280" s="121" t="s">
        <v>153</v>
      </c>
      <c r="DI280" s="122" t="s">
        <v>153</v>
      </c>
      <c r="DJ280" s="123" t="s">
        <v>153</v>
      </c>
      <c r="DK280" s="124" t="s">
        <v>153</v>
      </c>
      <c r="DL280" s="125" t="s">
        <v>153</v>
      </c>
      <c r="DM280" s="126" t="s">
        <v>153</v>
      </c>
      <c r="DN280" s="127" t="s">
        <v>153</v>
      </c>
      <c r="DO280" s="128" t="s">
        <v>153</v>
      </c>
      <c r="DP280" s="129" t="s">
        <v>153</v>
      </c>
      <c r="DQ280" s="130" t="s">
        <v>153</v>
      </c>
      <c r="DR280" s="131" t="s">
        <v>153</v>
      </c>
      <c r="DS280" s="132" t="s">
        <v>153</v>
      </c>
      <c r="DT280" s="133" t="s">
        <v>153</v>
      </c>
      <c r="DU280" s="134" t="s">
        <v>153</v>
      </c>
      <c r="DV280" s="135" t="s">
        <v>153</v>
      </c>
      <c r="DW280" s="136" t="s">
        <v>153</v>
      </c>
      <c r="DX280" s="137" t="s">
        <v>153</v>
      </c>
      <c r="DY280" s="138" t="s">
        <v>153</v>
      </c>
      <c r="DZ280" s="139" t="s">
        <v>191</v>
      </c>
      <c r="EA280" s="140">
        <v>44217</v>
      </c>
      <c r="EB280" s="141">
        <v>20551.09</v>
      </c>
      <c r="EC280" s="142">
        <v>38981</v>
      </c>
      <c r="ED280" s="143" t="s">
        <v>226</v>
      </c>
      <c r="EE280" s="278" t="str">
        <f>HYPERLINK("https://my.pitchbook.com?c=111928-78", "View company online")</f>
        <v>View company online</v>
      </c>
    </row>
    <row r="281" spans="1:135" x14ac:dyDescent="0.45">
      <c r="A281" s="144" t="s">
        <v>6112</v>
      </c>
      <c r="B281" s="145" t="s">
        <v>6113</v>
      </c>
      <c r="C281" s="146" t="s">
        <v>153</v>
      </c>
      <c r="D281" s="147" t="s">
        <v>153</v>
      </c>
      <c r="E281" s="148" t="s">
        <v>153</v>
      </c>
      <c r="F281" s="149" t="s">
        <v>153</v>
      </c>
      <c r="G281" s="150" t="s">
        <v>6114</v>
      </c>
      <c r="H281" s="151" t="s">
        <v>153</v>
      </c>
      <c r="I281" s="152" t="s">
        <v>6112</v>
      </c>
      <c r="J281" s="153" t="s">
        <v>6115</v>
      </c>
      <c r="K281" s="154" t="s">
        <v>792</v>
      </c>
      <c r="L281" s="155" t="s">
        <v>841</v>
      </c>
      <c r="M281" s="156" t="s">
        <v>842</v>
      </c>
      <c r="N281" s="157" t="s">
        <v>843</v>
      </c>
      <c r="O281" s="158" t="s">
        <v>796</v>
      </c>
      <c r="P281" s="159" t="s">
        <v>6116</v>
      </c>
      <c r="Q281" s="160" t="s">
        <v>204</v>
      </c>
      <c r="R281" s="161" t="s">
        <v>153</v>
      </c>
      <c r="S281" s="162" t="s">
        <v>163</v>
      </c>
      <c r="T281" s="163" t="s">
        <v>205</v>
      </c>
      <c r="U281" s="164" t="s">
        <v>206</v>
      </c>
      <c r="V281" s="165" t="s">
        <v>153</v>
      </c>
      <c r="W281" s="166" t="s">
        <v>153</v>
      </c>
      <c r="X281" s="167" t="s">
        <v>153</v>
      </c>
      <c r="Y281" s="168" t="s">
        <v>153</v>
      </c>
      <c r="Z281" s="169" t="s">
        <v>153</v>
      </c>
      <c r="AA281" s="170">
        <v>1901</v>
      </c>
      <c r="AB281" s="171" t="s">
        <v>153</v>
      </c>
      <c r="AC281" s="172" t="s">
        <v>153</v>
      </c>
      <c r="AD281" s="173" t="s">
        <v>153</v>
      </c>
      <c r="AE281" s="174" t="s">
        <v>153</v>
      </c>
      <c r="AF281" s="175" t="s">
        <v>153</v>
      </c>
      <c r="AG281" s="176" t="s">
        <v>153</v>
      </c>
      <c r="AH281" s="177" t="s">
        <v>153</v>
      </c>
      <c r="AI281" s="178" t="s">
        <v>153</v>
      </c>
      <c r="AJ281" s="179" t="s">
        <v>153</v>
      </c>
      <c r="AK281" s="180" t="s">
        <v>153</v>
      </c>
      <c r="AL281" s="181" t="s">
        <v>153</v>
      </c>
      <c r="AM281" s="182" t="s">
        <v>153</v>
      </c>
      <c r="AN281" s="183" t="s">
        <v>153</v>
      </c>
      <c r="AO281" s="184" t="s">
        <v>153</v>
      </c>
      <c r="AP281" s="185" t="s">
        <v>153</v>
      </c>
      <c r="AQ281" s="186" t="s">
        <v>153</v>
      </c>
      <c r="AR281" s="187" t="s">
        <v>153</v>
      </c>
      <c r="AS281" s="188" t="s">
        <v>153</v>
      </c>
      <c r="AT281" s="189" t="s">
        <v>6117</v>
      </c>
      <c r="AU281" s="190" t="s">
        <v>153</v>
      </c>
      <c r="AV281" s="191" t="s">
        <v>153</v>
      </c>
      <c r="AW281" s="192" t="s">
        <v>6118</v>
      </c>
      <c r="AX281" s="193" t="s">
        <v>2727</v>
      </c>
      <c r="AY281" s="194" t="s">
        <v>153</v>
      </c>
      <c r="AZ281" s="195" t="s">
        <v>215</v>
      </c>
      <c r="BA281" s="196" t="s">
        <v>153</v>
      </c>
      <c r="BB281" s="197" t="s">
        <v>153</v>
      </c>
      <c r="BC281" s="198" t="s">
        <v>153</v>
      </c>
      <c r="BD281" s="199" t="s">
        <v>216</v>
      </c>
      <c r="BE281" s="200" t="s">
        <v>217</v>
      </c>
      <c r="BF281" s="201" t="s">
        <v>6119</v>
      </c>
      <c r="BG281" s="202" t="s">
        <v>153</v>
      </c>
      <c r="BH281" s="203" t="s">
        <v>153</v>
      </c>
      <c r="BI281" s="204" t="s">
        <v>1216</v>
      </c>
      <c r="BJ281" s="205" t="s">
        <v>153</v>
      </c>
      <c r="BK281" s="206" t="s">
        <v>153</v>
      </c>
      <c r="BL281" s="207" t="s">
        <v>153</v>
      </c>
      <c r="BM281" s="208" t="s">
        <v>153</v>
      </c>
      <c r="BN281" s="209" t="s">
        <v>153</v>
      </c>
      <c r="BO281" s="210" t="s">
        <v>153</v>
      </c>
      <c r="BP281" s="211" t="s">
        <v>6120</v>
      </c>
      <c r="BQ281" s="212">
        <v>31047</v>
      </c>
      <c r="BR281" s="213">
        <v>13200</v>
      </c>
      <c r="BS281" s="214" t="s">
        <v>186</v>
      </c>
      <c r="BT281" s="215">
        <v>13200</v>
      </c>
      <c r="BU281" s="216" t="s">
        <v>186</v>
      </c>
      <c r="BV281" s="217" t="s">
        <v>226</v>
      </c>
      <c r="BW281" s="218" t="s">
        <v>153</v>
      </c>
      <c r="BX281" s="219" t="s">
        <v>153</v>
      </c>
      <c r="BY281" s="220" t="s">
        <v>225</v>
      </c>
      <c r="BZ281" s="221" t="s">
        <v>1607</v>
      </c>
      <c r="CA281" s="222" t="s">
        <v>190</v>
      </c>
      <c r="CB281" s="223">
        <v>31047</v>
      </c>
      <c r="CC281" s="224">
        <v>13200</v>
      </c>
      <c r="CD281" s="225" t="s">
        <v>186</v>
      </c>
      <c r="CE281" s="226">
        <v>13200</v>
      </c>
      <c r="CF281" s="227" t="s">
        <v>186</v>
      </c>
      <c r="CG281" s="228" t="s">
        <v>226</v>
      </c>
      <c r="CH281" s="229" t="s">
        <v>153</v>
      </c>
      <c r="CI281" s="230" t="s">
        <v>153</v>
      </c>
      <c r="CJ281" s="231" t="s">
        <v>225</v>
      </c>
      <c r="CK281" s="232">
        <v>31047</v>
      </c>
      <c r="CL281" s="233" t="s">
        <v>153</v>
      </c>
      <c r="CM281" s="234" t="s">
        <v>1607</v>
      </c>
      <c r="CN281" s="235" t="s">
        <v>190</v>
      </c>
      <c r="CO281" s="236" t="s">
        <v>153</v>
      </c>
      <c r="CP281" s="237" t="s">
        <v>153</v>
      </c>
      <c r="CQ281" s="238" t="s">
        <v>153</v>
      </c>
      <c r="CR281" s="239" t="s">
        <v>153</v>
      </c>
      <c r="CS281" s="240" t="s">
        <v>153</v>
      </c>
      <c r="CT281" s="241" t="s">
        <v>153</v>
      </c>
      <c r="CU281" s="242" t="s">
        <v>153</v>
      </c>
      <c r="CV281" s="243" t="s">
        <v>153</v>
      </c>
      <c r="CW281" s="244" t="s">
        <v>153</v>
      </c>
      <c r="CX281" s="245" t="s">
        <v>153</v>
      </c>
      <c r="CY281" s="246" t="s">
        <v>153</v>
      </c>
      <c r="CZ281" s="247" t="s">
        <v>153</v>
      </c>
      <c r="DA281" s="248" t="s">
        <v>153</v>
      </c>
      <c r="DB281" s="249" t="s">
        <v>153</v>
      </c>
      <c r="DC281" s="250" t="s">
        <v>153</v>
      </c>
      <c r="DD281" s="251" t="s">
        <v>153</v>
      </c>
      <c r="DE281" s="252" t="s">
        <v>153</v>
      </c>
      <c r="DF281" s="253" t="s">
        <v>153</v>
      </c>
      <c r="DG281" s="254" t="s">
        <v>153</v>
      </c>
      <c r="DH281" s="255" t="s">
        <v>153</v>
      </c>
      <c r="DI281" s="256" t="s">
        <v>153</v>
      </c>
      <c r="DJ281" s="257" t="s">
        <v>153</v>
      </c>
      <c r="DK281" s="258" t="s">
        <v>153</v>
      </c>
      <c r="DL281" s="259" t="s">
        <v>153</v>
      </c>
      <c r="DM281" s="260" t="s">
        <v>153</v>
      </c>
      <c r="DN281" s="261" t="s">
        <v>153</v>
      </c>
      <c r="DO281" s="262" t="s">
        <v>153</v>
      </c>
      <c r="DP281" s="263" t="s">
        <v>153</v>
      </c>
      <c r="DQ281" s="264" t="s">
        <v>153</v>
      </c>
      <c r="DR281" s="265" t="s">
        <v>153</v>
      </c>
      <c r="DS281" s="266" t="s">
        <v>153</v>
      </c>
      <c r="DT281" s="267" t="s">
        <v>153</v>
      </c>
      <c r="DU281" s="268" t="s">
        <v>153</v>
      </c>
      <c r="DV281" s="269" t="s">
        <v>153</v>
      </c>
      <c r="DW281" s="270" t="s">
        <v>153</v>
      </c>
      <c r="DX281" s="271" t="s">
        <v>153</v>
      </c>
      <c r="DY281" s="272" t="s">
        <v>153</v>
      </c>
      <c r="DZ281" s="273" t="s">
        <v>191</v>
      </c>
      <c r="EA281" s="274">
        <v>44147</v>
      </c>
      <c r="EB281" s="275">
        <v>13200</v>
      </c>
      <c r="EC281" s="276">
        <v>31047</v>
      </c>
      <c r="ED281" s="277" t="s">
        <v>226</v>
      </c>
      <c r="EE281" s="279" t="str">
        <f>HYPERLINK("https://my.pitchbook.com?c=150517-54", "View company online")</f>
        <v>View company online</v>
      </c>
    </row>
    <row r="282" spans="1:135" x14ac:dyDescent="0.45">
      <c r="A282" s="10" t="s">
        <v>6121</v>
      </c>
      <c r="B282" s="11" t="s">
        <v>6122</v>
      </c>
      <c r="C282" s="12" t="s">
        <v>153</v>
      </c>
      <c r="D282" s="13" t="s">
        <v>153</v>
      </c>
      <c r="E282" s="14" t="s">
        <v>153</v>
      </c>
      <c r="F282" s="15" t="s">
        <v>6123</v>
      </c>
      <c r="G282" s="16" t="s">
        <v>6124</v>
      </c>
      <c r="H282" s="17" t="s">
        <v>153</v>
      </c>
      <c r="I282" s="18" t="s">
        <v>6121</v>
      </c>
      <c r="J282" s="19" t="s">
        <v>6125</v>
      </c>
      <c r="K282" s="20" t="s">
        <v>257</v>
      </c>
      <c r="L282" s="21" t="s">
        <v>258</v>
      </c>
      <c r="M282" s="22" t="s">
        <v>259</v>
      </c>
      <c r="N282" s="23" t="s">
        <v>260</v>
      </c>
      <c r="O282" s="24" t="s">
        <v>261</v>
      </c>
      <c r="P282" s="25" t="s">
        <v>6126</v>
      </c>
      <c r="Q282" s="26" t="s">
        <v>564</v>
      </c>
      <c r="R282" s="27">
        <v>158.55000000000001</v>
      </c>
      <c r="S282" s="28" t="s">
        <v>290</v>
      </c>
      <c r="T282" s="29" t="s">
        <v>205</v>
      </c>
      <c r="U282" s="30" t="s">
        <v>6127</v>
      </c>
      <c r="V282" s="31" t="s">
        <v>6128</v>
      </c>
      <c r="W282" s="32">
        <v>12000</v>
      </c>
      <c r="X282" s="33" t="s">
        <v>6129</v>
      </c>
      <c r="Y282" s="34" t="s">
        <v>153</v>
      </c>
      <c r="Z282" s="35" t="s">
        <v>153</v>
      </c>
      <c r="AA282" s="36">
        <v>1874</v>
      </c>
      <c r="AB282" s="37" t="s">
        <v>153</v>
      </c>
      <c r="AC282" s="38" t="s">
        <v>153</v>
      </c>
      <c r="AD282" s="39" t="s">
        <v>153</v>
      </c>
      <c r="AE282" s="40" t="s">
        <v>153</v>
      </c>
      <c r="AF282" s="41" t="s">
        <v>153</v>
      </c>
      <c r="AG282" s="42" t="s">
        <v>153</v>
      </c>
      <c r="AH282" s="43" t="s">
        <v>153</v>
      </c>
      <c r="AI282" s="44" t="s">
        <v>153</v>
      </c>
      <c r="AJ282" s="45" t="s">
        <v>153</v>
      </c>
      <c r="AK282" s="46" t="s">
        <v>153</v>
      </c>
      <c r="AL282" s="47" t="s">
        <v>153</v>
      </c>
      <c r="AM282" s="48" t="s">
        <v>153</v>
      </c>
      <c r="AN282" s="49" t="s">
        <v>3444</v>
      </c>
      <c r="AO282" s="50" t="s">
        <v>6130</v>
      </c>
      <c r="AP282" s="51" t="s">
        <v>6131</v>
      </c>
      <c r="AQ282" s="52" t="s">
        <v>6132</v>
      </c>
      <c r="AR282" s="53" t="s">
        <v>6133</v>
      </c>
      <c r="AS282" s="54" t="s">
        <v>153</v>
      </c>
      <c r="AT282" s="55" t="s">
        <v>6134</v>
      </c>
      <c r="AU282" s="56" t="s">
        <v>6135</v>
      </c>
      <c r="AV282" s="57" t="s">
        <v>6136</v>
      </c>
      <c r="AW282" s="58" t="s">
        <v>6137</v>
      </c>
      <c r="AX282" s="59" t="s">
        <v>153</v>
      </c>
      <c r="AY282" s="60" t="s">
        <v>6138</v>
      </c>
      <c r="AZ282" s="61" t="s">
        <v>1426</v>
      </c>
      <c r="BA282" s="62" t="s">
        <v>153</v>
      </c>
      <c r="BB282" s="63" t="s">
        <v>153</v>
      </c>
      <c r="BC282" s="64" t="s">
        <v>153</v>
      </c>
      <c r="BD282" s="65" t="s">
        <v>180</v>
      </c>
      <c r="BE282" s="66" t="s">
        <v>181</v>
      </c>
      <c r="BF282" s="67" t="s">
        <v>6139</v>
      </c>
      <c r="BG282" s="68" t="s">
        <v>153</v>
      </c>
      <c r="BH282" s="69" t="s">
        <v>153</v>
      </c>
      <c r="BI282" s="70" t="s">
        <v>763</v>
      </c>
      <c r="BJ282" s="71" t="s">
        <v>6140</v>
      </c>
      <c r="BK282" s="72" t="s">
        <v>153</v>
      </c>
      <c r="BL282" s="73" t="s">
        <v>153</v>
      </c>
      <c r="BM282" s="74" t="s">
        <v>6141</v>
      </c>
      <c r="BN282" s="75" t="s">
        <v>153</v>
      </c>
      <c r="BO282" s="76" t="s">
        <v>6142</v>
      </c>
      <c r="BP282" s="77" t="s">
        <v>6143</v>
      </c>
      <c r="BQ282" s="78">
        <v>36285</v>
      </c>
      <c r="BR282" s="79">
        <v>548.46</v>
      </c>
      <c r="BS282" s="80" t="s">
        <v>186</v>
      </c>
      <c r="BT282" s="81">
        <v>783.53</v>
      </c>
      <c r="BU282" s="82" t="s">
        <v>186</v>
      </c>
      <c r="BV282" s="83" t="s">
        <v>188</v>
      </c>
      <c r="BW282" s="84" t="s">
        <v>153</v>
      </c>
      <c r="BX282" s="85" t="s">
        <v>153</v>
      </c>
      <c r="BY282" s="86" t="s">
        <v>165</v>
      </c>
      <c r="BZ282" s="87" t="s">
        <v>153</v>
      </c>
      <c r="CA282" s="88" t="s">
        <v>190</v>
      </c>
      <c r="CB282" s="89">
        <v>40816</v>
      </c>
      <c r="CC282" s="90">
        <v>13193.25</v>
      </c>
      <c r="CD282" s="91" t="s">
        <v>186</v>
      </c>
      <c r="CE282" s="92">
        <v>13193.25</v>
      </c>
      <c r="CF282" s="93" t="s">
        <v>187</v>
      </c>
      <c r="CG282" s="94" t="s">
        <v>226</v>
      </c>
      <c r="CH282" s="95" t="s">
        <v>153</v>
      </c>
      <c r="CI282" s="96" t="s">
        <v>153</v>
      </c>
      <c r="CJ282" s="97" t="s">
        <v>225</v>
      </c>
      <c r="CK282" s="98">
        <v>40816</v>
      </c>
      <c r="CL282" s="99" t="s">
        <v>153</v>
      </c>
      <c r="CM282" s="100" t="s">
        <v>153</v>
      </c>
      <c r="CN282" s="101" t="s">
        <v>190</v>
      </c>
      <c r="CO282" s="102" t="s">
        <v>153</v>
      </c>
      <c r="CP282" s="103" t="s">
        <v>153</v>
      </c>
      <c r="CQ282" s="104" t="s">
        <v>153</v>
      </c>
      <c r="CR282" s="105" t="s">
        <v>153</v>
      </c>
      <c r="CS282" s="106" t="s">
        <v>153</v>
      </c>
      <c r="CT282" s="107" t="s">
        <v>153</v>
      </c>
      <c r="CU282" s="108" t="s">
        <v>153</v>
      </c>
      <c r="CV282" s="109" t="s">
        <v>153</v>
      </c>
      <c r="CW282" s="110" t="s">
        <v>153</v>
      </c>
      <c r="CX282" s="111" t="s">
        <v>153</v>
      </c>
      <c r="CY282" s="112" t="s">
        <v>153</v>
      </c>
      <c r="CZ282" s="113" t="s">
        <v>153</v>
      </c>
      <c r="DA282" s="114" t="s">
        <v>153</v>
      </c>
      <c r="DB282" s="115" t="s">
        <v>153</v>
      </c>
      <c r="DC282" s="116" t="s">
        <v>153</v>
      </c>
      <c r="DD282" s="117" t="s">
        <v>153</v>
      </c>
      <c r="DE282" s="118" t="s">
        <v>153</v>
      </c>
      <c r="DF282" s="119" t="s">
        <v>153</v>
      </c>
      <c r="DG282" s="120" t="s">
        <v>153</v>
      </c>
      <c r="DH282" s="121" t="s">
        <v>153</v>
      </c>
      <c r="DI282" s="122" t="s">
        <v>153</v>
      </c>
      <c r="DJ282" s="123" t="s">
        <v>153</v>
      </c>
      <c r="DK282" s="124" t="s">
        <v>153</v>
      </c>
      <c r="DL282" s="125" t="s">
        <v>153</v>
      </c>
      <c r="DM282" s="126" t="s">
        <v>153</v>
      </c>
      <c r="DN282" s="127" t="s">
        <v>153</v>
      </c>
      <c r="DO282" s="128" t="s">
        <v>153</v>
      </c>
      <c r="DP282" s="129" t="s">
        <v>153</v>
      </c>
      <c r="DQ282" s="130" t="s">
        <v>153</v>
      </c>
      <c r="DR282" s="131" t="s">
        <v>153</v>
      </c>
      <c r="DS282" s="132" t="s">
        <v>153</v>
      </c>
      <c r="DT282" s="133" t="s">
        <v>153</v>
      </c>
      <c r="DU282" s="134" t="s">
        <v>153</v>
      </c>
      <c r="DV282" s="135" t="s">
        <v>153</v>
      </c>
      <c r="DW282" s="136" t="s">
        <v>153</v>
      </c>
      <c r="DX282" s="137" t="s">
        <v>153</v>
      </c>
      <c r="DY282" s="138" t="s">
        <v>153</v>
      </c>
      <c r="DZ282" s="139" t="s">
        <v>191</v>
      </c>
      <c r="EA282" s="140">
        <v>44287</v>
      </c>
      <c r="EB282" s="141">
        <v>13193.25</v>
      </c>
      <c r="EC282" s="142">
        <v>40816</v>
      </c>
      <c r="ED282" s="143" t="s">
        <v>226</v>
      </c>
      <c r="EE282" s="278" t="str">
        <f>HYPERLINK("https://my.pitchbook.com?c=10478-53", "View company online")</f>
        <v>View company online</v>
      </c>
    </row>
    <row r="283" spans="1:135" x14ac:dyDescent="0.45">
      <c r="A283" s="144" t="s">
        <v>6144</v>
      </c>
      <c r="B283" s="145" t="s">
        <v>6145</v>
      </c>
      <c r="C283" s="146" t="s">
        <v>153</v>
      </c>
      <c r="D283" s="147" t="s">
        <v>153</v>
      </c>
      <c r="E283" s="148" t="s">
        <v>153</v>
      </c>
      <c r="F283" s="149" t="s">
        <v>6146</v>
      </c>
      <c r="G283" s="150" t="s">
        <v>6147</v>
      </c>
      <c r="H283" s="151" t="s">
        <v>6148</v>
      </c>
      <c r="I283" s="152" t="s">
        <v>6144</v>
      </c>
      <c r="J283" s="153" t="s">
        <v>6149</v>
      </c>
      <c r="K283" s="154" t="s">
        <v>157</v>
      </c>
      <c r="L283" s="155" t="s">
        <v>2713</v>
      </c>
      <c r="M283" s="156" t="s">
        <v>2922</v>
      </c>
      <c r="N283" s="157" t="s">
        <v>6150</v>
      </c>
      <c r="O283" s="158" t="s">
        <v>6151</v>
      </c>
      <c r="P283" s="159" t="s">
        <v>6152</v>
      </c>
      <c r="Q283" s="160" t="s">
        <v>289</v>
      </c>
      <c r="R283" s="161">
        <v>429.5</v>
      </c>
      <c r="S283" s="162" t="s">
        <v>290</v>
      </c>
      <c r="T283" s="163" t="s">
        <v>164</v>
      </c>
      <c r="U283" s="164" t="s">
        <v>292</v>
      </c>
      <c r="V283" s="165" t="s">
        <v>6153</v>
      </c>
      <c r="W283" s="166">
        <v>105000</v>
      </c>
      <c r="X283" s="167" t="s">
        <v>6154</v>
      </c>
      <c r="Y283" s="168" t="s">
        <v>153</v>
      </c>
      <c r="Z283" s="169" t="s">
        <v>153</v>
      </c>
      <c r="AA283" s="170">
        <v>1980</v>
      </c>
      <c r="AB283" s="171" t="s">
        <v>6155</v>
      </c>
      <c r="AC283" s="172" t="s">
        <v>428</v>
      </c>
      <c r="AD283" s="173" t="s">
        <v>508</v>
      </c>
      <c r="AE283" s="174" t="s">
        <v>153</v>
      </c>
      <c r="AF283" s="175" t="s">
        <v>153</v>
      </c>
      <c r="AG283" s="176" t="s">
        <v>153</v>
      </c>
      <c r="AH283" s="177" t="s">
        <v>153</v>
      </c>
      <c r="AI283" s="178" t="s">
        <v>153</v>
      </c>
      <c r="AJ283" s="179" t="s">
        <v>153</v>
      </c>
      <c r="AK283" s="180" t="s">
        <v>153</v>
      </c>
      <c r="AL283" s="181" t="s">
        <v>153</v>
      </c>
      <c r="AM283" s="182" t="s">
        <v>153</v>
      </c>
      <c r="AN283" s="183" t="s">
        <v>868</v>
      </c>
      <c r="AO283" s="184" t="s">
        <v>6156</v>
      </c>
      <c r="AP283" s="185" t="s">
        <v>6157</v>
      </c>
      <c r="AQ283" s="186" t="s">
        <v>6158</v>
      </c>
      <c r="AR283" s="187" t="s">
        <v>6159</v>
      </c>
      <c r="AS283" s="188" t="s">
        <v>6160</v>
      </c>
      <c r="AT283" s="189" t="s">
        <v>6161</v>
      </c>
      <c r="AU283" s="190" t="s">
        <v>6162</v>
      </c>
      <c r="AV283" s="191" t="s">
        <v>153</v>
      </c>
      <c r="AW283" s="192" t="s">
        <v>6163</v>
      </c>
      <c r="AX283" s="193" t="s">
        <v>1128</v>
      </c>
      <c r="AY283" s="194" t="s">
        <v>6164</v>
      </c>
      <c r="AZ283" s="195" t="s">
        <v>215</v>
      </c>
      <c r="BA283" s="196" t="s">
        <v>6160</v>
      </c>
      <c r="BB283" s="197" t="s">
        <v>6165</v>
      </c>
      <c r="BC283" s="198" t="s">
        <v>6166</v>
      </c>
      <c r="BD283" s="199" t="s">
        <v>216</v>
      </c>
      <c r="BE283" s="200" t="s">
        <v>217</v>
      </c>
      <c r="BF283" s="201" t="s">
        <v>6167</v>
      </c>
      <c r="BG283" s="202" t="s">
        <v>153</v>
      </c>
      <c r="BH283" s="203" t="s">
        <v>153</v>
      </c>
      <c r="BI283" s="204" t="s">
        <v>6155</v>
      </c>
      <c r="BJ283" s="205" t="s">
        <v>6168</v>
      </c>
      <c r="BK283" s="206" t="s">
        <v>153</v>
      </c>
      <c r="BL283" s="207" t="s">
        <v>153</v>
      </c>
      <c r="BM283" s="208" t="s">
        <v>6169</v>
      </c>
      <c r="BN283" s="209" t="s">
        <v>153</v>
      </c>
      <c r="BO283" s="210" t="s">
        <v>6170</v>
      </c>
      <c r="BP283" s="211" t="s">
        <v>6171</v>
      </c>
      <c r="BQ283" s="212">
        <v>32143</v>
      </c>
      <c r="BR283" s="213">
        <v>4.5</v>
      </c>
      <c r="BS283" s="214" t="s">
        <v>186</v>
      </c>
      <c r="BT283" s="215" t="s">
        <v>153</v>
      </c>
      <c r="BU283" s="216" t="s">
        <v>153</v>
      </c>
      <c r="BV283" s="217" t="s">
        <v>905</v>
      </c>
      <c r="BW283" s="218" t="s">
        <v>153</v>
      </c>
      <c r="BX283" s="219" t="s">
        <v>153</v>
      </c>
      <c r="BY283" s="220" t="s">
        <v>472</v>
      </c>
      <c r="BZ283" s="221" t="s">
        <v>153</v>
      </c>
      <c r="CA283" s="222" t="s">
        <v>190</v>
      </c>
      <c r="CB283" s="223">
        <v>42975</v>
      </c>
      <c r="CC283" s="224">
        <v>13176</v>
      </c>
      <c r="CD283" s="225" t="s">
        <v>187</v>
      </c>
      <c r="CE283" s="226">
        <v>13176</v>
      </c>
      <c r="CF283" s="227" t="s">
        <v>186</v>
      </c>
      <c r="CG283" s="228" t="s">
        <v>226</v>
      </c>
      <c r="CH283" s="229" t="s">
        <v>153</v>
      </c>
      <c r="CI283" s="230" t="s">
        <v>153</v>
      </c>
      <c r="CJ283" s="231" t="s">
        <v>225</v>
      </c>
      <c r="CK283" s="232">
        <v>42975</v>
      </c>
      <c r="CL283" s="233">
        <v>13550</v>
      </c>
      <c r="CM283" s="234" t="s">
        <v>6172</v>
      </c>
      <c r="CN283" s="235" t="s">
        <v>190</v>
      </c>
      <c r="CO283" s="236">
        <v>0.2</v>
      </c>
      <c r="CP283" s="237">
        <v>90</v>
      </c>
      <c r="CQ283" s="238">
        <v>0</v>
      </c>
      <c r="CR283" s="239">
        <v>0</v>
      </c>
      <c r="CS283" s="240" t="s">
        <v>153</v>
      </c>
      <c r="CT283" s="241" t="s">
        <v>153</v>
      </c>
      <c r="CU283" s="242" t="s">
        <v>153</v>
      </c>
      <c r="CV283" s="243" t="s">
        <v>153</v>
      </c>
      <c r="CW283" s="244" t="s">
        <v>153</v>
      </c>
      <c r="CX283" s="245" t="s">
        <v>153</v>
      </c>
      <c r="CY283" s="246" t="s">
        <v>153</v>
      </c>
      <c r="CZ283" s="247" t="s">
        <v>153</v>
      </c>
      <c r="DA283" s="248" t="s">
        <v>153</v>
      </c>
      <c r="DB283" s="249" t="s">
        <v>153</v>
      </c>
      <c r="DC283" s="250">
        <v>2837.84</v>
      </c>
      <c r="DD283" s="251">
        <v>100</v>
      </c>
      <c r="DE283" s="252">
        <v>0</v>
      </c>
      <c r="DF283" s="253">
        <v>0</v>
      </c>
      <c r="DG283" s="254" t="s">
        <v>153</v>
      </c>
      <c r="DH283" s="255" t="s">
        <v>153</v>
      </c>
      <c r="DI283" s="256" t="s">
        <v>153</v>
      </c>
      <c r="DJ283" s="257" t="s">
        <v>153</v>
      </c>
      <c r="DK283" s="258" t="s">
        <v>153</v>
      </c>
      <c r="DL283" s="259" t="s">
        <v>153</v>
      </c>
      <c r="DM283" s="260" t="s">
        <v>153</v>
      </c>
      <c r="DN283" s="261" t="s">
        <v>153</v>
      </c>
      <c r="DO283" s="262" t="s">
        <v>153</v>
      </c>
      <c r="DP283" s="263" t="s">
        <v>153</v>
      </c>
      <c r="DQ283" s="264" t="s">
        <v>153</v>
      </c>
      <c r="DR283" s="265" t="s">
        <v>153</v>
      </c>
      <c r="DS283" s="266" t="s">
        <v>153</v>
      </c>
      <c r="DT283" s="267" t="s">
        <v>153</v>
      </c>
      <c r="DU283" s="268" t="s">
        <v>153</v>
      </c>
      <c r="DV283" s="269" t="s">
        <v>153</v>
      </c>
      <c r="DW283" s="270" t="s">
        <v>153</v>
      </c>
      <c r="DX283" s="271" t="s">
        <v>153</v>
      </c>
      <c r="DY283" s="272" t="s">
        <v>153</v>
      </c>
      <c r="DZ283" s="273" t="s">
        <v>191</v>
      </c>
      <c r="EA283" s="274">
        <v>44402</v>
      </c>
      <c r="EB283" s="275">
        <v>13176</v>
      </c>
      <c r="EC283" s="276">
        <v>42975</v>
      </c>
      <c r="ED283" s="277" t="s">
        <v>226</v>
      </c>
      <c r="EE283" s="279" t="str">
        <f>HYPERLINK("https://my.pitchbook.com?c=10925-02", "View company online")</f>
        <v>View company online</v>
      </c>
    </row>
    <row r="284" spans="1:135" x14ac:dyDescent="0.45">
      <c r="A284" s="10" t="s">
        <v>6173</v>
      </c>
      <c r="B284" s="11" t="s">
        <v>6174</v>
      </c>
      <c r="C284" s="12" t="s">
        <v>153</v>
      </c>
      <c r="D284" s="13" t="s">
        <v>153</v>
      </c>
      <c r="E284" s="14" t="s">
        <v>6175</v>
      </c>
      <c r="F284" s="15" t="s">
        <v>6176</v>
      </c>
      <c r="G284" s="16" t="s">
        <v>6177</v>
      </c>
      <c r="H284" s="17" t="s">
        <v>6178</v>
      </c>
      <c r="I284" s="18" t="s">
        <v>6173</v>
      </c>
      <c r="J284" s="19" t="s">
        <v>6179</v>
      </c>
      <c r="K284" s="20" t="s">
        <v>198</v>
      </c>
      <c r="L284" s="21" t="s">
        <v>984</v>
      </c>
      <c r="M284" s="22" t="s">
        <v>4960</v>
      </c>
      <c r="N284" s="23" t="s">
        <v>6180</v>
      </c>
      <c r="O284" s="24" t="s">
        <v>5594</v>
      </c>
      <c r="P284" s="25" t="s">
        <v>6181</v>
      </c>
      <c r="Q284" s="26" t="s">
        <v>564</v>
      </c>
      <c r="R284" s="27">
        <v>9</v>
      </c>
      <c r="S284" s="28" t="s">
        <v>290</v>
      </c>
      <c r="T284" s="29" t="s">
        <v>291</v>
      </c>
      <c r="U284" s="30" t="s">
        <v>565</v>
      </c>
      <c r="V284" s="31" t="s">
        <v>6182</v>
      </c>
      <c r="W284" s="32">
        <v>8809</v>
      </c>
      <c r="X284" s="33" t="s">
        <v>6183</v>
      </c>
      <c r="Y284" s="34" t="s">
        <v>6184</v>
      </c>
      <c r="Z284" s="35" t="s">
        <v>6185</v>
      </c>
      <c r="AA284" s="36">
        <v>1952</v>
      </c>
      <c r="AB284" s="37" t="s">
        <v>153</v>
      </c>
      <c r="AC284" s="38" t="s">
        <v>153</v>
      </c>
      <c r="AD284" s="39" t="s">
        <v>428</v>
      </c>
      <c r="AE284" s="40">
        <v>508.25</v>
      </c>
      <c r="AF284" s="41">
        <v>129.72</v>
      </c>
      <c r="AG284" s="42">
        <v>40.33</v>
      </c>
      <c r="AH284" s="43">
        <v>749.24</v>
      </c>
      <c r="AI284" s="44">
        <v>88.87</v>
      </c>
      <c r="AJ284" s="45">
        <v>65.39</v>
      </c>
      <c r="AK284" s="46">
        <v>1139.22</v>
      </c>
      <c r="AL284" s="47">
        <v>-122.79</v>
      </c>
      <c r="AM284" s="48">
        <v>-9.57</v>
      </c>
      <c r="AN284" s="49" t="s">
        <v>1765</v>
      </c>
      <c r="AO284" s="50" t="s">
        <v>6186</v>
      </c>
      <c r="AP284" s="51" t="s">
        <v>6187</v>
      </c>
      <c r="AQ284" s="52" t="s">
        <v>6188</v>
      </c>
      <c r="AR284" s="53" t="s">
        <v>6189</v>
      </c>
      <c r="AS284" s="54" t="s">
        <v>6190</v>
      </c>
      <c r="AT284" s="55" t="s">
        <v>6191</v>
      </c>
      <c r="AU284" s="56" t="s">
        <v>6192</v>
      </c>
      <c r="AV284" s="57" t="s">
        <v>6193</v>
      </c>
      <c r="AW284" s="58" t="s">
        <v>6194</v>
      </c>
      <c r="AX284" s="59" t="s">
        <v>6195</v>
      </c>
      <c r="AY284" s="60" t="s">
        <v>6196</v>
      </c>
      <c r="AZ284" s="61" t="s">
        <v>3046</v>
      </c>
      <c r="BA284" s="62" t="s">
        <v>6197</v>
      </c>
      <c r="BB284" s="63" t="s">
        <v>6198</v>
      </c>
      <c r="BC284" s="64" t="s">
        <v>6199</v>
      </c>
      <c r="BD284" s="65" t="s">
        <v>1406</v>
      </c>
      <c r="BE284" s="66" t="s">
        <v>3047</v>
      </c>
      <c r="BF284" s="67" t="s">
        <v>6200</v>
      </c>
      <c r="BG284" s="68" t="s">
        <v>6201</v>
      </c>
      <c r="BH284" s="69">
        <v>3</v>
      </c>
      <c r="BI284" s="70" t="s">
        <v>153</v>
      </c>
      <c r="BJ284" s="71" t="s">
        <v>6202</v>
      </c>
      <c r="BK284" s="72" t="s">
        <v>153</v>
      </c>
      <c r="BL284" s="73" t="s">
        <v>6203</v>
      </c>
      <c r="BM284" s="74" t="s">
        <v>6204</v>
      </c>
      <c r="BN284" s="75" t="s">
        <v>153</v>
      </c>
      <c r="BO284" s="76" t="s">
        <v>6205</v>
      </c>
      <c r="BP284" s="77" t="s">
        <v>153</v>
      </c>
      <c r="BQ284" s="78">
        <v>35431</v>
      </c>
      <c r="BR284" s="79">
        <v>9</v>
      </c>
      <c r="BS284" s="80" t="s">
        <v>186</v>
      </c>
      <c r="BT284" s="81" t="s">
        <v>153</v>
      </c>
      <c r="BU284" s="82" t="s">
        <v>153</v>
      </c>
      <c r="BV284" s="83" t="s">
        <v>709</v>
      </c>
      <c r="BW284" s="84" t="s">
        <v>153</v>
      </c>
      <c r="BX284" s="85" t="s">
        <v>153</v>
      </c>
      <c r="BY284" s="86" t="s">
        <v>165</v>
      </c>
      <c r="BZ284" s="87" t="s">
        <v>153</v>
      </c>
      <c r="CA284" s="88" t="s">
        <v>190</v>
      </c>
      <c r="CB284" s="89">
        <v>42286</v>
      </c>
      <c r="CC284" s="90">
        <v>13154.48</v>
      </c>
      <c r="CD284" s="91" t="s">
        <v>186</v>
      </c>
      <c r="CE284" s="92">
        <v>56700.35</v>
      </c>
      <c r="CF284" s="93" t="s">
        <v>186</v>
      </c>
      <c r="CG284" s="94" t="s">
        <v>906</v>
      </c>
      <c r="CH284" s="95" t="s">
        <v>153</v>
      </c>
      <c r="CI284" s="96" t="s">
        <v>153</v>
      </c>
      <c r="CJ284" s="97" t="s">
        <v>165</v>
      </c>
      <c r="CK284" s="98">
        <v>42286</v>
      </c>
      <c r="CL284" s="99" t="s">
        <v>153</v>
      </c>
      <c r="CM284" s="100" t="s">
        <v>153</v>
      </c>
      <c r="CN284" s="101" t="s">
        <v>190</v>
      </c>
      <c r="CO284" s="102">
        <v>0.42</v>
      </c>
      <c r="CP284" s="103">
        <v>93</v>
      </c>
      <c r="CQ284" s="104">
        <v>-0.04</v>
      </c>
      <c r="CR284" s="105">
        <v>-8.98</v>
      </c>
      <c r="CS284" s="106">
        <v>0.94</v>
      </c>
      <c r="CT284" s="107">
        <v>95</v>
      </c>
      <c r="CU284" s="108">
        <v>-0.11</v>
      </c>
      <c r="CV284" s="109">
        <v>17</v>
      </c>
      <c r="CW284" s="110">
        <v>1.34</v>
      </c>
      <c r="CX284" s="111">
        <v>83</v>
      </c>
      <c r="CY284" s="112">
        <v>0.54</v>
      </c>
      <c r="CZ284" s="113">
        <v>95</v>
      </c>
      <c r="DA284" s="114">
        <v>-0.11</v>
      </c>
      <c r="DB284" s="115">
        <v>17</v>
      </c>
      <c r="DC284" s="116">
        <v>166.68</v>
      </c>
      <c r="DD284" s="117">
        <v>100</v>
      </c>
      <c r="DE284" s="118">
        <v>0.8</v>
      </c>
      <c r="DF284" s="119">
        <v>0.48</v>
      </c>
      <c r="DG284" s="120">
        <v>48.3</v>
      </c>
      <c r="DH284" s="121">
        <v>98</v>
      </c>
      <c r="DI284" s="122">
        <v>285.07</v>
      </c>
      <c r="DJ284" s="123">
        <v>99</v>
      </c>
      <c r="DK284" s="124">
        <v>27.16</v>
      </c>
      <c r="DL284" s="125">
        <v>92</v>
      </c>
      <c r="DM284" s="126">
        <v>69.44</v>
      </c>
      <c r="DN284" s="127">
        <v>99</v>
      </c>
      <c r="DO284" s="128">
        <v>285.07</v>
      </c>
      <c r="DP284" s="129">
        <v>99</v>
      </c>
      <c r="DQ284" s="130">
        <v>16014</v>
      </c>
      <c r="DR284" s="131">
        <v>331</v>
      </c>
      <c r="DS284" s="132">
        <v>2.11</v>
      </c>
      <c r="DT284" s="133">
        <v>1111</v>
      </c>
      <c r="DU284" s="134">
        <v>1</v>
      </c>
      <c r="DV284" s="135">
        <v>0.09</v>
      </c>
      <c r="DW284" s="136">
        <v>89530</v>
      </c>
      <c r="DX284" s="137">
        <v>-42</v>
      </c>
      <c r="DY284" s="138">
        <v>-0.05</v>
      </c>
      <c r="DZ284" s="139" t="s">
        <v>191</v>
      </c>
      <c r="EA284" s="140">
        <v>44354</v>
      </c>
      <c r="EB284" s="141">
        <v>56700.35</v>
      </c>
      <c r="EC284" s="142">
        <v>42286</v>
      </c>
      <c r="ED284" s="143" t="s">
        <v>906</v>
      </c>
      <c r="EE284" s="278" t="str">
        <f>HYPERLINK("https://my.pitchbook.com?c=103795-39", "View company online")</f>
        <v>View company online</v>
      </c>
    </row>
    <row r="285" spans="1:135" x14ac:dyDescent="0.45">
      <c r="A285" s="144" t="s">
        <v>6206</v>
      </c>
      <c r="B285" s="145" t="s">
        <v>6207</v>
      </c>
      <c r="C285" s="146" t="s">
        <v>153</v>
      </c>
      <c r="D285" s="147" t="s">
        <v>153</v>
      </c>
      <c r="E285" s="148" t="s">
        <v>6208</v>
      </c>
      <c r="F285" s="149" t="s">
        <v>6209</v>
      </c>
      <c r="G285" s="150" t="s">
        <v>6210</v>
      </c>
      <c r="H285" s="151" t="s">
        <v>6211</v>
      </c>
      <c r="I285" s="152" t="s">
        <v>6206</v>
      </c>
      <c r="J285" s="153" t="s">
        <v>6212</v>
      </c>
      <c r="K285" s="154" t="s">
        <v>792</v>
      </c>
      <c r="L285" s="155" t="s">
        <v>841</v>
      </c>
      <c r="M285" s="156" t="s">
        <v>842</v>
      </c>
      <c r="N285" s="157" t="s">
        <v>843</v>
      </c>
      <c r="O285" s="158" t="s">
        <v>796</v>
      </c>
      <c r="P285" s="159" t="s">
        <v>6213</v>
      </c>
      <c r="Q285" s="160" t="s">
        <v>564</v>
      </c>
      <c r="R285" s="161">
        <v>3601.86</v>
      </c>
      <c r="S285" s="162" t="s">
        <v>368</v>
      </c>
      <c r="T285" s="163" t="s">
        <v>205</v>
      </c>
      <c r="U285" s="164" t="s">
        <v>369</v>
      </c>
      <c r="V285" s="165" t="s">
        <v>6214</v>
      </c>
      <c r="W285" s="166">
        <v>1453</v>
      </c>
      <c r="X285" s="167" t="s">
        <v>6215</v>
      </c>
      <c r="Y285" s="168" t="s">
        <v>153</v>
      </c>
      <c r="Z285" s="169" t="s">
        <v>153</v>
      </c>
      <c r="AA285" s="170">
        <v>2004</v>
      </c>
      <c r="AB285" s="171" t="s">
        <v>153</v>
      </c>
      <c r="AC285" s="172" t="s">
        <v>153</v>
      </c>
      <c r="AD285" s="173" t="s">
        <v>428</v>
      </c>
      <c r="AE285" s="174">
        <v>3476</v>
      </c>
      <c r="AF285" s="175">
        <v>1000</v>
      </c>
      <c r="AG285" s="176">
        <v>-10244</v>
      </c>
      <c r="AH285" s="177">
        <v>12315.73</v>
      </c>
      <c r="AI285" s="178">
        <v>-10259</v>
      </c>
      <c r="AJ285" s="179">
        <v>-11875</v>
      </c>
      <c r="AK285" s="180" t="s">
        <v>153</v>
      </c>
      <c r="AL285" s="181">
        <v>3454</v>
      </c>
      <c r="AM285" s="182">
        <v>-21.23</v>
      </c>
      <c r="AN285" s="183" t="s">
        <v>5929</v>
      </c>
      <c r="AO285" s="184" t="s">
        <v>6216</v>
      </c>
      <c r="AP285" s="185" t="s">
        <v>6217</v>
      </c>
      <c r="AQ285" s="186" t="s">
        <v>6218</v>
      </c>
      <c r="AR285" s="187" t="s">
        <v>153</v>
      </c>
      <c r="AS285" s="188" t="s">
        <v>153</v>
      </c>
      <c r="AT285" s="189" t="s">
        <v>6219</v>
      </c>
      <c r="AU285" s="190" t="s">
        <v>6220</v>
      </c>
      <c r="AV285" s="191" t="s">
        <v>6221</v>
      </c>
      <c r="AW285" s="192" t="s">
        <v>6222</v>
      </c>
      <c r="AX285" s="193" t="s">
        <v>1128</v>
      </c>
      <c r="AY285" s="194" t="s">
        <v>6223</v>
      </c>
      <c r="AZ285" s="195" t="s">
        <v>215</v>
      </c>
      <c r="BA285" s="196" t="s">
        <v>153</v>
      </c>
      <c r="BB285" s="197" t="s">
        <v>153</v>
      </c>
      <c r="BC285" s="198" t="s">
        <v>153</v>
      </c>
      <c r="BD285" s="199" t="s">
        <v>216</v>
      </c>
      <c r="BE285" s="200" t="s">
        <v>217</v>
      </c>
      <c r="BF285" s="201" t="s">
        <v>6224</v>
      </c>
      <c r="BG285" s="202" t="s">
        <v>153</v>
      </c>
      <c r="BH285" s="203" t="s">
        <v>153</v>
      </c>
      <c r="BI285" s="204" t="s">
        <v>4081</v>
      </c>
      <c r="BJ285" s="205" t="s">
        <v>6225</v>
      </c>
      <c r="BK285" s="206" t="s">
        <v>153</v>
      </c>
      <c r="BL285" s="207" t="s">
        <v>153</v>
      </c>
      <c r="BM285" s="208" t="s">
        <v>6226</v>
      </c>
      <c r="BN285" s="209" t="s">
        <v>153</v>
      </c>
      <c r="BO285" s="210" t="s">
        <v>6227</v>
      </c>
      <c r="BP285" s="211" t="s">
        <v>6228</v>
      </c>
      <c r="BQ285" s="212">
        <v>38018</v>
      </c>
      <c r="BR285" s="213">
        <v>420</v>
      </c>
      <c r="BS285" s="214" t="s">
        <v>186</v>
      </c>
      <c r="BT285" s="215">
        <v>420</v>
      </c>
      <c r="BU285" s="216" t="s">
        <v>186</v>
      </c>
      <c r="BV285" s="217" t="s">
        <v>226</v>
      </c>
      <c r="BW285" s="218" t="s">
        <v>153</v>
      </c>
      <c r="BX285" s="219" t="s">
        <v>153</v>
      </c>
      <c r="BY285" s="220" t="s">
        <v>225</v>
      </c>
      <c r="BZ285" s="221" t="s">
        <v>153</v>
      </c>
      <c r="CA285" s="222" t="s">
        <v>190</v>
      </c>
      <c r="CB285" s="223">
        <v>44211</v>
      </c>
      <c r="CC285" s="224">
        <v>13125</v>
      </c>
      <c r="CD285" s="225" t="s">
        <v>186</v>
      </c>
      <c r="CE285" s="226">
        <v>13125</v>
      </c>
      <c r="CF285" s="227" t="s">
        <v>187</v>
      </c>
      <c r="CG285" s="228" t="s">
        <v>226</v>
      </c>
      <c r="CH285" s="229" t="s">
        <v>153</v>
      </c>
      <c r="CI285" s="230" t="s">
        <v>153</v>
      </c>
      <c r="CJ285" s="231" t="s">
        <v>225</v>
      </c>
      <c r="CK285" s="232">
        <v>44211</v>
      </c>
      <c r="CL285" s="233" t="s">
        <v>153</v>
      </c>
      <c r="CM285" s="234" t="s">
        <v>153</v>
      </c>
      <c r="CN285" s="235" t="s">
        <v>190</v>
      </c>
      <c r="CO285" s="236" t="s">
        <v>153</v>
      </c>
      <c r="CP285" s="237" t="s">
        <v>153</v>
      </c>
      <c r="CQ285" s="238" t="s">
        <v>153</v>
      </c>
      <c r="CR285" s="239" t="s">
        <v>153</v>
      </c>
      <c r="CS285" s="240" t="s">
        <v>153</v>
      </c>
      <c r="CT285" s="241" t="s">
        <v>153</v>
      </c>
      <c r="CU285" s="242" t="s">
        <v>153</v>
      </c>
      <c r="CV285" s="243" t="s">
        <v>153</v>
      </c>
      <c r="CW285" s="244" t="s">
        <v>153</v>
      </c>
      <c r="CX285" s="245" t="s">
        <v>153</v>
      </c>
      <c r="CY285" s="246" t="s">
        <v>153</v>
      </c>
      <c r="CZ285" s="247" t="s">
        <v>153</v>
      </c>
      <c r="DA285" s="248" t="s">
        <v>153</v>
      </c>
      <c r="DB285" s="249" t="s">
        <v>153</v>
      </c>
      <c r="DC285" s="250" t="s">
        <v>153</v>
      </c>
      <c r="DD285" s="251" t="s">
        <v>153</v>
      </c>
      <c r="DE285" s="252" t="s">
        <v>153</v>
      </c>
      <c r="DF285" s="253" t="s">
        <v>153</v>
      </c>
      <c r="DG285" s="254" t="s">
        <v>153</v>
      </c>
      <c r="DH285" s="255" t="s">
        <v>153</v>
      </c>
      <c r="DI285" s="256" t="s">
        <v>153</v>
      </c>
      <c r="DJ285" s="257" t="s">
        <v>153</v>
      </c>
      <c r="DK285" s="258" t="s">
        <v>153</v>
      </c>
      <c r="DL285" s="259" t="s">
        <v>153</v>
      </c>
      <c r="DM285" s="260" t="s">
        <v>153</v>
      </c>
      <c r="DN285" s="261" t="s">
        <v>153</v>
      </c>
      <c r="DO285" s="262" t="s">
        <v>153</v>
      </c>
      <c r="DP285" s="263" t="s">
        <v>153</v>
      </c>
      <c r="DQ285" s="264" t="s">
        <v>153</v>
      </c>
      <c r="DR285" s="265" t="s">
        <v>153</v>
      </c>
      <c r="DS285" s="266" t="s">
        <v>153</v>
      </c>
      <c r="DT285" s="267" t="s">
        <v>153</v>
      </c>
      <c r="DU285" s="268" t="s">
        <v>153</v>
      </c>
      <c r="DV285" s="269" t="s">
        <v>153</v>
      </c>
      <c r="DW285" s="270" t="s">
        <v>153</v>
      </c>
      <c r="DX285" s="271" t="s">
        <v>153</v>
      </c>
      <c r="DY285" s="272" t="s">
        <v>153</v>
      </c>
      <c r="DZ285" s="273" t="s">
        <v>191</v>
      </c>
      <c r="EA285" s="274">
        <v>44400</v>
      </c>
      <c r="EB285" s="275">
        <v>13125</v>
      </c>
      <c r="EC285" s="276">
        <v>44211</v>
      </c>
      <c r="ED285" s="277" t="s">
        <v>226</v>
      </c>
      <c r="EE285" s="279" t="str">
        <f>HYPERLINK("https://my.pitchbook.com?c=10955-71", "View company online")</f>
        <v>View company online</v>
      </c>
    </row>
    <row r="286" spans="1:135" x14ac:dyDescent="0.45">
      <c r="A286" s="10" t="s">
        <v>6229</v>
      </c>
      <c r="B286" s="11" t="s">
        <v>6230</v>
      </c>
      <c r="C286" s="12" t="s">
        <v>153</v>
      </c>
      <c r="D286" s="13" t="s">
        <v>153</v>
      </c>
      <c r="E286" s="14" t="s">
        <v>153</v>
      </c>
      <c r="F286" s="15" t="s">
        <v>153</v>
      </c>
      <c r="G286" s="16" t="s">
        <v>6231</v>
      </c>
      <c r="H286" s="17" t="s">
        <v>6232</v>
      </c>
      <c r="I286" s="18" t="s">
        <v>6229</v>
      </c>
      <c r="J286" s="19" t="s">
        <v>6233</v>
      </c>
      <c r="K286" s="20" t="s">
        <v>257</v>
      </c>
      <c r="L286" s="21" t="s">
        <v>258</v>
      </c>
      <c r="M286" s="22" t="s">
        <v>3389</v>
      </c>
      <c r="N286" s="23" t="s">
        <v>6234</v>
      </c>
      <c r="O286" s="24" t="s">
        <v>755</v>
      </c>
      <c r="P286" s="25" t="s">
        <v>6235</v>
      </c>
      <c r="Q286" s="26" t="s">
        <v>289</v>
      </c>
      <c r="R286" s="27">
        <v>690.25</v>
      </c>
      <c r="S286" s="28" t="s">
        <v>368</v>
      </c>
      <c r="T286" s="29" t="s">
        <v>205</v>
      </c>
      <c r="U286" s="30" t="s">
        <v>452</v>
      </c>
      <c r="V286" s="31" t="s">
        <v>6236</v>
      </c>
      <c r="W286" s="32">
        <v>318</v>
      </c>
      <c r="X286" s="33" t="s">
        <v>6237</v>
      </c>
      <c r="Y286" s="34" t="s">
        <v>153</v>
      </c>
      <c r="Z286" s="35" t="s">
        <v>153</v>
      </c>
      <c r="AA286" s="36">
        <v>2012</v>
      </c>
      <c r="AB286" s="37" t="s">
        <v>455</v>
      </c>
      <c r="AC286" s="38" t="s">
        <v>153</v>
      </c>
      <c r="AD286" s="39" t="s">
        <v>153</v>
      </c>
      <c r="AE286" s="40">
        <v>0</v>
      </c>
      <c r="AF286" s="41" t="s">
        <v>153</v>
      </c>
      <c r="AG286" s="42">
        <v>-276.95999999999998</v>
      </c>
      <c r="AH286" s="43">
        <v>6360.09</v>
      </c>
      <c r="AI286" s="44">
        <v>-280.20999999999998</v>
      </c>
      <c r="AJ286" s="45">
        <v>-283.18</v>
      </c>
      <c r="AK286" s="46" t="s">
        <v>153</v>
      </c>
      <c r="AL286" s="47">
        <v>-844.27</v>
      </c>
      <c r="AM286" s="48" t="s">
        <v>153</v>
      </c>
      <c r="AN286" s="49" t="s">
        <v>5929</v>
      </c>
      <c r="AO286" s="50" t="s">
        <v>6238</v>
      </c>
      <c r="AP286" s="51" t="s">
        <v>6239</v>
      </c>
      <c r="AQ286" s="52" t="s">
        <v>5090</v>
      </c>
      <c r="AR286" s="53" t="s">
        <v>153</v>
      </c>
      <c r="AS286" s="54" t="s">
        <v>153</v>
      </c>
      <c r="AT286" s="55" t="s">
        <v>6240</v>
      </c>
      <c r="AU286" s="56" t="s">
        <v>6241</v>
      </c>
      <c r="AV286" s="57" t="s">
        <v>153</v>
      </c>
      <c r="AW286" s="58" t="s">
        <v>6242</v>
      </c>
      <c r="AX286" s="59" t="s">
        <v>308</v>
      </c>
      <c r="AY286" s="60" t="s">
        <v>6243</v>
      </c>
      <c r="AZ286" s="61" t="s">
        <v>215</v>
      </c>
      <c r="BA286" s="62" t="s">
        <v>153</v>
      </c>
      <c r="BB286" s="63" t="s">
        <v>153</v>
      </c>
      <c r="BC286" s="64" t="s">
        <v>153</v>
      </c>
      <c r="BD286" s="65" t="s">
        <v>216</v>
      </c>
      <c r="BE286" s="66" t="s">
        <v>217</v>
      </c>
      <c r="BF286" s="67" t="s">
        <v>6244</v>
      </c>
      <c r="BG286" s="68" t="s">
        <v>153</v>
      </c>
      <c r="BH286" s="69" t="s">
        <v>153</v>
      </c>
      <c r="BI286" s="70" t="s">
        <v>455</v>
      </c>
      <c r="BJ286" s="71" t="s">
        <v>6245</v>
      </c>
      <c r="BK286" s="72" t="s">
        <v>153</v>
      </c>
      <c r="BL286" s="73" t="s">
        <v>153</v>
      </c>
      <c r="BM286" s="74" t="s">
        <v>6246</v>
      </c>
      <c r="BN286" s="75" t="s">
        <v>153</v>
      </c>
      <c r="BO286" s="76" t="s">
        <v>6247</v>
      </c>
      <c r="BP286" s="77" t="s">
        <v>6248</v>
      </c>
      <c r="BQ286" s="78">
        <v>41172</v>
      </c>
      <c r="BR286" s="79">
        <v>38</v>
      </c>
      <c r="BS286" s="80" t="s">
        <v>186</v>
      </c>
      <c r="BT286" s="81">
        <v>54.5</v>
      </c>
      <c r="BU286" s="82" t="s">
        <v>186</v>
      </c>
      <c r="BV286" s="83" t="s">
        <v>471</v>
      </c>
      <c r="BW286" s="84" t="s">
        <v>1811</v>
      </c>
      <c r="BX286" s="85" t="s">
        <v>153</v>
      </c>
      <c r="BY286" s="86" t="s">
        <v>472</v>
      </c>
      <c r="BZ286" s="87" t="s">
        <v>153</v>
      </c>
      <c r="CA286" s="88" t="s">
        <v>190</v>
      </c>
      <c r="CB286" s="89">
        <v>44152</v>
      </c>
      <c r="CC286" s="90">
        <v>13100</v>
      </c>
      <c r="CD286" s="91" t="s">
        <v>186</v>
      </c>
      <c r="CE286" s="92">
        <v>13100</v>
      </c>
      <c r="CF286" s="93" t="s">
        <v>186</v>
      </c>
      <c r="CG286" s="94" t="s">
        <v>226</v>
      </c>
      <c r="CH286" s="95" t="s">
        <v>153</v>
      </c>
      <c r="CI286" s="96" t="s">
        <v>153</v>
      </c>
      <c r="CJ286" s="97" t="s">
        <v>225</v>
      </c>
      <c r="CK286" s="98">
        <v>44152</v>
      </c>
      <c r="CL286" s="99" t="s">
        <v>153</v>
      </c>
      <c r="CM286" s="100" t="s">
        <v>153</v>
      </c>
      <c r="CN286" s="101" t="s">
        <v>190</v>
      </c>
      <c r="CO286" s="102" t="s">
        <v>153</v>
      </c>
      <c r="CP286" s="103" t="s">
        <v>153</v>
      </c>
      <c r="CQ286" s="104" t="s">
        <v>153</v>
      </c>
      <c r="CR286" s="105" t="s">
        <v>153</v>
      </c>
      <c r="CS286" s="106" t="s">
        <v>153</v>
      </c>
      <c r="CT286" s="107" t="s">
        <v>153</v>
      </c>
      <c r="CU286" s="108" t="s">
        <v>153</v>
      </c>
      <c r="CV286" s="109" t="s">
        <v>153</v>
      </c>
      <c r="CW286" s="110" t="s">
        <v>153</v>
      </c>
      <c r="CX286" s="111" t="s">
        <v>153</v>
      </c>
      <c r="CY286" s="112" t="s">
        <v>153</v>
      </c>
      <c r="CZ286" s="113" t="s">
        <v>153</v>
      </c>
      <c r="DA286" s="114" t="s">
        <v>153</v>
      </c>
      <c r="DB286" s="115" t="s">
        <v>153</v>
      </c>
      <c r="DC286" s="116" t="s">
        <v>153</v>
      </c>
      <c r="DD286" s="117" t="s">
        <v>153</v>
      </c>
      <c r="DE286" s="118" t="s">
        <v>153</v>
      </c>
      <c r="DF286" s="119" t="s">
        <v>153</v>
      </c>
      <c r="DG286" s="120" t="s">
        <v>153</v>
      </c>
      <c r="DH286" s="121" t="s">
        <v>153</v>
      </c>
      <c r="DI286" s="122" t="s">
        <v>153</v>
      </c>
      <c r="DJ286" s="123" t="s">
        <v>153</v>
      </c>
      <c r="DK286" s="124" t="s">
        <v>153</v>
      </c>
      <c r="DL286" s="125" t="s">
        <v>153</v>
      </c>
      <c r="DM286" s="126" t="s">
        <v>153</v>
      </c>
      <c r="DN286" s="127" t="s">
        <v>153</v>
      </c>
      <c r="DO286" s="128" t="s">
        <v>153</v>
      </c>
      <c r="DP286" s="129" t="s">
        <v>153</v>
      </c>
      <c r="DQ286" s="130" t="s">
        <v>153</v>
      </c>
      <c r="DR286" s="131" t="s">
        <v>153</v>
      </c>
      <c r="DS286" s="132" t="s">
        <v>153</v>
      </c>
      <c r="DT286" s="133" t="s">
        <v>153</v>
      </c>
      <c r="DU286" s="134" t="s">
        <v>153</v>
      </c>
      <c r="DV286" s="135" t="s">
        <v>153</v>
      </c>
      <c r="DW286" s="136" t="s">
        <v>153</v>
      </c>
      <c r="DX286" s="137" t="s">
        <v>153</v>
      </c>
      <c r="DY286" s="138" t="s">
        <v>153</v>
      </c>
      <c r="DZ286" s="139" t="s">
        <v>191</v>
      </c>
      <c r="EA286" s="140">
        <v>44383</v>
      </c>
      <c r="EB286" s="141">
        <v>13100</v>
      </c>
      <c r="EC286" s="142">
        <v>44152</v>
      </c>
      <c r="ED286" s="143" t="s">
        <v>226</v>
      </c>
      <c r="EE286" s="278" t="str">
        <f>HYPERLINK("https://my.pitchbook.com?c=55285-12", "View company online")</f>
        <v>View company online</v>
      </c>
    </row>
    <row r="287" spans="1:135" x14ac:dyDescent="0.45">
      <c r="A287" s="144" t="s">
        <v>6249</v>
      </c>
      <c r="B287" s="145" t="s">
        <v>6250</v>
      </c>
      <c r="C287" s="146" t="s">
        <v>153</v>
      </c>
      <c r="D287" s="147" t="s">
        <v>153</v>
      </c>
      <c r="E287" s="148" t="s">
        <v>6251</v>
      </c>
      <c r="F287" s="149" t="s">
        <v>153</v>
      </c>
      <c r="G287" s="150" t="s">
        <v>6252</v>
      </c>
      <c r="H287" s="151" t="s">
        <v>6253</v>
      </c>
      <c r="I287" s="152" t="s">
        <v>6249</v>
      </c>
      <c r="J287" s="153" t="s">
        <v>6254</v>
      </c>
      <c r="K287" s="154" t="s">
        <v>257</v>
      </c>
      <c r="L287" s="155" t="s">
        <v>5591</v>
      </c>
      <c r="M287" s="156" t="s">
        <v>6255</v>
      </c>
      <c r="N287" s="157" t="s">
        <v>6256</v>
      </c>
      <c r="O287" s="158" t="s">
        <v>6257</v>
      </c>
      <c r="P287" s="159" t="s">
        <v>6258</v>
      </c>
      <c r="Q287" s="160" t="s">
        <v>564</v>
      </c>
      <c r="R287" s="161">
        <v>557.14</v>
      </c>
      <c r="S287" s="162" t="s">
        <v>368</v>
      </c>
      <c r="T287" s="163" t="s">
        <v>291</v>
      </c>
      <c r="U287" s="164" t="s">
        <v>1169</v>
      </c>
      <c r="V287" s="165" t="s">
        <v>6259</v>
      </c>
      <c r="W287" s="166">
        <v>15000</v>
      </c>
      <c r="X287" s="167" t="s">
        <v>6260</v>
      </c>
      <c r="Y287" s="168" t="s">
        <v>295</v>
      </c>
      <c r="Z287" s="169" t="s">
        <v>6261</v>
      </c>
      <c r="AA287" s="170">
        <v>1986</v>
      </c>
      <c r="AB287" s="171" t="s">
        <v>153</v>
      </c>
      <c r="AC287" s="172" t="s">
        <v>153</v>
      </c>
      <c r="AD287" s="173" t="s">
        <v>537</v>
      </c>
      <c r="AE287" s="174">
        <v>3090.42</v>
      </c>
      <c r="AF287" s="175">
        <v>1558.81</v>
      </c>
      <c r="AG287" s="176">
        <v>-112.21</v>
      </c>
      <c r="AH287" s="177">
        <v>11566.41</v>
      </c>
      <c r="AI287" s="178">
        <v>690.22</v>
      </c>
      <c r="AJ287" s="179">
        <v>97.84</v>
      </c>
      <c r="AK287" s="180">
        <v>6885.03</v>
      </c>
      <c r="AL287" s="181">
        <v>4755.0200000000004</v>
      </c>
      <c r="AM287" s="182">
        <v>1470.4</v>
      </c>
      <c r="AN287" s="183" t="s">
        <v>1765</v>
      </c>
      <c r="AO287" s="184" t="s">
        <v>6262</v>
      </c>
      <c r="AP287" s="185" t="s">
        <v>6263</v>
      </c>
      <c r="AQ287" s="186" t="s">
        <v>2721</v>
      </c>
      <c r="AR287" s="187" t="s">
        <v>6264</v>
      </c>
      <c r="AS287" s="188" t="s">
        <v>153</v>
      </c>
      <c r="AT287" s="189" t="s">
        <v>5240</v>
      </c>
      <c r="AU287" s="190" t="s">
        <v>6265</v>
      </c>
      <c r="AV287" s="191" t="s">
        <v>153</v>
      </c>
      <c r="AW287" s="192" t="s">
        <v>5242</v>
      </c>
      <c r="AX287" s="193" t="s">
        <v>5243</v>
      </c>
      <c r="AY287" s="194" t="s">
        <v>6266</v>
      </c>
      <c r="AZ287" s="195" t="s">
        <v>215</v>
      </c>
      <c r="BA287" s="196" t="s">
        <v>6267</v>
      </c>
      <c r="BB287" s="197" t="s">
        <v>153</v>
      </c>
      <c r="BC287" s="198" t="s">
        <v>153</v>
      </c>
      <c r="BD287" s="199" t="s">
        <v>216</v>
      </c>
      <c r="BE287" s="200" t="s">
        <v>217</v>
      </c>
      <c r="BF287" s="201" t="s">
        <v>6268</v>
      </c>
      <c r="BG287" s="202" t="s">
        <v>6269</v>
      </c>
      <c r="BH287" s="203">
        <v>2</v>
      </c>
      <c r="BI287" s="204" t="s">
        <v>153</v>
      </c>
      <c r="BJ287" s="205" t="s">
        <v>6270</v>
      </c>
      <c r="BK287" s="206" t="s">
        <v>6271</v>
      </c>
      <c r="BL287" s="207" t="s">
        <v>6272</v>
      </c>
      <c r="BM287" s="208" t="s">
        <v>6273</v>
      </c>
      <c r="BN287" s="209" t="s">
        <v>6274</v>
      </c>
      <c r="BO287" s="210" t="s">
        <v>6275</v>
      </c>
      <c r="BP287" s="211" t="s">
        <v>6276</v>
      </c>
      <c r="BQ287" s="212">
        <v>38050</v>
      </c>
      <c r="BR287" s="213">
        <v>100</v>
      </c>
      <c r="BS287" s="214" t="s">
        <v>186</v>
      </c>
      <c r="BT287" s="215" t="s">
        <v>153</v>
      </c>
      <c r="BU287" s="216" t="s">
        <v>153</v>
      </c>
      <c r="BV287" s="217" t="s">
        <v>709</v>
      </c>
      <c r="BW287" s="218" t="s">
        <v>153</v>
      </c>
      <c r="BX287" s="219" t="s">
        <v>153</v>
      </c>
      <c r="BY287" s="220" t="s">
        <v>165</v>
      </c>
      <c r="BZ287" s="221" t="s">
        <v>153</v>
      </c>
      <c r="CA287" s="222" t="s">
        <v>190</v>
      </c>
      <c r="CB287" s="223">
        <v>44202</v>
      </c>
      <c r="CC287" s="224">
        <v>13000</v>
      </c>
      <c r="CD287" s="225" t="s">
        <v>187</v>
      </c>
      <c r="CE287" s="226">
        <v>13000</v>
      </c>
      <c r="CF287" s="227" t="s">
        <v>187</v>
      </c>
      <c r="CG287" s="228" t="s">
        <v>226</v>
      </c>
      <c r="CH287" s="229" t="s">
        <v>153</v>
      </c>
      <c r="CI287" s="230" t="s">
        <v>153</v>
      </c>
      <c r="CJ287" s="231" t="s">
        <v>225</v>
      </c>
      <c r="CK287" s="232">
        <v>44202</v>
      </c>
      <c r="CL287" s="233" t="s">
        <v>153</v>
      </c>
      <c r="CM287" s="234" t="s">
        <v>153</v>
      </c>
      <c r="CN287" s="235" t="s">
        <v>1278</v>
      </c>
      <c r="CO287" s="236">
        <v>0.67</v>
      </c>
      <c r="CP287" s="237">
        <v>94</v>
      </c>
      <c r="CQ287" s="238">
        <v>-7.0000000000000007E-2</v>
      </c>
      <c r="CR287" s="239">
        <v>-9.66</v>
      </c>
      <c r="CS287" s="240">
        <v>2.76</v>
      </c>
      <c r="CT287" s="241">
        <v>99</v>
      </c>
      <c r="CU287" s="242">
        <v>-0.09</v>
      </c>
      <c r="CV287" s="243">
        <v>21</v>
      </c>
      <c r="CW287" s="244">
        <v>5.66</v>
      </c>
      <c r="CX287" s="245">
        <v>95</v>
      </c>
      <c r="CY287" s="246">
        <v>-0.13</v>
      </c>
      <c r="CZ287" s="247">
        <v>4</v>
      </c>
      <c r="DA287" s="248">
        <v>-0.09</v>
      </c>
      <c r="DB287" s="249">
        <v>21</v>
      </c>
      <c r="DC287" s="250">
        <v>163.97</v>
      </c>
      <c r="DD287" s="251">
        <v>100</v>
      </c>
      <c r="DE287" s="252">
        <v>-7.0000000000000007E-2</v>
      </c>
      <c r="DF287" s="253">
        <v>-0.04</v>
      </c>
      <c r="DG287" s="254">
        <v>120.51</v>
      </c>
      <c r="DH287" s="255">
        <v>100</v>
      </c>
      <c r="DI287" s="256">
        <v>128.22999999999999</v>
      </c>
      <c r="DJ287" s="257">
        <v>98</v>
      </c>
      <c r="DK287" s="258">
        <v>81.58</v>
      </c>
      <c r="DL287" s="259">
        <v>97</v>
      </c>
      <c r="DM287" s="260">
        <v>159.44</v>
      </c>
      <c r="DN287" s="261">
        <v>100</v>
      </c>
      <c r="DO287" s="262">
        <v>128.22999999999999</v>
      </c>
      <c r="DP287" s="263">
        <v>98</v>
      </c>
      <c r="DQ287" s="264">
        <v>47818</v>
      </c>
      <c r="DR287" s="265">
        <v>2055</v>
      </c>
      <c r="DS287" s="266">
        <v>4.49</v>
      </c>
      <c r="DT287" s="267">
        <v>2565</v>
      </c>
      <c r="DU287" s="268">
        <v>-38</v>
      </c>
      <c r="DV287" s="269">
        <v>-1.46</v>
      </c>
      <c r="DW287" s="270">
        <v>40267</v>
      </c>
      <c r="DX287" s="271">
        <v>-7</v>
      </c>
      <c r="DY287" s="272">
        <v>-0.02</v>
      </c>
      <c r="DZ287" s="273" t="s">
        <v>191</v>
      </c>
      <c r="EA287" s="274">
        <v>44400</v>
      </c>
      <c r="EB287" s="275">
        <v>13000</v>
      </c>
      <c r="EC287" s="276">
        <v>44202</v>
      </c>
      <c r="ED287" s="277" t="s">
        <v>226</v>
      </c>
      <c r="EE287" s="279" t="str">
        <f>HYPERLINK("https://my.pitchbook.com?c=11672-38", "View company online")</f>
        <v>View company online</v>
      </c>
    </row>
    <row r="288" spans="1:135" x14ac:dyDescent="0.45">
      <c r="A288" s="10" t="s">
        <v>6277</v>
      </c>
      <c r="B288" s="11" t="s">
        <v>6278</v>
      </c>
      <c r="C288" s="12" t="s">
        <v>153</v>
      </c>
      <c r="D288" s="13" t="s">
        <v>153</v>
      </c>
      <c r="E288" s="14" t="s">
        <v>153</v>
      </c>
      <c r="F288" s="15" t="s">
        <v>153</v>
      </c>
      <c r="G288" s="16" t="s">
        <v>6279</v>
      </c>
      <c r="H288" s="17" t="s">
        <v>153</v>
      </c>
      <c r="I288" s="18" t="s">
        <v>6277</v>
      </c>
      <c r="J288" s="19" t="s">
        <v>6280</v>
      </c>
      <c r="K288" s="20" t="s">
        <v>792</v>
      </c>
      <c r="L288" s="21" t="s">
        <v>793</v>
      </c>
      <c r="M288" s="22" t="s">
        <v>1534</v>
      </c>
      <c r="N288" s="23" t="s">
        <v>6281</v>
      </c>
      <c r="O288" s="24" t="s">
        <v>1119</v>
      </c>
      <c r="P288" s="25" t="s">
        <v>6282</v>
      </c>
      <c r="Q288" s="26" t="s">
        <v>204</v>
      </c>
      <c r="R288" s="27">
        <v>1028.21</v>
      </c>
      <c r="S288" s="28" t="s">
        <v>290</v>
      </c>
      <c r="T288" s="29" t="s">
        <v>205</v>
      </c>
      <c r="U288" s="30" t="s">
        <v>237</v>
      </c>
      <c r="V288" s="31" t="s">
        <v>6283</v>
      </c>
      <c r="W288" s="32">
        <v>8830</v>
      </c>
      <c r="X288" s="33" t="s">
        <v>6284</v>
      </c>
      <c r="Y288" s="34" t="s">
        <v>153</v>
      </c>
      <c r="Z288" s="35" t="s">
        <v>153</v>
      </c>
      <c r="AA288" s="36">
        <v>2007</v>
      </c>
      <c r="AB288" s="37" t="s">
        <v>153</v>
      </c>
      <c r="AC288" s="38" t="s">
        <v>153</v>
      </c>
      <c r="AD288" s="39" t="s">
        <v>153</v>
      </c>
      <c r="AE288" s="40" t="s">
        <v>153</v>
      </c>
      <c r="AF288" s="41" t="s">
        <v>153</v>
      </c>
      <c r="AG288" s="42" t="s">
        <v>153</v>
      </c>
      <c r="AH288" s="43" t="s">
        <v>153</v>
      </c>
      <c r="AI288" s="44" t="s">
        <v>153</v>
      </c>
      <c r="AJ288" s="45" t="s">
        <v>153</v>
      </c>
      <c r="AK288" s="46" t="s">
        <v>153</v>
      </c>
      <c r="AL288" s="47" t="s">
        <v>153</v>
      </c>
      <c r="AM288" s="48" t="s">
        <v>153</v>
      </c>
      <c r="AN288" s="49" t="s">
        <v>1570</v>
      </c>
      <c r="AO288" s="50" t="s">
        <v>6285</v>
      </c>
      <c r="AP288" s="51" t="s">
        <v>6286</v>
      </c>
      <c r="AQ288" s="52" t="s">
        <v>512</v>
      </c>
      <c r="AR288" s="53" t="s">
        <v>6287</v>
      </c>
      <c r="AS288" s="54" t="s">
        <v>6288</v>
      </c>
      <c r="AT288" s="55" t="s">
        <v>1124</v>
      </c>
      <c r="AU288" s="56" t="s">
        <v>6289</v>
      </c>
      <c r="AV288" s="57" t="s">
        <v>6290</v>
      </c>
      <c r="AW288" s="58" t="s">
        <v>1127</v>
      </c>
      <c r="AX288" s="59" t="s">
        <v>1128</v>
      </c>
      <c r="AY288" s="60" t="s">
        <v>2229</v>
      </c>
      <c r="AZ288" s="61" t="s">
        <v>215</v>
      </c>
      <c r="BA288" s="62" t="s">
        <v>6288</v>
      </c>
      <c r="BB288" s="63" t="s">
        <v>153</v>
      </c>
      <c r="BC288" s="64" t="s">
        <v>6291</v>
      </c>
      <c r="BD288" s="65" t="s">
        <v>216</v>
      </c>
      <c r="BE288" s="66" t="s">
        <v>217</v>
      </c>
      <c r="BF288" s="67" t="s">
        <v>6292</v>
      </c>
      <c r="BG288" s="68" t="s">
        <v>153</v>
      </c>
      <c r="BH288" s="69" t="s">
        <v>153</v>
      </c>
      <c r="BI288" s="70" t="s">
        <v>6293</v>
      </c>
      <c r="BJ288" s="71" t="s">
        <v>6294</v>
      </c>
      <c r="BK288" s="72" t="s">
        <v>153</v>
      </c>
      <c r="BL288" s="73" t="s">
        <v>153</v>
      </c>
      <c r="BM288" s="74" t="s">
        <v>6295</v>
      </c>
      <c r="BN288" s="75" t="s">
        <v>153</v>
      </c>
      <c r="BO288" s="76" t="s">
        <v>153</v>
      </c>
      <c r="BP288" s="77" t="s">
        <v>6296</v>
      </c>
      <c r="BQ288" s="78">
        <v>42041</v>
      </c>
      <c r="BR288" s="79">
        <v>1076.6600000000001</v>
      </c>
      <c r="BS288" s="80" t="s">
        <v>186</v>
      </c>
      <c r="BT288" s="81">
        <v>2153.3200000000002</v>
      </c>
      <c r="BU288" s="82" t="s">
        <v>186</v>
      </c>
      <c r="BV288" s="83" t="s">
        <v>251</v>
      </c>
      <c r="BW288" s="84" t="s">
        <v>524</v>
      </c>
      <c r="BX288" s="85" t="s">
        <v>153</v>
      </c>
      <c r="BY288" s="86" t="s">
        <v>252</v>
      </c>
      <c r="BZ288" s="87" t="s">
        <v>153</v>
      </c>
      <c r="CA288" s="88" t="s">
        <v>190</v>
      </c>
      <c r="CB288" s="89">
        <v>42552</v>
      </c>
      <c r="CC288" s="90">
        <v>13000</v>
      </c>
      <c r="CD288" s="91" t="s">
        <v>186</v>
      </c>
      <c r="CE288" s="92">
        <v>13000</v>
      </c>
      <c r="CF288" s="93" t="s">
        <v>186</v>
      </c>
      <c r="CG288" s="94" t="s">
        <v>226</v>
      </c>
      <c r="CH288" s="95" t="s">
        <v>153</v>
      </c>
      <c r="CI288" s="96" t="s">
        <v>153</v>
      </c>
      <c r="CJ288" s="97" t="s">
        <v>225</v>
      </c>
      <c r="CK288" s="98">
        <v>42552</v>
      </c>
      <c r="CL288" s="99" t="s">
        <v>153</v>
      </c>
      <c r="CM288" s="100" t="s">
        <v>153</v>
      </c>
      <c r="CN288" s="101" t="s">
        <v>190</v>
      </c>
      <c r="CO288" s="102" t="s">
        <v>153</v>
      </c>
      <c r="CP288" s="103" t="s">
        <v>153</v>
      </c>
      <c r="CQ288" s="104" t="s">
        <v>153</v>
      </c>
      <c r="CR288" s="105" t="s">
        <v>153</v>
      </c>
      <c r="CS288" s="106" t="s">
        <v>153</v>
      </c>
      <c r="CT288" s="107" t="s">
        <v>153</v>
      </c>
      <c r="CU288" s="108" t="s">
        <v>153</v>
      </c>
      <c r="CV288" s="109" t="s">
        <v>153</v>
      </c>
      <c r="CW288" s="110" t="s">
        <v>153</v>
      </c>
      <c r="CX288" s="111" t="s">
        <v>153</v>
      </c>
      <c r="CY288" s="112" t="s">
        <v>153</v>
      </c>
      <c r="CZ288" s="113" t="s">
        <v>153</v>
      </c>
      <c r="DA288" s="114" t="s">
        <v>153</v>
      </c>
      <c r="DB288" s="115" t="s">
        <v>153</v>
      </c>
      <c r="DC288" s="116" t="s">
        <v>153</v>
      </c>
      <c r="DD288" s="117" t="s">
        <v>153</v>
      </c>
      <c r="DE288" s="118" t="s">
        <v>153</v>
      </c>
      <c r="DF288" s="119" t="s">
        <v>153</v>
      </c>
      <c r="DG288" s="120" t="s">
        <v>153</v>
      </c>
      <c r="DH288" s="121" t="s">
        <v>153</v>
      </c>
      <c r="DI288" s="122" t="s">
        <v>153</v>
      </c>
      <c r="DJ288" s="123" t="s">
        <v>153</v>
      </c>
      <c r="DK288" s="124" t="s">
        <v>153</v>
      </c>
      <c r="DL288" s="125" t="s">
        <v>153</v>
      </c>
      <c r="DM288" s="126" t="s">
        <v>153</v>
      </c>
      <c r="DN288" s="127" t="s">
        <v>153</v>
      </c>
      <c r="DO288" s="128" t="s">
        <v>153</v>
      </c>
      <c r="DP288" s="129" t="s">
        <v>153</v>
      </c>
      <c r="DQ288" s="130" t="s">
        <v>153</v>
      </c>
      <c r="DR288" s="131" t="s">
        <v>153</v>
      </c>
      <c r="DS288" s="132" t="s">
        <v>153</v>
      </c>
      <c r="DT288" s="133" t="s">
        <v>153</v>
      </c>
      <c r="DU288" s="134" t="s">
        <v>153</v>
      </c>
      <c r="DV288" s="135" t="s">
        <v>153</v>
      </c>
      <c r="DW288" s="136" t="s">
        <v>153</v>
      </c>
      <c r="DX288" s="137" t="s">
        <v>153</v>
      </c>
      <c r="DY288" s="138" t="s">
        <v>153</v>
      </c>
      <c r="DZ288" s="139" t="s">
        <v>191</v>
      </c>
      <c r="EA288" s="140">
        <v>44217</v>
      </c>
      <c r="EB288" s="141">
        <v>13000</v>
      </c>
      <c r="EC288" s="142">
        <v>42552</v>
      </c>
      <c r="ED288" s="143" t="s">
        <v>226</v>
      </c>
      <c r="EE288" s="278" t="str">
        <f>HYPERLINK("https://my.pitchbook.com?c=97855-12", "View company online")</f>
        <v>View company online</v>
      </c>
    </row>
    <row r="289" spans="1:135" x14ac:dyDescent="0.45">
      <c r="A289" s="144" t="s">
        <v>6297</v>
      </c>
      <c r="B289" s="145" t="s">
        <v>6298</v>
      </c>
      <c r="C289" s="146" t="s">
        <v>153</v>
      </c>
      <c r="D289" s="147" t="s">
        <v>153</v>
      </c>
      <c r="E289" s="148" t="s">
        <v>6299</v>
      </c>
      <c r="F289" s="149" t="s">
        <v>153</v>
      </c>
      <c r="G289" s="150" t="s">
        <v>6300</v>
      </c>
      <c r="H289" s="151" t="s">
        <v>6301</v>
      </c>
      <c r="I289" s="152" t="s">
        <v>6297</v>
      </c>
      <c r="J289" s="153" t="s">
        <v>6302</v>
      </c>
      <c r="K289" s="154" t="s">
        <v>232</v>
      </c>
      <c r="L289" s="155" t="s">
        <v>1016</v>
      </c>
      <c r="M289" s="156" t="s">
        <v>1017</v>
      </c>
      <c r="N289" s="157" t="s">
        <v>6303</v>
      </c>
      <c r="O289" s="158" t="s">
        <v>399</v>
      </c>
      <c r="P289" s="159" t="s">
        <v>6304</v>
      </c>
      <c r="Q289" s="160" t="s">
        <v>204</v>
      </c>
      <c r="R289" s="161">
        <v>65.63</v>
      </c>
      <c r="S289" s="162" t="s">
        <v>290</v>
      </c>
      <c r="T289" s="163" t="s">
        <v>164</v>
      </c>
      <c r="U289" s="164" t="s">
        <v>482</v>
      </c>
      <c r="V289" s="165" t="s">
        <v>6305</v>
      </c>
      <c r="W289" s="166">
        <v>3000</v>
      </c>
      <c r="X289" s="167" t="s">
        <v>6306</v>
      </c>
      <c r="Y289" s="168" t="s">
        <v>153</v>
      </c>
      <c r="Z289" s="169" t="s">
        <v>153</v>
      </c>
      <c r="AA289" s="170">
        <v>1982</v>
      </c>
      <c r="AB289" s="171" t="s">
        <v>974</v>
      </c>
      <c r="AC289" s="172" t="s">
        <v>428</v>
      </c>
      <c r="AD289" s="173" t="s">
        <v>428</v>
      </c>
      <c r="AE289" s="174">
        <v>2869</v>
      </c>
      <c r="AF289" s="175" t="s">
        <v>153</v>
      </c>
      <c r="AG289" s="176">
        <v>823</v>
      </c>
      <c r="AH289" s="177" t="s">
        <v>153</v>
      </c>
      <c r="AI289" s="178" t="s">
        <v>153</v>
      </c>
      <c r="AJ289" s="179" t="s">
        <v>153</v>
      </c>
      <c r="AK289" s="180" t="s">
        <v>153</v>
      </c>
      <c r="AL289" s="181">
        <v>44643</v>
      </c>
      <c r="AM289" s="182">
        <v>-0.9</v>
      </c>
      <c r="AN289" s="183" t="s">
        <v>3395</v>
      </c>
      <c r="AO289" s="184" t="s">
        <v>6307</v>
      </c>
      <c r="AP289" s="185" t="s">
        <v>6308</v>
      </c>
      <c r="AQ289" s="186" t="s">
        <v>512</v>
      </c>
      <c r="AR289" s="187" t="s">
        <v>153</v>
      </c>
      <c r="AS289" s="188" t="s">
        <v>153</v>
      </c>
      <c r="AT289" s="189" t="s">
        <v>6309</v>
      </c>
      <c r="AU289" s="190" t="s">
        <v>6310</v>
      </c>
      <c r="AV289" s="191" t="s">
        <v>153</v>
      </c>
      <c r="AW289" s="192" t="s">
        <v>6311</v>
      </c>
      <c r="AX289" s="193" t="s">
        <v>273</v>
      </c>
      <c r="AY289" s="194" t="s">
        <v>6312</v>
      </c>
      <c r="AZ289" s="195" t="s">
        <v>215</v>
      </c>
      <c r="BA289" s="196" t="s">
        <v>153</v>
      </c>
      <c r="BB289" s="197" t="s">
        <v>153</v>
      </c>
      <c r="BC289" s="198" t="s">
        <v>153</v>
      </c>
      <c r="BD289" s="199" t="s">
        <v>216</v>
      </c>
      <c r="BE289" s="200" t="s">
        <v>217</v>
      </c>
      <c r="BF289" s="201" t="s">
        <v>6313</v>
      </c>
      <c r="BG289" s="202" t="s">
        <v>153</v>
      </c>
      <c r="BH289" s="203" t="s">
        <v>153</v>
      </c>
      <c r="BI289" s="204" t="s">
        <v>974</v>
      </c>
      <c r="BJ289" s="205" t="s">
        <v>6314</v>
      </c>
      <c r="BK289" s="206" t="s">
        <v>6315</v>
      </c>
      <c r="BL289" s="207" t="s">
        <v>153</v>
      </c>
      <c r="BM289" s="208" t="s">
        <v>6316</v>
      </c>
      <c r="BN289" s="209" t="s">
        <v>6317</v>
      </c>
      <c r="BO289" s="210" t="s">
        <v>6318</v>
      </c>
      <c r="BP289" s="211" t="s">
        <v>6319</v>
      </c>
      <c r="BQ289" s="212">
        <v>35293</v>
      </c>
      <c r="BR289" s="213">
        <v>65.63</v>
      </c>
      <c r="BS289" s="214" t="s">
        <v>186</v>
      </c>
      <c r="BT289" s="215">
        <v>317.24</v>
      </c>
      <c r="BU289" s="216" t="s">
        <v>186</v>
      </c>
      <c r="BV289" s="217" t="s">
        <v>251</v>
      </c>
      <c r="BW289" s="218" t="s">
        <v>153</v>
      </c>
      <c r="BX289" s="219" t="s">
        <v>153</v>
      </c>
      <c r="BY289" s="220" t="s">
        <v>252</v>
      </c>
      <c r="BZ289" s="221" t="s">
        <v>153</v>
      </c>
      <c r="CA289" s="222" t="s">
        <v>190</v>
      </c>
      <c r="CB289" s="223">
        <v>44106</v>
      </c>
      <c r="CC289" s="224">
        <v>13000</v>
      </c>
      <c r="CD289" s="225" t="s">
        <v>187</v>
      </c>
      <c r="CE289" s="226">
        <v>13000</v>
      </c>
      <c r="CF289" s="227" t="s">
        <v>187</v>
      </c>
      <c r="CG289" s="228" t="s">
        <v>226</v>
      </c>
      <c r="CH289" s="229" t="s">
        <v>153</v>
      </c>
      <c r="CI289" s="230" t="s">
        <v>153</v>
      </c>
      <c r="CJ289" s="231" t="s">
        <v>225</v>
      </c>
      <c r="CK289" s="232">
        <v>44106</v>
      </c>
      <c r="CL289" s="233" t="s">
        <v>153</v>
      </c>
      <c r="CM289" s="234" t="s">
        <v>153</v>
      </c>
      <c r="CN289" s="235" t="s">
        <v>190</v>
      </c>
      <c r="CO289" s="236">
        <v>0.34</v>
      </c>
      <c r="CP289" s="237">
        <v>92</v>
      </c>
      <c r="CQ289" s="238">
        <v>-0.06</v>
      </c>
      <c r="CR289" s="239">
        <v>-14.2</v>
      </c>
      <c r="CS289" s="240">
        <v>-0.6</v>
      </c>
      <c r="CT289" s="241">
        <v>5</v>
      </c>
      <c r="CU289" s="242">
        <v>0.04</v>
      </c>
      <c r="CV289" s="243">
        <v>80</v>
      </c>
      <c r="CW289" s="244">
        <v>-0.6</v>
      </c>
      <c r="CX289" s="245">
        <v>18</v>
      </c>
      <c r="CY289" s="246" t="s">
        <v>153</v>
      </c>
      <c r="CZ289" s="247" t="s">
        <v>153</v>
      </c>
      <c r="DA289" s="248">
        <v>0.04</v>
      </c>
      <c r="DB289" s="249">
        <v>80</v>
      </c>
      <c r="DC289" s="250">
        <v>3792.37</v>
      </c>
      <c r="DD289" s="251">
        <v>100</v>
      </c>
      <c r="DE289" s="252">
        <v>39.35</v>
      </c>
      <c r="DF289" s="253">
        <v>1.05</v>
      </c>
      <c r="DG289" s="254">
        <v>4221.72</v>
      </c>
      <c r="DH289" s="255">
        <v>100</v>
      </c>
      <c r="DI289" s="256">
        <v>256.02999999999997</v>
      </c>
      <c r="DJ289" s="257">
        <v>99</v>
      </c>
      <c r="DK289" s="258">
        <v>4221.72</v>
      </c>
      <c r="DL289" s="259">
        <v>100</v>
      </c>
      <c r="DM289" s="260" t="s">
        <v>153</v>
      </c>
      <c r="DN289" s="261" t="s">
        <v>153</v>
      </c>
      <c r="DO289" s="262">
        <v>256.02999999999997</v>
      </c>
      <c r="DP289" s="263">
        <v>99</v>
      </c>
      <c r="DQ289" s="264">
        <v>2508740</v>
      </c>
      <c r="DR289" s="265">
        <v>-19283</v>
      </c>
      <c r="DS289" s="266">
        <v>-0.76</v>
      </c>
      <c r="DT289" s="267" t="s">
        <v>153</v>
      </c>
      <c r="DU289" s="268" t="s">
        <v>153</v>
      </c>
      <c r="DV289" s="269" t="s">
        <v>153</v>
      </c>
      <c r="DW289" s="270">
        <v>80384</v>
      </c>
      <c r="DX289" s="271">
        <v>40</v>
      </c>
      <c r="DY289" s="272">
        <v>0.05</v>
      </c>
      <c r="DZ289" s="273" t="s">
        <v>191</v>
      </c>
      <c r="EA289" s="274">
        <v>44371</v>
      </c>
      <c r="EB289" s="275">
        <v>13000</v>
      </c>
      <c r="EC289" s="276">
        <v>44106</v>
      </c>
      <c r="ED289" s="277" t="s">
        <v>226</v>
      </c>
      <c r="EE289" s="279" t="str">
        <f>HYPERLINK("https://my.pitchbook.com?c=10818-37", "View company online")</f>
        <v>View company online</v>
      </c>
    </row>
    <row r="290" spans="1:135" x14ac:dyDescent="0.45">
      <c r="A290" s="10" t="s">
        <v>6320</v>
      </c>
      <c r="B290" s="11" t="s">
        <v>6321</v>
      </c>
      <c r="C290" s="12" t="s">
        <v>153</v>
      </c>
      <c r="D290" s="13" t="s">
        <v>153</v>
      </c>
      <c r="E290" s="14" t="s">
        <v>153</v>
      </c>
      <c r="F290" s="15" t="s">
        <v>6322</v>
      </c>
      <c r="G290" s="16" t="s">
        <v>153</v>
      </c>
      <c r="H290" s="17" t="s">
        <v>153</v>
      </c>
      <c r="I290" s="18" t="s">
        <v>6320</v>
      </c>
      <c r="J290" s="19" t="s">
        <v>6323</v>
      </c>
      <c r="K290" s="20" t="s">
        <v>157</v>
      </c>
      <c r="L290" s="21" t="s">
        <v>421</v>
      </c>
      <c r="M290" s="22" t="s">
        <v>4327</v>
      </c>
      <c r="N290" s="23" t="s">
        <v>6324</v>
      </c>
      <c r="O290" s="24" t="s">
        <v>6325</v>
      </c>
      <c r="P290" s="25" t="s">
        <v>6326</v>
      </c>
      <c r="Q290" s="26" t="s">
        <v>204</v>
      </c>
      <c r="R290" s="27" t="s">
        <v>153</v>
      </c>
      <c r="S290" s="28" t="s">
        <v>163</v>
      </c>
      <c r="T290" s="29" t="s">
        <v>164</v>
      </c>
      <c r="U290" s="30" t="s">
        <v>206</v>
      </c>
      <c r="V290" s="31" t="s">
        <v>6327</v>
      </c>
      <c r="W290" s="32">
        <v>400</v>
      </c>
      <c r="X290" s="33" t="s">
        <v>6328</v>
      </c>
      <c r="Y290" s="34" t="s">
        <v>153</v>
      </c>
      <c r="Z290" s="35" t="s">
        <v>153</v>
      </c>
      <c r="AA290" s="36">
        <v>1995</v>
      </c>
      <c r="AB290" s="37" t="s">
        <v>6329</v>
      </c>
      <c r="AC290" s="38" t="s">
        <v>153</v>
      </c>
      <c r="AD290" s="39" t="s">
        <v>153</v>
      </c>
      <c r="AE290" s="40" t="s">
        <v>153</v>
      </c>
      <c r="AF290" s="41" t="s">
        <v>153</v>
      </c>
      <c r="AG290" s="42" t="s">
        <v>153</v>
      </c>
      <c r="AH290" s="43" t="s">
        <v>153</v>
      </c>
      <c r="AI290" s="44" t="s">
        <v>153</v>
      </c>
      <c r="AJ290" s="45" t="s">
        <v>153</v>
      </c>
      <c r="AK290" s="46" t="s">
        <v>153</v>
      </c>
      <c r="AL290" s="47" t="s">
        <v>153</v>
      </c>
      <c r="AM290" s="48" t="s">
        <v>153</v>
      </c>
      <c r="AN290" s="49" t="s">
        <v>456</v>
      </c>
      <c r="AO290" s="50" t="s">
        <v>6330</v>
      </c>
      <c r="AP290" s="51" t="s">
        <v>6331</v>
      </c>
      <c r="AQ290" s="52" t="s">
        <v>6332</v>
      </c>
      <c r="AR290" s="53" t="s">
        <v>153</v>
      </c>
      <c r="AS290" s="54" t="s">
        <v>153</v>
      </c>
      <c r="AT290" s="55" t="s">
        <v>331</v>
      </c>
      <c r="AU290" s="56" t="s">
        <v>6333</v>
      </c>
      <c r="AV290" s="57" t="s">
        <v>153</v>
      </c>
      <c r="AW290" s="58" t="s">
        <v>333</v>
      </c>
      <c r="AX290" s="59" t="s">
        <v>153</v>
      </c>
      <c r="AY290" s="60" t="s">
        <v>6334</v>
      </c>
      <c r="AZ290" s="61" t="s">
        <v>335</v>
      </c>
      <c r="BA290" s="62" t="s">
        <v>153</v>
      </c>
      <c r="BB290" s="63" t="s">
        <v>153</v>
      </c>
      <c r="BC290" s="64" t="s">
        <v>153</v>
      </c>
      <c r="BD290" s="65" t="s">
        <v>180</v>
      </c>
      <c r="BE290" s="66" t="s">
        <v>181</v>
      </c>
      <c r="BF290" s="67" t="s">
        <v>6335</v>
      </c>
      <c r="BG290" s="68" t="s">
        <v>153</v>
      </c>
      <c r="BH290" s="69" t="s">
        <v>153</v>
      </c>
      <c r="BI290" s="70" t="s">
        <v>6329</v>
      </c>
      <c r="BJ290" s="71" t="s">
        <v>6336</v>
      </c>
      <c r="BK290" s="72" t="s">
        <v>153</v>
      </c>
      <c r="BL290" s="73" t="s">
        <v>153</v>
      </c>
      <c r="BM290" s="74" t="s">
        <v>6337</v>
      </c>
      <c r="BN290" s="75" t="s">
        <v>153</v>
      </c>
      <c r="BO290" s="76" t="s">
        <v>153</v>
      </c>
      <c r="BP290" s="77" t="s">
        <v>6338</v>
      </c>
      <c r="BQ290" s="78">
        <v>43549</v>
      </c>
      <c r="BR290" s="79" t="s">
        <v>153</v>
      </c>
      <c r="BS290" s="80" t="s">
        <v>153</v>
      </c>
      <c r="BT290" s="81" t="s">
        <v>153</v>
      </c>
      <c r="BU290" s="82" t="s">
        <v>153</v>
      </c>
      <c r="BV290" s="83" t="s">
        <v>226</v>
      </c>
      <c r="BW290" s="84" t="s">
        <v>729</v>
      </c>
      <c r="BX290" s="85" t="s">
        <v>153</v>
      </c>
      <c r="BY290" s="86" t="s">
        <v>225</v>
      </c>
      <c r="BZ290" s="87" t="s">
        <v>153</v>
      </c>
      <c r="CA290" s="88" t="s">
        <v>394</v>
      </c>
      <c r="CB290" s="89">
        <v>44372</v>
      </c>
      <c r="CC290" s="90">
        <v>13000</v>
      </c>
      <c r="CD290" s="91" t="s">
        <v>186</v>
      </c>
      <c r="CE290" s="92">
        <v>13000</v>
      </c>
      <c r="CF290" s="93" t="s">
        <v>187</v>
      </c>
      <c r="CG290" s="94" t="s">
        <v>226</v>
      </c>
      <c r="CH290" s="95" t="s">
        <v>729</v>
      </c>
      <c r="CI290" s="96" t="s">
        <v>153</v>
      </c>
      <c r="CJ290" s="97" t="s">
        <v>225</v>
      </c>
      <c r="CK290" s="98">
        <v>44372</v>
      </c>
      <c r="CL290" s="99" t="s">
        <v>153</v>
      </c>
      <c r="CM290" s="100" t="s">
        <v>153</v>
      </c>
      <c r="CN290" s="101" t="s">
        <v>190</v>
      </c>
      <c r="CO290" s="102">
        <v>0.04</v>
      </c>
      <c r="CP290" s="103">
        <v>88</v>
      </c>
      <c r="CQ290" s="104">
        <v>0</v>
      </c>
      <c r="CR290" s="105">
        <v>0</v>
      </c>
      <c r="CS290" s="106">
        <v>0.04</v>
      </c>
      <c r="CT290" s="107">
        <v>89</v>
      </c>
      <c r="CU290" s="108" t="s">
        <v>153</v>
      </c>
      <c r="CV290" s="109" t="s">
        <v>153</v>
      </c>
      <c r="CW290" s="110">
        <v>0.04</v>
      </c>
      <c r="CX290" s="111">
        <v>76</v>
      </c>
      <c r="CY290" s="112" t="s">
        <v>153</v>
      </c>
      <c r="CZ290" s="113" t="s">
        <v>153</v>
      </c>
      <c r="DA290" s="114" t="s">
        <v>153</v>
      </c>
      <c r="DB290" s="115" t="s">
        <v>153</v>
      </c>
      <c r="DC290" s="116">
        <v>24.86</v>
      </c>
      <c r="DD290" s="117">
        <v>97</v>
      </c>
      <c r="DE290" s="118">
        <v>0</v>
      </c>
      <c r="DF290" s="119">
        <v>0</v>
      </c>
      <c r="DG290" s="120">
        <v>24.86</v>
      </c>
      <c r="DH290" s="121">
        <v>96</v>
      </c>
      <c r="DI290" s="122" t="s">
        <v>153</v>
      </c>
      <c r="DJ290" s="123" t="s">
        <v>153</v>
      </c>
      <c r="DK290" s="124">
        <v>24.86</v>
      </c>
      <c r="DL290" s="125">
        <v>92</v>
      </c>
      <c r="DM290" s="126" t="s">
        <v>153</v>
      </c>
      <c r="DN290" s="127" t="s">
        <v>153</v>
      </c>
      <c r="DO290" s="128" t="s">
        <v>153</v>
      </c>
      <c r="DP290" s="129" t="s">
        <v>153</v>
      </c>
      <c r="DQ290" s="130">
        <v>14829</v>
      </c>
      <c r="DR290" s="131">
        <v>-325</v>
      </c>
      <c r="DS290" s="132">
        <v>-2.14</v>
      </c>
      <c r="DT290" s="133" t="s">
        <v>153</v>
      </c>
      <c r="DU290" s="134" t="s">
        <v>153</v>
      </c>
      <c r="DV290" s="135" t="s">
        <v>153</v>
      </c>
      <c r="DW290" s="136" t="s">
        <v>153</v>
      </c>
      <c r="DX290" s="137" t="s">
        <v>153</v>
      </c>
      <c r="DY290" s="138" t="s">
        <v>153</v>
      </c>
      <c r="DZ290" s="139" t="s">
        <v>191</v>
      </c>
      <c r="EA290" s="140">
        <v>44399</v>
      </c>
      <c r="EB290" s="141">
        <v>13000</v>
      </c>
      <c r="EC290" s="142">
        <v>44372</v>
      </c>
      <c r="ED290" s="143" t="s">
        <v>226</v>
      </c>
      <c r="EE290" s="278" t="str">
        <f>HYPERLINK("https://my.pitchbook.com?c=266413-87", "View company online")</f>
        <v>View company online</v>
      </c>
    </row>
    <row r="291" spans="1:135" x14ac:dyDescent="0.45">
      <c r="A291" s="144" t="s">
        <v>6339</v>
      </c>
      <c r="B291" s="145" t="s">
        <v>6340</v>
      </c>
      <c r="C291" s="146" t="s">
        <v>153</v>
      </c>
      <c r="D291" s="147" t="s">
        <v>153</v>
      </c>
      <c r="E291" s="148" t="s">
        <v>153</v>
      </c>
      <c r="F291" s="149" t="s">
        <v>6341</v>
      </c>
      <c r="G291" s="150" t="s">
        <v>6342</v>
      </c>
      <c r="H291" s="151" t="s">
        <v>153</v>
      </c>
      <c r="I291" s="152" t="s">
        <v>6339</v>
      </c>
      <c r="J291" s="153" t="s">
        <v>6343</v>
      </c>
      <c r="K291" s="154" t="s">
        <v>198</v>
      </c>
      <c r="L291" s="155" t="s">
        <v>1846</v>
      </c>
      <c r="M291" s="156" t="s">
        <v>1847</v>
      </c>
      <c r="N291" s="157" t="s">
        <v>6344</v>
      </c>
      <c r="O291" s="158" t="s">
        <v>399</v>
      </c>
      <c r="P291" s="159" t="s">
        <v>6345</v>
      </c>
      <c r="Q291" s="160" t="s">
        <v>204</v>
      </c>
      <c r="R291" s="161" t="s">
        <v>153</v>
      </c>
      <c r="S291" s="162" t="s">
        <v>163</v>
      </c>
      <c r="T291" s="163" t="s">
        <v>205</v>
      </c>
      <c r="U291" s="164" t="s">
        <v>237</v>
      </c>
      <c r="V291" s="165" t="s">
        <v>153</v>
      </c>
      <c r="W291" s="166">
        <v>139500</v>
      </c>
      <c r="X291" s="167" t="s">
        <v>6346</v>
      </c>
      <c r="Y291" s="168" t="s">
        <v>153</v>
      </c>
      <c r="Z291" s="169" t="s">
        <v>153</v>
      </c>
      <c r="AA291" s="170">
        <v>1962</v>
      </c>
      <c r="AB291" s="171" t="s">
        <v>153</v>
      </c>
      <c r="AC291" s="172" t="s">
        <v>153</v>
      </c>
      <c r="AD291" s="173" t="s">
        <v>153</v>
      </c>
      <c r="AE291" s="174" t="s">
        <v>153</v>
      </c>
      <c r="AF291" s="175" t="s">
        <v>153</v>
      </c>
      <c r="AG291" s="176" t="s">
        <v>153</v>
      </c>
      <c r="AH291" s="177" t="s">
        <v>153</v>
      </c>
      <c r="AI291" s="178" t="s">
        <v>153</v>
      </c>
      <c r="AJ291" s="179" t="s">
        <v>153</v>
      </c>
      <c r="AK291" s="180" t="s">
        <v>153</v>
      </c>
      <c r="AL291" s="181" t="s">
        <v>153</v>
      </c>
      <c r="AM291" s="182" t="s">
        <v>153</v>
      </c>
      <c r="AN291" s="183" t="s">
        <v>6347</v>
      </c>
      <c r="AO291" s="184" t="s">
        <v>6348</v>
      </c>
      <c r="AP291" s="185" t="s">
        <v>6349</v>
      </c>
      <c r="AQ291" s="186" t="s">
        <v>171</v>
      </c>
      <c r="AR291" s="187" t="s">
        <v>153</v>
      </c>
      <c r="AS291" s="188" t="s">
        <v>153</v>
      </c>
      <c r="AT291" s="189" t="s">
        <v>2947</v>
      </c>
      <c r="AU291" s="190" t="s">
        <v>6350</v>
      </c>
      <c r="AV291" s="191" t="s">
        <v>153</v>
      </c>
      <c r="AW291" s="192" t="s">
        <v>2949</v>
      </c>
      <c r="AX291" s="193" t="s">
        <v>1128</v>
      </c>
      <c r="AY291" s="194" t="s">
        <v>2950</v>
      </c>
      <c r="AZ291" s="195" t="s">
        <v>215</v>
      </c>
      <c r="BA291" s="196" t="s">
        <v>153</v>
      </c>
      <c r="BB291" s="197" t="s">
        <v>153</v>
      </c>
      <c r="BC291" s="198" t="s">
        <v>153</v>
      </c>
      <c r="BD291" s="199" t="s">
        <v>216</v>
      </c>
      <c r="BE291" s="200" t="s">
        <v>217</v>
      </c>
      <c r="BF291" s="201" t="s">
        <v>6351</v>
      </c>
      <c r="BG291" s="202" t="s">
        <v>153</v>
      </c>
      <c r="BH291" s="203" t="s">
        <v>153</v>
      </c>
      <c r="BI291" s="204" t="s">
        <v>6352</v>
      </c>
      <c r="BJ291" s="205" t="s">
        <v>153</v>
      </c>
      <c r="BK291" s="206" t="s">
        <v>153</v>
      </c>
      <c r="BL291" s="207" t="s">
        <v>153</v>
      </c>
      <c r="BM291" s="208" t="s">
        <v>153</v>
      </c>
      <c r="BN291" s="209" t="s">
        <v>153</v>
      </c>
      <c r="BO291" s="210" t="s">
        <v>6353</v>
      </c>
      <c r="BP291" s="211" t="s">
        <v>6354</v>
      </c>
      <c r="BQ291" s="212">
        <v>39686</v>
      </c>
      <c r="BR291" s="213">
        <v>13000</v>
      </c>
      <c r="BS291" s="214" t="s">
        <v>186</v>
      </c>
      <c r="BT291" s="215">
        <v>13000</v>
      </c>
      <c r="BU291" s="216" t="s">
        <v>186</v>
      </c>
      <c r="BV291" s="217" t="s">
        <v>226</v>
      </c>
      <c r="BW291" s="218" t="s">
        <v>153</v>
      </c>
      <c r="BX291" s="219" t="s">
        <v>153</v>
      </c>
      <c r="BY291" s="220" t="s">
        <v>225</v>
      </c>
      <c r="BZ291" s="221" t="s">
        <v>153</v>
      </c>
      <c r="CA291" s="222" t="s">
        <v>190</v>
      </c>
      <c r="CB291" s="223">
        <v>39686</v>
      </c>
      <c r="CC291" s="224">
        <v>13000</v>
      </c>
      <c r="CD291" s="225" t="s">
        <v>186</v>
      </c>
      <c r="CE291" s="226">
        <v>13000</v>
      </c>
      <c r="CF291" s="227" t="s">
        <v>186</v>
      </c>
      <c r="CG291" s="228" t="s">
        <v>226</v>
      </c>
      <c r="CH291" s="229" t="s">
        <v>153</v>
      </c>
      <c r="CI291" s="230" t="s">
        <v>153</v>
      </c>
      <c r="CJ291" s="231" t="s">
        <v>225</v>
      </c>
      <c r="CK291" s="232">
        <v>39686</v>
      </c>
      <c r="CL291" s="233" t="s">
        <v>153</v>
      </c>
      <c r="CM291" s="234" t="s">
        <v>153</v>
      </c>
      <c r="CN291" s="235" t="s">
        <v>190</v>
      </c>
      <c r="CO291" s="236" t="s">
        <v>153</v>
      </c>
      <c r="CP291" s="237" t="s">
        <v>153</v>
      </c>
      <c r="CQ291" s="238" t="s">
        <v>153</v>
      </c>
      <c r="CR291" s="239" t="s">
        <v>153</v>
      </c>
      <c r="CS291" s="240" t="s">
        <v>153</v>
      </c>
      <c r="CT291" s="241" t="s">
        <v>153</v>
      </c>
      <c r="CU291" s="242" t="s">
        <v>153</v>
      </c>
      <c r="CV291" s="243" t="s">
        <v>153</v>
      </c>
      <c r="CW291" s="244" t="s">
        <v>153</v>
      </c>
      <c r="CX291" s="245" t="s">
        <v>153</v>
      </c>
      <c r="CY291" s="246" t="s">
        <v>153</v>
      </c>
      <c r="CZ291" s="247" t="s">
        <v>153</v>
      </c>
      <c r="DA291" s="248" t="s">
        <v>153</v>
      </c>
      <c r="DB291" s="249" t="s">
        <v>153</v>
      </c>
      <c r="DC291" s="250" t="s">
        <v>153</v>
      </c>
      <c r="DD291" s="251" t="s">
        <v>153</v>
      </c>
      <c r="DE291" s="252" t="s">
        <v>153</v>
      </c>
      <c r="DF291" s="253" t="s">
        <v>153</v>
      </c>
      <c r="DG291" s="254" t="s">
        <v>153</v>
      </c>
      <c r="DH291" s="255" t="s">
        <v>153</v>
      </c>
      <c r="DI291" s="256" t="s">
        <v>153</v>
      </c>
      <c r="DJ291" s="257" t="s">
        <v>153</v>
      </c>
      <c r="DK291" s="258" t="s">
        <v>153</v>
      </c>
      <c r="DL291" s="259" t="s">
        <v>153</v>
      </c>
      <c r="DM291" s="260" t="s">
        <v>153</v>
      </c>
      <c r="DN291" s="261" t="s">
        <v>153</v>
      </c>
      <c r="DO291" s="262" t="s">
        <v>153</v>
      </c>
      <c r="DP291" s="263" t="s">
        <v>153</v>
      </c>
      <c r="DQ291" s="264" t="s">
        <v>153</v>
      </c>
      <c r="DR291" s="265" t="s">
        <v>153</v>
      </c>
      <c r="DS291" s="266" t="s">
        <v>153</v>
      </c>
      <c r="DT291" s="267" t="s">
        <v>153</v>
      </c>
      <c r="DU291" s="268" t="s">
        <v>153</v>
      </c>
      <c r="DV291" s="269" t="s">
        <v>153</v>
      </c>
      <c r="DW291" s="270" t="s">
        <v>153</v>
      </c>
      <c r="DX291" s="271" t="s">
        <v>153</v>
      </c>
      <c r="DY291" s="272" t="s">
        <v>153</v>
      </c>
      <c r="DZ291" s="273" t="s">
        <v>191</v>
      </c>
      <c r="EA291" s="274">
        <v>44293</v>
      </c>
      <c r="EB291" s="275">
        <v>13000</v>
      </c>
      <c r="EC291" s="276">
        <v>39686</v>
      </c>
      <c r="ED291" s="277" t="s">
        <v>226</v>
      </c>
      <c r="EE291" s="279" t="str">
        <f>HYPERLINK("https://my.pitchbook.com?c=11699-11", "View company online")</f>
        <v>View company online</v>
      </c>
    </row>
    <row r="292" spans="1:135" x14ac:dyDescent="0.45">
      <c r="A292" s="10" t="s">
        <v>6355</v>
      </c>
      <c r="B292" s="11" t="s">
        <v>6356</v>
      </c>
      <c r="C292" s="12" t="s">
        <v>153</v>
      </c>
      <c r="D292" s="13" t="s">
        <v>153</v>
      </c>
      <c r="E292" s="14" t="s">
        <v>6357</v>
      </c>
      <c r="F292" s="15" t="s">
        <v>6358</v>
      </c>
      <c r="G292" s="16" t="s">
        <v>6359</v>
      </c>
      <c r="H292" s="17" t="s">
        <v>153</v>
      </c>
      <c r="I292" s="18" t="s">
        <v>6355</v>
      </c>
      <c r="J292" s="19" t="s">
        <v>6360</v>
      </c>
      <c r="K292" s="20" t="s">
        <v>157</v>
      </c>
      <c r="L292" s="21" t="s">
        <v>817</v>
      </c>
      <c r="M292" s="22" t="s">
        <v>1499</v>
      </c>
      <c r="N292" s="23" t="s">
        <v>2944</v>
      </c>
      <c r="O292" s="24" t="s">
        <v>153</v>
      </c>
      <c r="P292" s="25" t="s">
        <v>6361</v>
      </c>
      <c r="Q292" s="26" t="s">
        <v>204</v>
      </c>
      <c r="R292" s="27" t="s">
        <v>153</v>
      </c>
      <c r="S292" s="28" t="s">
        <v>163</v>
      </c>
      <c r="T292" s="29" t="s">
        <v>205</v>
      </c>
      <c r="U292" s="30" t="s">
        <v>237</v>
      </c>
      <c r="V292" s="31" t="s">
        <v>6362</v>
      </c>
      <c r="W292" s="32">
        <v>2239</v>
      </c>
      <c r="X292" s="33" t="s">
        <v>6363</v>
      </c>
      <c r="Y292" s="34" t="s">
        <v>153</v>
      </c>
      <c r="Z292" s="35" t="s">
        <v>153</v>
      </c>
      <c r="AA292" s="36">
        <v>1962</v>
      </c>
      <c r="AB292" s="37" t="s">
        <v>153</v>
      </c>
      <c r="AC292" s="38" t="s">
        <v>153</v>
      </c>
      <c r="AD292" s="39" t="s">
        <v>153</v>
      </c>
      <c r="AE292" s="40" t="s">
        <v>153</v>
      </c>
      <c r="AF292" s="41" t="s">
        <v>153</v>
      </c>
      <c r="AG292" s="42" t="s">
        <v>153</v>
      </c>
      <c r="AH292" s="43" t="s">
        <v>153</v>
      </c>
      <c r="AI292" s="44" t="s">
        <v>153</v>
      </c>
      <c r="AJ292" s="45" t="s">
        <v>153</v>
      </c>
      <c r="AK292" s="46" t="s">
        <v>153</v>
      </c>
      <c r="AL292" s="47" t="s">
        <v>153</v>
      </c>
      <c r="AM292" s="48" t="s">
        <v>153</v>
      </c>
      <c r="AN292" s="49" t="s">
        <v>153</v>
      </c>
      <c r="AO292" s="50" t="s">
        <v>6364</v>
      </c>
      <c r="AP292" s="51" t="s">
        <v>6365</v>
      </c>
      <c r="AQ292" s="52" t="s">
        <v>171</v>
      </c>
      <c r="AR292" s="53" t="s">
        <v>6366</v>
      </c>
      <c r="AS292" s="54" t="s">
        <v>153</v>
      </c>
      <c r="AT292" s="55" t="s">
        <v>6367</v>
      </c>
      <c r="AU292" s="56" t="s">
        <v>6368</v>
      </c>
      <c r="AV292" s="57" t="s">
        <v>153</v>
      </c>
      <c r="AW292" s="58" t="s">
        <v>6369</v>
      </c>
      <c r="AX292" s="59" t="s">
        <v>5520</v>
      </c>
      <c r="AY292" s="60" t="s">
        <v>6370</v>
      </c>
      <c r="AZ292" s="61" t="s">
        <v>2546</v>
      </c>
      <c r="BA292" s="62" t="s">
        <v>153</v>
      </c>
      <c r="BB292" s="63" t="s">
        <v>153</v>
      </c>
      <c r="BC292" s="64" t="s">
        <v>153</v>
      </c>
      <c r="BD292" s="65" t="s">
        <v>2547</v>
      </c>
      <c r="BE292" s="66" t="s">
        <v>2547</v>
      </c>
      <c r="BF292" s="67" t="s">
        <v>6371</v>
      </c>
      <c r="BG292" s="68" t="s">
        <v>153</v>
      </c>
      <c r="BH292" s="69" t="s">
        <v>153</v>
      </c>
      <c r="BI292" s="70" t="s">
        <v>6372</v>
      </c>
      <c r="BJ292" s="71" t="s">
        <v>153</v>
      </c>
      <c r="BK292" s="72" t="s">
        <v>153</v>
      </c>
      <c r="BL292" s="73" t="s">
        <v>153</v>
      </c>
      <c r="BM292" s="74" t="s">
        <v>153</v>
      </c>
      <c r="BN292" s="75" t="s">
        <v>153</v>
      </c>
      <c r="BO292" s="76" t="s">
        <v>6373</v>
      </c>
      <c r="BP292" s="77" t="s">
        <v>6374</v>
      </c>
      <c r="BQ292" s="78">
        <v>29986</v>
      </c>
      <c r="BR292" s="79" t="s">
        <v>153</v>
      </c>
      <c r="BS292" s="80" t="s">
        <v>153</v>
      </c>
      <c r="BT292" s="81" t="s">
        <v>153</v>
      </c>
      <c r="BU292" s="82" t="s">
        <v>153</v>
      </c>
      <c r="BV292" s="83" t="s">
        <v>251</v>
      </c>
      <c r="BW292" s="84" t="s">
        <v>153</v>
      </c>
      <c r="BX292" s="85" t="s">
        <v>153</v>
      </c>
      <c r="BY292" s="86" t="s">
        <v>252</v>
      </c>
      <c r="BZ292" s="87" t="s">
        <v>153</v>
      </c>
      <c r="CA292" s="88" t="s">
        <v>190</v>
      </c>
      <c r="CB292" s="89">
        <v>40848</v>
      </c>
      <c r="CC292" s="90">
        <v>13000</v>
      </c>
      <c r="CD292" s="91" t="s">
        <v>186</v>
      </c>
      <c r="CE292" s="92">
        <v>13000</v>
      </c>
      <c r="CF292" s="93" t="s">
        <v>186</v>
      </c>
      <c r="CG292" s="94" t="s">
        <v>226</v>
      </c>
      <c r="CH292" s="95" t="s">
        <v>153</v>
      </c>
      <c r="CI292" s="96" t="s">
        <v>153</v>
      </c>
      <c r="CJ292" s="97" t="s">
        <v>225</v>
      </c>
      <c r="CK292" s="98">
        <v>40848</v>
      </c>
      <c r="CL292" s="99" t="s">
        <v>153</v>
      </c>
      <c r="CM292" s="100" t="s">
        <v>153</v>
      </c>
      <c r="CN292" s="101" t="s">
        <v>190</v>
      </c>
      <c r="CO292" s="102" t="s">
        <v>153</v>
      </c>
      <c r="CP292" s="103" t="s">
        <v>153</v>
      </c>
      <c r="CQ292" s="104" t="s">
        <v>153</v>
      </c>
      <c r="CR292" s="105" t="s">
        <v>153</v>
      </c>
      <c r="CS292" s="106" t="s">
        <v>153</v>
      </c>
      <c r="CT292" s="107" t="s">
        <v>153</v>
      </c>
      <c r="CU292" s="108" t="s">
        <v>153</v>
      </c>
      <c r="CV292" s="109" t="s">
        <v>153</v>
      </c>
      <c r="CW292" s="110" t="s">
        <v>153</v>
      </c>
      <c r="CX292" s="111" t="s">
        <v>153</v>
      </c>
      <c r="CY292" s="112" t="s">
        <v>153</v>
      </c>
      <c r="CZ292" s="113" t="s">
        <v>153</v>
      </c>
      <c r="DA292" s="114" t="s">
        <v>153</v>
      </c>
      <c r="DB292" s="115" t="s">
        <v>153</v>
      </c>
      <c r="DC292" s="116" t="s">
        <v>153</v>
      </c>
      <c r="DD292" s="117" t="s">
        <v>153</v>
      </c>
      <c r="DE292" s="118" t="s">
        <v>153</v>
      </c>
      <c r="DF292" s="119" t="s">
        <v>153</v>
      </c>
      <c r="DG292" s="120" t="s">
        <v>153</v>
      </c>
      <c r="DH292" s="121" t="s">
        <v>153</v>
      </c>
      <c r="DI292" s="122" t="s">
        <v>153</v>
      </c>
      <c r="DJ292" s="123" t="s">
        <v>153</v>
      </c>
      <c r="DK292" s="124" t="s">
        <v>153</v>
      </c>
      <c r="DL292" s="125" t="s">
        <v>153</v>
      </c>
      <c r="DM292" s="126" t="s">
        <v>153</v>
      </c>
      <c r="DN292" s="127" t="s">
        <v>153</v>
      </c>
      <c r="DO292" s="128" t="s">
        <v>153</v>
      </c>
      <c r="DP292" s="129" t="s">
        <v>153</v>
      </c>
      <c r="DQ292" s="130" t="s">
        <v>153</v>
      </c>
      <c r="DR292" s="131" t="s">
        <v>153</v>
      </c>
      <c r="DS292" s="132" t="s">
        <v>153</v>
      </c>
      <c r="DT292" s="133" t="s">
        <v>153</v>
      </c>
      <c r="DU292" s="134" t="s">
        <v>153</v>
      </c>
      <c r="DV292" s="135" t="s">
        <v>153</v>
      </c>
      <c r="DW292" s="136" t="s">
        <v>153</v>
      </c>
      <c r="DX292" s="137" t="s">
        <v>153</v>
      </c>
      <c r="DY292" s="138" t="s">
        <v>153</v>
      </c>
      <c r="DZ292" s="139" t="s">
        <v>191</v>
      </c>
      <c r="EA292" s="140">
        <v>44351</v>
      </c>
      <c r="EB292" s="141">
        <v>13000</v>
      </c>
      <c r="EC292" s="142">
        <v>40848</v>
      </c>
      <c r="ED292" s="143" t="s">
        <v>226</v>
      </c>
      <c r="EE292" s="278" t="str">
        <f>HYPERLINK("https://my.pitchbook.com?c=157746-61", "View company online")</f>
        <v>View company online</v>
      </c>
    </row>
    <row r="293" spans="1:135" x14ac:dyDescent="0.45">
      <c r="A293" s="144" t="s">
        <v>6375</v>
      </c>
      <c r="B293" s="145" t="s">
        <v>6376</v>
      </c>
      <c r="C293" s="146" t="s">
        <v>153</v>
      </c>
      <c r="D293" s="147" t="s">
        <v>153</v>
      </c>
      <c r="E293" s="148" t="s">
        <v>153</v>
      </c>
      <c r="F293" s="149" t="s">
        <v>153</v>
      </c>
      <c r="G293" s="150" t="s">
        <v>6377</v>
      </c>
      <c r="H293" s="151" t="s">
        <v>153</v>
      </c>
      <c r="I293" s="152" t="s">
        <v>6375</v>
      </c>
      <c r="J293" s="153" t="s">
        <v>6378</v>
      </c>
      <c r="K293" s="154" t="s">
        <v>157</v>
      </c>
      <c r="L293" s="155" t="s">
        <v>817</v>
      </c>
      <c r="M293" s="156" t="s">
        <v>818</v>
      </c>
      <c r="N293" s="157" t="s">
        <v>6379</v>
      </c>
      <c r="O293" s="158" t="s">
        <v>261</v>
      </c>
      <c r="P293" s="159" t="s">
        <v>6380</v>
      </c>
      <c r="Q293" s="160" t="s">
        <v>204</v>
      </c>
      <c r="R293" s="161" t="s">
        <v>153</v>
      </c>
      <c r="S293" s="162" t="s">
        <v>290</v>
      </c>
      <c r="T293" s="163" t="s">
        <v>1392</v>
      </c>
      <c r="U293" s="164" t="s">
        <v>206</v>
      </c>
      <c r="V293" s="165" t="s">
        <v>153</v>
      </c>
      <c r="W293" s="166" t="s">
        <v>153</v>
      </c>
      <c r="X293" s="167" t="s">
        <v>153</v>
      </c>
      <c r="Y293" s="168" t="s">
        <v>153</v>
      </c>
      <c r="Z293" s="169" t="s">
        <v>153</v>
      </c>
      <c r="AA293" s="170">
        <v>2015</v>
      </c>
      <c r="AB293" s="171" t="s">
        <v>6381</v>
      </c>
      <c r="AC293" s="172" t="s">
        <v>153</v>
      </c>
      <c r="AD293" s="173" t="s">
        <v>153</v>
      </c>
      <c r="AE293" s="174" t="s">
        <v>153</v>
      </c>
      <c r="AF293" s="175" t="s">
        <v>153</v>
      </c>
      <c r="AG293" s="176" t="s">
        <v>153</v>
      </c>
      <c r="AH293" s="177" t="s">
        <v>153</v>
      </c>
      <c r="AI293" s="178" t="s">
        <v>153</v>
      </c>
      <c r="AJ293" s="179" t="s">
        <v>153</v>
      </c>
      <c r="AK293" s="180" t="s">
        <v>153</v>
      </c>
      <c r="AL293" s="181" t="s">
        <v>153</v>
      </c>
      <c r="AM293" s="182" t="s">
        <v>153</v>
      </c>
      <c r="AN293" s="183" t="s">
        <v>868</v>
      </c>
      <c r="AO293" s="184" t="s">
        <v>6382</v>
      </c>
      <c r="AP293" s="185" t="s">
        <v>6383</v>
      </c>
      <c r="AQ293" s="186" t="s">
        <v>171</v>
      </c>
      <c r="AR293" s="187" t="s">
        <v>6384</v>
      </c>
      <c r="AS293" s="188" t="s">
        <v>153</v>
      </c>
      <c r="AT293" s="189" t="s">
        <v>5217</v>
      </c>
      <c r="AU293" s="190" t="s">
        <v>6385</v>
      </c>
      <c r="AV293" s="191" t="s">
        <v>6386</v>
      </c>
      <c r="AW293" s="192" t="s">
        <v>5220</v>
      </c>
      <c r="AX293" s="193" t="s">
        <v>153</v>
      </c>
      <c r="AY293" s="194" t="s">
        <v>6387</v>
      </c>
      <c r="AZ293" s="195" t="s">
        <v>3046</v>
      </c>
      <c r="BA293" s="196" t="s">
        <v>153</v>
      </c>
      <c r="BB293" s="197" t="s">
        <v>153</v>
      </c>
      <c r="BC293" s="198" t="s">
        <v>153</v>
      </c>
      <c r="BD293" s="199" t="s">
        <v>1406</v>
      </c>
      <c r="BE293" s="200" t="s">
        <v>3047</v>
      </c>
      <c r="BF293" s="201" t="s">
        <v>6388</v>
      </c>
      <c r="BG293" s="202" t="s">
        <v>153</v>
      </c>
      <c r="BH293" s="203" t="s">
        <v>153</v>
      </c>
      <c r="BI293" s="204" t="s">
        <v>153</v>
      </c>
      <c r="BJ293" s="205" t="s">
        <v>6389</v>
      </c>
      <c r="BK293" s="206" t="s">
        <v>153</v>
      </c>
      <c r="BL293" s="207" t="s">
        <v>153</v>
      </c>
      <c r="BM293" s="208" t="s">
        <v>6390</v>
      </c>
      <c r="BN293" s="209" t="s">
        <v>153</v>
      </c>
      <c r="BO293" s="210" t="s">
        <v>6391</v>
      </c>
      <c r="BP293" s="211" t="s">
        <v>153</v>
      </c>
      <c r="BQ293" s="212">
        <v>42065</v>
      </c>
      <c r="BR293" s="213">
        <v>20000</v>
      </c>
      <c r="BS293" s="214" t="s">
        <v>186</v>
      </c>
      <c r="BT293" s="215" t="s">
        <v>153</v>
      </c>
      <c r="BU293" s="216" t="s">
        <v>153</v>
      </c>
      <c r="BV293" s="217" t="s">
        <v>224</v>
      </c>
      <c r="BW293" s="218" t="s">
        <v>153</v>
      </c>
      <c r="BX293" s="219" t="s">
        <v>153</v>
      </c>
      <c r="BY293" s="220" t="s">
        <v>321</v>
      </c>
      <c r="BZ293" s="221" t="s">
        <v>153</v>
      </c>
      <c r="CA293" s="222" t="s">
        <v>190</v>
      </c>
      <c r="CB293" s="223">
        <v>43252</v>
      </c>
      <c r="CC293" s="224">
        <v>13000</v>
      </c>
      <c r="CD293" s="225" t="s">
        <v>186</v>
      </c>
      <c r="CE293" s="226">
        <v>35616.43</v>
      </c>
      <c r="CF293" s="227" t="s">
        <v>187</v>
      </c>
      <c r="CG293" s="228" t="s">
        <v>906</v>
      </c>
      <c r="CH293" s="229" t="s">
        <v>153</v>
      </c>
      <c r="CI293" s="230" t="s">
        <v>153</v>
      </c>
      <c r="CJ293" s="231" t="s">
        <v>225</v>
      </c>
      <c r="CK293" s="232">
        <v>43252</v>
      </c>
      <c r="CL293" s="233" t="s">
        <v>153</v>
      </c>
      <c r="CM293" s="234" t="s">
        <v>153</v>
      </c>
      <c r="CN293" s="235" t="s">
        <v>190</v>
      </c>
      <c r="CO293" s="236" t="s">
        <v>153</v>
      </c>
      <c r="CP293" s="237" t="s">
        <v>153</v>
      </c>
      <c r="CQ293" s="238" t="s">
        <v>153</v>
      </c>
      <c r="CR293" s="239" t="s">
        <v>153</v>
      </c>
      <c r="CS293" s="240" t="s">
        <v>153</v>
      </c>
      <c r="CT293" s="241" t="s">
        <v>153</v>
      </c>
      <c r="CU293" s="242" t="s">
        <v>153</v>
      </c>
      <c r="CV293" s="243" t="s">
        <v>153</v>
      </c>
      <c r="CW293" s="244" t="s">
        <v>153</v>
      </c>
      <c r="CX293" s="245" t="s">
        <v>153</v>
      </c>
      <c r="CY293" s="246" t="s">
        <v>153</v>
      </c>
      <c r="CZ293" s="247" t="s">
        <v>153</v>
      </c>
      <c r="DA293" s="248" t="s">
        <v>153</v>
      </c>
      <c r="DB293" s="249" t="s">
        <v>153</v>
      </c>
      <c r="DC293" s="250" t="s">
        <v>153</v>
      </c>
      <c r="DD293" s="251" t="s">
        <v>153</v>
      </c>
      <c r="DE293" s="252" t="s">
        <v>153</v>
      </c>
      <c r="DF293" s="253" t="s">
        <v>153</v>
      </c>
      <c r="DG293" s="254" t="s">
        <v>153</v>
      </c>
      <c r="DH293" s="255" t="s">
        <v>153</v>
      </c>
      <c r="DI293" s="256" t="s">
        <v>153</v>
      </c>
      <c r="DJ293" s="257" t="s">
        <v>153</v>
      </c>
      <c r="DK293" s="258" t="s">
        <v>153</v>
      </c>
      <c r="DL293" s="259" t="s">
        <v>153</v>
      </c>
      <c r="DM293" s="260" t="s">
        <v>153</v>
      </c>
      <c r="DN293" s="261" t="s">
        <v>153</v>
      </c>
      <c r="DO293" s="262" t="s">
        <v>153</v>
      </c>
      <c r="DP293" s="263" t="s">
        <v>153</v>
      </c>
      <c r="DQ293" s="264" t="s">
        <v>153</v>
      </c>
      <c r="DR293" s="265" t="s">
        <v>153</v>
      </c>
      <c r="DS293" s="266" t="s">
        <v>153</v>
      </c>
      <c r="DT293" s="267" t="s">
        <v>153</v>
      </c>
      <c r="DU293" s="268" t="s">
        <v>153</v>
      </c>
      <c r="DV293" s="269" t="s">
        <v>153</v>
      </c>
      <c r="DW293" s="270" t="s">
        <v>153</v>
      </c>
      <c r="DX293" s="271" t="s">
        <v>153</v>
      </c>
      <c r="DY293" s="272" t="s">
        <v>153</v>
      </c>
      <c r="DZ293" s="273" t="s">
        <v>191</v>
      </c>
      <c r="EA293" s="274">
        <v>44328</v>
      </c>
      <c r="EB293" s="275">
        <v>35616.43</v>
      </c>
      <c r="EC293" s="276">
        <v>43252</v>
      </c>
      <c r="ED293" s="277" t="s">
        <v>906</v>
      </c>
      <c r="EE293" s="279" t="str">
        <f>HYPERLINK("https://my.pitchbook.com?c=99936-01", "View company online")</f>
        <v>View company online</v>
      </c>
    </row>
    <row r="294" spans="1:135" x14ac:dyDescent="0.45">
      <c r="A294" s="10" t="s">
        <v>6392</v>
      </c>
      <c r="B294" s="11" t="s">
        <v>6393</v>
      </c>
      <c r="C294" s="12" t="s">
        <v>153</v>
      </c>
      <c r="D294" s="13" t="s">
        <v>153</v>
      </c>
      <c r="E294" s="14" t="s">
        <v>6394</v>
      </c>
      <c r="F294" s="15" t="s">
        <v>6395</v>
      </c>
      <c r="G294" s="16" t="s">
        <v>6396</v>
      </c>
      <c r="H294" s="17" t="s">
        <v>6397</v>
      </c>
      <c r="I294" s="18" t="s">
        <v>6392</v>
      </c>
      <c r="J294" s="19" t="s">
        <v>6398</v>
      </c>
      <c r="K294" s="20" t="s">
        <v>232</v>
      </c>
      <c r="L294" s="21" t="s">
        <v>362</v>
      </c>
      <c r="M294" s="22" t="s">
        <v>4656</v>
      </c>
      <c r="N294" s="23" t="s">
        <v>4657</v>
      </c>
      <c r="O294" s="24" t="s">
        <v>153</v>
      </c>
      <c r="P294" s="25" t="s">
        <v>6399</v>
      </c>
      <c r="Q294" s="26" t="s">
        <v>204</v>
      </c>
      <c r="R294" s="27">
        <v>400</v>
      </c>
      <c r="S294" s="28" t="s">
        <v>163</v>
      </c>
      <c r="T294" s="29" t="s">
        <v>205</v>
      </c>
      <c r="U294" s="30" t="s">
        <v>1706</v>
      </c>
      <c r="V294" s="31" t="s">
        <v>6400</v>
      </c>
      <c r="W294" s="32">
        <v>271</v>
      </c>
      <c r="X294" s="33" t="s">
        <v>6401</v>
      </c>
      <c r="Y294" s="34" t="s">
        <v>153</v>
      </c>
      <c r="Z294" s="35" t="s">
        <v>153</v>
      </c>
      <c r="AA294" s="36">
        <v>1972</v>
      </c>
      <c r="AB294" s="37" t="s">
        <v>153</v>
      </c>
      <c r="AC294" s="38" t="s">
        <v>153</v>
      </c>
      <c r="AD294" s="39" t="s">
        <v>153</v>
      </c>
      <c r="AE294" s="40" t="s">
        <v>153</v>
      </c>
      <c r="AF294" s="41" t="s">
        <v>153</v>
      </c>
      <c r="AG294" s="42" t="s">
        <v>153</v>
      </c>
      <c r="AH294" s="43" t="s">
        <v>153</v>
      </c>
      <c r="AI294" s="44" t="s">
        <v>153</v>
      </c>
      <c r="AJ294" s="45" t="s">
        <v>153</v>
      </c>
      <c r="AK294" s="46" t="s">
        <v>153</v>
      </c>
      <c r="AL294" s="47" t="s">
        <v>153</v>
      </c>
      <c r="AM294" s="48" t="s">
        <v>153</v>
      </c>
      <c r="AN294" s="49" t="s">
        <v>1908</v>
      </c>
      <c r="AO294" s="50" t="s">
        <v>6402</v>
      </c>
      <c r="AP294" s="51" t="s">
        <v>6403</v>
      </c>
      <c r="AQ294" s="52" t="s">
        <v>2721</v>
      </c>
      <c r="AR294" s="53" t="s">
        <v>153</v>
      </c>
      <c r="AS294" s="54" t="s">
        <v>153</v>
      </c>
      <c r="AT294" s="55" t="s">
        <v>6404</v>
      </c>
      <c r="AU294" s="56" t="s">
        <v>6405</v>
      </c>
      <c r="AV294" s="57" t="s">
        <v>153</v>
      </c>
      <c r="AW294" s="58" t="s">
        <v>6406</v>
      </c>
      <c r="AX294" s="59" t="s">
        <v>2727</v>
      </c>
      <c r="AY294" s="60" t="s">
        <v>6407</v>
      </c>
      <c r="AZ294" s="61" t="s">
        <v>215</v>
      </c>
      <c r="BA294" s="62" t="s">
        <v>153</v>
      </c>
      <c r="BB294" s="63" t="s">
        <v>153</v>
      </c>
      <c r="BC294" s="64" t="s">
        <v>153</v>
      </c>
      <c r="BD294" s="65" t="s">
        <v>216</v>
      </c>
      <c r="BE294" s="66" t="s">
        <v>217</v>
      </c>
      <c r="BF294" s="67" t="s">
        <v>6408</v>
      </c>
      <c r="BG294" s="68" t="s">
        <v>153</v>
      </c>
      <c r="BH294" s="69" t="s">
        <v>153</v>
      </c>
      <c r="BI294" s="70" t="s">
        <v>6409</v>
      </c>
      <c r="BJ294" s="71" t="s">
        <v>153</v>
      </c>
      <c r="BK294" s="72" t="s">
        <v>153</v>
      </c>
      <c r="BL294" s="73" t="s">
        <v>153</v>
      </c>
      <c r="BM294" s="74" t="s">
        <v>153</v>
      </c>
      <c r="BN294" s="75" t="s">
        <v>153</v>
      </c>
      <c r="BO294" s="76" t="s">
        <v>6410</v>
      </c>
      <c r="BP294" s="77" t="s">
        <v>6411</v>
      </c>
      <c r="BQ294" s="78">
        <v>32874</v>
      </c>
      <c r="BR294" s="79">
        <v>600</v>
      </c>
      <c r="BS294" s="80" t="s">
        <v>186</v>
      </c>
      <c r="BT294" s="81" t="s">
        <v>153</v>
      </c>
      <c r="BU294" s="82" t="s">
        <v>153</v>
      </c>
      <c r="BV294" s="83" t="s">
        <v>251</v>
      </c>
      <c r="BW294" s="84" t="s">
        <v>153</v>
      </c>
      <c r="BX294" s="85" t="s">
        <v>153</v>
      </c>
      <c r="BY294" s="86" t="s">
        <v>252</v>
      </c>
      <c r="BZ294" s="87" t="s">
        <v>153</v>
      </c>
      <c r="CA294" s="88" t="s">
        <v>190</v>
      </c>
      <c r="CB294" s="89">
        <v>43865</v>
      </c>
      <c r="CC294" s="90">
        <v>13000</v>
      </c>
      <c r="CD294" s="91" t="s">
        <v>186</v>
      </c>
      <c r="CE294" s="92">
        <v>13000</v>
      </c>
      <c r="CF294" s="93" t="s">
        <v>187</v>
      </c>
      <c r="CG294" s="94" t="s">
        <v>226</v>
      </c>
      <c r="CH294" s="95" t="s">
        <v>153</v>
      </c>
      <c r="CI294" s="96" t="s">
        <v>153</v>
      </c>
      <c r="CJ294" s="97" t="s">
        <v>225</v>
      </c>
      <c r="CK294" s="98">
        <v>43865</v>
      </c>
      <c r="CL294" s="99" t="s">
        <v>153</v>
      </c>
      <c r="CM294" s="100" t="s">
        <v>153</v>
      </c>
      <c r="CN294" s="101" t="s">
        <v>190</v>
      </c>
      <c r="CO294" s="102" t="s">
        <v>153</v>
      </c>
      <c r="CP294" s="103" t="s">
        <v>153</v>
      </c>
      <c r="CQ294" s="104" t="s">
        <v>153</v>
      </c>
      <c r="CR294" s="105" t="s">
        <v>153</v>
      </c>
      <c r="CS294" s="106" t="s">
        <v>153</v>
      </c>
      <c r="CT294" s="107" t="s">
        <v>153</v>
      </c>
      <c r="CU294" s="108" t="s">
        <v>153</v>
      </c>
      <c r="CV294" s="109" t="s">
        <v>153</v>
      </c>
      <c r="CW294" s="110" t="s">
        <v>153</v>
      </c>
      <c r="CX294" s="111" t="s">
        <v>153</v>
      </c>
      <c r="CY294" s="112" t="s">
        <v>153</v>
      </c>
      <c r="CZ294" s="113" t="s">
        <v>153</v>
      </c>
      <c r="DA294" s="114" t="s">
        <v>153</v>
      </c>
      <c r="DB294" s="115" t="s">
        <v>153</v>
      </c>
      <c r="DC294" s="116" t="s">
        <v>153</v>
      </c>
      <c r="DD294" s="117" t="s">
        <v>153</v>
      </c>
      <c r="DE294" s="118" t="s">
        <v>153</v>
      </c>
      <c r="DF294" s="119" t="s">
        <v>153</v>
      </c>
      <c r="DG294" s="120" t="s">
        <v>153</v>
      </c>
      <c r="DH294" s="121" t="s">
        <v>153</v>
      </c>
      <c r="DI294" s="122" t="s">
        <v>153</v>
      </c>
      <c r="DJ294" s="123" t="s">
        <v>153</v>
      </c>
      <c r="DK294" s="124" t="s">
        <v>153</v>
      </c>
      <c r="DL294" s="125" t="s">
        <v>153</v>
      </c>
      <c r="DM294" s="126" t="s">
        <v>153</v>
      </c>
      <c r="DN294" s="127" t="s">
        <v>153</v>
      </c>
      <c r="DO294" s="128" t="s">
        <v>153</v>
      </c>
      <c r="DP294" s="129" t="s">
        <v>153</v>
      </c>
      <c r="DQ294" s="130" t="s">
        <v>153</v>
      </c>
      <c r="DR294" s="131" t="s">
        <v>153</v>
      </c>
      <c r="DS294" s="132" t="s">
        <v>153</v>
      </c>
      <c r="DT294" s="133" t="s">
        <v>153</v>
      </c>
      <c r="DU294" s="134" t="s">
        <v>153</v>
      </c>
      <c r="DV294" s="135" t="s">
        <v>153</v>
      </c>
      <c r="DW294" s="136" t="s">
        <v>153</v>
      </c>
      <c r="DX294" s="137" t="s">
        <v>153</v>
      </c>
      <c r="DY294" s="138" t="s">
        <v>153</v>
      </c>
      <c r="DZ294" s="139" t="s">
        <v>191</v>
      </c>
      <c r="EA294" s="140">
        <v>44257</v>
      </c>
      <c r="EB294" s="141">
        <v>13000</v>
      </c>
      <c r="EC294" s="142">
        <v>43865</v>
      </c>
      <c r="ED294" s="143" t="s">
        <v>226</v>
      </c>
      <c r="EE294" s="278" t="str">
        <f>HYPERLINK("https://my.pitchbook.com?c=41074-66", "View company online")</f>
        <v>View company online</v>
      </c>
    </row>
    <row r="295" spans="1:135" x14ac:dyDescent="0.45">
      <c r="A295" s="144" t="s">
        <v>6412</v>
      </c>
      <c r="B295" s="145" t="s">
        <v>6413</v>
      </c>
      <c r="C295" s="146" t="s">
        <v>153</v>
      </c>
      <c r="D295" s="147" t="s">
        <v>153</v>
      </c>
      <c r="E295" s="148" t="s">
        <v>6414</v>
      </c>
      <c r="F295" s="149" t="s">
        <v>153</v>
      </c>
      <c r="G295" s="150" t="s">
        <v>6415</v>
      </c>
      <c r="H295" s="151" t="s">
        <v>6416</v>
      </c>
      <c r="I295" s="152" t="s">
        <v>6412</v>
      </c>
      <c r="J295" s="153" t="s">
        <v>6417</v>
      </c>
      <c r="K295" s="154" t="s">
        <v>792</v>
      </c>
      <c r="L295" s="155" t="s">
        <v>841</v>
      </c>
      <c r="M295" s="156" t="s">
        <v>842</v>
      </c>
      <c r="N295" s="157" t="s">
        <v>6418</v>
      </c>
      <c r="O295" s="158" t="s">
        <v>796</v>
      </c>
      <c r="P295" s="159" t="s">
        <v>6419</v>
      </c>
      <c r="Q295" s="160" t="s">
        <v>162</v>
      </c>
      <c r="R295" s="161" t="s">
        <v>153</v>
      </c>
      <c r="S295" s="162" t="s">
        <v>290</v>
      </c>
      <c r="T295" s="163" t="s">
        <v>164</v>
      </c>
      <c r="U295" s="164" t="s">
        <v>369</v>
      </c>
      <c r="V295" s="165" t="s">
        <v>6420</v>
      </c>
      <c r="W295" s="166">
        <v>75000</v>
      </c>
      <c r="X295" s="167" t="s">
        <v>6421</v>
      </c>
      <c r="Y295" s="168" t="s">
        <v>153</v>
      </c>
      <c r="Z295" s="169" t="s">
        <v>153</v>
      </c>
      <c r="AA295" s="170" t="s">
        <v>153</v>
      </c>
      <c r="AB295" s="171" t="s">
        <v>153</v>
      </c>
      <c r="AC295" s="172" t="s">
        <v>153</v>
      </c>
      <c r="AD295" s="173" t="s">
        <v>428</v>
      </c>
      <c r="AE295" s="174" t="s">
        <v>153</v>
      </c>
      <c r="AF295" s="175" t="s">
        <v>153</v>
      </c>
      <c r="AG295" s="176" t="s">
        <v>153</v>
      </c>
      <c r="AH295" s="177" t="s">
        <v>153</v>
      </c>
      <c r="AI295" s="178" t="s">
        <v>153</v>
      </c>
      <c r="AJ295" s="179" t="s">
        <v>153</v>
      </c>
      <c r="AK295" s="180" t="s">
        <v>153</v>
      </c>
      <c r="AL295" s="181" t="s">
        <v>153</v>
      </c>
      <c r="AM295" s="182" t="s">
        <v>153</v>
      </c>
      <c r="AN295" s="183" t="s">
        <v>918</v>
      </c>
      <c r="AO295" s="184" t="s">
        <v>6422</v>
      </c>
      <c r="AP295" s="185" t="s">
        <v>6423</v>
      </c>
      <c r="AQ295" s="186" t="s">
        <v>512</v>
      </c>
      <c r="AR295" s="187" t="s">
        <v>6424</v>
      </c>
      <c r="AS295" s="188" t="s">
        <v>6425</v>
      </c>
      <c r="AT295" s="189" t="s">
        <v>6426</v>
      </c>
      <c r="AU295" s="190" t="s">
        <v>6427</v>
      </c>
      <c r="AV295" s="191" t="s">
        <v>6428</v>
      </c>
      <c r="AW295" s="192" t="s">
        <v>6429</v>
      </c>
      <c r="AX295" s="193" t="s">
        <v>153</v>
      </c>
      <c r="AY295" s="194" t="s">
        <v>6430</v>
      </c>
      <c r="AZ295" s="195" t="s">
        <v>3046</v>
      </c>
      <c r="BA295" s="196" t="s">
        <v>6425</v>
      </c>
      <c r="BB295" s="197" t="s">
        <v>153</v>
      </c>
      <c r="BC295" s="198" t="s">
        <v>153</v>
      </c>
      <c r="BD295" s="199" t="s">
        <v>1406</v>
      </c>
      <c r="BE295" s="200" t="s">
        <v>3047</v>
      </c>
      <c r="BF295" s="201" t="s">
        <v>6431</v>
      </c>
      <c r="BG295" s="202" t="s">
        <v>6432</v>
      </c>
      <c r="BH295" s="203">
        <v>4</v>
      </c>
      <c r="BI295" s="204" t="s">
        <v>153</v>
      </c>
      <c r="BJ295" s="205" t="s">
        <v>153</v>
      </c>
      <c r="BK295" s="206" t="s">
        <v>153</v>
      </c>
      <c r="BL295" s="207" t="s">
        <v>6433</v>
      </c>
      <c r="BM295" s="208" t="s">
        <v>153</v>
      </c>
      <c r="BN295" s="209" t="s">
        <v>153</v>
      </c>
      <c r="BO295" s="210" t="s">
        <v>153</v>
      </c>
      <c r="BP295" s="211" t="s">
        <v>6434</v>
      </c>
      <c r="BQ295" s="212">
        <v>34913</v>
      </c>
      <c r="BR295" s="213" t="s">
        <v>153</v>
      </c>
      <c r="BS295" s="214" t="s">
        <v>153</v>
      </c>
      <c r="BT295" s="215" t="s">
        <v>153</v>
      </c>
      <c r="BU295" s="216" t="s">
        <v>153</v>
      </c>
      <c r="BV295" s="217" t="s">
        <v>251</v>
      </c>
      <c r="BW295" s="218" t="s">
        <v>153</v>
      </c>
      <c r="BX295" s="219" t="s">
        <v>153</v>
      </c>
      <c r="BY295" s="220" t="s">
        <v>252</v>
      </c>
      <c r="BZ295" s="221" t="s">
        <v>153</v>
      </c>
      <c r="CA295" s="222" t="s">
        <v>190</v>
      </c>
      <c r="CB295" s="223">
        <v>42908</v>
      </c>
      <c r="CC295" s="224">
        <v>12900</v>
      </c>
      <c r="CD295" s="225" t="s">
        <v>186</v>
      </c>
      <c r="CE295" s="226">
        <v>13123.09</v>
      </c>
      <c r="CF295" s="227" t="s">
        <v>153</v>
      </c>
      <c r="CG295" s="228" t="s">
        <v>226</v>
      </c>
      <c r="CH295" s="229" t="s">
        <v>153</v>
      </c>
      <c r="CI295" s="230" t="s">
        <v>153</v>
      </c>
      <c r="CJ295" s="231" t="s">
        <v>165</v>
      </c>
      <c r="CK295" s="232">
        <v>42908</v>
      </c>
      <c r="CL295" s="233">
        <v>3.9</v>
      </c>
      <c r="CM295" s="234" t="s">
        <v>6435</v>
      </c>
      <c r="CN295" s="235" t="s">
        <v>190</v>
      </c>
      <c r="CO295" s="236">
        <v>-0.98</v>
      </c>
      <c r="CP295" s="237">
        <v>3</v>
      </c>
      <c r="CQ295" s="238">
        <v>-0.08</v>
      </c>
      <c r="CR295" s="239">
        <v>-9.09</v>
      </c>
      <c r="CS295" s="240">
        <v>-2.2799999999999998</v>
      </c>
      <c r="CT295" s="241">
        <v>2</v>
      </c>
      <c r="CU295" s="242">
        <v>0.32</v>
      </c>
      <c r="CV295" s="243">
        <v>94</v>
      </c>
      <c r="CW295" s="244">
        <v>-4.8099999999999996</v>
      </c>
      <c r="CX295" s="245">
        <v>5</v>
      </c>
      <c r="CY295" s="246">
        <v>0.25</v>
      </c>
      <c r="CZ295" s="247">
        <v>92</v>
      </c>
      <c r="DA295" s="248">
        <v>0.32</v>
      </c>
      <c r="DB295" s="249">
        <v>94</v>
      </c>
      <c r="DC295" s="250">
        <v>20.14</v>
      </c>
      <c r="DD295" s="251">
        <v>96</v>
      </c>
      <c r="DE295" s="252">
        <v>0.05</v>
      </c>
      <c r="DF295" s="253">
        <v>0.25</v>
      </c>
      <c r="DG295" s="254">
        <v>11.52</v>
      </c>
      <c r="DH295" s="255">
        <v>92</v>
      </c>
      <c r="DI295" s="256">
        <v>28.75</v>
      </c>
      <c r="DJ295" s="257">
        <v>94</v>
      </c>
      <c r="DK295" s="258">
        <v>7.3</v>
      </c>
      <c r="DL295" s="259">
        <v>83</v>
      </c>
      <c r="DM295" s="260">
        <v>15.75</v>
      </c>
      <c r="DN295" s="261">
        <v>94</v>
      </c>
      <c r="DO295" s="262">
        <v>28.75</v>
      </c>
      <c r="DP295" s="263">
        <v>94</v>
      </c>
      <c r="DQ295" s="264">
        <v>4382</v>
      </c>
      <c r="DR295" s="265">
        <v>-202</v>
      </c>
      <c r="DS295" s="266">
        <v>-4.41</v>
      </c>
      <c r="DT295" s="267">
        <v>253</v>
      </c>
      <c r="DU295" s="268">
        <v>-2</v>
      </c>
      <c r="DV295" s="269">
        <v>-0.78</v>
      </c>
      <c r="DW295" s="270">
        <v>9025</v>
      </c>
      <c r="DX295" s="271">
        <v>6</v>
      </c>
      <c r="DY295" s="272">
        <v>7.0000000000000007E-2</v>
      </c>
      <c r="DZ295" s="273" t="s">
        <v>191</v>
      </c>
      <c r="EA295" s="274">
        <v>44300</v>
      </c>
      <c r="EB295" s="275">
        <v>13123.09</v>
      </c>
      <c r="EC295" s="276">
        <v>42908</v>
      </c>
      <c r="ED295" s="277" t="s">
        <v>226</v>
      </c>
      <c r="EE295" s="279" t="str">
        <f>HYPERLINK("https://my.pitchbook.com?c=119120-95", "View company online")</f>
        <v>View company online</v>
      </c>
    </row>
    <row r="296" spans="1:135" x14ac:dyDescent="0.45">
      <c r="A296" s="10" t="s">
        <v>6436</v>
      </c>
      <c r="B296" s="11" t="s">
        <v>6437</v>
      </c>
      <c r="C296" s="12" t="s">
        <v>153</v>
      </c>
      <c r="D296" s="13" t="s">
        <v>153</v>
      </c>
      <c r="E296" s="14" t="s">
        <v>6438</v>
      </c>
      <c r="F296" s="15" t="s">
        <v>6439</v>
      </c>
      <c r="G296" s="16" t="s">
        <v>6440</v>
      </c>
      <c r="H296" s="17" t="s">
        <v>6441</v>
      </c>
      <c r="I296" s="18" t="s">
        <v>6436</v>
      </c>
      <c r="J296" s="19" t="s">
        <v>6442</v>
      </c>
      <c r="K296" s="20" t="s">
        <v>882</v>
      </c>
      <c r="L296" s="21" t="s">
        <v>883</v>
      </c>
      <c r="M296" s="22" t="s">
        <v>3626</v>
      </c>
      <c r="N296" s="23" t="s">
        <v>6443</v>
      </c>
      <c r="O296" s="24" t="s">
        <v>6444</v>
      </c>
      <c r="P296" s="25" t="s">
        <v>6445</v>
      </c>
      <c r="Q296" s="26" t="s">
        <v>204</v>
      </c>
      <c r="R296" s="27" t="s">
        <v>153</v>
      </c>
      <c r="S296" s="28" t="s">
        <v>290</v>
      </c>
      <c r="T296" s="29" t="s">
        <v>164</v>
      </c>
      <c r="U296" s="30" t="s">
        <v>237</v>
      </c>
      <c r="V296" s="31" t="s">
        <v>6446</v>
      </c>
      <c r="W296" s="32">
        <v>24000</v>
      </c>
      <c r="X296" s="33" t="s">
        <v>6447</v>
      </c>
      <c r="Y296" s="34" t="s">
        <v>153</v>
      </c>
      <c r="Z296" s="35" t="s">
        <v>153</v>
      </c>
      <c r="AA296" s="36">
        <v>1920</v>
      </c>
      <c r="AB296" s="37" t="s">
        <v>6448</v>
      </c>
      <c r="AC296" s="38" t="s">
        <v>153</v>
      </c>
      <c r="AD296" s="39" t="s">
        <v>153</v>
      </c>
      <c r="AE296" s="40" t="s">
        <v>153</v>
      </c>
      <c r="AF296" s="41" t="s">
        <v>153</v>
      </c>
      <c r="AG296" s="42" t="s">
        <v>153</v>
      </c>
      <c r="AH296" s="43" t="s">
        <v>153</v>
      </c>
      <c r="AI296" s="44" t="s">
        <v>153</v>
      </c>
      <c r="AJ296" s="45" t="s">
        <v>153</v>
      </c>
      <c r="AK296" s="46" t="s">
        <v>153</v>
      </c>
      <c r="AL296" s="47" t="s">
        <v>153</v>
      </c>
      <c r="AM296" s="48" t="s">
        <v>153</v>
      </c>
      <c r="AN296" s="49" t="s">
        <v>918</v>
      </c>
      <c r="AO296" s="50" t="s">
        <v>153</v>
      </c>
      <c r="AP296" s="51" t="s">
        <v>153</v>
      </c>
      <c r="AQ296" s="52" t="s">
        <v>153</v>
      </c>
      <c r="AR296" s="53" t="s">
        <v>153</v>
      </c>
      <c r="AS296" s="54" t="s">
        <v>153</v>
      </c>
      <c r="AT296" s="55" t="s">
        <v>1124</v>
      </c>
      <c r="AU296" s="56" t="s">
        <v>6449</v>
      </c>
      <c r="AV296" s="57" t="s">
        <v>6450</v>
      </c>
      <c r="AW296" s="58" t="s">
        <v>1127</v>
      </c>
      <c r="AX296" s="59" t="s">
        <v>1128</v>
      </c>
      <c r="AY296" s="60" t="s">
        <v>6451</v>
      </c>
      <c r="AZ296" s="61" t="s">
        <v>215</v>
      </c>
      <c r="BA296" s="62" t="s">
        <v>153</v>
      </c>
      <c r="BB296" s="63" t="s">
        <v>153</v>
      </c>
      <c r="BC296" s="64" t="s">
        <v>153</v>
      </c>
      <c r="BD296" s="65" t="s">
        <v>216</v>
      </c>
      <c r="BE296" s="66" t="s">
        <v>217</v>
      </c>
      <c r="BF296" s="67" t="s">
        <v>6452</v>
      </c>
      <c r="BG296" s="68" t="s">
        <v>153</v>
      </c>
      <c r="BH296" s="69" t="s">
        <v>153</v>
      </c>
      <c r="BI296" s="70" t="s">
        <v>6448</v>
      </c>
      <c r="BJ296" s="71" t="s">
        <v>153</v>
      </c>
      <c r="BK296" s="72" t="s">
        <v>153</v>
      </c>
      <c r="BL296" s="73" t="s">
        <v>153</v>
      </c>
      <c r="BM296" s="74" t="s">
        <v>153</v>
      </c>
      <c r="BN296" s="75" t="s">
        <v>153</v>
      </c>
      <c r="BO296" s="76" t="s">
        <v>6453</v>
      </c>
      <c r="BP296" s="77" t="s">
        <v>6454</v>
      </c>
      <c r="BQ296" s="78">
        <v>34912</v>
      </c>
      <c r="BR296" s="79" t="s">
        <v>153</v>
      </c>
      <c r="BS296" s="80" t="s">
        <v>153</v>
      </c>
      <c r="BT296" s="81">
        <v>559.4</v>
      </c>
      <c r="BU296" s="82" t="s">
        <v>186</v>
      </c>
      <c r="BV296" s="83" t="s">
        <v>251</v>
      </c>
      <c r="BW296" s="84" t="s">
        <v>153</v>
      </c>
      <c r="BX296" s="85" t="s">
        <v>153</v>
      </c>
      <c r="BY296" s="86" t="s">
        <v>252</v>
      </c>
      <c r="BZ296" s="87" t="s">
        <v>153</v>
      </c>
      <c r="CA296" s="88" t="s">
        <v>190</v>
      </c>
      <c r="CB296" s="89">
        <v>42461</v>
      </c>
      <c r="CC296" s="90">
        <v>12803</v>
      </c>
      <c r="CD296" s="91" t="s">
        <v>186</v>
      </c>
      <c r="CE296" s="92">
        <v>12803</v>
      </c>
      <c r="CF296" s="93" t="s">
        <v>187</v>
      </c>
      <c r="CG296" s="94" t="s">
        <v>226</v>
      </c>
      <c r="CH296" s="95" t="s">
        <v>153</v>
      </c>
      <c r="CI296" s="96" t="s">
        <v>153</v>
      </c>
      <c r="CJ296" s="97" t="s">
        <v>225</v>
      </c>
      <c r="CK296" s="98">
        <v>42461</v>
      </c>
      <c r="CL296" s="99" t="s">
        <v>153</v>
      </c>
      <c r="CM296" s="100" t="s">
        <v>153</v>
      </c>
      <c r="CN296" s="101" t="s">
        <v>190</v>
      </c>
      <c r="CO296" s="102">
        <v>-0.02</v>
      </c>
      <c r="CP296" s="103">
        <v>10</v>
      </c>
      <c r="CQ296" s="104">
        <v>-0.08</v>
      </c>
      <c r="CR296" s="105">
        <v>-136.74</v>
      </c>
      <c r="CS296" s="106">
        <v>0.04</v>
      </c>
      <c r="CT296" s="107">
        <v>89</v>
      </c>
      <c r="CU296" s="108">
        <v>-0.08</v>
      </c>
      <c r="CV296" s="109">
        <v>24</v>
      </c>
      <c r="CW296" s="110" t="s">
        <v>153</v>
      </c>
      <c r="CX296" s="111" t="s">
        <v>153</v>
      </c>
      <c r="CY296" s="112">
        <v>0.04</v>
      </c>
      <c r="CZ296" s="113">
        <v>90</v>
      </c>
      <c r="DA296" s="114">
        <v>-0.08</v>
      </c>
      <c r="DB296" s="115">
        <v>24</v>
      </c>
      <c r="DC296" s="116">
        <v>33.880000000000003</v>
      </c>
      <c r="DD296" s="117">
        <v>98</v>
      </c>
      <c r="DE296" s="118">
        <v>0.03</v>
      </c>
      <c r="DF296" s="119">
        <v>0.08</v>
      </c>
      <c r="DG296" s="120">
        <v>59.38</v>
      </c>
      <c r="DH296" s="121">
        <v>99</v>
      </c>
      <c r="DI296" s="122">
        <v>8.3800000000000008</v>
      </c>
      <c r="DJ296" s="123">
        <v>84</v>
      </c>
      <c r="DK296" s="124" t="s">
        <v>153</v>
      </c>
      <c r="DL296" s="125" t="s">
        <v>153</v>
      </c>
      <c r="DM296" s="126">
        <v>59.38</v>
      </c>
      <c r="DN296" s="127">
        <v>99</v>
      </c>
      <c r="DO296" s="128">
        <v>8.3800000000000008</v>
      </c>
      <c r="DP296" s="129">
        <v>84</v>
      </c>
      <c r="DQ296" s="130" t="s">
        <v>153</v>
      </c>
      <c r="DR296" s="131" t="s">
        <v>153</v>
      </c>
      <c r="DS296" s="132" t="s">
        <v>153</v>
      </c>
      <c r="DT296" s="133">
        <v>950</v>
      </c>
      <c r="DU296" s="134">
        <v>0</v>
      </c>
      <c r="DV296" s="135">
        <v>0</v>
      </c>
      <c r="DW296" s="136">
        <v>2630</v>
      </c>
      <c r="DX296" s="137">
        <v>0</v>
      </c>
      <c r="DY296" s="138">
        <v>0</v>
      </c>
      <c r="DZ296" s="139" t="s">
        <v>191</v>
      </c>
      <c r="EA296" s="140">
        <v>44294</v>
      </c>
      <c r="EB296" s="141">
        <v>12803</v>
      </c>
      <c r="EC296" s="142">
        <v>42461</v>
      </c>
      <c r="ED296" s="143" t="s">
        <v>226</v>
      </c>
      <c r="EE296" s="278" t="str">
        <f>HYPERLINK("https://my.pitchbook.com?c=41282-47", "View company online")</f>
        <v>View company online</v>
      </c>
    </row>
    <row r="297" spans="1:135" x14ac:dyDescent="0.45">
      <c r="A297" s="144" t="s">
        <v>6455</v>
      </c>
      <c r="B297" s="145" t="s">
        <v>6456</v>
      </c>
      <c r="C297" s="146" t="s">
        <v>153</v>
      </c>
      <c r="D297" s="147" t="s">
        <v>153</v>
      </c>
      <c r="E297" s="148" t="s">
        <v>6457</v>
      </c>
      <c r="F297" s="149" t="s">
        <v>153</v>
      </c>
      <c r="G297" s="150" t="s">
        <v>6458</v>
      </c>
      <c r="H297" s="151" t="s">
        <v>153</v>
      </c>
      <c r="I297" s="152" t="s">
        <v>6455</v>
      </c>
      <c r="J297" s="153" t="s">
        <v>6459</v>
      </c>
      <c r="K297" s="154" t="s">
        <v>257</v>
      </c>
      <c r="L297" s="155" t="s">
        <v>5591</v>
      </c>
      <c r="M297" s="156" t="s">
        <v>6255</v>
      </c>
      <c r="N297" s="157" t="s">
        <v>6460</v>
      </c>
      <c r="O297" s="158" t="s">
        <v>399</v>
      </c>
      <c r="P297" s="159" t="s">
        <v>6461</v>
      </c>
      <c r="Q297" s="160" t="s">
        <v>204</v>
      </c>
      <c r="R297" s="161">
        <v>15.79</v>
      </c>
      <c r="S297" s="162" t="s">
        <v>290</v>
      </c>
      <c r="T297" s="163" t="s">
        <v>205</v>
      </c>
      <c r="U297" s="164" t="s">
        <v>5485</v>
      </c>
      <c r="V297" s="165" t="s">
        <v>6462</v>
      </c>
      <c r="W297" s="166">
        <v>4500</v>
      </c>
      <c r="X297" s="167" t="s">
        <v>6463</v>
      </c>
      <c r="Y297" s="168" t="s">
        <v>153</v>
      </c>
      <c r="Z297" s="169" t="s">
        <v>153</v>
      </c>
      <c r="AA297" s="170">
        <v>1993</v>
      </c>
      <c r="AB297" s="171" t="s">
        <v>153</v>
      </c>
      <c r="AC297" s="172" t="s">
        <v>153</v>
      </c>
      <c r="AD297" s="173" t="s">
        <v>153</v>
      </c>
      <c r="AE297" s="174" t="s">
        <v>153</v>
      </c>
      <c r="AF297" s="175" t="s">
        <v>153</v>
      </c>
      <c r="AG297" s="176" t="s">
        <v>153</v>
      </c>
      <c r="AH297" s="177" t="s">
        <v>153</v>
      </c>
      <c r="AI297" s="178" t="s">
        <v>153</v>
      </c>
      <c r="AJ297" s="179" t="s">
        <v>153</v>
      </c>
      <c r="AK297" s="180" t="s">
        <v>153</v>
      </c>
      <c r="AL297" s="181" t="s">
        <v>153</v>
      </c>
      <c r="AM297" s="182" t="s">
        <v>153</v>
      </c>
      <c r="AN297" s="183" t="s">
        <v>1046</v>
      </c>
      <c r="AO297" s="184" t="s">
        <v>6464</v>
      </c>
      <c r="AP297" s="185" t="s">
        <v>6465</v>
      </c>
      <c r="AQ297" s="186" t="s">
        <v>6466</v>
      </c>
      <c r="AR297" s="187" t="s">
        <v>6467</v>
      </c>
      <c r="AS297" s="188" t="s">
        <v>6468</v>
      </c>
      <c r="AT297" s="189" t="s">
        <v>6469</v>
      </c>
      <c r="AU297" s="190" t="s">
        <v>6470</v>
      </c>
      <c r="AV297" s="191" t="s">
        <v>153</v>
      </c>
      <c r="AW297" s="192" t="s">
        <v>6471</v>
      </c>
      <c r="AX297" s="193" t="s">
        <v>783</v>
      </c>
      <c r="AY297" s="194" t="s">
        <v>6472</v>
      </c>
      <c r="AZ297" s="195" t="s">
        <v>215</v>
      </c>
      <c r="BA297" s="196" t="s">
        <v>6468</v>
      </c>
      <c r="BB297" s="197" t="s">
        <v>6473</v>
      </c>
      <c r="BC297" s="198" t="s">
        <v>153</v>
      </c>
      <c r="BD297" s="199" t="s">
        <v>216</v>
      </c>
      <c r="BE297" s="200" t="s">
        <v>217</v>
      </c>
      <c r="BF297" s="201" t="s">
        <v>6474</v>
      </c>
      <c r="BG297" s="202" t="s">
        <v>153</v>
      </c>
      <c r="BH297" s="203" t="s">
        <v>153</v>
      </c>
      <c r="BI297" s="204" t="s">
        <v>6475</v>
      </c>
      <c r="BJ297" s="205" t="s">
        <v>6476</v>
      </c>
      <c r="BK297" s="206" t="s">
        <v>153</v>
      </c>
      <c r="BL297" s="207" t="s">
        <v>153</v>
      </c>
      <c r="BM297" s="208" t="s">
        <v>6477</v>
      </c>
      <c r="BN297" s="209" t="s">
        <v>153</v>
      </c>
      <c r="BO297" s="210" t="s">
        <v>6478</v>
      </c>
      <c r="BP297" s="211" t="s">
        <v>6479</v>
      </c>
      <c r="BQ297" s="212" t="s">
        <v>153</v>
      </c>
      <c r="BR297" s="213" t="s">
        <v>153</v>
      </c>
      <c r="BS297" s="214" t="s">
        <v>153</v>
      </c>
      <c r="BT297" s="215" t="s">
        <v>153</v>
      </c>
      <c r="BU297" s="216" t="s">
        <v>153</v>
      </c>
      <c r="BV297" s="217" t="s">
        <v>471</v>
      </c>
      <c r="BW297" s="218" t="s">
        <v>153</v>
      </c>
      <c r="BX297" s="219" t="s">
        <v>153</v>
      </c>
      <c r="BY297" s="220" t="s">
        <v>472</v>
      </c>
      <c r="BZ297" s="221" t="s">
        <v>153</v>
      </c>
      <c r="CA297" s="222" t="s">
        <v>190</v>
      </c>
      <c r="CB297" s="223">
        <v>42208</v>
      </c>
      <c r="CC297" s="224">
        <v>12800</v>
      </c>
      <c r="CD297" s="225" t="s">
        <v>186</v>
      </c>
      <c r="CE297" s="226">
        <v>12800</v>
      </c>
      <c r="CF297" s="227" t="s">
        <v>186</v>
      </c>
      <c r="CG297" s="228" t="s">
        <v>226</v>
      </c>
      <c r="CH297" s="229" t="s">
        <v>930</v>
      </c>
      <c r="CI297" s="230" t="s">
        <v>153</v>
      </c>
      <c r="CJ297" s="231" t="s">
        <v>225</v>
      </c>
      <c r="CK297" s="232">
        <v>42208</v>
      </c>
      <c r="CL297" s="233" t="s">
        <v>153</v>
      </c>
      <c r="CM297" s="234" t="s">
        <v>153</v>
      </c>
      <c r="CN297" s="235" t="s">
        <v>190</v>
      </c>
      <c r="CO297" s="236" t="s">
        <v>153</v>
      </c>
      <c r="CP297" s="237" t="s">
        <v>153</v>
      </c>
      <c r="CQ297" s="238" t="s">
        <v>153</v>
      </c>
      <c r="CR297" s="239" t="s">
        <v>153</v>
      </c>
      <c r="CS297" s="240" t="s">
        <v>153</v>
      </c>
      <c r="CT297" s="241" t="s">
        <v>153</v>
      </c>
      <c r="CU297" s="242" t="s">
        <v>153</v>
      </c>
      <c r="CV297" s="243" t="s">
        <v>153</v>
      </c>
      <c r="CW297" s="244" t="s">
        <v>153</v>
      </c>
      <c r="CX297" s="245" t="s">
        <v>153</v>
      </c>
      <c r="CY297" s="246" t="s">
        <v>153</v>
      </c>
      <c r="CZ297" s="247" t="s">
        <v>153</v>
      </c>
      <c r="DA297" s="248" t="s">
        <v>153</v>
      </c>
      <c r="DB297" s="249" t="s">
        <v>153</v>
      </c>
      <c r="DC297" s="250" t="s">
        <v>153</v>
      </c>
      <c r="DD297" s="251" t="s">
        <v>153</v>
      </c>
      <c r="DE297" s="252" t="s">
        <v>153</v>
      </c>
      <c r="DF297" s="253" t="s">
        <v>153</v>
      </c>
      <c r="DG297" s="254" t="s">
        <v>153</v>
      </c>
      <c r="DH297" s="255" t="s">
        <v>153</v>
      </c>
      <c r="DI297" s="256" t="s">
        <v>153</v>
      </c>
      <c r="DJ297" s="257" t="s">
        <v>153</v>
      </c>
      <c r="DK297" s="258" t="s">
        <v>153</v>
      </c>
      <c r="DL297" s="259" t="s">
        <v>153</v>
      </c>
      <c r="DM297" s="260" t="s">
        <v>153</v>
      </c>
      <c r="DN297" s="261" t="s">
        <v>153</v>
      </c>
      <c r="DO297" s="262" t="s">
        <v>153</v>
      </c>
      <c r="DP297" s="263" t="s">
        <v>153</v>
      </c>
      <c r="DQ297" s="264" t="s">
        <v>153</v>
      </c>
      <c r="DR297" s="265" t="s">
        <v>153</v>
      </c>
      <c r="DS297" s="266" t="s">
        <v>153</v>
      </c>
      <c r="DT297" s="267" t="s">
        <v>153</v>
      </c>
      <c r="DU297" s="268" t="s">
        <v>153</v>
      </c>
      <c r="DV297" s="269" t="s">
        <v>153</v>
      </c>
      <c r="DW297" s="270" t="s">
        <v>153</v>
      </c>
      <c r="DX297" s="271" t="s">
        <v>153</v>
      </c>
      <c r="DY297" s="272" t="s">
        <v>153</v>
      </c>
      <c r="DZ297" s="273" t="s">
        <v>191</v>
      </c>
      <c r="EA297" s="274">
        <v>44218</v>
      </c>
      <c r="EB297" s="275">
        <v>12800</v>
      </c>
      <c r="EC297" s="276">
        <v>42208</v>
      </c>
      <c r="ED297" s="277" t="s">
        <v>226</v>
      </c>
      <c r="EE297" s="279" t="str">
        <f>HYPERLINK("https://my.pitchbook.com?c=12866-68", "View company online")</f>
        <v>View company online</v>
      </c>
    </row>
    <row r="298" spans="1:135" x14ac:dyDescent="0.45">
      <c r="A298" s="10" t="s">
        <v>6480</v>
      </c>
      <c r="B298" s="11" t="s">
        <v>6481</v>
      </c>
      <c r="C298" s="12" t="s">
        <v>153</v>
      </c>
      <c r="D298" s="13" t="s">
        <v>153</v>
      </c>
      <c r="E298" s="14" t="s">
        <v>6482</v>
      </c>
      <c r="F298" s="15" t="s">
        <v>6483</v>
      </c>
      <c r="G298" s="16" t="s">
        <v>6484</v>
      </c>
      <c r="H298" s="17" t="s">
        <v>6485</v>
      </c>
      <c r="I298" s="18" t="s">
        <v>6480</v>
      </c>
      <c r="J298" s="19" t="s">
        <v>6486</v>
      </c>
      <c r="K298" s="20" t="s">
        <v>198</v>
      </c>
      <c r="L298" s="21" t="s">
        <v>984</v>
      </c>
      <c r="M298" s="22" t="s">
        <v>1165</v>
      </c>
      <c r="N298" s="23" t="s">
        <v>1166</v>
      </c>
      <c r="O298" s="24" t="s">
        <v>1167</v>
      </c>
      <c r="P298" s="25" t="s">
        <v>6487</v>
      </c>
      <c r="Q298" s="26" t="s">
        <v>564</v>
      </c>
      <c r="R298" s="27">
        <v>6589.47</v>
      </c>
      <c r="S298" s="28" t="s">
        <v>290</v>
      </c>
      <c r="T298" s="29" t="s">
        <v>164</v>
      </c>
      <c r="U298" s="30" t="s">
        <v>2534</v>
      </c>
      <c r="V298" s="31" t="s">
        <v>153</v>
      </c>
      <c r="W298" s="32">
        <v>8000</v>
      </c>
      <c r="X298" s="33" t="s">
        <v>6488</v>
      </c>
      <c r="Y298" s="34" t="s">
        <v>153</v>
      </c>
      <c r="Z298" s="35" t="s">
        <v>153</v>
      </c>
      <c r="AA298" s="36">
        <v>1989</v>
      </c>
      <c r="AB298" s="37" t="s">
        <v>1054</v>
      </c>
      <c r="AC298" s="38" t="s">
        <v>153</v>
      </c>
      <c r="AD298" s="39" t="s">
        <v>153</v>
      </c>
      <c r="AE298" s="40" t="s">
        <v>153</v>
      </c>
      <c r="AF298" s="41" t="s">
        <v>153</v>
      </c>
      <c r="AG298" s="42" t="s">
        <v>153</v>
      </c>
      <c r="AH298" s="43" t="s">
        <v>153</v>
      </c>
      <c r="AI298" s="44" t="s">
        <v>153</v>
      </c>
      <c r="AJ298" s="45" t="s">
        <v>153</v>
      </c>
      <c r="AK298" s="46" t="s">
        <v>153</v>
      </c>
      <c r="AL298" s="47" t="s">
        <v>153</v>
      </c>
      <c r="AM298" s="48" t="s">
        <v>153</v>
      </c>
      <c r="AN298" s="49" t="s">
        <v>2675</v>
      </c>
      <c r="AO298" s="50" t="s">
        <v>153</v>
      </c>
      <c r="AP298" s="51" t="s">
        <v>153</v>
      </c>
      <c r="AQ298" s="52" t="s">
        <v>153</v>
      </c>
      <c r="AR298" s="53" t="s">
        <v>153</v>
      </c>
      <c r="AS298" s="54" t="s">
        <v>153</v>
      </c>
      <c r="AT298" s="55" t="s">
        <v>1071</v>
      </c>
      <c r="AU298" s="56" t="s">
        <v>1072</v>
      </c>
      <c r="AV298" s="57" t="s">
        <v>1073</v>
      </c>
      <c r="AW298" s="58" t="s">
        <v>1074</v>
      </c>
      <c r="AX298" s="59" t="s">
        <v>177</v>
      </c>
      <c r="AY298" s="60" t="s">
        <v>1075</v>
      </c>
      <c r="AZ298" s="61" t="s">
        <v>179</v>
      </c>
      <c r="BA298" s="62" t="s">
        <v>153</v>
      </c>
      <c r="BB298" s="63" t="s">
        <v>153</v>
      </c>
      <c r="BC298" s="64" t="s">
        <v>153</v>
      </c>
      <c r="BD298" s="65" t="s">
        <v>180</v>
      </c>
      <c r="BE298" s="66" t="s">
        <v>181</v>
      </c>
      <c r="BF298" s="67" t="s">
        <v>6489</v>
      </c>
      <c r="BG298" s="68" t="s">
        <v>153</v>
      </c>
      <c r="BH298" s="69" t="s">
        <v>153</v>
      </c>
      <c r="BI298" s="70" t="s">
        <v>1054</v>
      </c>
      <c r="BJ298" s="71" t="s">
        <v>6490</v>
      </c>
      <c r="BK298" s="72" t="s">
        <v>6491</v>
      </c>
      <c r="BL298" s="73" t="s">
        <v>153</v>
      </c>
      <c r="BM298" s="74" t="s">
        <v>6492</v>
      </c>
      <c r="BN298" s="75" t="s">
        <v>6493</v>
      </c>
      <c r="BO298" s="76" t="s">
        <v>6494</v>
      </c>
      <c r="BP298" s="77" t="s">
        <v>6495</v>
      </c>
      <c r="BQ298" s="78">
        <v>37408</v>
      </c>
      <c r="BR298" s="79" t="s">
        <v>153</v>
      </c>
      <c r="BS298" s="80" t="s">
        <v>153</v>
      </c>
      <c r="BT298" s="81" t="s">
        <v>153</v>
      </c>
      <c r="BU298" s="82" t="s">
        <v>153</v>
      </c>
      <c r="BV298" s="83" t="s">
        <v>226</v>
      </c>
      <c r="BW298" s="84" t="s">
        <v>153</v>
      </c>
      <c r="BX298" s="85" t="s">
        <v>153</v>
      </c>
      <c r="BY298" s="86" t="s">
        <v>225</v>
      </c>
      <c r="BZ298" s="87" t="s">
        <v>153</v>
      </c>
      <c r="CA298" s="88" t="s">
        <v>190</v>
      </c>
      <c r="CB298" s="89">
        <v>43116</v>
      </c>
      <c r="CC298" s="90">
        <v>12610.39</v>
      </c>
      <c r="CD298" s="91" t="s">
        <v>186</v>
      </c>
      <c r="CE298" s="92">
        <v>12610.39</v>
      </c>
      <c r="CF298" s="93" t="s">
        <v>186</v>
      </c>
      <c r="CG298" s="94" t="s">
        <v>226</v>
      </c>
      <c r="CH298" s="95" t="s">
        <v>153</v>
      </c>
      <c r="CI298" s="96" t="s">
        <v>153</v>
      </c>
      <c r="CJ298" s="97" t="s">
        <v>225</v>
      </c>
      <c r="CK298" s="98">
        <v>43116</v>
      </c>
      <c r="CL298" s="99" t="s">
        <v>153</v>
      </c>
      <c r="CM298" s="100" t="s">
        <v>153</v>
      </c>
      <c r="CN298" s="101" t="s">
        <v>190</v>
      </c>
      <c r="CO298" s="102" t="s">
        <v>153</v>
      </c>
      <c r="CP298" s="103" t="s">
        <v>153</v>
      </c>
      <c r="CQ298" s="104" t="s">
        <v>153</v>
      </c>
      <c r="CR298" s="105" t="s">
        <v>153</v>
      </c>
      <c r="CS298" s="106" t="s">
        <v>153</v>
      </c>
      <c r="CT298" s="107" t="s">
        <v>153</v>
      </c>
      <c r="CU298" s="108" t="s">
        <v>153</v>
      </c>
      <c r="CV298" s="109" t="s">
        <v>153</v>
      </c>
      <c r="CW298" s="110" t="s">
        <v>153</v>
      </c>
      <c r="CX298" s="111" t="s">
        <v>153</v>
      </c>
      <c r="CY298" s="112" t="s">
        <v>153</v>
      </c>
      <c r="CZ298" s="113" t="s">
        <v>153</v>
      </c>
      <c r="DA298" s="114" t="s">
        <v>153</v>
      </c>
      <c r="DB298" s="115" t="s">
        <v>153</v>
      </c>
      <c r="DC298" s="116" t="s">
        <v>153</v>
      </c>
      <c r="DD298" s="117" t="s">
        <v>153</v>
      </c>
      <c r="DE298" s="118" t="s">
        <v>153</v>
      </c>
      <c r="DF298" s="119" t="s">
        <v>153</v>
      </c>
      <c r="DG298" s="120" t="s">
        <v>153</v>
      </c>
      <c r="DH298" s="121" t="s">
        <v>153</v>
      </c>
      <c r="DI298" s="122" t="s">
        <v>153</v>
      </c>
      <c r="DJ298" s="123" t="s">
        <v>153</v>
      </c>
      <c r="DK298" s="124" t="s">
        <v>153</v>
      </c>
      <c r="DL298" s="125" t="s">
        <v>153</v>
      </c>
      <c r="DM298" s="126" t="s">
        <v>153</v>
      </c>
      <c r="DN298" s="127" t="s">
        <v>153</v>
      </c>
      <c r="DO298" s="128" t="s">
        <v>153</v>
      </c>
      <c r="DP298" s="129" t="s">
        <v>153</v>
      </c>
      <c r="DQ298" s="130" t="s">
        <v>153</v>
      </c>
      <c r="DR298" s="131" t="s">
        <v>153</v>
      </c>
      <c r="DS298" s="132" t="s">
        <v>153</v>
      </c>
      <c r="DT298" s="133" t="s">
        <v>153</v>
      </c>
      <c r="DU298" s="134" t="s">
        <v>153</v>
      </c>
      <c r="DV298" s="135" t="s">
        <v>153</v>
      </c>
      <c r="DW298" s="136" t="s">
        <v>153</v>
      </c>
      <c r="DX298" s="137" t="s">
        <v>153</v>
      </c>
      <c r="DY298" s="138" t="s">
        <v>153</v>
      </c>
      <c r="DZ298" s="139" t="s">
        <v>191</v>
      </c>
      <c r="EA298" s="140">
        <v>44371</v>
      </c>
      <c r="EB298" s="141">
        <v>12610.39</v>
      </c>
      <c r="EC298" s="142">
        <v>43116</v>
      </c>
      <c r="ED298" s="143" t="s">
        <v>226</v>
      </c>
      <c r="EE298" s="278" t="str">
        <f>HYPERLINK("https://my.pitchbook.com?c=42361-57", "View company online")</f>
        <v>View company online</v>
      </c>
    </row>
    <row r="299" spans="1:135" x14ac:dyDescent="0.45">
      <c r="A299" s="144" t="s">
        <v>6496</v>
      </c>
      <c r="B299" s="145" t="s">
        <v>6497</v>
      </c>
      <c r="C299" s="146" t="s">
        <v>153</v>
      </c>
      <c r="D299" s="147" t="s">
        <v>153</v>
      </c>
      <c r="E299" s="148" t="s">
        <v>153</v>
      </c>
      <c r="F299" s="149" t="s">
        <v>6498</v>
      </c>
      <c r="G299" s="150" t="s">
        <v>6499</v>
      </c>
      <c r="H299" s="151" t="s">
        <v>153</v>
      </c>
      <c r="I299" s="152" t="s">
        <v>6496</v>
      </c>
      <c r="J299" s="153" t="s">
        <v>6500</v>
      </c>
      <c r="K299" s="154" t="s">
        <v>198</v>
      </c>
      <c r="L299" s="155" t="s">
        <v>199</v>
      </c>
      <c r="M299" s="156" t="s">
        <v>344</v>
      </c>
      <c r="N299" s="157" t="s">
        <v>6501</v>
      </c>
      <c r="O299" s="158" t="s">
        <v>202</v>
      </c>
      <c r="P299" s="159" t="s">
        <v>6502</v>
      </c>
      <c r="Q299" s="160" t="s">
        <v>204</v>
      </c>
      <c r="R299" s="161">
        <v>4083.8</v>
      </c>
      <c r="S299" s="162" t="s">
        <v>163</v>
      </c>
      <c r="T299" s="163" t="s">
        <v>205</v>
      </c>
      <c r="U299" s="164" t="s">
        <v>369</v>
      </c>
      <c r="V299" s="165" t="s">
        <v>153</v>
      </c>
      <c r="W299" s="166" t="s">
        <v>153</v>
      </c>
      <c r="X299" s="167" t="s">
        <v>153</v>
      </c>
      <c r="Y299" s="168" t="s">
        <v>153</v>
      </c>
      <c r="Z299" s="169" t="s">
        <v>153</v>
      </c>
      <c r="AA299" s="170">
        <v>1937</v>
      </c>
      <c r="AB299" s="171" t="s">
        <v>153</v>
      </c>
      <c r="AC299" s="172" t="s">
        <v>153</v>
      </c>
      <c r="AD299" s="173" t="s">
        <v>153</v>
      </c>
      <c r="AE299" s="174" t="s">
        <v>153</v>
      </c>
      <c r="AF299" s="175" t="s">
        <v>153</v>
      </c>
      <c r="AG299" s="176" t="s">
        <v>153</v>
      </c>
      <c r="AH299" s="177" t="s">
        <v>153</v>
      </c>
      <c r="AI299" s="178" t="s">
        <v>153</v>
      </c>
      <c r="AJ299" s="179" t="s">
        <v>153</v>
      </c>
      <c r="AK299" s="180" t="s">
        <v>153</v>
      </c>
      <c r="AL299" s="181" t="s">
        <v>153</v>
      </c>
      <c r="AM299" s="182" t="s">
        <v>153</v>
      </c>
      <c r="AN299" s="183" t="s">
        <v>153</v>
      </c>
      <c r="AO299" s="184" t="s">
        <v>6503</v>
      </c>
      <c r="AP299" s="185" t="s">
        <v>6504</v>
      </c>
      <c r="AQ299" s="186" t="s">
        <v>269</v>
      </c>
      <c r="AR299" s="187" t="s">
        <v>153</v>
      </c>
      <c r="AS299" s="188" t="s">
        <v>6505</v>
      </c>
      <c r="AT299" s="189" t="s">
        <v>6506</v>
      </c>
      <c r="AU299" s="190" t="s">
        <v>153</v>
      </c>
      <c r="AV299" s="191" t="s">
        <v>153</v>
      </c>
      <c r="AW299" s="192" t="s">
        <v>6507</v>
      </c>
      <c r="AX299" s="193" t="s">
        <v>4741</v>
      </c>
      <c r="AY299" s="194" t="s">
        <v>153</v>
      </c>
      <c r="AZ299" s="195" t="s">
        <v>215</v>
      </c>
      <c r="BA299" s="196" t="s">
        <v>153</v>
      </c>
      <c r="BB299" s="197" t="s">
        <v>153</v>
      </c>
      <c r="BC299" s="198" t="s">
        <v>153</v>
      </c>
      <c r="BD299" s="199" t="s">
        <v>216</v>
      </c>
      <c r="BE299" s="200" t="s">
        <v>217</v>
      </c>
      <c r="BF299" s="201" t="s">
        <v>6508</v>
      </c>
      <c r="BG299" s="202" t="s">
        <v>153</v>
      </c>
      <c r="BH299" s="203" t="s">
        <v>153</v>
      </c>
      <c r="BI299" s="204" t="s">
        <v>402</v>
      </c>
      <c r="BJ299" s="205" t="s">
        <v>6509</v>
      </c>
      <c r="BK299" s="206" t="s">
        <v>153</v>
      </c>
      <c r="BL299" s="207" t="s">
        <v>153</v>
      </c>
      <c r="BM299" s="208" t="s">
        <v>6510</v>
      </c>
      <c r="BN299" s="209" t="s">
        <v>153</v>
      </c>
      <c r="BO299" s="210" t="s">
        <v>153</v>
      </c>
      <c r="BP299" s="211" t="s">
        <v>153</v>
      </c>
      <c r="BQ299" s="212">
        <v>31778</v>
      </c>
      <c r="BR299" s="213">
        <v>283.8</v>
      </c>
      <c r="BS299" s="214" t="s">
        <v>186</v>
      </c>
      <c r="BT299" s="215" t="s">
        <v>153</v>
      </c>
      <c r="BU299" s="216" t="s">
        <v>153</v>
      </c>
      <c r="BV299" s="217" t="s">
        <v>251</v>
      </c>
      <c r="BW299" s="218" t="s">
        <v>153</v>
      </c>
      <c r="BX299" s="219" t="s">
        <v>153</v>
      </c>
      <c r="BY299" s="220" t="s">
        <v>252</v>
      </c>
      <c r="BZ299" s="221" t="s">
        <v>153</v>
      </c>
      <c r="CA299" s="222" t="s">
        <v>190</v>
      </c>
      <c r="CB299" s="223">
        <v>34596</v>
      </c>
      <c r="CC299" s="224">
        <v>12600</v>
      </c>
      <c r="CD299" s="225" t="s">
        <v>186</v>
      </c>
      <c r="CE299" s="226">
        <v>12600</v>
      </c>
      <c r="CF299" s="227" t="s">
        <v>186</v>
      </c>
      <c r="CG299" s="228" t="s">
        <v>226</v>
      </c>
      <c r="CH299" s="229" t="s">
        <v>153</v>
      </c>
      <c r="CI299" s="230" t="s">
        <v>153</v>
      </c>
      <c r="CJ299" s="231" t="s">
        <v>225</v>
      </c>
      <c r="CK299" s="232">
        <v>34596</v>
      </c>
      <c r="CL299" s="233" t="s">
        <v>153</v>
      </c>
      <c r="CM299" s="234" t="s">
        <v>153</v>
      </c>
      <c r="CN299" s="235" t="s">
        <v>190</v>
      </c>
      <c r="CO299" s="236" t="s">
        <v>153</v>
      </c>
      <c r="CP299" s="237" t="s">
        <v>153</v>
      </c>
      <c r="CQ299" s="238" t="s">
        <v>153</v>
      </c>
      <c r="CR299" s="239" t="s">
        <v>153</v>
      </c>
      <c r="CS299" s="240" t="s">
        <v>153</v>
      </c>
      <c r="CT299" s="241" t="s">
        <v>153</v>
      </c>
      <c r="CU299" s="242" t="s">
        <v>153</v>
      </c>
      <c r="CV299" s="243" t="s">
        <v>153</v>
      </c>
      <c r="CW299" s="244" t="s">
        <v>153</v>
      </c>
      <c r="CX299" s="245" t="s">
        <v>153</v>
      </c>
      <c r="CY299" s="246" t="s">
        <v>153</v>
      </c>
      <c r="CZ299" s="247" t="s">
        <v>153</v>
      </c>
      <c r="DA299" s="248" t="s">
        <v>153</v>
      </c>
      <c r="DB299" s="249" t="s">
        <v>153</v>
      </c>
      <c r="DC299" s="250" t="s">
        <v>153</v>
      </c>
      <c r="DD299" s="251" t="s">
        <v>153</v>
      </c>
      <c r="DE299" s="252" t="s">
        <v>153</v>
      </c>
      <c r="DF299" s="253" t="s">
        <v>153</v>
      </c>
      <c r="DG299" s="254" t="s">
        <v>153</v>
      </c>
      <c r="DH299" s="255" t="s">
        <v>153</v>
      </c>
      <c r="DI299" s="256" t="s">
        <v>153</v>
      </c>
      <c r="DJ299" s="257" t="s">
        <v>153</v>
      </c>
      <c r="DK299" s="258" t="s">
        <v>153</v>
      </c>
      <c r="DL299" s="259" t="s">
        <v>153</v>
      </c>
      <c r="DM299" s="260" t="s">
        <v>153</v>
      </c>
      <c r="DN299" s="261" t="s">
        <v>153</v>
      </c>
      <c r="DO299" s="262" t="s">
        <v>153</v>
      </c>
      <c r="DP299" s="263" t="s">
        <v>153</v>
      </c>
      <c r="DQ299" s="264" t="s">
        <v>153</v>
      </c>
      <c r="DR299" s="265" t="s">
        <v>153</v>
      </c>
      <c r="DS299" s="266" t="s">
        <v>153</v>
      </c>
      <c r="DT299" s="267" t="s">
        <v>153</v>
      </c>
      <c r="DU299" s="268" t="s">
        <v>153</v>
      </c>
      <c r="DV299" s="269" t="s">
        <v>153</v>
      </c>
      <c r="DW299" s="270" t="s">
        <v>153</v>
      </c>
      <c r="DX299" s="271" t="s">
        <v>153</v>
      </c>
      <c r="DY299" s="272" t="s">
        <v>153</v>
      </c>
      <c r="DZ299" s="273" t="s">
        <v>191</v>
      </c>
      <c r="EA299" s="274">
        <v>43755</v>
      </c>
      <c r="EB299" s="275">
        <v>12600</v>
      </c>
      <c r="EC299" s="276">
        <v>34596</v>
      </c>
      <c r="ED299" s="277" t="s">
        <v>226</v>
      </c>
      <c r="EE299" s="279" t="str">
        <f>HYPERLINK("https://my.pitchbook.com?c=43120-90", "View company online")</f>
        <v>View company online</v>
      </c>
    </row>
    <row r="300" spans="1:135" x14ac:dyDescent="0.45">
      <c r="A300" s="10" t="s">
        <v>6511</v>
      </c>
      <c r="B300" s="11" t="s">
        <v>6512</v>
      </c>
      <c r="C300" s="12" t="s">
        <v>153</v>
      </c>
      <c r="D300" s="13" t="s">
        <v>153</v>
      </c>
      <c r="E300" s="14" t="s">
        <v>6513</v>
      </c>
      <c r="F300" s="15" t="s">
        <v>6514</v>
      </c>
      <c r="G300" s="16" t="s">
        <v>6515</v>
      </c>
      <c r="H300" s="17" t="s">
        <v>6516</v>
      </c>
      <c r="I300" s="18" t="s">
        <v>6511</v>
      </c>
      <c r="J300" s="19" t="s">
        <v>6517</v>
      </c>
      <c r="K300" s="20" t="s">
        <v>157</v>
      </c>
      <c r="L300" s="21" t="s">
        <v>817</v>
      </c>
      <c r="M300" s="22" t="s">
        <v>6518</v>
      </c>
      <c r="N300" s="23" t="s">
        <v>6519</v>
      </c>
      <c r="O300" s="24" t="s">
        <v>261</v>
      </c>
      <c r="P300" s="25" t="s">
        <v>6520</v>
      </c>
      <c r="Q300" s="26" t="s">
        <v>204</v>
      </c>
      <c r="R300" s="27" t="s">
        <v>153</v>
      </c>
      <c r="S300" s="28" t="s">
        <v>290</v>
      </c>
      <c r="T300" s="29" t="s">
        <v>291</v>
      </c>
      <c r="U300" s="30" t="s">
        <v>237</v>
      </c>
      <c r="V300" s="31" t="s">
        <v>6521</v>
      </c>
      <c r="W300" s="32">
        <v>8800</v>
      </c>
      <c r="X300" s="33" t="s">
        <v>6522</v>
      </c>
      <c r="Y300" s="34" t="s">
        <v>372</v>
      </c>
      <c r="Z300" s="35" t="s">
        <v>6523</v>
      </c>
      <c r="AA300" s="36">
        <v>1913</v>
      </c>
      <c r="AB300" s="37" t="s">
        <v>153</v>
      </c>
      <c r="AC300" s="38" t="s">
        <v>570</v>
      </c>
      <c r="AD300" s="39" t="s">
        <v>1540</v>
      </c>
      <c r="AE300" s="40">
        <v>7522</v>
      </c>
      <c r="AF300" s="41">
        <v>3460</v>
      </c>
      <c r="AG300" s="42">
        <v>923</v>
      </c>
      <c r="AH300" s="43">
        <v>26883.62</v>
      </c>
      <c r="AI300" s="44">
        <v>1495</v>
      </c>
      <c r="AJ300" s="45">
        <v>1291</v>
      </c>
      <c r="AK300" s="46">
        <v>22980.22</v>
      </c>
      <c r="AL300" s="47">
        <v>2670</v>
      </c>
      <c r="AM300" s="48">
        <v>18.18</v>
      </c>
      <c r="AN300" s="49" t="s">
        <v>3265</v>
      </c>
      <c r="AO300" s="50" t="s">
        <v>6524</v>
      </c>
      <c r="AP300" s="51" t="s">
        <v>6525</v>
      </c>
      <c r="AQ300" s="52" t="s">
        <v>2721</v>
      </c>
      <c r="AR300" s="53" t="s">
        <v>6526</v>
      </c>
      <c r="AS300" s="54" t="s">
        <v>6527</v>
      </c>
      <c r="AT300" s="55" t="s">
        <v>2459</v>
      </c>
      <c r="AU300" s="56" t="s">
        <v>6528</v>
      </c>
      <c r="AV300" s="57" t="s">
        <v>153</v>
      </c>
      <c r="AW300" s="58" t="s">
        <v>2461</v>
      </c>
      <c r="AX300" s="59" t="s">
        <v>308</v>
      </c>
      <c r="AY300" s="60" t="s">
        <v>2462</v>
      </c>
      <c r="AZ300" s="61" t="s">
        <v>215</v>
      </c>
      <c r="BA300" s="62" t="s">
        <v>6527</v>
      </c>
      <c r="BB300" s="63" t="s">
        <v>153</v>
      </c>
      <c r="BC300" s="64" t="s">
        <v>153</v>
      </c>
      <c r="BD300" s="65" t="s">
        <v>216</v>
      </c>
      <c r="BE300" s="66" t="s">
        <v>217</v>
      </c>
      <c r="BF300" s="67" t="s">
        <v>6529</v>
      </c>
      <c r="BG300" s="68" t="s">
        <v>153</v>
      </c>
      <c r="BH300" s="69" t="s">
        <v>153</v>
      </c>
      <c r="BI300" s="70" t="s">
        <v>153</v>
      </c>
      <c r="BJ300" s="71" t="s">
        <v>824</v>
      </c>
      <c r="BK300" s="72" t="s">
        <v>6530</v>
      </c>
      <c r="BL300" s="73" t="s">
        <v>153</v>
      </c>
      <c r="BM300" s="74" t="s">
        <v>6531</v>
      </c>
      <c r="BN300" s="75" t="s">
        <v>6532</v>
      </c>
      <c r="BO300" s="76" t="s">
        <v>6533</v>
      </c>
      <c r="BP300" s="77" t="s">
        <v>153</v>
      </c>
      <c r="BQ300" s="78">
        <v>10228</v>
      </c>
      <c r="BR300" s="79" t="s">
        <v>153</v>
      </c>
      <c r="BS300" s="80" t="s">
        <v>153</v>
      </c>
      <c r="BT300" s="81" t="s">
        <v>153</v>
      </c>
      <c r="BU300" s="82" t="s">
        <v>153</v>
      </c>
      <c r="BV300" s="83" t="s">
        <v>251</v>
      </c>
      <c r="BW300" s="84" t="s">
        <v>153</v>
      </c>
      <c r="BX300" s="85" t="s">
        <v>153</v>
      </c>
      <c r="BY300" s="86" t="s">
        <v>252</v>
      </c>
      <c r="BZ300" s="87" t="s">
        <v>153</v>
      </c>
      <c r="CA300" s="88" t="s">
        <v>190</v>
      </c>
      <c r="CB300" s="89">
        <v>40810</v>
      </c>
      <c r="CC300" s="90">
        <v>12600</v>
      </c>
      <c r="CD300" s="91" t="s">
        <v>187</v>
      </c>
      <c r="CE300" s="92">
        <v>12600</v>
      </c>
      <c r="CF300" s="93" t="s">
        <v>187</v>
      </c>
      <c r="CG300" s="94" t="s">
        <v>226</v>
      </c>
      <c r="CH300" s="95" t="s">
        <v>153</v>
      </c>
      <c r="CI300" s="96" t="s">
        <v>153</v>
      </c>
      <c r="CJ300" s="97" t="s">
        <v>225</v>
      </c>
      <c r="CK300" s="98">
        <v>40810</v>
      </c>
      <c r="CL300" s="99" t="s">
        <v>153</v>
      </c>
      <c r="CM300" s="100" t="s">
        <v>153</v>
      </c>
      <c r="CN300" s="101" t="s">
        <v>394</v>
      </c>
      <c r="CO300" s="102">
        <v>0.5</v>
      </c>
      <c r="CP300" s="103">
        <v>93</v>
      </c>
      <c r="CQ300" s="104">
        <v>0</v>
      </c>
      <c r="CR300" s="105">
        <v>-0.52</v>
      </c>
      <c r="CS300" s="106">
        <v>1.96</v>
      </c>
      <c r="CT300" s="107">
        <v>98</v>
      </c>
      <c r="CU300" s="108">
        <v>0.05</v>
      </c>
      <c r="CV300" s="109">
        <v>81</v>
      </c>
      <c r="CW300" s="110">
        <v>3.64</v>
      </c>
      <c r="CX300" s="111">
        <v>91</v>
      </c>
      <c r="CY300" s="112">
        <v>0.27</v>
      </c>
      <c r="CZ300" s="113">
        <v>92</v>
      </c>
      <c r="DA300" s="114">
        <v>0.05</v>
      </c>
      <c r="DB300" s="115">
        <v>81</v>
      </c>
      <c r="DC300" s="116">
        <v>148.76</v>
      </c>
      <c r="DD300" s="117">
        <v>100</v>
      </c>
      <c r="DE300" s="118">
        <v>0.99</v>
      </c>
      <c r="DF300" s="119">
        <v>0.67</v>
      </c>
      <c r="DG300" s="120">
        <v>345.7</v>
      </c>
      <c r="DH300" s="121">
        <v>100</v>
      </c>
      <c r="DI300" s="122">
        <v>11.11</v>
      </c>
      <c r="DJ300" s="123">
        <v>87</v>
      </c>
      <c r="DK300" s="124">
        <v>331.59</v>
      </c>
      <c r="DL300" s="125">
        <v>99</v>
      </c>
      <c r="DM300" s="126">
        <v>359.81</v>
      </c>
      <c r="DN300" s="127">
        <v>100</v>
      </c>
      <c r="DO300" s="128">
        <v>11.11</v>
      </c>
      <c r="DP300" s="129">
        <v>87</v>
      </c>
      <c r="DQ300" s="130">
        <v>196633</v>
      </c>
      <c r="DR300" s="131">
        <v>6</v>
      </c>
      <c r="DS300" s="132">
        <v>0</v>
      </c>
      <c r="DT300" s="133">
        <v>5704</v>
      </c>
      <c r="DU300" s="134">
        <v>99</v>
      </c>
      <c r="DV300" s="135">
        <v>1.77</v>
      </c>
      <c r="DW300" s="136">
        <v>3483</v>
      </c>
      <c r="DX300" s="137">
        <v>4</v>
      </c>
      <c r="DY300" s="138">
        <v>0.11</v>
      </c>
      <c r="DZ300" s="139" t="s">
        <v>191</v>
      </c>
      <c r="EA300" s="140">
        <v>44380</v>
      </c>
      <c r="EB300" s="141">
        <v>12600</v>
      </c>
      <c r="EC300" s="142">
        <v>40810</v>
      </c>
      <c r="ED300" s="143" t="s">
        <v>226</v>
      </c>
      <c r="EE300" s="278" t="str">
        <f>HYPERLINK("https://my.pitchbook.com?c=10870-30", "View company online")</f>
        <v>View company online</v>
      </c>
    </row>
    <row r="301" spans="1:135" x14ac:dyDescent="0.45">
      <c r="A301" s="144" t="s">
        <v>6534</v>
      </c>
      <c r="B301" s="145" t="s">
        <v>6535</v>
      </c>
      <c r="C301" s="146" t="s">
        <v>153</v>
      </c>
      <c r="D301" s="147" t="s">
        <v>153</v>
      </c>
      <c r="E301" s="148" t="s">
        <v>153</v>
      </c>
      <c r="F301" s="149" t="s">
        <v>6536</v>
      </c>
      <c r="G301" s="150" t="s">
        <v>6537</v>
      </c>
      <c r="H301" s="151" t="s">
        <v>153</v>
      </c>
      <c r="I301" s="152" t="s">
        <v>6534</v>
      </c>
      <c r="J301" s="153" t="s">
        <v>6538</v>
      </c>
      <c r="K301" s="154" t="s">
        <v>882</v>
      </c>
      <c r="L301" s="155" t="s">
        <v>1231</v>
      </c>
      <c r="M301" s="156" t="s">
        <v>6539</v>
      </c>
      <c r="N301" s="157" t="s">
        <v>6540</v>
      </c>
      <c r="O301" s="158" t="s">
        <v>1234</v>
      </c>
      <c r="P301" s="159" t="s">
        <v>6541</v>
      </c>
      <c r="Q301" s="160" t="s">
        <v>204</v>
      </c>
      <c r="R301" s="161">
        <v>385.94</v>
      </c>
      <c r="S301" s="162" t="s">
        <v>163</v>
      </c>
      <c r="T301" s="163" t="s">
        <v>291</v>
      </c>
      <c r="U301" s="164" t="s">
        <v>237</v>
      </c>
      <c r="V301" s="165" t="s">
        <v>6542</v>
      </c>
      <c r="W301" s="166">
        <v>39</v>
      </c>
      <c r="X301" s="167" t="s">
        <v>6543</v>
      </c>
      <c r="Y301" s="168" t="s">
        <v>1674</v>
      </c>
      <c r="Z301" s="169" t="s">
        <v>6544</v>
      </c>
      <c r="AA301" s="170">
        <v>2003</v>
      </c>
      <c r="AB301" s="171" t="s">
        <v>6545</v>
      </c>
      <c r="AC301" s="172" t="s">
        <v>153</v>
      </c>
      <c r="AD301" s="173" t="s">
        <v>153</v>
      </c>
      <c r="AE301" s="174">
        <v>0</v>
      </c>
      <c r="AF301" s="175" t="s">
        <v>153</v>
      </c>
      <c r="AG301" s="176">
        <v>99.68</v>
      </c>
      <c r="AH301" s="177">
        <v>1154.2</v>
      </c>
      <c r="AI301" s="178">
        <v>119.29</v>
      </c>
      <c r="AJ301" s="179">
        <v>119.21</v>
      </c>
      <c r="AK301" s="180">
        <v>1201.52</v>
      </c>
      <c r="AL301" s="181">
        <v>-73.81</v>
      </c>
      <c r="AM301" s="182">
        <v>0</v>
      </c>
      <c r="AN301" s="183" t="s">
        <v>168</v>
      </c>
      <c r="AO301" s="184" t="s">
        <v>6546</v>
      </c>
      <c r="AP301" s="185" t="s">
        <v>6547</v>
      </c>
      <c r="AQ301" s="186" t="s">
        <v>6548</v>
      </c>
      <c r="AR301" s="187" t="s">
        <v>6549</v>
      </c>
      <c r="AS301" s="188" t="s">
        <v>6550</v>
      </c>
      <c r="AT301" s="189" t="s">
        <v>6551</v>
      </c>
      <c r="AU301" s="190" t="s">
        <v>6552</v>
      </c>
      <c r="AV301" s="191" t="s">
        <v>6553</v>
      </c>
      <c r="AW301" s="192" t="s">
        <v>6554</v>
      </c>
      <c r="AX301" s="193" t="s">
        <v>153</v>
      </c>
      <c r="AY301" s="194" t="s">
        <v>153</v>
      </c>
      <c r="AZ301" s="195" t="s">
        <v>6555</v>
      </c>
      <c r="BA301" s="196" t="s">
        <v>6550</v>
      </c>
      <c r="BB301" s="197" t="s">
        <v>6556</v>
      </c>
      <c r="BC301" s="198" t="s">
        <v>153</v>
      </c>
      <c r="BD301" s="199" t="s">
        <v>1406</v>
      </c>
      <c r="BE301" s="200" t="s">
        <v>1407</v>
      </c>
      <c r="BF301" s="201" t="s">
        <v>6557</v>
      </c>
      <c r="BG301" s="202" t="s">
        <v>6558</v>
      </c>
      <c r="BH301" s="203">
        <v>1</v>
      </c>
      <c r="BI301" s="204" t="s">
        <v>6545</v>
      </c>
      <c r="BJ301" s="205" t="s">
        <v>153</v>
      </c>
      <c r="BK301" s="206" t="s">
        <v>153</v>
      </c>
      <c r="BL301" s="207" t="s">
        <v>6559</v>
      </c>
      <c r="BM301" s="208" t="s">
        <v>153</v>
      </c>
      <c r="BN301" s="209" t="s">
        <v>153</v>
      </c>
      <c r="BO301" s="210" t="s">
        <v>6560</v>
      </c>
      <c r="BP301" s="211" t="s">
        <v>6561</v>
      </c>
      <c r="BQ301" s="212">
        <v>37780</v>
      </c>
      <c r="BR301" s="213">
        <v>385.94</v>
      </c>
      <c r="BS301" s="214" t="s">
        <v>186</v>
      </c>
      <c r="BT301" s="215" t="s">
        <v>153</v>
      </c>
      <c r="BU301" s="216" t="s">
        <v>153</v>
      </c>
      <c r="BV301" s="217" t="s">
        <v>251</v>
      </c>
      <c r="BW301" s="218" t="s">
        <v>153</v>
      </c>
      <c r="BX301" s="219" t="s">
        <v>153</v>
      </c>
      <c r="BY301" s="220" t="s">
        <v>252</v>
      </c>
      <c r="BZ301" s="221" t="s">
        <v>153</v>
      </c>
      <c r="CA301" s="222" t="s">
        <v>190</v>
      </c>
      <c r="CB301" s="223">
        <v>43187</v>
      </c>
      <c r="CC301" s="224">
        <v>12589.93</v>
      </c>
      <c r="CD301" s="225" t="s">
        <v>186</v>
      </c>
      <c r="CE301" s="226">
        <v>18875.46</v>
      </c>
      <c r="CF301" s="227" t="s">
        <v>186</v>
      </c>
      <c r="CG301" s="228" t="s">
        <v>226</v>
      </c>
      <c r="CH301" s="229" t="s">
        <v>729</v>
      </c>
      <c r="CI301" s="230" t="s">
        <v>153</v>
      </c>
      <c r="CJ301" s="231" t="s">
        <v>225</v>
      </c>
      <c r="CK301" s="232">
        <v>43187</v>
      </c>
      <c r="CL301" s="233" t="s">
        <v>153</v>
      </c>
      <c r="CM301" s="234" t="s">
        <v>153</v>
      </c>
      <c r="CN301" s="235" t="s">
        <v>190</v>
      </c>
      <c r="CO301" s="236">
        <v>3.42</v>
      </c>
      <c r="CP301" s="237">
        <v>99</v>
      </c>
      <c r="CQ301" s="238">
        <v>-0.46</v>
      </c>
      <c r="CR301" s="239">
        <v>-11.82</v>
      </c>
      <c r="CS301" s="240">
        <v>3.42</v>
      </c>
      <c r="CT301" s="241">
        <v>99</v>
      </c>
      <c r="CU301" s="242" t="s">
        <v>153</v>
      </c>
      <c r="CV301" s="243" t="s">
        <v>153</v>
      </c>
      <c r="CW301" s="244" t="s">
        <v>153</v>
      </c>
      <c r="CX301" s="245" t="s">
        <v>153</v>
      </c>
      <c r="CY301" s="246">
        <v>3.42</v>
      </c>
      <c r="CZ301" s="247">
        <v>100</v>
      </c>
      <c r="DA301" s="248" t="s">
        <v>153</v>
      </c>
      <c r="DB301" s="249" t="s">
        <v>153</v>
      </c>
      <c r="DC301" s="250">
        <v>15.94</v>
      </c>
      <c r="DD301" s="251">
        <v>95</v>
      </c>
      <c r="DE301" s="252">
        <v>0.19</v>
      </c>
      <c r="DF301" s="253">
        <v>1.19</v>
      </c>
      <c r="DG301" s="254">
        <v>15.94</v>
      </c>
      <c r="DH301" s="255">
        <v>94</v>
      </c>
      <c r="DI301" s="256" t="s">
        <v>153</v>
      </c>
      <c r="DJ301" s="257" t="s">
        <v>153</v>
      </c>
      <c r="DK301" s="258" t="s">
        <v>153</v>
      </c>
      <c r="DL301" s="259" t="s">
        <v>153</v>
      </c>
      <c r="DM301" s="260">
        <v>15.94</v>
      </c>
      <c r="DN301" s="261">
        <v>94</v>
      </c>
      <c r="DO301" s="262" t="s">
        <v>153</v>
      </c>
      <c r="DP301" s="263" t="s">
        <v>153</v>
      </c>
      <c r="DQ301" s="264" t="s">
        <v>153</v>
      </c>
      <c r="DR301" s="265" t="s">
        <v>153</v>
      </c>
      <c r="DS301" s="266" t="s">
        <v>153</v>
      </c>
      <c r="DT301" s="267">
        <v>253</v>
      </c>
      <c r="DU301" s="268">
        <v>3</v>
      </c>
      <c r="DV301" s="269">
        <v>1.2</v>
      </c>
      <c r="DW301" s="270" t="s">
        <v>153</v>
      </c>
      <c r="DX301" s="271" t="s">
        <v>153</v>
      </c>
      <c r="DY301" s="272" t="s">
        <v>153</v>
      </c>
      <c r="DZ301" s="273" t="s">
        <v>191</v>
      </c>
      <c r="EA301" s="274">
        <v>44217</v>
      </c>
      <c r="EB301" s="275">
        <v>18875.46</v>
      </c>
      <c r="EC301" s="276">
        <v>43187</v>
      </c>
      <c r="ED301" s="277" t="s">
        <v>226</v>
      </c>
      <c r="EE301" s="279" t="str">
        <f>HYPERLINK("https://my.pitchbook.com?c=59594-05", "View company online")</f>
        <v>View company online</v>
      </c>
    </row>
    <row r="302" spans="1:135" x14ac:dyDescent="0.45">
      <c r="A302" s="10" t="s">
        <v>6562</v>
      </c>
      <c r="B302" s="11" t="s">
        <v>6563</v>
      </c>
      <c r="C302" s="12" t="s">
        <v>153</v>
      </c>
      <c r="D302" s="13" t="s">
        <v>153</v>
      </c>
      <c r="E302" s="14" t="s">
        <v>153</v>
      </c>
      <c r="F302" s="15" t="s">
        <v>153</v>
      </c>
      <c r="G302" s="16" t="s">
        <v>6564</v>
      </c>
      <c r="H302" s="17" t="s">
        <v>153</v>
      </c>
      <c r="I302" s="18" t="s">
        <v>6562</v>
      </c>
      <c r="J302" s="19" t="s">
        <v>6565</v>
      </c>
      <c r="K302" s="20" t="s">
        <v>882</v>
      </c>
      <c r="L302" s="21" t="s">
        <v>883</v>
      </c>
      <c r="M302" s="22" t="s">
        <v>3501</v>
      </c>
      <c r="N302" s="23" t="s">
        <v>6566</v>
      </c>
      <c r="O302" s="24" t="s">
        <v>365</v>
      </c>
      <c r="P302" s="25" t="s">
        <v>6567</v>
      </c>
      <c r="Q302" s="26" t="s">
        <v>204</v>
      </c>
      <c r="R302" s="27" t="s">
        <v>153</v>
      </c>
      <c r="S302" s="28" t="s">
        <v>290</v>
      </c>
      <c r="T302" s="29" t="s">
        <v>205</v>
      </c>
      <c r="U302" s="30" t="s">
        <v>237</v>
      </c>
      <c r="V302" s="31" t="s">
        <v>153</v>
      </c>
      <c r="W302" s="32">
        <v>25786</v>
      </c>
      <c r="X302" s="33" t="s">
        <v>6568</v>
      </c>
      <c r="Y302" s="34" t="s">
        <v>153</v>
      </c>
      <c r="Z302" s="35" t="s">
        <v>153</v>
      </c>
      <c r="AA302" s="36">
        <v>1833</v>
      </c>
      <c r="AB302" s="37" t="s">
        <v>153</v>
      </c>
      <c r="AC302" s="38" t="s">
        <v>153</v>
      </c>
      <c r="AD302" s="39" t="s">
        <v>153</v>
      </c>
      <c r="AE302" s="40" t="s">
        <v>153</v>
      </c>
      <c r="AF302" s="41" t="s">
        <v>153</v>
      </c>
      <c r="AG302" s="42" t="s">
        <v>153</v>
      </c>
      <c r="AH302" s="43" t="s">
        <v>153</v>
      </c>
      <c r="AI302" s="44" t="s">
        <v>153</v>
      </c>
      <c r="AJ302" s="45" t="s">
        <v>153</v>
      </c>
      <c r="AK302" s="46" t="s">
        <v>153</v>
      </c>
      <c r="AL302" s="47" t="s">
        <v>153</v>
      </c>
      <c r="AM302" s="48" t="s">
        <v>153</v>
      </c>
      <c r="AN302" s="49" t="s">
        <v>6569</v>
      </c>
      <c r="AO302" s="50" t="s">
        <v>6570</v>
      </c>
      <c r="AP302" s="51" t="s">
        <v>6571</v>
      </c>
      <c r="AQ302" s="52" t="s">
        <v>171</v>
      </c>
      <c r="AR302" s="53" t="s">
        <v>153</v>
      </c>
      <c r="AS302" s="54" t="s">
        <v>6572</v>
      </c>
      <c r="AT302" s="55" t="s">
        <v>1124</v>
      </c>
      <c r="AU302" s="56" t="s">
        <v>6573</v>
      </c>
      <c r="AV302" s="57" t="s">
        <v>6574</v>
      </c>
      <c r="AW302" s="58" t="s">
        <v>1127</v>
      </c>
      <c r="AX302" s="59" t="s">
        <v>1128</v>
      </c>
      <c r="AY302" s="60" t="s">
        <v>1129</v>
      </c>
      <c r="AZ302" s="61" t="s">
        <v>215</v>
      </c>
      <c r="BA302" s="62" t="s">
        <v>153</v>
      </c>
      <c r="BB302" s="63" t="s">
        <v>153</v>
      </c>
      <c r="BC302" s="64" t="s">
        <v>153</v>
      </c>
      <c r="BD302" s="65" t="s">
        <v>216</v>
      </c>
      <c r="BE302" s="66" t="s">
        <v>217</v>
      </c>
      <c r="BF302" s="67" t="s">
        <v>6575</v>
      </c>
      <c r="BG302" s="68" t="s">
        <v>153</v>
      </c>
      <c r="BH302" s="69" t="s">
        <v>153</v>
      </c>
      <c r="BI302" s="70" t="s">
        <v>6576</v>
      </c>
      <c r="BJ302" s="71" t="s">
        <v>153</v>
      </c>
      <c r="BK302" s="72" t="s">
        <v>3371</v>
      </c>
      <c r="BL302" s="73" t="s">
        <v>153</v>
      </c>
      <c r="BM302" s="74" t="s">
        <v>153</v>
      </c>
      <c r="BN302" s="75" t="s">
        <v>6577</v>
      </c>
      <c r="BO302" s="76" t="s">
        <v>6578</v>
      </c>
      <c r="BP302" s="77" t="s">
        <v>6579</v>
      </c>
      <c r="BQ302" s="78">
        <v>32875</v>
      </c>
      <c r="BR302" s="79" t="s">
        <v>153</v>
      </c>
      <c r="BS302" s="80" t="s">
        <v>153</v>
      </c>
      <c r="BT302" s="81" t="s">
        <v>153</v>
      </c>
      <c r="BU302" s="82" t="s">
        <v>153</v>
      </c>
      <c r="BV302" s="83" t="s">
        <v>251</v>
      </c>
      <c r="BW302" s="84" t="s">
        <v>153</v>
      </c>
      <c r="BX302" s="85" t="s">
        <v>153</v>
      </c>
      <c r="BY302" s="86" t="s">
        <v>252</v>
      </c>
      <c r="BZ302" s="87" t="s">
        <v>153</v>
      </c>
      <c r="CA302" s="88" t="s">
        <v>190</v>
      </c>
      <c r="CB302" s="89">
        <v>41243</v>
      </c>
      <c r="CC302" s="90">
        <v>12573.2</v>
      </c>
      <c r="CD302" s="91" t="s">
        <v>186</v>
      </c>
      <c r="CE302" s="92">
        <v>12573.2</v>
      </c>
      <c r="CF302" s="93" t="s">
        <v>186</v>
      </c>
      <c r="CG302" s="94" t="s">
        <v>226</v>
      </c>
      <c r="CH302" s="95" t="s">
        <v>153</v>
      </c>
      <c r="CI302" s="96" t="s">
        <v>153</v>
      </c>
      <c r="CJ302" s="97" t="s">
        <v>225</v>
      </c>
      <c r="CK302" s="98">
        <v>41243</v>
      </c>
      <c r="CL302" s="99" t="s">
        <v>153</v>
      </c>
      <c r="CM302" s="100" t="s">
        <v>153</v>
      </c>
      <c r="CN302" s="101" t="s">
        <v>190</v>
      </c>
      <c r="CO302" s="102" t="s">
        <v>153</v>
      </c>
      <c r="CP302" s="103" t="s">
        <v>153</v>
      </c>
      <c r="CQ302" s="104" t="s">
        <v>153</v>
      </c>
      <c r="CR302" s="105" t="s">
        <v>153</v>
      </c>
      <c r="CS302" s="106" t="s">
        <v>153</v>
      </c>
      <c r="CT302" s="107" t="s">
        <v>153</v>
      </c>
      <c r="CU302" s="108" t="s">
        <v>153</v>
      </c>
      <c r="CV302" s="109" t="s">
        <v>153</v>
      </c>
      <c r="CW302" s="110" t="s">
        <v>153</v>
      </c>
      <c r="CX302" s="111" t="s">
        <v>153</v>
      </c>
      <c r="CY302" s="112" t="s">
        <v>153</v>
      </c>
      <c r="CZ302" s="113" t="s">
        <v>153</v>
      </c>
      <c r="DA302" s="114" t="s">
        <v>153</v>
      </c>
      <c r="DB302" s="115" t="s">
        <v>153</v>
      </c>
      <c r="DC302" s="116" t="s">
        <v>153</v>
      </c>
      <c r="DD302" s="117" t="s">
        <v>153</v>
      </c>
      <c r="DE302" s="118" t="s">
        <v>153</v>
      </c>
      <c r="DF302" s="119" t="s">
        <v>153</v>
      </c>
      <c r="DG302" s="120" t="s">
        <v>153</v>
      </c>
      <c r="DH302" s="121" t="s">
        <v>153</v>
      </c>
      <c r="DI302" s="122" t="s">
        <v>153</v>
      </c>
      <c r="DJ302" s="123" t="s">
        <v>153</v>
      </c>
      <c r="DK302" s="124" t="s">
        <v>153</v>
      </c>
      <c r="DL302" s="125" t="s">
        <v>153</v>
      </c>
      <c r="DM302" s="126" t="s">
        <v>153</v>
      </c>
      <c r="DN302" s="127" t="s">
        <v>153</v>
      </c>
      <c r="DO302" s="128" t="s">
        <v>153</v>
      </c>
      <c r="DP302" s="129" t="s">
        <v>153</v>
      </c>
      <c r="DQ302" s="130" t="s">
        <v>153</v>
      </c>
      <c r="DR302" s="131" t="s">
        <v>153</v>
      </c>
      <c r="DS302" s="132" t="s">
        <v>153</v>
      </c>
      <c r="DT302" s="133" t="s">
        <v>153</v>
      </c>
      <c r="DU302" s="134" t="s">
        <v>153</v>
      </c>
      <c r="DV302" s="135" t="s">
        <v>153</v>
      </c>
      <c r="DW302" s="136" t="s">
        <v>153</v>
      </c>
      <c r="DX302" s="137" t="s">
        <v>153</v>
      </c>
      <c r="DY302" s="138" t="s">
        <v>153</v>
      </c>
      <c r="DZ302" s="139" t="s">
        <v>191</v>
      </c>
      <c r="EA302" s="140">
        <v>44217</v>
      </c>
      <c r="EB302" s="141">
        <v>12573.2</v>
      </c>
      <c r="EC302" s="142">
        <v>41243</v>
      </c>
      <c r="ED302" s="143" t="s">
        <v>226</v>
      </c>
      <c r="EE302" s="278" t="str">
        <f>HYPERLINK("https://my.pitchbook.com?c=10454-77", "View company online")</f>
        <v>View company online</v>
      </c>
    </row>
    <row r="303" spans="1:135" x14ac:dyDescent="0.45">
      <c r="A303" s="144" t="s">
        <v>6580</v>
      </c>
      <c r="B303" s="145" t="s">
        <v>6581</v>
      </c>
      <c r="C303" s="146" t="s">
        <v>153</v>
      </c>
      <c r="D303" s="147" t="s">
        <v>153</v>
      </c>
      <c r="E303" s="148" t="s">
        <v>6582</v>
      </c>
      <c r="F303" s="149" t="s">
        <v>153</v>
      </c>
      <c r="G303" s="150" t="s">
        <v>6583</v>
      </c>
      <c r="H303" s="151" t="s">
        <v>6584</v>
      </c>
      <c r="I303" s="152" t="s">
        <v>6580</v>
      </c>
      <c r="J303" s="153" t="s">
        <v>6585</v>
      </c>
      <c r="K303" s="154" t="s">
        <v>257</v>
      </c>
      <c r="L303" s="155" t="s">
        <v>478</v>
      </c>
      <c r="M303" s="156" t="s">
        <v>1819</v>
      </c>
      <c r="N303" s="157" t="s">
        <v>6586</v>
      </c>
      <c r="O303" s="158" t="s">
        <v>153</v>
      </c>
      <c r="P303" s="159" t="s">
        <v>6587</v>
      </c>
      <c r="Q303" s="160" t="s">
        <v>204</v>
      </c>
      <c r="R303" s="161" t="s">
        <v>153</v>
      </c>
      <c r="S303" s="162" t="s">
        <v>290</v>
      </c>
      <c r="T303" s="163" t="s">
        <v>205</v>
      </c>
      <c r="U303" s="164" t="s">
        <v>369</v>
      </c>
      <c r="V303" s="165" t="s">
        <v>6588</v>
      </c>
      <c r="W303" s="166">
        <v>14000</v>
      </c>
      <c r="X303" s="167" t="s">
        <v>6589</v>
      </c>
      <c r="Y303" s="168" t="s">
        <v>153</v>
      </c>
      <c r="Z303" s="169" t="s">
        <v>153</v>
      </c>
      <c r="AA303" s="170">
        <v>2009</v>
      </c>
      <c r="AB303" s="171" t="s">
        <v>153</v>
      </c>
      <c r="AC303" s="172" t="s">
        <v>153</v>
      </c>
      <c r="AD303" s="173" t="s">
        <v>153</v>
      </c>
      <c r="AE303" s="174" t="s">
        <v>153</v>
      </c>
      <c r="AF303" s="175" t="s">
        <v>153</v>
      </c>
      <c r="AG303" s="176" t="s">
        <v>153</v>
      </c>
      <c r="AH303" s="177" t="s">
        <v>153</v>
      </c>
      <c r="AI303" s="178" t="s">
        <v>153</v>
      </c>
      <c r="AJ303" s="179" t="s">
        <v>153</v>
      </c>
      <c r="AK303" s="180" t="s">
        <v>153</v>
      </c>
      <c r="AL303" s="181" t="s">
        <v>153</v>
      </c>
      <c r="AM303" s="182" t="s">
        <v>153</v>
      </c>
      <c r="AN303" s="183" t="s">
        <v>3331</v>
      </c>
      <c r="AO303" s="184" t="s">
        <v>153</v>
      </c>
      <c r="AP303" s="185" t="s">
        <v>153</v>
      </c>
      <c r="AQ303" s="186" t="s">
        <v>153</v>
      </c>
      <c r="AR303" s="187" t="s">
        <v>153</v>
      </c>
      <c r="AS303" s="188" t="s">
        <v>153</v>
      </c>
      <c r="AT303" s="189" t="s">
        <v>5540</v>
      </c>
      <c r="AU303" s="190" t="s">
        <v>6590</v>
      </c>
      <c r="AV303" s="191" t="s">
        <v>153</v>
      </c>
      <c r="AW303" s="192" t="s">
        <v>5542</v>
      </c>
      <c r="AX303" s="193" t="s">
        <v>308</v>
      </c>
      <c r="AY303" s="194" t="s">
        <v>6591</v>
      </c>
      <c r="AZ303" s="195" t="s">
        <v>215</v>
      </c>
      <c r="BA303" s="196" t="s">
        <v>153</v>
      </c>
      <c r="BB303" s="197" t="s">
        <v>153</v>
      </c>
      <c r="BC303" s="198" t="s">
        <v>153</v>
      </c>
      <c r="BD303" s="199" t="s">
        <v>216</v>
      </c>
      <c r="BE303" s="200" t="s">
        <v>217</v>
      </c>
      <c r="BF303" s="201" t="s">
        <v>6592</v>
      </c>
      <c r="BG303" s="202" t="s">
        <v>6593</v>
      </c>
      <c r="BH303" s="203">
        <v>1</v>
      </c>
      <c r="BI303" s="204" t="s">
        <v>2678</v>
      </c>
      <c r="BJ303" s="205" t="s">
        <v>6594</v>
      </c>
      <c r="BK303" s="206" t="s">
        <v>153</v>
      </c>
      <c r="BL303" s="207" t="s">
        <v>6595</v>
      </c>
      <c r="BM303" s="208" t="s">
        <v>6596</v>
      </c>
      <c r="BN303" s="209" t="s">
        <v>153</v>
      </c>
      <c r="BO303" s="210" t="s">
        <v>6597</v>
      </c>
      <c r="BP303" s="211" t="s">
        <v>6598</v>
      </c>
      <c r="BQ303" s="212">
        <v>40046</v>
      </c>
      <c r="BR303" s="213" t="s">
        <v>153</v>
      </c>
      <c r="BS303" s="214" t="s">
        <v>153</v>
      </c>
      <c r="BT303" s="215" t="s">
        <v>153</v>
      </c>
      <c r="BU303" s="216" t="s">
        <v>153</v>
      </c>
      <c r="BV303" s="217" t="s">
        <v>251</v>
      </c>
      <c r="BW303" s="218" t="s">
        <v>524</v>
      </c>
      <c r="BX303" s="219" t="s">
        <v>153</v>
      </c>
      <c r="BY303" s="220" t="s">
        <v>252</v>
      </c>
      <c r="BZ303" s="221" t="s">
        <v>153</v>
      </c>
      <c r="CA303" s="222" t="s">
        <v>190</v>
      </c>
      <c r="CB303" s="223">
        <v>42080</v>
      </c>
      <c r="CC303" s="224">
        <v>12538</v>
      </c>
      <c r="CD303" s="225" t="s">
        <v>186</v>
      </c>
      <c r="CE303" s="226">
        <v>12538</v>
      </c>
      <c r="CF303" s="227" t="s">
        <v>187</v>
      </c>
      <c r="CG303" s="228" t="s">
        <v>226</v>
      </c>
      <c r="CH303" s="229" t="s">
        <v>153</v>
      </c>
      <c r="CI303" s="230" t="s">
        <v>153</v>
      </c>
      <c r="CJ303" s="231" t="s">
        <v>225</v>
      </c>
      <c r="CK303" s="232">
        <v>42080</v>
      </c>
      <c r="CL303" s="233" t="s">
        <v>153</v>
      </c>
      <c r="CM303" s="234" t="s">
        <v>153</v>
      </c>
      <c r="CN303" s="235" t="s">
        <v>190</v>
      </c>
      <c r="CO303" s="236" t="s">
        <v>153</v>
      </c>
      <c r="CP303" s="237" t="s">
        <v>153</v>
      </c>
      <c r="CQ303" s="238" t="s">
        <v>153</v>
      </c>
      <c r="CR303" s="239" t="s">
        <v>153</v>
      </c>
      <c r="CS303" s="240" t="s">
        <v>153</v>
      </c>
      <c r="CT303" s="241" t="s">
        <v>153</v>
      </c>
      <c r="CU303" s="242" t="s">
        <v>153</v>
      </c>
      <c r="CV303" s="243" t="s">
        <v>153</v>
      </c>
      <c r="CW303" s="244" t="s">
        <v>153</v>
      </c>
      <c r="CX303" s="245" t="s">
        <v>153</v>
      </c>
      <c r="CY303" s="246" t="s">
        <v>153</v>
      </c>
      <c r="CZ303" s="247" t="s">
        <v>153</v>
      </c>
      <c r="DA303" s="248" t="s">
        <v>153</v>
      </c>
      <c r="DB303" s="249" t="s">
        <v>153</v>
      </c>
      <c r="DC303" s="250" t="s">
        <v>153</v>
      </c>
      <c r="DD303" s="251" t="s">
        <v>153</v>
      </c>
      <c r="DE303" s="252" t="s">
        <v>153</v>
      </c>
      <c r="DF303" s="253" t="s">
        <v>153</v>
      </c>
      <c r="DG303" s="254" t="s">
        <v>153</v>
      </c>
      <c r="DH303" s="255" t="s">
        <v>153</v>
      </c>
      <c r="DI303" s="256" t="s">
        <v>153</v>
      </c>
      <c r="DJ303" s="257" t="s">
        <v>153</v>
      </c>
      <c r="DK303" s="258" t="s">
        <v>153</v>
      </c>
      <c r="DL303" s="259" t="s">
        <v>153</v>
      </c>
      <c r="DM303" s="260" t="s">
        <v>153</v>
      </c>
      <c r="DN303" s="261" t="s">
        <v>153</v>
      </c>
      <c r="DO303" s="262" t="s">
        <v>153</v>
      </c>
      <c r="DP303" s="263" t="s">
        <v>153</v>
      </c>
      <c r="DQ303" s="264" t="s">
        <v>153</v>
      </c>
      <c r="DR303" s="265" t="s">
        <v>153</v>
      </c>
      <c r="DS303" s="266" t="s">
        <v>153</v>
      </c>
      <c r="DT303" s="267" t="s">
        <v>153</v>
      </c>
      <c r="DU303" s="268" t="s">
        <v>153</v>
      </c>
      <c r="DV303" s="269" t="s">
        <v>153</v>
      </c>
      <c r="DW303" s="270" t="s">
        <v>153</v>
      </c>
      <c r="DX303" s="271" t="s">
        <v>153</v>
      </c>
      <c r="DY303" s="272" t="s">
        <v>153</v>
      </c>
      <c r="DZ303" s="273" t="s">
        <v>191</v>
      </c>
      <c r="EA303" s="274">
        <v>44295</v>
      </c>
      <c r="EB303" s="275">
        <v>12538</v>
      </c>
      <c r="EC303" s="276">
        <v>42080</v>
      </c>
      <c r="ED303" s="277" t="s">
        <v>226</v>
      </c>
      <c r="EE303" s="279" t="str">
        <f>HYPERLINK("https://my.pitchbook.com?c=42164-83", "View company online")</f>
        <v>View company online</v>
      </c>
    </row>
    <row r="304" spans="1:135" x14ac:dyDescent="0.45">
      <c r="A304" s="10" t="s">
        <v>6599</v>
      </c>
      <c r="B304" s="11" t="s">
        <v>6600</v>
      </c>
      <c r="C304" s="12" t="s">
        <v>153</v>
      </c>
      <c r="D304" s="13" t="s">
        <v>153</v>
      </c>
      <c r="E304" s="14" t="s">
        <v>153</v>
      </c>
      <c r="F304" s="15" t="s">
        <v>153</v>
      </c>
      <c r="G304" s="16" t="s">
        <v>153</v>
      </c>
      <c r="H304" s="17" t="s">
        <v>153</v>
      </c>
      <c r="I304" s="18" t="s">
        <v>6599</v>
      </c>
      <c r="J304" s="19" t="s">
        <v>6601</v>
      </c>
      <c r="K304" s="20" t="s">
        <v>882</v>
      </c>
      <c r="L304" s="21" t="s">
        <v>1257</v>
      </c>
      <c r="M304" s="22" t="s">
        <v>2561</v>
      </c>
      <c r="N304" s="23" t="s">
        <v>6602</v>
      </c>
      <c r="O304" s="24" t="s">
        <v>153</v>
      </c>
      <c r="P304" s="25" t="s">
        <v>6603</v>
      </c>
      <c r="Q304" s="26" t="s">
        <v>204</v>
      </c>
      <c r="R304" s="27" t="s">
        <v>153</v>
      </c>
      <c r="S304" s="28" t="s">
        <v>163</v>
      </c>
      <c r="T304" s="29" t="s">
        <v>205</v>
      </c>
      <c r="U304" s="30" t="s">
        <v>206</v>
      </c>
      <c r="V304" s="31" t="s">
        <v>153</v>
      </c>
      <c r="W304" s="32">
        <v>70</v>
      </c>
      <c r="X304" s="33" t="s">
        <v>6604</v>
      </c>
      <c r="Y304" s="34" t="s">
        <v>153</v>
      </c>
      <c r="Z304" s="35" t="s">
        <v>153</v>
      </c>
      <c r="AA304" s="36" t="s">
        <v>153</v>
      </c>
      <c r="AB304" s="37" t="s">
        <v>153</v>
      </c>
      <c r="AC304" s="38" t="s">
        <v>153</v>
      </c>
      <c r="AD304" s="39" t="s">
        <v>153</v>
      </c>
      <c r="AE304" s="40" t="s">
        <v>153</v>
      </c>
      <c r="AF304" s="41" t="s">
        <v>153</v>
      </c>
      <c r="AG304" s="42" t="s">
        <v>153</v>
      </c>
      <c r="AH304" s="43" t="s">
        <v>153</v>
      </c>
      <c r="AI304" s="44" t="s">
        <v>153</v>
      </c>
      <c r="AJ304" s="45" t="s">
        <v>153</v>
      </c>
      <c r="AK304" s="46" t="s">
        <v>153</v>
      </c>
      <c r="AL304" s="47" t="s">
        <v>153</v>
      </c>
      <c r="AM304" s="48" t="s">
        <v>153</v>
      </c>
      <c r="AN304" s="49" t="s">
        <v>918</v>
      </c>
      <c r="AO304" s="50" t="s">
        <v>153</v>
      </c>
      <c r="AP304" s="51" t="s">
        <v>153</v>
      </c>
      <c r="AQ304" s="52" t="s">
        <v>153</v>
      </c>
      <c r="AR304" s="53" t="s">
        <v>153</v>
      </c>
      <c r="AS304" s="54" t="s">
        <v>153</v>
      </c>
      <c r="AT304" s="55" t="s">
        <v>6605</v>
      </c>
      <c r="AU304" s="56" t="s">
        <v>6606</v>
      </c>
      <c r="AV304" s="57" t="s">
        <v>6607</v>
      </c>
      <c r="AW304" s="58" t="s">
        <v>6107</v>
      </c>
      <c r="AX304" s="59" t="s">
        <v>153</v>
      </c>
      <c r="AY304" s="60" t="s">
        <v>6608</v>
      </c>
      <c r="AZ304" s="61" t="s">
        <v>1426</v>
      </c>
      <c r="BA304" s="62" t="s">
        <v>153</v>
      </c>
      <c r="BB304" s="63" t="s">
        <v>153</v>
      </c>
      <c r="BC304" s="64" t="s">
        <v>153</v>
      </c>
      <c r="BD304" s="65" t="s">
        <v>180</v>
      </c>
      <c r="BE304" s="66" t="s">
        <v>181</v>
      </c>
      <c r="BF304" s="67" t="s">
        <v>6609</v>
      </c>
      <c r="BG304" s="68" t="s">
        <v>6610</v>
      </c>
      <c r="BH304" s="69">
        <v>2</v>
      </c>
      <c r="BI304" s="70" t="s">
        <v>153</v>
      </c>
      <c r="BJ304" s="71" t="s">
        <v>153</v>
      </c>
      <c r="BK304" s="72" t="s">
        <v>153</v>
      </c>
      <c r="BL304" s="73" t="s">
        <v>6611</v>
      </c>
      <c r="BM304" s="74" t="s">
        <v>153</v>
      </c>
      <c r="BN304" s="75" t="s">
        <v>153</v>
      </c>
      <c r="BO304" s="76" t="s">
        <v>153</v>
      </c>
      <c r="BP304" s="77" t="s">
        <v>153</v>
      </c>
      <c r="BQ304" s="78">
        <v>41814</v>
      </c>
      <c r="BR304" s="79">
        <v>12500</v>
      </c>
      <c r="BS304" s="80" t="s">
        <v>186</v>
      </c>
      <c r="BT304" s="81">
        <v>83333.33</v>
      </c>
      <c r="BU304" s="82" t="s">
        <v>186</v>
      </c>
      <c r="BV304" s="83" t="s">
        <v>906</v>
      </c>
      <c r="BW304" s="84" t="s">
        <v>153</v>
      </c>
      <c r="BX304" s="85" t="s">
        <v>153</v>
      </c>
      <c r="BY304" s="86" t="s">
        <v>225</v>
      </c>
      <c r="BZ304" s="87" t="s">
        <v>153</v>
      </c>
      <c r="CA304" s="88" t="s">
        <v>190</v>
      </c>
      <c r="CB304" s="89">
        <v>41814</v>
      </c>
      <c r="CC304" s="90">
        <v>12500</v>
      </c>
      <c r="CD304" s="91" t="s">
        <v>186</v>
      </c>
      <c r="CE304" s="92">
        <v>83333.33</v>
      </c>
      <c r="CF304" s="93" t="s">
        <v>186</v>
      </c>
      <c r="CG304" s="94" t="s">
        <v>906</v>
      </c>
      <c r="CH304" s="95" t="s">
        <v>153</v>
      </c>
      <c r="CI304" s="96" t="s">
        <v>153</v>
      </c>
      <c r="CJ304" s="97" t="s">
        <v>225</v>
      </c>
      <c r="CK304" s="98">
        <v>41814</v>
      </c>
      <c r="CL304" s="99" t="s">
        <v>153</v>
      </c>
      <c r="CM304" s="100" t="s">
        <v>153</v>
      </c>
      <c r="CN304" s="101" t="s">
        <v>190</v>
      </c>
      <c r="CO304" s="102" t="s">
        <v>153</v>
      </c>
      <c r="CP304" s="103" t="s">
        <v>153</v>
      </c>
      <c r="CQ304" s="104" t="s">
        <v>153</v>
      </c>
      <c r="CR304" s="105" t="s">
        <v>153</v>
      </c>
      <c r="CS304" s="106" t="s">
        <v>153</v>
      </c>
      <c r="CT304" s="107" t="s">
        <v>153</v>
      </c>
      <c r="CU304" s="108" t="s">
        <v>153</v>
      </c>
      <c r="CV304" s="109" t="s">
        <v>153</v>
      </c>
      <c r="CW304" s="110" t="s">
        <v>153</v>
      </c>
      <c r="CX304" s="111" t="s">
        <v>153</v>
      </c>
      <c r="CY304" s="112" t="s">
        <v>153</v>
      </c>
      <c r="CZ304" s="113" t="s">
        <v>153</v>
      </c>
      <c r="DA304" s="114" t="s">
        <v>153</v>
      </c>
      <c r="DB304" s="115" t="s">
        <v>153</v>
      </c>
      <c r="DC304" s="116" t="s">
        <v>153</v>
      </c>
      <c r="DD304" s="117" t="s">
        <v>153</v>
      </c>
      <c r="DE304" s="118" t="s">
        <v>153</v>
      </c>
      <c r="DF304" s="119" t="s">
        <v>153</v>
      </c>
      <c r="DG304" s="120" t="s">
        <v>153</v>
      </c>
      <c r="DH304" s="121" t="s">
        <v>153</v>
      </c>
      <c r="DI304" s="122" t="s">
        <v>153</v>
      </c>
      <c r="DJ304" s="123" t="s">
        <v>153</v>
      </c>
      <c r="DK304" s="124" t="s">
        <v>153</v>
      </c>
      <c r="DL304" s="125" t="s">
        <v>153</v>
      </c>
      <c r="DM304" s="126" t="s">
        <v>153</v>
      </c>
      <c r="DN304" s="127" t="s">
        <v>153</v>
      </c>
      <c r="DO304" s="128" t="s">
        <v>153</v>
      </c>
      <c r="DP304" s="129" t="s">
        <v>153</v>
      </c>
      <c r="DQ304" s="130" t="s">
        <v>153</v>
      </c>
      <c r="DR304" s="131" t="s">
        <v>153</v>
      </c>
      <c r="DS304" s="132" t="s">
        <v>153</v>
      </c>
      <c r="DT304" s="133" t="s">
        <v>153</v>
      </c>
      <c r="DU304" s="134" t="s">
        <v>153</v>
      </c>
      <c r="DV304" s="135" t="s">
        <v>153</v>
      </c>
      <c r="DW304" s="136" t="s">
        <v>153</v>
      </c>
      <c r="DX304" s="137" t="s">
        <v>153</v>
      </c>
      <c r="DY304" s="138" t="s">
        <v>153</v>
      </c>
      <c r="DZ304" s="139" t="s">
        <v>191</v>
      </c>
      <c r="EA304" s="140">
        <v>44400</v>
      </c>
      <c r="EB304" s="141">
        <v>83333.33</v>
      </c>
      <c r="EC304" s="142">
        <v>41814</v>
      </c>
      <c r="ED304" s="143" t="s">
        <v>906</v>
      </c>
      <c r="EE304" s="278" t="str">
        <f>HYPERLINK("https://my.pitchbook.com?c=64266-13", "View company online")</f>
        <v>View company online</v>
      </c>
    </row>
    <row r="305" spans="1:135" x14ac:dyDescent="0.45">
      <c r="A305" s="144" t="s">
        <v>6612</v>
      </c>
      <c r="B305" s="145" t="s">
        <v>6613</v>
      </c>
      <c r="C305" s="146" t="s">
        <v>153</v>
      </c>
      <c r="D305" s="147" t="s">
        <v>153</v>
      </c>
      <c r="E305" s="148" t="s">
        <v>153</v>
      </c>
      <c r="F305" s="149" t="s">
        <v>153</v>
      </c>
      <c r="G305" s="150" t="s">
        <v>6614</v>
      </c>
      <c r="H305" s="151" t="s">
        <v>6615</v>
      </c>
      <c r="I305" s="152" t="s">
        <v>6612</v>
      </c>
      <c r="J305" s="153" t="s">
        <v>6616</v>
      </c>
      <c r="K305" s="154" t="s">
        <v>157</v>
      </c>
      <c r="L305" s="155" t="s">
        <v>817</v>
      </c>
      <c r="M305" s="156" t="s">
        <v>863</v>
      </c>
      <c r="N305" s="157" t="s">
        <v>864</v>
      </c>
      <c r="O305" s="158" t="s">
        <v>261</v>
      </c>
      <c r="P305" s="159" t="s">
        <v>6617</v>
      </c>
      <c r="Q305" s="160" t="s">
        <v>289</v>
      </c>
      <c r="R305" s="161">
        <v>367.54</v>
      </c>
      <c r="S305" s="162" t="s">
        <v>290</v>
      </c>
      <c r="T305" s="163" t="s">
        <v>205</v>
      </c>
      <c r="U305" s="164" t="s">
        <v>292</v>
      </c>
      <c r="V305" s="165" t="s">
        <v>6618</v>
      </c>
      <c r="W305" s="166">
        <v>6000</v>
      </c>
      <c r="X305" s="167" t="s">
        <v>6619</v>
      </c>
      <c r="Y305" s="168" t="s">
        <v>153</v>
      </c>
      <c r="Z305" s="169" t="s">
        <v>153</v>
      </c>
      <c r="AA305" s="170">
        <v>1977</v>
      </c>
      <c r="AB305" s="171" t="s">
        <v>153</v>
      </c>
      <c r="AC305" s="172" t="s">
        <v>153</v>
      </c>
      <c r="AD305" s="173" t="s">
        <v>153</v>
      </c>
      <c r="AE305" s="174" t="s">
        <v>153</v>
      </c>
      <c r="AF305" s="175" t="s">
        <v>153</v>
      </c>
      <c r="AG305" s="176" t="s">
        <v>153</v>
      </c>
      <c r="AH305" s="177" t="s">
        <v>153</v>
      </c>
      <c r="AI305" s="178" t="s">
        <v>153</v>
      </c>
      <c r="AJ305" s="179" t="s">
        <v>153</v>
      </c>
      <c r="AK305" s="180" t="s">
        <v>153</v>
      </c>
      <c r="AL305" s="181" t="s">
        <v>153</v>
      </c>
      <c r="AM305" s="182" t="s">
        <v>153</v>
      </c>
      <c r="AN305" s="183" t="s">
        <v>2112</v>
      </c>
      <c r="AO305" s="184" t="s">
        <v>153</v>
      </c>
      <c r="AP305" s="185" t="s">
        <v>153</v>
      </c>
      <c r="AQ305" s="186" t="s">
        <v>153</v>
      </c>
      <c r="AR305" s="187" t="s">
        <v>153</v>
      </c>
      <c r="AS305" s="188" t="s">
        <v>153</v>
      </c>
      <c r="AT305" s="189" t="s">
        <v>1287</v>
      </c>
      <c r="AU305" s="190" t="s">
        <v>6620</v>
      </c>
      <c r="AV305" s="191" t="s">
        <v>1126</v>
      </c>
      <c r="AW305" s="192" t="s">
        <v>1290</v>
      </c>
      <c r="AX305" s="193" t="s">
        <v>1291</v>
      </c>
      <c r="AY305" s="194" t="s">
        <v>1292</v>
      </c>
      <c r="AZ305" s="195" t="s">
        <v>215</v>
      </c>
      <c r="BA305" s="196" t="s">
        <v>153</v>
      </c>
      <c r="BB305" s="197" t="s">
        <v>153</v>
      </c>
      <c r="BC305" s="198" t="s">
        <v>153</v>
      </c>
      <c r="BD305" s="199" t="s">
        <v>216</v>
      </c>
      <c r="BE305" s="200" t="s">
        <v>217</v>
      </c>
      <c r="BF305" s="201" t="s">
        <v>6621</v>
      </c>
      <c r="BG305" s="202" t="s">
        <v>6622</v>
      </c>
      <c r="BH305" s="203">
        <v>1</v>
      </c>
      <c r="BI305" s="204" t="s">
        <v>4422</v>
      </c>
      <c r="BJ305" s="205" t="s">
        <v>6623</v>
      </c>
      <c r="BK305" s="206" t="s">
        <v>153</v>
      </c>
      <c r="BL305" s="207" t="s">
        <v>6624</v>
      </c>
      <c r="BM305" s="208" t="s">
        <v>6625</v>
      </c>
      <c r="BN305" s="209" t="s">
        <v>153</v>
      </c>
      <c r="BO305" s="210" t="s">
        <v>6626</v>
      </c>
      <c r="BP305" s="211" t="s">
        <v>6627</v>
      </c>
      <c r="BQ305" s="212">
        <v>37385</v>
      </c>
      <c r="BR305" s="213" t="s">
        <v>153</v>
      </c>
      <c r="BS305" s="214" t="s">
        <v>153</v>
      </c>
      <c r="BT305" s="215" t="s">
        <v>153</v>
      </c>
      <c r="BU305" s="216" t="s">
        <v>153</v>
      </c>
      <c r="BV305" s="217" t="s">
        <v>226</v>
      </c>
      <c r="BW305" s="218" t="s">
        <v>153</v>
      </c>
      <c r="BX305" s="219" t="s">
        <v>153</v>
      </c>
      <c r="BY305" s="220" t="s">
        <v>225</v>
      </c>
      <c r="BZ305" s="221" t="s">
        <v>153</v>
      </c>
      <c r="CA305" s="222" t="s">
        <v>190</v>
      </c>
      <c r="CB305" s="223">
        <v>42837</v>
      </c>
      <c r="CC305" s="224">
        <v>12500</v>
      </c>
      <c r="CD305" s="225" t="s">
        <v>186</v>
      </c>
      <c r="CE305" s="226">
        <v>12500</v>
      </c>
      <c r="CF305" s="227" t="s">
        <v>187</v>
      </c>
      <c r="CG305" s="228" t="s">
        <v>226</v>
      </c>
      <c r="CH305" s="229" t="s">
        <v>153</v>
      </c>
      <c r="CI305" s="230" t="s">
        <v>153</v>
      </c>
      <c r="CJ305" s="231" t="s">
        <v>225</v>
      </c>
      <c r="CK305" s="232">
        <v>42837</v>
      </c>
      <c r="CL305" s="233" t="s">
        <v>153</v>
      </c>
      <c r="CM305" s="234" t="s">
        <v>321</v>
      </c>
      <c r="CN305" s="235" t="s">
        <v>190</v>
      </c>
      <c r="CO305" s="236">
        <v>0.01</v>
      </c>
      <c r="CP305" s="237">
        <v>87</v>
      </c>
      <c r="CQ305" s="238">
        <v>0</v>
      </c>
      <c r="CR305" s="239">
        <v>0</v>
      </c>
      <c r="CS305" s="240" t="s">
        <v>153</v>
      </c>
      <c r="CT305" s="241" t="s">
        <v>153</v>
      </c>
      <c r="CU305" s="242" t="s">
        <v>153</v>
      </c>
      <c r="CV305" s="243" t="s">
        <v>153</v>
      </c>
      <c r="CW305" s="244" t="s">
        <v>153</v>
      </c>
      <c r="CX305" s="245" t="s">
        <v>153</v>
      </c>
      <c r="CY305" s="246" t="s">
        <v>153</v>
      </c>
      <c r="CZ305" s="247" t="s">
        <v>153</v>
      </c>
      <c r="DA305" s="248" t="s">
        <v>153</v>
      </c>
      <c r="DB305" s="249" t="s">
        <v>153</v>
      </c>
      <c r="DC305" s="250">
        <v>162.16</v>
      </c>
      <c r="DD305" s="251">
        <v>100</v>
      </c>
      <c r="DE305" s="252">
        <v>0</v>
      </c>
      <c r="DF305" s="253">
        <v>0</v>
      </c>
      <c r="DG305" s="254" t="s">
        <v>153</v>
      </c>
      <c r="DH305" s="255" t="s">
        <v>153</v>
      </c>
      <c r="DI305" s="256" t="s">
        <v>153</v>
      </c>
      <c r="DJ305" s="257" t="s">
        <v>153</v>
      </c>
      <c r="DK305" s="258" t="s">
        <v>153</v>
      </c>
      <c r="DL305" s="259" t="s">
        <v>153</v>
      </c>
      <c r="DM305" s="260" t="s">
        <v>153</v>
      </c>
      <c r="DN305" s="261" t="s">
        <v>153</v>
      </c>
      <c r="DO305" s="262" t="s">
        <v>153</v>
      </c>
      <c r="DP305" s="263" t="s">
        <v>153</v>
      </c>
      <c r="DQ305" s="264" t="s">
        <v>153</v>
      </c>
      <c r="DR305" s="265" t="s">
        <v>153</v>
      </c>
      <c r="DS305" s="266" t="s">
        <v>153</v>
      </c>
      <c r="DT305" s="267" t="s">
        <v>153</v>
      </c>
      <c r="DU305" s="268" t="s">
        <v>153</v>
      </c>
      <c r="DV305" s="269" t="s">
        <v>153</v>
      </c>
      <c r="DW305" s="270" t="s">
        <v>153</v>
      </c>
      <c r="DX305" s="271" t="s">
        <v>153</v>
      </c>
      <c r="DY305" s="272" t="s">
        <v>153</v>
      </c>
      <c r="DZ305" s="273" t="s">
        <v>191</v>
      </c>
      <c r="EA305" s="274">
        <v>44375</v>
      </c>
      <c r="EB305" s="275">
        <v>12500</v>
      </c>
      <c r="EC305" s="276">
        <v>42837</v>
      </c>
      <c r="ED305" s="277" t="s">
        <v>226</v>
      </c>
      <c r="EE305" s="279" t="str">
        <f>HYPERLINK("https://my.pitchbook.com?c=55321-93", "View company online")</f>
        <v>View company online</v>
      </c>
    </row>
    <row r="306" spans="1:135" x14ac:dyDescent="0.45">
      <c r="A306" s="10" t="s">
        <v>6628</v>
      </c>
      <c r="B306" s="11" t="s">
        <v>6629</v>
      </c>
      <c r="C306" s="12" t="s">
        <v>153</v>
      </c>
      <c r="D306" s="13" t="s">
        <v>153</v>
      </c>
      <c r="E306" s="14" t="s">
        <v>153</v>
      </c>
      <c r="F306" s="15" t="s">
        <v>153</v>
      </c>
      <c r="G306" s="16" t="s">
        <v>6630</v>
      </c>
      <c r="H306" s="17" t="s">
        <v>153</v>
      </c>
      <c r="I306" s="18" t="s">
        <v>6628</v>
      </c>
      <c r="J306" s="19" t="s">
        <v>6631</v>
      </c>
      <c r="K306" s="20" t="s">
        <v>792</v>
      </c>
      <c r="L306" s="21" t="s">
        <v>841</v>
      </c>
      <c r="M306" s="22" t="s">
        <v>842</v>
      </c>
      <c r="N306" s="23" t="s">
        <v>6632</v>
      </c>
      <c r="O306" s="24" t="s">
        <v>6633</v>
      </c>
      <c r="P306" s="25" t="s">
        <v>6634</v>
      </c>
      <c r="Q306" s="26" t="s">
        <v>162</v>
      </c>
      <c r="R306" s="27" t="s">
        <v>153</v>
      </c>
      <c r="S306" s="28" t="s">
        <v>163</v>
      </c>
      <c r="T306" s="29" t="s">
        <v>1392</v>
      </c>
      <c r="U306" s="30" t="s">
        <v>165</v>
      </c>
      <c r="V306" s="31" t="s">
        <v>153</v>
      </c>
      <c r="W306" s="32" t="s">
        <v>153</v>
      </c>
      <c r="X306" s="33" t="s">
        <v>153</v>
      </c>
      <c r="Y306" s="34" t="s">
        <v>153</v>
      </c>
      <c r="Z306" s="35" t="s">
        <v>153</v>
      </c>
      <c r="AA306" s="36">
        <v>2021</v>
      </c>
      <c r="AB306" s="37" t="s">
        <v>584</v>
      </c>
      <c r="AC306" s="38" t="s">
        <v>153</v>
      </c>
      <c r="AD306" s="39" t="s">
        <v>153</v>
      </c>
      <c r="AE306" s="40" t="s">
        <v>153</v>
      </c>
      <c r="AF306" s="41" t="s">
        <v>153</v>
      </c>
      <c r="AG306" s="42" t="s">
        <v>153</v>
      </c>
      <c r="AH306" s="43" t="s">
        <v>153</v>
      </c>
      <c r="AI306" s="44" t="s">
        <v>153</v>
      </c>
      <c r="AJ306" s="45" t="s">
        <v>153</v>
      </c>
      <c r="AK306" s="46" t="s">
        <v>153</v>
      </c>
      <c r="AL306" s="47" t="s">
        <v>153</v>
      </c>
      <c r="AM306" s="48" t="s">
        <v>153</v>
      </c>
      <c r="AN306" s="49" t="s">
        <v>153</v>
      </c>
      <c r="AO306" s="50" t="s">
        <v>153</v>
      </c>
      <c r="AP306" s="51" t="s">
        <v>153</v>
      </c>
      <c r="AQ306" s="52" t="s">
        <v>153</v>
      </c>
      <c r="AR306" s="53" t="s">
        <v>153</v>
      </c>
      <c r="AS306" s="54" t="s">
        <v>153</v>
      </c>
      <c r="AT306" s="55" t="s">
        <v>6635</v>
      </c>
      <c r="AU306" s="56" t="s">
        <v>153</v>
      </c>
      <c r="AV306" s="57" t="s">
        <v>153</v>
      </c>
      <c r="AW306" s="58" t="s">
        <v>6636</v>
      </c>
      <c r="AX306" s="59" t="s">
        <v>153</v>
      </c>
      <c r="AY306" s="60" t="s">
        <v>153</v>
      </c>
      <c r="AZ306" s="61" t="s">
        <v>580</v>
      </c>
      <c r="BA306" s="62" t="s">
        <v>153</v>
      </c>
      <c r="BB306" s="63" t="s">
        <v>153</v>
      </c>
      <c r="BC306" s="64" t="s">
        <v>153</v>
      </c>
      <c r="BD306" s="65" t="s">
        <v>248</v>
      </c>
      <c r="BE306" s="66" t="s">
        <v>248</v>
      </c>
      <c r="BF306" s="67" t="s">
        <v>6637</v>
      </c>
      <c r="BG306" s="68" t="s">
        <v>6638</v>
      </c>
      <c r="BH306" s="69">
        <v>2</v>
      </c>
      <c r="BI306" s="70" t="s">
        <v>584</v>
      </c>
      <c r="BJ306" s="71" t="s">
        <v>153</v>
      </c>
      <c r="BK306" s="72" t="s">
        <v>153</v>
      </c>
      <c r="BL306" s="73" t="s">
        <v>6639</v>
      </c>
      <c r="BM306" s="74" t="s">
        <v>153</v>
      </c>
      <c r="BN306" s="75" t="s">
        <v>153</v>
      </c>
      <c r="BO306" s="76" t="s">
        <v>153</v>
      </c>
      <c r="BP306" s="77" t="s">
        <v>6640</v>
      </c>
      <c r="BQ306" s="78">
        <v>44295</v>
      </c>
      <c r="BR306" s="79">
        <v>12400</v>
      </c>
      <c r="BS306" s="80" t="s">
        <v>186</v>
      </c>
      <c r="BT306" s="81">
        <v>25306.1</v>
      </c>
      <c r="BU306" s="82" t="s">
        <v>187</v>
      </c>
      <c r="BV306" s="83" t="s">
        <v>906</v>
      </c>
      <c r="BW306" s="84" t="s">
        <v>153</v>
      </c>
      <c r="BX306" s="85" t="s">
        <v>153</v>
      </c>
      <c r="BY306" s="86" t="s">
        <v>165</v>
      </c>
      <c r="BZ306" s="87" t="s">
        <v>6641</v>
      </c>
      <c r="CA306" s="88" t="s">
        <v>190</v>
      </c>
      <c r="CB306" s="89">
        <v>44295</v>
      </c>
      <c r="CC306" s="90">
        <v>12400</v>
      </c>
      <c r="CD306" s="91" t="s">
        <v>186</v>
      </c>
      <c r="CE306" s="92">
        <v>25306.1</v>
      </c>
      <c r="CF306" s="93" t="s">
        <v>187</v>
      </c>
      <c r="CG306" s="94" t="s">
        <v>906</v>
      </c>
      <c r="CH306" s="95" t="s">
        <v>153</v>
      </c>
      <c r="CI306" s="96" t="s">
        <v>153</v>
      </c>
      <c r="CJ306" s="97" t="s">
        <v>165</v>
      </c>
      <c r="CK306" s="98">
        <v>44295</v>
      </c>
      <c r="CL306" s="99">
        <v>10500</v>
      </c>
      <c r="CM306" s="100" t="s">
        <v>6641</v>
      </c>
      <c r="CN306" s="101" t="s">
        <v>190</v>
      </c>
      <c r="CO306" s="102" t="s">
        <v>153</v>
      </c>
      <c r="CP306" s="103" t="s">
        <v>153</v>
      </c>
      <c r="CQ306" s="104" t="s">
        <v>153</v>
      </c>
      <c r="CR306" s="105" t="s">
        <v>153</v>
      </c>
      <c r="CS306" s="106" t="s">
        <v>153</v>
      </c>
      <c r="CT306" s="107" t="s">
        <v>153</v>
      </c>
      <c r="CU306" s="108" t="s">
        <v>153</v>
      </c>
      <c r="CV306" s="109" t="s">
        <v>153</v>
      </c>
      <c r="CW306" s="110" t="s">
        <v>153</v>
      </c>
      <c r="CX306" s="111" t="s">
        <v>153</v>
      </c>
      <c r="CY306" s="112" t="s">
        <v>153</v>
      </c>
      <c r="CZ306" s="113" t="s">
        <v>153</v>
      </c>
      <c r="DA306" s="114" t="s">
        <v>153</v>
      </c>
      <c r="DB306" s="115" t="s">
        <v>153</v>
      </c>
      <c r="DC306" s="116" t="s">
        <v>153</v>
      </c>
      <c r="DD306" s="117" t="s">
        <v>153</v>
      </c>
      <c r="DE306" s="118" t="s">
        <v>153</v>
      </c>
      <c r="DF306" s="119" t="s">
        <v>153</v>
      </c>
      <c r="DG306" s="120" t="s">
        <v>153</v>
      </c>
      <c r="DH306" s="121" t="s">
        <v>153</v>
      </c>
      <c r="DI306" s="122" t="s">
        <v>153</v>
      </c>
      <c r="DJ306" s="123" t="s">
        <v>153</v>
      </c>
      <c r="DK306" s="124" t="s">
        <v>153</v>
      </c>
      <c r="DL306" s="125" t="s">
        <v>153</v>
      </c>
      <c r="DM306" s="126" t="s">
        <v>153</v>
      </c>
      <c r="DN306" s="127" t="s">
        <v>153</v>
      </c>
      <c r="DO306" s="128" t="s">
        <v>153</v>
      </c>
      <c r="DP306" s="129" t="s">
        <v>153</v>
      </c>
      <c r="DQ306" s="130" t="s">
        <v>153</v>
      </c>
      <c r="DR306" s="131" t="s">
        <v>153</v>
      </c>
      <c r="DS306" s="132" t="s">
        <v>153</v>
      </c>
      <c r="DT306" s="133" t="s">
        <v>153</v>
      </c>
      <c r="DU306" s="134" t="s">
        <v>153</v>
      </c>
      <c r="DV306" s="135" t="s">
        <v>153</v>
      </c>
      <c r="DW306" s="136" t="s">
        <v>153</v>
      </c>
      <c r="DX306" s="137" t="s">
        <v>153</v>
      </c>
      <c r="DY306" s="138" t="s">
        <v>153</v>
      </c>
      <c r="DZ306" s="139" t="s">
        <v>191</v>
      </c>
      <c r="EA306" s="140">
        <v>44363</v>
      </c>
      <c r="EB306" s="141">
        <v>25306.1</v>
      </c>
      <c r="EC306" s="142">
        <v>44295</v>
      </c>
      <c r="ED306" s="143" t="s">
        <v>906</v>
      </c>
      <c r="EE306" s="278" t="str">
        <f>HYPERLINK("https://my.pitchbook.com?c=464230-45", "View company online")</f>
        <v>View company online</v>
      </c>
    </row>
    <row r="307" spans="1:135" x14ac:dyDescent="0.45">
      <c r="A307" s="144" t="s">
        <v>6642</v>
      </c>
      <c r="B307" s="145" t="s">
        <v>6643</v>
      </c>
      <c r="C307" s="146" t="s">
        <v>153</v>
      </c>
      <c r="D307" s="147" t="s">
        <v>153</v>
      </c>
      <c r="E307" s="148" t="s">
        <v>153</v>
      </c>
      <c r="F307" s="149" t="s">
        <v>153</v>
      </c>
      <c r="G307" s="150" t="s">
        <v>6644</v>
      </c>
      <c r="H307" s="151" t="s">
        <v>153</v>
      </c>
      <c r="I307" s="152" t="s">
        <v>6642</v>
      </c>
      <c r="J307" s="153" t="s">
        <v>6645</v>
      </c>
      <c r="K307" s="154" t="s">
        <v>257</v>
      </c>
      <c r="L307" s="155" t="s">
        <v>258</v>
      </c>
      <c r="M307" s="156" t="s">
        <v>6646</v>
      </c>
      <c r="N307" s="157" t="s">
        <v>6647</v>
      </c>
      <c r="O307" s="158" t="s">
        <v>6648</v>
      </c>
      <c r="P307" s="159" t="s">
        <v>6649</v>
      </c>
      <c r="Q307" s="160" t="s">
        <v>289</v>
      </c>
      <c r="R307" s="161" t="s">
        <v>153</v>
      </c>
      <c r="S307" s="162" t="s">
        <v>290</v>
      </c>
      <c r="T307" s="163" t="s">
        <v>205</v>
      </c>
      <c r="U307" s="164" t="s">
        <v>482</v>
      </c>
      <c r="V307" s="165" t="s">
        <v>6650</v>
      </c>
      <c r="W307" s="166">
        <v>2442</v>
      </c>
      <c r="X307" s="167" t="s">
        <v>6651</v>
      </c>
      <c r="Y307" s="168" t="s">
        <v>153</v>
      </c>
      <c r="Z307" s="169" t="s">
        <v>153</v>
      </c>
      <c r="AA307" s="170">
        <v>1968</v>
      </c>
      <c r="AB307" s="171" t="s">
        <v>153</v>
      </c>
      <c r="AC307" s="172" t="s">
        <v>153</v>
      </c>
      <c r="AD307" s="173" t="s">
        <v>153</v>
      </c>
      <c r="AE307" s="174" t="s">
        <v>153</v>
      </c>
      <c r="AF307" s="175" t="s">
        <v>153</v>
      </c>
      <c r="AG307" s="176" t="s">
        <v>153</v>
      </c>
      <c r="AH307" s="177" t="s">
        <v>153</v>
      </c>
      <c r="AI307" s="178" t="s">
        <v>153</v>
      </c>
      <c r="AJ307" s="179" t="s">
        <v>153</v>
      </c>
      <c r="AK307" s="180" t="s">
        <v>153</v>
      </c>
      <c r="AL307" s="181" t="s">
        <v>153</v>
      </c>
      <c r="AM307" s="182" t="s">
        <v>153</v>
      </c>
      <c r="AN307" s="183" t="s">
        <v>1504</v>
      </c>
      <c r="AO307" s="184" t="s">
        <v>153</v>
      </c>
      <c r="AP307" s="185" t="s">
        <v>153</v>
      </c>
      <c r="AQ307" s="186" t="s">
        <v>153</v>
      </c>
      <c r="AR307" s="187" t="s">
        <v>153</v>
      </c>
      <c r="AS307" s="188" t="s">
        <v>153</v>
      </c>
      <c r="AT307" s="189" t="s">
        <v>4307</v>
      </c>
      <c r="AU307" s="190" t="s">
        <v>6652</v>
      </c>
      <c r="AV307" s="191" t="s">
        <v>6653</v>
      </c>
      <c r="AW307" s="192" t="s">
        <v>4310</v>
      </c>
      <c r="AX307" s="193" t="s">
        <v>308</v>
      </c>
      <c r="AY307" s="194" t="s">
        <v>6654</v>
      </c>
      <c r="AZ307" s="195" t="s">
        <v>215</v>
      </c>
      <c r="BA307" s="196" t="s">
        <v>153</v>
      </c>
      <c r="BB307" s="197" t="s">
        <v>153</v>
      </c>
      <c r="BC307" s="198" t="s">
        <v>153</v>
      </c>
      <c r="BD307" s="199" t="s">
        <v>216</v>
      </c>
      <c r="BE307" s="200" t="s">
        <v>217</v>
      </c>
      <c r="BF307" s="201" t="s">
        <v>6655</v>
      </c>
      <c r="BG307" s="202" t="s">
        <v>153</v>
      </c>
      <c r="BH307" s="203" t="s">
        <v>153</v>
      </c>
      <c r="BI307" s="204" t="s">
        <v>2138</v>
      </c>
      <c r="BJ307" s="205" t="s">
        <v>6656</v>
      </c>
      <c r="BK307" s="206" t="s">
        <v>593</v>
      </c>
      <c r="BL307" s="207" t="s">
        <v>153</v>
      </c>
      <c r="BM307" s="208" t="s">
        <v>6657</v>
      </c>
      <c r="BN307" s="209" t="s">
        <v>6658</v>
      </c>
      <c r="BO307" s="210" t="s">
        <v>6659</v>
      </c>
      <c r="BP307" s="211" t="s">
        <v>153</v>
      </c>
      <c r="BQ307" s="212" t="s">
        <v>153</v>
      </c>
      <c r="BR307" s="213" t="s">
        <v>153</v>
      </c>
      <c r="BS307" s="214" t="s">
        <v>153</v>
      </c>
      <c r="BT307" s="215" t="s">
        <v>153</v>
      </c>
      <c r="BU307" s="216" t="s">
        <v>153</v>
      </c>
      <c r="BV307" s="217" t="s">
        <v>471</v>
      </c>
      <c r="BW307" s="218" t="s">
        <v>153</v>
      </c>
      <c r="BX307" s="219" t="s">
        <v>153</v>
      </c>
      <c r="BY307" s="220" t="s">
        <v>472</v>
      </c>
      <c r="BZ307" s="221" t="s">
        <v>153</v>
      </c>
      <c r="CA307" s="222" t="s">
        <v>190</v>
      </c>
      <c r="CB307" s="223">
        <v>37064</v>
      </c>
      <c r="CC307" s="224">
        <v>12300</v>
      </c>
      <c r="CD307" s="225" t="s">
        <v>187</v>
      </c>
      <c r="CE307" s="226">
        <v>12300</v>
      </c>
      <c r="CF307" s="227" t="s">
        <v>187</v>
      </c>
      <c r="CG307" s="228" t="s">
        <v>226</v>
      </c>
      <c r="CH307" s="229" t="s">
        <v>153</v>
      </c>
      <c r="CI307" s="230" t="s">
        <v>153</v>
      </c>
      <c r="CJ307" s="231" t="s">
        <v>225</v>
      </c>
      <c r="CK307" s="232">
        <v>37064</v>
      </c>
      <c r="CL307" s="233" t="s">
        <v>153</v>
      </c>
      <c r="CM307" s="234" t="s">
        <v>153</v>
      </c>
      <c r="CN307" s="235" t="s">
        <v>190</v>
      </c>
      <c r="CO307" s="236" t="s">
        <v>153</v>
      </c>
      <c r="CP307" s="237" t="s">
        <v>153</v>
      </c>
      <c r="CQ307" s="238" t="s">
        <v>153</v>
      </c>
      <c r="CR307" s="239" t="s">
        <v>153</v>
      </c>
      <c r="CS307" s="240" t="s">
        <v>153</v>
      </c>
      <c r="CT307" s="241" t="s">
        <v>153</v>
      </c>
      <c r="CU307" s="242" t="s">
        <v>153</v>
      </c>
      <c r="CV307" s="243" t="s">
        <v>153</v>
      </c>
      <c r="CW307" s="244" t="s">
        <v>153</v>
      </c>
      <c r="CX307" s="245" t="s">
        <v>153</v>
      </c>
      <c r="CY307" s="246" t="s">
        <v>153</v>
      </c>
      <c r="CZ307" s="247" t="s">
        <v>153</v>
      </c>
      <c r="DA307" s="248" t="s">
        <v>153</v>
      </c>
      <c r="DB307" s="249" t="s">
        <v>153</v>
      </c>
      <c r="DC307" s="250" t="s">
        <v>153</v>
      </c>
      <c r="DD307" s="251" t="s">
        <v>153</v>
      </c>
      <c r="DE307" s="252" t="s">
        <v>153</v>
      </c>
      <c r="DF307" s="253" t="s">
        <v>153</v>
      </c>
      <c r="DG307" s="254" t="s">
        <v>153</v>
      </c>
      <c r="DH307" s="255" t="s">
        <v>153</v>
      </c>
      <c r="DI307" s="256" t="s">
        <v>153</v>
      </c>
      <c r="DJ307" s="257" t="s">
        <v>153</v>
      </c>
      <c r="DK307" s="258" t="s">
        <v>153</v>
      </c>
      <c r="DL307" s="259" t="s">
        <v>153</v>
      </c>
      <c r="DM307" s="260" t="s">
        <v>153</v>
      </c>
      <c r="DN307" s="261" t="s">
        <v>153</v>
      </c>
      <c r="DO307" s="262" t="s">
        <v>153</v>
      </c>
      <c r="DP307" s="263" t="s">
        <v>153</v>
      </c>
      <c r="DQ307" s="264" t="s">
        <v>153</v>
      </c>
      <c r="DR307" s="265" t="s">
        <v>153</v>
      </c>
      <c r="DS307" s="266" t="s">
        <v>153</v>
      </c>
      <c r="DT307" s="267" t="s">
        <v>153</v>
      </c>
      <c r="DU307" s="268" t="s">
        <v>153</v>
      </c>
      <c r="DV307" s="269" t="s">
        <v>153</v>
      </c>
      <c r="DW307" s="270" t="s">
        <v>153</v>
      </c>
      <c r="DX307" s="271" t="s">
        <v>153</v>
      </c>
      <c r="DY307" s="272" t="s">
        <v>153</v>
      </c>
      <c r="DZ307" s="273" t="s">
        <v>191</v>
      </c>
      <c r="EA307" s="274">
        <v>44217</v>
      </c>
      <c r="EB307" s="275">
        <v>12300</v>
      </c>
      <c r="EC307" s="276">
        <v>37064</v>
      </c>
      <c r="ED307" s="277" t="s">
        <v>226</v>
      </c>
      <c r="EE307" s="279" t="str">
        <f>HYPERLINK("https://my.pitchbook.com?c=108277-84", "View company online")</f>
        <v>View company online</v>
      </c>
    </row>
    <row r="308" spans="1:135" x14ac:dyDescent="0.45">
      <c r="A308" s="10" t="s">
        <v>6660</v>
      </c>
      <c r="B308" s="11" t="s">
        <v>6661</v>
      </c>
      <c r="C308" s="12" t="s">
        <v>153</v>
      </c>
      <c r="D308" s="13" t="s">
        <v>153</v>
      </c>
      <c r="E308" s="14" t="s">
        <v>153</v>
      </c>
      <c r="F308" s="15" t="s">
        <v>153</v>
      </c>
      <c r="G308" s="16" t="s">
        <v>6662</v>
      </c>
      <c r="H308" s="17" t="s">
        <v>153</v>
      </c>
      <c r="I308" s="18" t="s">
        <v>6660</v>
      </c>
      <c r="J308" s="19" t="s">
        <v>6663</v>
      </c>
      <c r="K308" s="20" t="s">
        <v>157</v>
      </c>
      <c r="L308" s="21" t="s">
        <v>421</v>
      </c>
      <c r="M308" s="22" t="s">
        <v>422</v>
      </c>
      <c r="N308" s="23" t="s">
        <v>3773</v>
      </c>
      <c r="O308" s="24" t="s">
        <v>399</v>
      </c>
      <c r="P308" s="25" t="s">
        <v>6664</v>
      </c>
      <c r="Q308" s="26" t="s">
        <v>204</v>
      </c>
      <c r="R308" s="27">
        <v>12300</v>
      </c>
      <c r="S308" s="28" t="s">
        <v>290</v>
      </c>
      <c r="T308" s="29" t="s">
        <v>205</v>
      </c>
      <c r="U308" s="30" t="s">
        <v>2000</v>
      </c>
      <c r="V308" s="31" t="s">
        <v>6665</v>
      </c>
      <c r="W308" s="32">
        <v>8200</v>
      </c>
      <c r="X308" s="33" t="s">
        <v>6666</v>
      </c>
      <c r="Y308" s="34" t="s">
        <v>153</v>
      </c>
      <c r="Z308" s="35" t="s">
        <v>153</v>
      </c>
      <c r="AA308" s="36">
        <v>1972</v>
      </c>
      <c r="AB308" s="37" t="s">
        <v>6667</v>
      </c>
      <c r="AC308" s="38" t="s">
        <v>153</v>
      </c>
      <c r="AD308" s="39" t="s">
        <v>153</v>
      </c>
      <c r="AE308" s="40" t="s">
        <v>153</v>
      </c>
      <c r="AF308" s="41" t="s">
        <v>153</v>
      </c>
      <c r="AG308" s="42" t="s">
        <v>153</v>
      </c>
      <c r="AH308" s="43" t="s">
        <v>153</v>
      </c>
      <c r="AI308" s="44" t="s">
        <v>153</v>
      </c>
      <c r="AJ308" s="45" t="s">
        <v>153</v>
      </c>
      <c r="AK308" s="46" t="s">
        <v>153</v>
      </c>
      <c r="AL308" s="47" t="s">
        <v>153</v>
      </c>
      <c r="AM308" s="48" t="s">
        <v>153</v>
      </c>
      <c r="AN308" s="49" t="s">
        <v>1373</v>
      </c>
      <c r="AO308" s="50" t="s">
        <v>6668</v>
      </c>
      <c r="AP308" s="51" t="s">
        <v>6669</v>
      </c>
      <c r="AQ308" s="52" t="s">
        <v>6670</v>
      </c>
      <c r="AR308" s="53" t="s">
        <v>153</v>
      </c>
      <c r="AS308" s="54" t="s">
        <v>6671</v>
      </c>
      <c r="AT308" s="55" t="s">
        <v>433</v>
      </c>
      <c r="AU308" s="56" t="s">
        <v>6672</v>
      </c>
      <c r="AV308" s="57" t="s">
        <v>6673</v>
      </c>
      <c r="AW308" s="58" t="s">
        <v>436</v>
      </c>
      <c r="AX308" s="59" t="s">
        <v>436</v>
      </c>
      <c r="AY308" s="60" t="s">
        <v>6674</v>
      </c>
      <c r="AZ308" s="61" t="s">
        <v>215</v>
      </c>
      <c r="BA308" s="62" t="s">
        <v>6675</v>
      </c>
      <c r="BB308" s="63" t="s">
        <v>6676</v>
      </c>
      <c r="BC308" s="64" t="s">
        <v>153</v>
      </c>
      <c r="BD308" s="65" t="s">
        <v>216</v>
      </c>
      <c r="BE308" s="66" t="s">
        <v>217</v>
      </c>
      <c r="BF308" s="67" t="s">
        <v>6677</v>
      </c>
      <c r="BG308" s="68" t="s">
        <v>153</v>
      </c>
      <c r="BH308" s="69" t="s">
        <v>153</v>
      </c>
      <c r="BI308" s="70" t="s">
        <v>6667</v>
      </c>
      <c r="BJ308" s="71" t="s">
        <v>6678</v>
      </c>
      <c r="BK308" s="72" t="s">
        <v>153</v>
      </c>
      <c r="BL308" s="73" t="s">
        <v>153</v>
      </c>
      <c r="BM308" s="74" t="s">
        <v>6679</v>
      </c>
      <c r="BN308" s="75" t="s">
        <v>153</v>
      </c>
      <c r="BO308" s="76" t="s">
        <v>6680</v>
      </c>
      <c r="BP308" s="77" t="s">
        <v>6681</v>
      </c>
      <c r="BQ308" s="78" t="s">
        <v>153</v>
      </c>
      <c r="BR308" s="79" t="s">
        <v>153</v>
      </c>
      <c r="BS308" s="80" t="s">
        <v>153</v>
      </c>
      <c r="BT308" s="81" t="s">
        <v>153</v>
      </c>
      <c r="BU308" s="82" t="s">
        <v>153</v>
      </c>
      <c r="BV308" s="83" t="s">
        <v>709</v>
      </c>
      <c r="BW308" s="84" t="s">
        <v>153</v>
      </c>
      <c r="BX308" s="85" t="s">
        <v>153</v>
      </c>
      <c r="BY308" s="86" t="s">
        <v>165</v>
      </c>
      <c r="BZ308" s="87" t="s">
        <v>153</v>
      </c>
      <c r="CA308" s="88" t="s">
        <v>190</v>
      </c>
      <c r="CB308" s="89">
        <v>36943</v>
      </c>
      <c r="CC308" s="90">
        <v>12300</v>
      </c>
      <c r="CD308" s="91" t="s">
        <v>186</v>
      </c>
      <c r="CE308" s="92">
        <v>12300</v>
      </c>
      <c r="CF308" s="93" t="s">
        <v>186</v>
      </c>
      <c r="CG308" s="94" t="s">
        <v>225</v>
      </c>
      <c r="CH308" s="95" t="s">
        <v>225</v>
      </c>
      <c r="CI308" s="96" t="s">
        <v>153</v>
      </c>
      <c r="CJ308" s="97" t="s">
        <v>225</v>
      </c>
      <c r="CK308" s="98">
        <v>36943</v>
      </c>
      <c r="CL308" s="99" t="s">
        <v>153</v>
      </c>
      <c r="CM308" s="100" t="s">
        <v>153</v>
      </c>
      <c r="CN308" s="101" t="s">
        <v>190</v>
      </c>
      <c r="CO308" s="102" t="s">
        <v>153</v>
      </c>
      <c r="CP308" s="103" t="s">
        <v>153</v>
      </c>
      <c r="CQ308" s="104" t="s">
        <v>153</v>
      </c>
      <c r="CR308" s="105" t="s">
        <v>153</v>
      </c>
      <c r="CS308" s="106" t="s">
        <v>153</v>
      </c>
      <c r="CT308" s="107" t="s">
        <v>153</v>
      </c>
      <c r="CU308" s="108" t="s">
        <v>153</v>
      </c>
      <c r="CV308" s="109" t="s">
        <v>153</v>
      </c>
      <c r="CW308" s="110" t="s">
        <v>153</v>
      </c>
      <c r="CX308" s="111" t="s">
        <v>153</v>
      </c>
      <c r="CY308" s="112" t="s">
        <v>153</v>
      </c>
      <c r="CZ308" s="113" t="s">
        <v>153</v>
      </c>
      <c r="DA308" s="114" t="s">
        <v>153</v>
      </c>
      <c r="DB308" s="115" t="s">
        <v>153</v>
      </c>
      <c r="DC308" s="116" t="s">
        <v>153</v>
      </c>
      <c r="DD308" s="117" t="s">
        <v>153</v>
      </c>
      <c r="DE308" s="118" t="s">
        <v>153</v>
      </c>
      <c r="DF308" s="119" t="s">
        <v>153</v>
      </c>
      <c r="DG308" s="120" t="s">
        <v>153</v>
      </c>
      <c r="DH308" s="121" t="s">
        <v>153</v>
      </c>
      <c r="DI308" s="122" t="s">
        <v>153</v>
      </c>
      <c r="DJ308" s="123" t="s">
        <v>153</v>
      </c>
      <c r="DK308" s="124" t="s">
        <v>153</v>
      </c>
      <c r="DL308" s="125" t="s">
        <v>153</v>
      </c>
      <c r="DM308" s="126" t="s">
        <v>153</v>
      </c>
      <c r="DN308" s="127" t="s">
        <v>153</v>
      </c>
      <c r="DO308" s="128" t="s">
        <v>153</v>
      </c>
      <c r="DP308" s="129" t="s">
        <v>153</v>
      </c>
      <c r="DQ308" s="130" t="s">
        <v>153</v>
      </c>
      <c r="DR308" s="131" t="s">
        <v>153</v>
      </c>
      <c r="DS308" s="132" t="s">
        <v>153</v>
      </c>
      <c r="DT308" s="133" t="s">
        <v>153</v>
      </c>
      <c r="DU308" s="134" t="s">
        <v>153</v>
      </c>
      <c r="DV308" s="135" t="s">
        <v>153</v>
      </c>
      <c r="DW308" s="136" t="s">
        <v>153</v>
      </c>
      <c r="DX308" s="137" t="s">
        <v>153</v>
      </c>
      <c r="DY308" s="138" t="s">
        <v>153</v>
      </c>
      <c r="DZ308" s="139" t="s">
        <v>191</v>
      </c>
      <c r="EA308" s="140">
        <v>44147</v>
      </c>
      <c r="EB308" s="141">
        <v>12300</v>
      </c>
      <c r="EC308" s="142">
        <v>36943</v>
      </c>
      <c r="ED308" s="143" t="s">
        <v>225</v>
      </c>
      <c r="EE308" s="278" t="str">
        <f>HYPERLINK("https://my.pitchbook.com?c=12104-65", "View company online")</f>
        <v>View company online</v>
      </c>
    </row>
    <row r="309" spans="1:135" x14ac:dyDescent="0.45">
      <c r="A309" s="144" t="s">
        <v>6682</v>
      </c>
      <c r="B309" s="145" t="s">
        <v>6683</v>
      </c>
      <c r="C309" s="146" t="s">
        <v>153</v>
      </c>
      <c r="D309" s="147" t="s">
        <v>153</v>
      </c>
      <c r="E309" s="148" t="s">
        <v>153</v>
      </c>
      <c r="F309" s="149" t="s">
        <v>153</v>
      </c>
      <c r="G309" s="150" t="s">
        <v>6684</v>
      </c>
      <c r="H309" s="151" t="s">
        <v>6685</v>
      </c>
      <c r="I309" s="152" t="s">
        <v>6682</v>
      </c>
      <c r="J309" s="153" t="s">
        <v>6686</v>
      </c>
      <c r="K309" s="154" t="s">
        <v>198</v>
      </c>
      <c r="L309" s="155" t="s">
        <v>1846</v>
      </c>
      <c r="M309" s="156" t="s">
        <v>6687</v>
      </c>
      <c r="N309" s="157" t="s">
        <v>6688</v>
      </c>
      <c r="O309" s="158" t="s">
        <v>6689</v>
      </c>
      <c r="P309" s="159" t="s">
        <v>6690</v>
      </c>
      <c r="Q309" s="160" t="s">
        <v>367</v>
      </c>
      <c r="R309" s="161" t="s">
        <v>153</v>
      </c>
      <c r="S309" s="162" t="s">
        <v>290</v>
      </c>
      <c r="T309" s="163" t="s">
        <v>164</v>
      </c>
      <c r="U309" s="164" t="s">
        <v>237</v>
      </c>
      <c r="V309" s="165" t="s">
        <v>6691</v>
      </c>
      <c r="W309" s="166">
        <v>141</v>
      </c>
      <c r="X309" s="167" t="s">
        <v>6692</v>
      </c>
      <c r="Y309" s="168" t="s">
        <v>153</v>
      </c>
      <c r="Z309" s="169" t="s">
        <v>153</v>
      </c>
      <c r="AA309" s="170">
        <v>1996</v>
      </c>
      <c r="AB309" s="171" t="s">
        <v>6693</v>
      </c>
      <c r="AC309" s="172" t="s">
        <v>153</v>
      </c>
      <c r="AD309" s="173" t="s">
        <v>153</v>
      </c>
      <c r="AE309" s="174" t="s">
        <v>153</v>
      </c>
      <c r="AF309" s="175" t="s">
        <v>153</v>
      </c>
      <c r="AG309" s="176" t="s">
        <v>153</v>
      </c>
      <c r="AH309" s="177" t="s">
        <v>153</v>
      </c>
      <c r="AI309" s="178" t="s">
        <v>153</v>
      </c>
      <c r="AJ309" s="179" t="s">
        <v>153</v>
      </c>
      <c r="AK309" s="180" t="s">
        <v>153</v>
      </c>
      <c r="AL309" s="181" t="s">
        <v>153</v>
      </c>
      <c r="AM309" s="182" t="s">
        <v>153</v>
      </c>
      <c r="AN309" s="183" t="s">
        <v>3725</v>
      </c>
      <c r="AO309" s="184" t="s">
        <v>6694</v>
      </c>
      <c r="AP309" s="185" t="s">
        <v>6695</v>
      </c>
      <c r="AQ309" s="186" t="s">
        <v>512</v>
      </c>
      <c r="AR309" s="187" t="s">
        <v>6696</v>
      </c>
      <c r="AS309" s="188" t="s">
        <v>6697</v>
      </c>
      <c r="AT309" s="189" t="s">
        <v>404</v>
      </c>
      <c r="AU309" s="190" t="s">
        <v>6698</v>
      </c>
      <c r="AV309" s="191" t="s">
        <v>153</v>
      </c>
      <c r="AW309" s="192" t="s">
        <v>407</v>
      </c>
      <c r="AX309" s="193" t="s">
        <v>408</v>
      </c>
      <c r="AY309" s="194" t="s">
        <v>6699</v>
      </c>
      <c r="AZ309" s="195" t="s">
        <v>215</v>
      </c>
      <c r="BA309" s="196" t="s">
        <v>6697</v>
      </c>
      <c r="BB309" s="197" t="s">
        <v>6700</v>
      </c>
      <c r="BC309" s="198" t="s">
        <v>153</v>
      </c>
      <c r="BD309" s="199" t="s">
        <v>216</v>
      </c>
      <c r="BE309" s="200" t="s">
        <v>217</v>
      </c>
      <c r="BF309" s="201" t="s">
        <v>6701</v>
      </c>
      <c r="BG309" s="202" t="s">
        <v>153</v>
      </c>
      <c r="BH309" s="203" t="s">
        <v>153</v>
      </c>
      <c r="BI309" s="204" t="s">
        <v>6693</v>
      </c>
      <c r="BJ309" s="205" t="s">
        <v>153</v>
      </c>
      <c r="BK309" s="206" t="s">
        <v>153</v>
      </c>
      <c r="BL309" s="207" t="s">
        <v>153</v>
      </c>
      <c r="BM309" s="208" t="s">
        <v>153</v>
      </c>
      <c r="BN309" s="209" t="s">
        <v>153</v>
      </c>
      <c r="BO309" s="210" t="s">
        <v>153</v>
      </c>
      <c r="BP309" s="211" t="s">
        <v>6702</v>
      </c>
      <c r="BQ309" s="212">
        <v>35431</v>
      </c>
      <c r="BR309" s="213">
        <v>29</v>
      </c>
      <c r="BS309" s="214" t="s">
        <v>187</v>
      </c>
      <c r="BT309" s="215" t="s">
        <v>153</v>
      </c>
      <c r="BU309" s="216" t="s">
        <v>153</v>
      </c>
      <c r="BV309" s="217" t="s">
        <v>251</v>
      </c>
      <c r="BW309" s="218" t="s">
        <v>524</v>
      </c>
      <c r="BX309" s="219" t="s">
        <v>153</v>
      </c>
      <c r="BY309" s="220" t="s">
        <v>252</v>
      </c>
      <c r="BZ309" s="221" t="s">
        <v>153</v>
      </c>
      <c r="CA309" s="222" t="s">
        <v>190</v>
      </c>
      <c r="CB309" s="223">
        <v>39993</v>
      </c>
      <c r="CC309" s="224">
        <v>12300</v>
      </c>
      <c r="CD309" s="225" t="s">
        <v>186</v>
      </c>
      <c r="CE309" s="226">
        <v>12300</v>
      </c>
      <c r="CF309" s="227" t="s">
        <v>186</v>
      </c>
      <c r="CG309" s="228" t="s">
        <v>226</v>
      </c>
      <c r="CH309" s="229" t="s">
        <v>930</v>
      </c>
      <c r="CI309" s="230" t="s">
        <v>153</v>
      </c>
      <c r="CJ309" s="231" t="s">
        <v>225</v>
      </c>
      <c r="CK309" s="232">
        <v>39993</v>
      </c>
      <c r="CL309" s="233" t="s">
        <v>153</v>
      </c>
      <c r="CM309" s="234" t="s">
        <v>153</v>
      </c>
      <c r="CN309" s="235" t="s">
        <v>190</v>
      </c>
      <c r="CO309" s="236">
        <v>-0.24</v>
      </c>
      <c r="CP309" s="237">
        <v>6</v>
      </c>
      <c r="CQ309" s="238">
        <v>0</v>
      </c>
      <c r="CR309" s="239">
        <v>1.96</v>
      </c>
      <c r="CS309" s="240">
        <v>-0.31</v>
      </c>
      <c r="CT309" s="241">
        <v>6</v>
      </c>
      <c r="CU309" s="242">
        <v>-0.16</v>
      </c>
      <c r="CV309" s="243">
        <v>9</v>
      </c>
      <c r="CW309" s="244">
        <v>-2.04</v>
      </c>
      <c r="CX309" s="245">
        <v>12</v>
      </c>
      <c r="CY309" s="246">
        <v>1.42</v>
      </c>
      <c r="CZ309" s="247">
        <v>99</v>
      </c>
      <c r="DA309" s="248">
        <v>-0.16</v>
      </c>
      <c r="DB309" s="249">
        <v>9</v>
      </c>
      <c r="DC309" s="250">
        <v>32.04</v>
      </c>
      <c r="DD309" s="251">
        <v>97</v>
      </c>
      <c r="DE309" s="252">
        <v>0.19</v>
      </c>
      <c r="DF309" s="253">
        <v>0.59</v>
      </c>
      <c r="DG309" s="254">
        <v>48.89</v>
      </c>
      <c r="DH309" s="255">
        <v>98</v>
      </c>
      <c r="DI309" s="256">
        <v>15.2</v>
      </c>
      <c r="DJ309" s="257">
        <v>90</v>
      </c>
      <c r="DK309" s="258">
        <v>11.72</v>
      </c>
      <c r="DL309" s="259">
        <v>87</v>
      </c>
      <c r="DM309" s="260">
        <v>86.06</v>
      </c>
      <c r="DN309" s="261">
        <v>99</v>
      </c>
      <c r="DO309" s="262">
        <v>15.2</v>
      </c>
      <c r="DP309" s="263">
        <v>90</v>
      </c>
      <c r="DQ309" s="264">
        <v>7002</v>
      </c>
      <c r="DR309" s="265">
        <v>-196</v>
      </c>
      <c r="DS309" s="266">
        <v>-2.72</v>
      </c>
      <c r="DT309" s="267">
        <v>1373</v>
      </c>
      <c r="DU309" s="268">
        <v>11</v>
      </c>
      <c r="DV309" s="269">
        <v>0.81</v>
      </c>
      <c r="DW309" s="270">
        <v>4772</v>
      </c>
      <c r="DX309" s="271">
        <v>-1</v>
      </c>
      <c r="DY309" s="272">
        <v>-0.02</v>
      </c>
      <c r="DZ309" s="273" t="s">
        <v>191</v>
      </c>
      <c r="EA309" s="274">
        <v>44210</v>
      </c>
      <c r="EB309" s="275">
        <v>12300</v>
      </c>
      <c r="EC309" s="276">
        <v>39993</v>
      </c>
      <c r="ED309" s="277" t="s">
        <v>226</v>
      </c>
      <c r="EE309" s="279" t="str">
        <f>HYPERLINK("https://my.pitchbook.com?c=41313-70", "View company online")</f>
        <v>View company online</v>
      </c>
    </row>
    <row r="310" spans="1:135" x14ac:dyDescent="0.45">
      <c r="A310" s="10" t="s">
        <v>6703</v>
      </c>
      <c r="B310" s="11" t="s">
        <v>1294</v>
      </c>
      <c r="C310" s="12" t="s">
        <v>153</v>
      </c>
      <c r="D310" s="13" t="s">
        <v>153</v>
      </c>
      <c r="E310" s="14" t="s">
        <v>6704</v>
      </c>
      <c r="F310" s="15" t="s">
        <v>6705</v>
      </c>
      <c r="G310" s="16" t="s">
        <v>6706</v>
      </c>
      <c r="H310" s="17" t="s">
        <v>153</v>
      </c>
      <c r="I310" s="18" t="s">
        <v>6703</v>
      </c>
      <c r="J310" s="19" t="s">
        <v>6707</v>
      </c>
      <c r="K310" s="20" t="s">
        <v>198</v>
      </c>
      <c r="L310" s="21" t="s">
        <v>199</v>
      </c>
      <c r="M310" s="22" t="s">
        <v>6708</v>
      </c>
      <c r="N310" s="23" t="s">
        <v>6709</v>
      </c>
      <c r="O310" s="24" t="s">
        <v>399</v>
      </c>
      <c r="P310" s="25" t="s">
        <v>6710</v>
      </c>
      <c r="Q310" s="26" t="s">
        <v>204</v>
      </c>
      <c r="R310" s="27" t="s">
        <v>153</v>
      </c>
      <c r="S310" s="28" t="s">
        <v>290</v>
      </c>
      <c r="T310" s="29" t="s">
        <v>205</v>
      </c>
      <c r="U310" s="30" t="s">
        <v>237</v>
      </c>
      <c r="V310" s="31" t="s">
        <v>153</v>
      </c>
      <c r="W310" s="32">
        <v>24900</v>
      </c>
      <c r="X310" s="33" t="s">
        <v>6711</v>
      </c>
      <c r="Y310" s="34" t="s">
        <v>153</v>
      </c>
      <c r="Z310" s="35" t="s">
        <v>153</v>
      </c>
      <c r="AA310" s="36">
        <v>1988</v>
      </c>
      <c r="AB310" s="37" t="s">
        <v>3680</v>
      </c>
      <c r="AC310" s="38" t="s">
        <v>153</v>
      </c>
      <c r="AD310" s="39" t="s">
        <v>153</v>
      </c>
      <c r="AE310" s="40" t="s">
        <v>153</v>
      </c>
      <c r="AF310" s="41" t="s">
        <v>153</v>
      </c>
      <c r="AG310" s="42" t="s">
        <v>153</v>
      </c>
      <c r="AH310" s="43" t="s">
        <v>153</v>
      </c>
      <c r="AI310" s="44" t="s">
        <v>153</v>
      </c>
      <c r="AJ310" s="45" t="s">
        <v>153</v>
      </c>
      <c r="AK310" s="46" t="s">
        <v>153</v>
      </c>
      <c r="AL310" s="47" t="s">
        <v>153</v>
      </c>
      <c r="AM310" s="48" t="s">
        <v>153</v>
      </c>
      <c r="AN310" s="49" t="s">
        <v>5087</v>
      </c>
      <c r="AO310" s="50" t="s">
        <v>6712</v>
      </c>
      <c r="AP310" s="51" t="s">
        <v>6713</v>
      </c>
      <c r="AQ310" s="52" t="s">
        <v>602</v>
      </c>
      <c r="AR310" s="53" t="s">
        <v>153</v>
      </c>
      <c r="AS310" s="54" t="s">
        <v>153</v>
      </c>
      <c r="AT310" s="55" t="s">
        <v>1287</v>
      </c>
      <c r="AU310" s="56" t="s">
        <v>1288</v>
      </c>
      <c r="AV310" s="57" t="s">
        <v>153</v>
      </c>
      <c r="AW310" s="58" t="s">
        <v>1290</v>
      </c>
      <c r="AX310" s="59" t="s">
        <v>1291</v>
      </c>
      <c r="AY310" s="60" t="s">
        <v>1292</v>
      </c>
      <c r="AZ310" s="61" t="s">
        <v>215</v>
      </c>
      <c r="BA310" s="62" t="s">
        <v>153</v>
      </c>
      <c r="BB310" s="63" t="s">
        <v>153</v>
      </c>
      <c r="BC310" s="64" t="s">
        <v>153</v>
      </c>
      <c r="BD310" s="65" t="s">
        <v>216</v>
      </c>
      <c r="BE310" s="66" t="s">
        <v>217</v>
      </c>
      <c r="BF310" s="67" t="s">
        <v>6714</v>
      </c>
      <c r="BG310" s="68" t="s">
        <v>153</v>
      </c>
      <c r="BH310" s="69" t="s">
        <v>153</v>
      </c>
      <c r="BI310" s="70" t="s">
        <v>3680</v>
      </c>
      <c r="BJ310" s="71" t="s">
        <v>153</v>
      </c>
      <c r="BK310" s="72" t="s">
        <v>153</v>
      </c>
      <c r="BL310" s="73" t="s">
        <v>153</v>
      </c>
      <c r="BM310" s="74" t="s">
        <v>153</v>
      </c>
      <c r="BN310" s="75" t="s">
        <v>153</v>
      </c>
      <c r="BO310" s="76" t="s">
        <v>6715</v>
      </c>
      <c r="BP310" s="77" t="s">
        <v>6716</v>
      </c>
      <c r="BQ310" s="78">
        <v>34700</v>
      </c>
      <c r="BR310" s="79" t="s">
        <v>153</v>
      </c>
      <c r="BS310" s="80" t="s">
        <v>153</v>
      </c>
      <c r="BT310" s="81" t="s">
        <v>153</v>
      </c>
      <c r="BU310" s="82" t="s">
        <v>153</v>
      </c>
      <c r="BV310" s="83" t="s">
        <v>251</v>
      </c>
      <c r="BW310" s="84" t="s">
        <v>153</v>
      </c>
      <c r="BX310" s="85" t="s">
        <v>153</v>
      </c>
      <c r="BY310" s="86" t="s">
        <v>252</v>
      </c>
      <c r="BZ310" s="87" t="s">
        <v>153</v>
      </c>
      <c r="CA310" s="88" t="s">
        <v>190</v>
      </c>
      <c r="CB310" s="89">
        <v>40634</v>
      </c>
      <c r="CC310" s="90">
        <v>12273</v>
      </c>
      <c r="CD310" s="91" t="s">
        <v>186</v>
      </c>
      <c r="CE310" s="92">
        <v>12273</v>
      </c>
      <c r="CF310" s="93" t="s">
        <v>186</v>
      </c>
      <c r="CG310" s="94" t="s">
        <v>226</v>
      </c>
      <c r="CH310" s="95" t="s">
        <v>153</v>
      </c>
      <c r="CI310" s="96" t="s">
        <v>153</v>
      </c>
      <c r="CJ310" s="97" t="s">
        <v>225</v>
      </c>
      <c r="CK310" s="98">
        <v>40634</v>
      </c>
      <c r="CL310" s="99" t="s">
        <v>153</v>
      </c>
      <c r="CM310" s="100" t="s">
        <v>153</v>
      </c>
      <c r="CN310" s="101" t="s">
        <v>190</v>
      </c>
      <c r="CO310" s="102" t="s">
        <v>153</v>
      </c>
      <c r="CP310" s="103" t="s">
        <v>153</v>
      </c>
      <c r="CQ310" s="104" t="s">
        <v>153</v>
      </c>
      <c r="CR310" s="105" t="s">
        <v>153</v>
      </c>
      <c r="CS310" s="106" t="s">
        <v>153</v>
      </c>
      <c r="CT310" s="107" t="s">
        <v>153</v>
      </c>
      <c r="CU310" s="108" t="s">
        <v>153</v>
      </c>
      <c r="CV310" s="109" t="s">
        <v>153</v>
      </c>
      <c r="CW310" s="110" t="s">
        <v>153</v>
      </c>
      <c r="CX310" s="111" t="s">
        <v>153</v>
      </c>
      <c r="CY310" s="112" t="s">
        <v>153</v>
      </c>
      <c r="CZ310" s="113" t="s">
        <v>153</v>
      </c>
      <c r="DA310" s="114" t="s">
        <v>153</v>
      </c>
      <c r="DB310" s="115" t="s">
        <v>153</v>
      </c>
      <c r="DC310" s="116" t="s">
        <v>153</v>
      </c>
      <c r="DD310" s="117" t="s">
        <v>153</v>
      </c>
      <c r="DE310" s="118" t="s">
        <v>153</v>
      </c>
      <c r="DF310" s="119" t="s">
        <v>153</v>
      </c>
      <c r="DG310" s="120" t="s">
        <v>153</v>
      </c>
      <c r="DH310" s="121" t="s">
        <v>153</v>
      </c>
      <c r="DI310" s="122" t="s">
        <v>153</v>
      </c>
      <c r="DJ310" s="123" t="s">
        <v>153</v>
      </c>
      <c r="DK310" s="124" t="s">
        <v>153</v>
      </c>
      <c r="DL310" s="125" t="s">
        <v>153</v>
      </c>
      <c r="DM310" s="126" t="s">
        <v>153</v>
      </c>
      <c r="DN310" s="127" t="s">
        <v>153</v>
      </c>
      <c r="DO310" s="128" t="s">
        <v>153</v>
      </c>
      <c r="DP310" s="129" t="s">
        <v>153</v>
      </c>
      <c r="DQ310" s="130" t="s">
        <v>153</v>
      </c>
      <c r="DR310" s="131" t="s">
        <v>153</v>
      </c>
      <c r="DS310" s="132" t="s">
        <v>153</v>
      </c>
      <c r="DT310" s="133" t="s">
        <v>153</v>
      </c>
      <c r="DU310" s="134" t="s">
        <v>153</v>
      </c>
      <c r="DV310" s="135" t="s">
        <v>153</v>
      </c>
      <c r="DW310" s="136" t="s">
        <v>153</v>
      </c>
      <c r="DX310" s="137" t="s">
        <v>153</v>
      </c>
      <c r="DY310" s="138" t="s">
        <v>153</v>
      </c>
      <c r="DZ310" s="139" t="s">
        <v>191</v>
      </c>
      <c r="EA310" s="140">
        <v>44293</v>
      </c>
      <c r="EB310" s="141">
        <v>12273</v>
      </c>
      <c r="EC310" s="142">
        <v>40634</v>
      </c>
      <c r="ED310" s="143" t="s">
        <v>226</v>
      </c>
      <c r="EE310" s="278" t="str">
        <f>HYPERLINK("https://my.pitchbook.com?c=11782-18", "View company online")</f>
        <v>View company online</v>
      </c>
    </row>
    <row r="311" spans="1:135" x14ac:dyDescent="0.45">
      <c r="A311" s="144" t="s">
        <v>6717</v>
      </c>
      <c r="B311" s="145" t="s">
        <v>6718</v>
      </c>
      <c r="C311" s="146" t="s">
        <v>153</v>
      </c>
      <c r="D311" s="147" t="s">
        <v>153</v>
      </c>
      <c r="E311" s="148" t="s">
        <v>6719</v>
      </c>
      <c r="F311" s="149" t="s">
        <v>153</v>
      </c>
      <c r="G311" s="150" t="s">
        <v>6720</v>
      </c>
      <c r="H311" s="151" t="s">
        <v>6721</v>
      </c>
      <c r="I311" s="152" t="s">
        <v>6717</v>
      </c>
      <c r="J311" s="153" t="s">
        <v>6722</v>
      </c>
      <c r="K311" s="154" t="s">
        <v>157</v>
      </c>
      <c r="L311" s="155" t="s">
        <v>421</v>
      </c>
      <c r="M311" s="156" t="s">
        <v>422</v>
      </c>
      <c r="N311" s="157" t="s">
        <v>423</v>
      </c>
      <c r="O311" s="158" t="s">
        <v>399</v>
      </c>
      <c r="P311" s="159" t="s">
        <v>6723</v>
      </c>
      <c r="Q311" s="160" t="s">
        <v>204</v>
      </c>
      <c r="R311" s="161" t="s">
        <v>153</v>
      </c>
      <c r="S311" s="162" t="s">
        <v>163</v>
      </c>
      <c r="T311" s="163" t="s">
        <v>205</v>
      </c>
      <c r="U311" s="164" t="s">
        <v>206</v>
      </c>
      <c r="V311" s="165" t="s">
        <v>6724</v>
      </c>
      <c r="W311" s="166">
        <v>5001</v>
      </c>
      <c r="X311" s="167" t="s">
        <v>6725</v>
      </c>
      <c r="Y311" s="168" t="s">
        <v>153</v>
      </c>
      <c r="Z311" s="169" t="s">
        <v>153</v>
      </c>
      <c r="AA311" s="170">
        <v>2002</v>
      </c>
      <c r="AB311" s="171" t="s">
        <v>153</v>
      </c>
      <c r="AC311" s="172" t="s">
        <v>153</v>
      </c>
      <c r="AD311" s="173" t="s">
        <v>153</v>
      </c>
      <c r="AE311" s="174" t="s">
        <v>153</v>
      </c>
      <c r="AF311" s="175" t="s">
        <v>153</v>
      </c>
      <c r="AG311" s="176" t="s">
        <v>153</v>
      </c>
      <c r="AH311" s="177" t="s">
        <v>153</v>
      </c>
      <c r="AI311" s="178" t="s">
        <v>153</v>
      </c>
      <c r="AJ311" s="179" t="s">
        <v>153</v>
      </c>
      <c r="AK311" s="180" t="s">
        <v>153</v>
      </c>
      <c r="AL311" s="181" t="s">
        <v>153</v>
      </c>
      <c r="AM311" s="182" t="s">
        <v>153</v>
      </c>
      <c r="AN311" s="183" t="s">
        <v>153</v>
      </c>
      <c r="AO311" s="184" t="s">
        <v>6726</v>
      </c>
      <c r="AP311" s="185" t="s">
        <v>6727</v>
      </c>
      <c r="AQ311" s="186" t="s">
        <v>171</v>
      </c>
      <c r="AR311" s="187" t="s">
        <v>6728</v>
      </c>
      <c r="AS311" s="188" t="s">
        <v>153</v>
      </c>
      <c r="AT311" s="189" t="s">
        <v>6729</v>
      </c>
      <c r="AU311" s="190" t="s">
        <v>6730</v>
      </c>
      <c r="AV311" s="191" t="s">
        <v>6731</v>
      </c>
      <c r="AW311" s="192" t="s">
        <v>6732</v>
      </c>
      <c r="AX311" s="193" t="s">
        <v>436</v>
      </c>
      <c r="AY311" s="194" t="s">
        <v>6733</v>
      </c>
      <c r="AZ311" s="195" t="s">
        <v>215</v>
      </c>
      <c r="BA311" s="196" t="s">
        <v>153</v>
      </c>
      <c r="BB311" s="197" t="s">
        <v>153</v>
      </c>
      <c r="BC311" s="198" t="s">
        <v>153</v>
      </c>
      <c r="BD311" s="199" t="s">
        <v>216</v>
      </c>
      <c r="BE311" s="200" t="s">
        <v>217</v>
      </c>
      <c r="BF311" s="201" t="s">
        <v>6734</v>
      </c>
      <c r="BG311" s="202" t="s">
        <v>6735</v>
      </c>
      <c r="BH311" s="203">
        <v>1</v>
      </c>
      <c r="BI311" s="204" t="s">
        <v>427</v>
      </c>
      <c r="BJ311" s="205" t="s">
        <v>153</v>
      </c>
      <c r="BK311" s="206" t="s">
        <v>6736</v>
      </c>
      <c r="BL311" s="207" t="s">
        <v>6737</v>
      </c>
      <c r="BM311" s="208" t="s">
        <v>153</v>
      </c>
      <c r="BN311" s="209" t="s">
        <v>6738</v>
      </c>
      <c r="BO311" s="210" t="s">
        <v>6739</v>
      </c>
      <c r="BP311" s="211" t="s">
        <v>6740</v>
      </c>
      <c r="BQ311" s="212">
        <v>42508</v>
      </c>
      <c r="BR311" s="213">
        <v>12200</v>
      </c>
      <c r="BS311" s="214" t="s">
        <v>186</v>
      </c>
      <c r="BT311" s="215">
        <v>16553.59</v>
      </c>
      <c r="BU311" s="216" t="s">
        <v>187</v>
      </c>
      <c r="BV311" s="217" t="s">
        <v>226</v>
      </c>
      <c r="BW311" s="218" t="s">
        <v>153</v>
      </c>
      <c r="BX311" s="219" t="s">
        <v>153</v>
      </c>
      <c r="BY311" s="220" t="s">
        <v>225</v>
      </c>
      <c r="BZ311" s="221" t="s">
        <v>153</v>
      </c>
      <c r="CA311" s="222" t="s">
        <v>190</v>
      </c>
      <c r="CB311" s="223">
        <v>42508</v>
      </c>
      <c r="CC311" s="224">
        <v>12200</v>
      </c>
      <c r="CD311" s="225" t="s">
        <v>186</v>
      </c>
      <c r="CE311" s="226">
        <v>16553.59</v>
      </c>
      <c r="CF311" s="227" t="s">
        <v>187</v>
      </c>
      <c r="CG311" s="228" t="s">
        <v>226</v>
      </c>
      <c r="CH311" s="229" t="s">
        <v>153</v>
      </c>
      <c r="CI311" s="230" t="s">
        <v>153</v>
      </c>
      <c r="CJ311" s="231" t="s">
        <v>225</v>
      </c>
      <c r="CK311" s="232">
        <v>42508</v>
      </c>
      <c r="CL311" s="233" t="s">
        <v>153</v>
      </c>
      <c r="CM311" s="234" t="s">
        <v>153</v>
      </c>
      <c r="CN311" s="235" t="s">
        <v>190</v>
      </c>
      <c r="CO311" s="236" t="s">
        <v>153</v>
      </c>
      <c r="CP311" s="237" t="s">
        <v>153</v>
      </c>
      <c r="CQ311" s="238" t="s">
        <v>153</v>
      </c>
      <c r="CR311" s="239" t="s">
        <v>153</v>
      </c>
      <c r="CS311" s="240" t="s">
        <v>153</v>
      </c>
      <c r="CT311" s="241" t="s">
        <v>153</v>
      </c>
      <c r="CU311" s="242" t="s">
        <v>153</v>
      </c>
      <c r="CV311" s="243" t="s">
        <v>153</v>
      </c>
      <c r="CW311" s="244" t="s">
        <v>153</v>
      </c>
      <c r="CX311" s="245" t="s">
        <v>153</v>
      </c>
      <c r="CY311" s="246" t="s">
        <v>153</v>
      </c>
      <c r="CZ311" s="247" t="s">
        <v>153</v>
      </c>
      <c r="DA311" s="248" t="s">
        <v>153</v>
      </c>
      <c r="DB311" s="249" t="s">
        <v>153</v>
      </c>
      <c r="DC311" s="250" t="s">
        <v>153</v>
      </c>
      <c r="DD311" s="251" t="s">
        <v>153</v>
      </c>
      <c r="DE311" s="252" t="s">
        <v>153</v>
      </c>
      <c r="DF311" s="253" t="s">
        <v>153</v>
      </c>
      <c r="DG311" s="254" t="s">
        <v>153</v>
      </c>
      <c r="DH311" s="255" t="s">
        <v>153</v>
      </c>
      <c r="DI311" s="256" t="s">
        <v>153</v>
      </c>
      <c r="DJ311" s="257" t="s">
        <v>153</v>
      </c>
      <c r="DK311" s="258" t="s">
        <v>153</v>
      </c>
      <c r="DL311" s="259" t="s">
        <v>153</v>
      </c>
      <c r="DM311" s="260" t="s">
        <v>153</v>
      </c>
      <c r="DN311" s="261" t="s">
        <v>153</v>
      </c>
      <c r="DO311" s="262" t="s">
        <v>153</v>
      </c>
      <c r="DP311" s="263" t="s">
        <v>153</v>
      </c>
      <c r="DQ311" s="264" t="s">
        <v>153</v>
      </c>
      <c r="DR311" s="265" t="s">
        <v>153</v>
      </c>
      <c r="DS311" s="266" t="s">
        <v>153</v>
      </c>
      <c r="DT311" s="267" t="s">
        <v>153</v>
      </c>
      <c r="DU311" s="268" t="s">
        <v>153</v>
      </c>
      <c r="DV311" s="269" t="s">
        <v>153</v>
      </c>
      <c r="DW311" s="270" t="s">
        <v>153</v>
      </c>
      <c r="DX311" s="271" t="s">
        <v>153</v>
      </c>
      <c r="DY311" s="272" t="s">
        <v>153</v>
      </c>
      <c r="DZ311" s="273" t="s">
        <v>191</v>
      </c>
      <c r="EA311" s="274">
        <v>44316</v>
      </c>
      <c r="EB311" s="275">
        <v>16553.59</v>
      </c>
      <c r="EC311" s="276">
        <v>42508</v>
      </c>
      <c r="ED311" s="277" t="s">
        <v>226</v>
      </c>
      <c r="EE311" s="279" t="str">
        <f>HYPERLINK("https://my.pitchbook.com?c=87866-29", "View company online")</f>
        <v>View company online</v>
      </c>
    </row>
    <row r="312" spans="1:135" x14ac:dyDescent="0.45">
      <c r="A312" s="10" t="s">
        <v>6741</v>
      </c>
      <c r="B312" s="11" t="s">
        <v>6742</v>
      </c>
      <c r="C312" s="12" t="s">
        <v>153</v>
      </c>
      <c r="D312" s="13" t="s">
        <v>153</v>
      </c>
      <c r="E312" s="14" t="s">
        <v>6743</v>
      </c>
      <c r="F312" s="15" t="s">
        <v>6744</v>
      </c>
      <c r="G312" s="16" t="s">
        <v>6745</v>
      </c>
      <c r="H312" s="17" t="s">
        <v>153</v>
      </c>
      <c r="I312" s="18" t="s">
        <v>6741</v>
      </c>
      <c r="J312" s="19" t="s">
        <v>6746</v>
      </c>
      <c r="K312" s="20" t="s">
        <v>232</v>
      </c>
      <c r="L312" s="21" t="s">
        <v>362</v>
      </c>
      <c r="M312" s="22" t="s">
        <v>4656</v>
      </c>
      <c r="N312" s="23" t="s">
        <v>4657</v>
      </c>
      <c r="O312" s="24" t="s">
        <v>153</v>
      </c>
      <c r="P312" s="25" t="s">
        <v>6747</v>
      </c>
      <c r="Q312" s="26" t="s">
        <v>204</v>
      </c>
      <c r="R312" s="27" t="s">
        <v>153</v>
      </c>
      <c r="S312" s="28" t="s">
        <v>163</v>
      </c>
      <c r="T312" s="29" t="s">
        <v>205</v>
      </c>
      <c r="U312" s="30" t="s">
        <v>237</v>
      </c>
      <c r="V312" s="31" t="s">
        <v>6748</v>
      </c>
      <c r="W312" s="32">
        <v>3169</v>
      </c>
      <c r="X312" s="33" t="s">
        <v>6749</v>
      </c>
      <c r="Y312" s="34" t="s">
        <v>153</v>
      </c>
      <c r="Z312" s="35" t="s">
        <v>153</v>
      </c>
      <c r="AA312" s="36">
        <v>1939</v>
      </c>
      <c r="AB312" s="37" t="s">
        <v>153</v>
      </c>
      <c r="AC312" s="38" t="s">
        <v>153</v>
      </c>
      <c r="AD312" s="39" t="s">
        <v>153</v>
      </c>
      <c r="AE312" s="40" t="s">
        <v>153</v>
      </c>
      <c r="AF312" s="41" t="s">
        <v>153</v>
      </c>
      <c r="AG312" s="42" t="s">
        <v>153</v>
      </c>
      <c r="AH312" s="43" t="s">
        <v>153</v>
      </c>
      <c r="AI312" s="44" t="s">
        <v>153</v>
      </c>
      <c r="AJ312" s="45" t="s">
        <v>153</v>
      </c>
      <c r="AK312" s="46" t="s">
        <v>153</v>
      </c>
      <c r="AL312" s="47" t="s">
        <v>153</v>
      </c>
      <c r="AM312" s="48" t="s">
        <v>153</v>
      </c>
      <c r="AN312" s="49" t="s">
        <v>2064</v>
      </c>
      <c r="AO312" s="50" t="s">
        <v>6750</v>
      </c>
      <c r="AP312" s="51" t="s">
        <v>6751</v>
      </c>
      <c r="AQ312" s="52" t="s">
        <v>512</v>
      </c>
      <c r="AR312" s="53" t="s">
        <v>153</v>
      </c>
      <c r="AS312" s="54" t="s">
        <v>153</v>
      </c>
      <c r="AT312" s="55" t="s">
        <v>6752</v>
      </c>
      <c r="AU312" s="56" t="s">
        <v>6753</v>
      </c>
      <c r="AV312" s="57" t="s">
        <v>153</v>
      </c>
      <c r="AW312" s="58" t="s">
        <v>6754</v>
      </c>
      <c r="AX312" s="59" t="s">
        <v>5957</v>
      </c>
      <c r="AY312" s="60" t="s">
        <v>6755</v>
      </c>
      <c r="AZ312" s="61" t="s">
        <v>215</v>
      </c>
      <c r="BA312" s="62" t="s">
        <v>153</v>
      </c>
      <c r="BB312" s="63" t="s">
        <v>153</v>
      </c>
      <c r="BC312" s="64" t="s">
        <v>153</v>
      </c>
      <c r="BD312" s="65" t="s">
        <v>216</v>
      </c>
      <c r="BE312" s="66" t="s">
        <v>217</v>
      </c>
      <c r="BF312" s="67" t="s">
        <v>6756</v>
      </c>
      <c r="BG312" s="68" t="s">
        <v>153</v>
      </c>
      <c r="BH312" s="69" t="s">
        <v>153</v>
      </c>
      <c r="BI312" s="70" t="s">
        <v>5154</v>
      </c>
      <c r="BJ312" s="71" t="s">
        <v>153</v>
      </c>
      <c r="BK312" s="72" t="s">
        <v>153</v>
      </c>
      <c r="BL312" s="73" t="s">
        <v>153</v>
      </c>
      <c r="BM312" s="74" t="s">
        <v>153</v>
      </c>
      <c r="BN312" s="75" t="s">
        <v>153</v>
      </c>
      <c r="BO312" s="76" t="s">
        <v>153</v>
      </c>
      <c r="BP312" s="77" t="s">
        <v>153</v>
      </c>
      <c r="BQ312" s="78">
        <v>38219</v>
      </c>
      <c r="BR312" s="79">
        <v>12200</v>
      </c>
      <c r="BS312" s="80" t="s">
        <v>186</v>
      </c>
      <c r="BT312" s="81">
        <v>12200</v>
      </c>
      <c r="BU312" s="82" t="s">
        <v>187</v>
      </c>
      <c r="BV312" s="83" t="s">
        <v>226</v>
      </c>
      <c r="BW312" s="84" t="s">
        <v>153</v>
      </c>
      <c r="BX312" s="85" t="s">
        <v>153</v>
      </c>
      <c r="BY312" s="86" t="s">
        <v>225</v>
      </c>
      <c r="BZ312" s="87" t="s">
        <v>153</v>
      </c>
      <c r="CA312" s="88" t="s">
        <v>190</v>
      </c>
      <c r="CB312" s="89">
        <v>38219</v>
      </c>
      <c r="CC312" s="90">
        <v>12200</v>
      </c>
      <c r="CD312" s="91" t="s">
        <v>186</v>
      </c>
      <c r="CE312" s="92">
        <v>12200</v>
      </c>
      <c r="CF312" s="93" t="s">
        <v>187</v>
      </c>
      <c r="CG312" s="94" t="s">
        <v>226</v>
      </c>
      <c r="CH312" s="95" t="s">
        <v>153</v>
      </c>
      <c r="CI312" s="96" t="s">
        <v>153</v>
      </c>
      <c r="CJ312" s="97" t="s">
        <v>225</v>
      </c>
      <c r="CK312" s="98">
        <v>38219</v>
      </c>
      <c r="CL312" s="99" t="s">
        <v>153</v>
      </c>
      <c r="CM312" s="100" t="s">
        <v>153</v>
      </c>
      <c r="CN312" s="101" t="s">
        <v>190</v>
      </c>
      <c r="CO312" s="102" t="s">
        <v>153</v>
      </c>
      <c r="CP312" s="103" t="s">
        <v>153</v>
      </c>
      <c r="CQ312" s="104" t="s">
        <v>153</v>
      </c>
      <c r="CR312" s="105" t="s">
        <v>153</v>
      </c>
      <c r="CS312" s="106" t="s">
        <v>153</v>
      </c>
      <c r="CT312" s="107" t="s">
        <v>153</v>
      </c>
      <c r="CU312" s="108" t="s">
        <v>153</v>
      </c>
      <c r="CV312" s="109" t="s">
        <v>153</v>
      </c>
      <c r="CW312" s="110" t="s">
        <v>153</v>
      </c>
      <c r="CX312" s="111" t="s">
        <v>153</v>
      </c>
      <c r="CY312" s="112" t="s">
        <v>153</v>
      </c>
      <c r="CZ312" s="113" t="s">
        <v>153</v>
      </c>
      <c r="DA312" s="114" t="s">
        <v>153</v>
      </c>
      <c r="DB312" s="115" t="s">
        <v>153</v>
      </c>
      <c r="DC312" s="116" t="s">
        <v>153</v>
      </c>
      <c r="DD312" s="117" t="s">
        <v>153</v>
      </c>
      <c r="DE312" s="118" t="s">
        <v>153</v>
      </c>
      <c r="DF312" s="119" t="s">
        <v>153</v>
      </c>
      <c r="DG312" s="120" t="s">
        <v>153</v>
      </c>
      <c r="DH312" s="121" t="s">
        <v>153</v>
      </c>
      <c r="DI312" s="122" t="s">
        <v>153</v>
      </c>
      <c r="DJ312" s="123" t="s">
        <v>153</v>
      </c>
      <c r="DK312" s="124" t="s">
        <v>153</v>
      </c>
      <c r="DL312" s="125" t="s">
        <v>153</v>
      </c>
      <c r="DM312" s="126" t="s">
        <v>153</v>
      </c>
      <c r="DN312" s="127" t="s">
        <v>153</v>
      </c>
      <c r="DO312" s="128" t="s">
        <v>153</v>
      </c>
      <c r="DP312" s="129" t="s">
        <v>153</v>
      </c>
      <c r="DQ312" s="130" t="s">
        <v>153</v>
      </c>
      <c r="DR312" s="131" t="s">
        <v>153</v>
      </c>
      <c r="DS312" s="132" t="s">
        <v>153</v>
      </c>
      <c r="DT312" s="133" t="s">
        <v>153</v>
      </c>
      <c r="DU312" s="134" t="s">
        <v>153</v>
      </c>
      <c r="DV312" s="135" t="s">
        <v>153</v>
      </c>
      <c r="DW312" s="136" t="s">
        <v>153</v>
      </c>
      <c r="DX312" s="137" t="s">
        <v>153</v>
      </c>
      <c r="DY312" s="138" t="s">
        <v>153</v>
      </c>
      <c r="DZ312" s="139" t="s">
        <v>191</v>
      </c>
      <c r="EA312" s="140">
        <v>44217</v>
      </c>
      <c r="EB312" s="141">
        <v>12200</v>
      </c>
      <c r="EC312" s="142">
        <v>38219</v>
      </c>
      <c r="ED312" s="143" t="s">
        <v>226</v>
      </c>
      <c r="EE312" s="278" t="str">
        <f>HYPERLINK("https://my.pitchbook.com?c=41070-43", "View company online")</f>
        <v>View company online</v>
      </c>
    </row>
    <row r="313" spans="1:135" x14ac:dyDescent="0.45">
      <c r="A313" s="144" t="s">
        <v>6757</v>
      </c>
      <c r="B313" s="145" t="s">
        <v>6758</v>
      </c>
      <c r="C313" s="146" t="s">
        <v>153</v>
      </c>
      <c r="D313" s="147" t="s">
        <v>153</v>
      </c>
      <c r="E313" s="148" t="s">
        <v>153</v>
      </c>
      <c r="F313" s="149" t="s">
        <v>6759</v>
      </c>
      <c r="G313" s="150" t="s">
        <v>6760</v>
      </c>
      <c r="H313" s="151" t="s">
        <v>153</v>
      </c>
      <c r="I313" s="152" t="s">
        <v>6757</v>
      </c>
      <c r="J313" s="153" t="s">
        <v>6761</v>
      </c>
      <c r="K313" s="154" t="s">
        <v>882</v>
      </c>
      <c r="L313" s="155" t="s">
        <v>1231</v>
      </c>
      <c r="M313" s="156" t="s">
        <v>5896</v>
      </c>
      <c r="N313" s="157" t="s">
        <v>6762</v>
      </c>
      <c r="O313" s="158" t="s">
        <v>1877</v>
      </c>
      <c r="P313" s="159" t="s">
        <v>6763</v>
      </c>
      <c r="Q313" s="160" t="s">
        <v>204</v>
      </c>
      <c r="R313" s="161" t="s">
        <v>153</v>
      </c>
      <c r="S313" s="162" t="s">
        <v>163</v>
      </c>
      <c r="T313" s="163" t="s">
        <v>205</v>
      </c>
      <c r="U313" s="164" t="s">
        <v>237</v>
      </c>
      <c r="V313" s="165" t="s">
        <v>6764</v>
      </c>
      <c r="W313" s="166">
        <v>30194</v>
      </c>
      <c r="X313" s="167" t="s">
        <v>6765</v>
      </c>
      <c r="Y313" s="168" t="s">
        <v>153</v>
      </c>
      <c r="Z313" s="169" t="s">
        <v>153</v>
      </c>
      <c r="AA313" s="170">
        <v>1836</v>
      </c>
      <c r="AB313" s="171" t="s">
        <v>153</v>
      </c>
      <c r="AC313" s="172" t="s">
        <v>153</v>
      </c>
      <c r="AD313" s="173" t="s">
        <v>153</v>
      </c>
      <c r="AE313" s="174" t="s">
        <v>153</v>
      </c>
      <c r="AF313" s="175" t="s">
        <v>153</v>
      </c>
      <c r="AG313" s="176" t="s">
        <v>153</v>
      </c>
      <c r="AH313" s="177" t="s">
        <v>153</v>
      </c>
      <c r="AI313" s="178" t="s">
        <v>153</v>
      </c>
      <c r="AJ313" s="179" t="s">
        <v>153</v>
      </c>
      <c r="AK313" s="180" t="s">
        <v>153</v>
      </c>
      <c r="AL313" s="181" t="s">
        <v>153</v>
      </c>
      <c r="AM313" s="182" t="s">
        <v>153</v>
      </c>
      <c r="AN313" s="183" t="s">
        <v>153</v>
      </c>
      <c r="AO313" s="184" t="s">
        <v>6766</v>
      </c>
      <c r="AP313" s="185" t="s">
        <v>6767</v>
      </c>
      <c r="AQ313" s="186" t="s">
        <v>171</v>
      </c>
      <c r="AR313" s="187" t="s">
        <v>6768</v>
      </c>
      <c r="AS313" s="188" t="s">
        <v>153</v>
      </c>
      <c r="AT313" s="189" t="s">
        <v>1071</v>
      </c>
      <c r="AU313" s="190" t="s">
        <v>6769</v>
      </c>
      <c r="AV313" s="191" t="s">
        <v>153</v>
      </c>
      <c r="AW313" s="192" t="s">
        <v>1074</v>
      </c>
      <c r="AX313" s="193" t="s">
        <v>6770</v>
      </c>
      <c r="AY313" s="194" t="s">
        <v>6771</v>
      </c>
      <c r="AZ313" s="195" t="s">
        <v>179</v>
      </c>
      <c r="BA313" s="196" t="s">
        <v>153</v>
      </c>
      <c r="BB313" s="197" t="s">
        <v>153</v>
      </c>
      <c r="BC313" s="198" t="s">
        <v>153</v>
      </c>
      <c r="BD313" s="199" t="s">
        <v>180</v>
      </c>
      <c r="BE313" s="200" t="s">
        <v>181</v>
      </c>
      <c r="BF313" s="201" t="s">
        <v>6772</v>
      </c>
      <c r="BG313" s="202" t="s">
        <v>153</v>
      </c>
      <c r="BH313" s="203" t="s">
        <v>153</v>
      </c>
      <c r="BI313" s="204" t="s">
        <v>6773</v>
      </c>
      <c r="BJ313" s="205" t="s">
        <v>153</v>
      </c>
      <c r="BK313" s="206" t="s">
        <v>153</v>
      </c>
      <c r="BL313" s="207" t="s">
        <v>153</v>
      </c>
      <c r="BM313" s="208" t="s">
        <v>153</v>
      </c>
      <c r="BN313" s="209" t="s">
        <v>153</v>
      </c>
      <c r="BO313" s="210" t="s">
        <v>153</v>
      </c>
      <c r="BP313" s="211" t="s">
        <v>153</v>
      </c>
      <c r="BQ313" s="212">
        <v>18898</v>
      </c>
      <c r="BR313" s="213" t="s">
        <v>153</v>
      </c>
      <c r="BS313" s="214" t="s">
        <v>153</v>
      </c>
      <c r="BT313" s="215" t="s">
        <v>153</v>
      </c>
      <c r="BU313" s="216" t="s">
        <v>153</v>
      </c>
      <c r="BV313" s="217" t="s">
        <v>251</v>
      </c>
      <c r="BW313" s="218" t="s">
        <v>153</v>
      </c>
      <c r="BX313" s="219" t="s">
        <v>153</v>
      </c>
      <c r="BY313" s="220" t="s">
        <v>252</v>
      </c>
      <c r="BZ313" s="221" t="s">
        <v>153</v>
      </c>
      <c r="CA313" s="222" t="s">
        <v>190</v>
      </c>
      <c r="CB313" s="223">
        <v>38749</v>
      </c>
      <c r="CC313" s="224">
        <v>12134.8</v>
      </c>
      <c r="CD313" s="225" t="s">
        <v>187</v>
      </c>
      <c r="CE313" s="226">
        <v>12134.8</v>
      </c>
      <c r="CF313" s="227" t="s">
        <v>187</v>
      </c>
      <c r="CG313" s="228" t="s">
        <v>226</v>
      </c>
      <c r="CH313" s="229" t="s">
        <v>930</v>
      </c>
      <c r="CI313" s="230" t="s">
        <v>153</v>
      </c>
      <c r="CJ313" s="231" t="s">
        <v>225</v>
      </c>
      <c r="CK313" s="232">
        <v>38749</v>
      </c>
      <c r="CL313" s="233" t="s">
        <v>153</v>
      </c>
      <c r="CM313" s="234" t="s">
        <v>153</v>
      </c>
      <c r="CN313" s="235" t="s">
        <v>190</v>
      </c>
      <c r="CO313" s="236" t="s">
        <v>153</v>
      </c>
      <c r="CP313" s="237" t="s">
        <v>153</v>
      </c>
      <c r="CQ313" s="238" t="s">
        <v>153</v>
      </c>
      <c r="CR313" s="239" t="s">
        <v>153</v>
      </c>
      <c r="CS313" s="240" t="s">
        <v>153</v>
      </c>
      <c r="CT313" s="241" t="s">
        <v>153</v>
      </c>
      <c r="CU313" s="242" t="s">
        <v>153</v>
      </c>
      <c r="CV313" s="243" t="s">
        <v>153</v>
      </c>
      <c r="CW313" s="244" t="s">
        <v>153</v>
      </c>
      <c r="CX313" s="245" t="s">
        <v>153</v>
      </c>
      <c r="CY313" s="246" t="s">
        <v>153</v>
      </c>
      <c r="CZ313" s="247" t="s">
        <v>153</v>
      </c>
      <c r="DA313" s="248" t="s">
        <v>153</v>
      </c>
      <c r="DB313" s="249" t="s">
        <v>153</v>
      </c>
      <c r="DC313" s="250" t="s">
        <v>153</v>
      </c>
      <c r="DD313" s="251" t="s">
        <v>153</v>
      </c>
      <c r="DE313" s="252" t="s">
        <v>153</v>
      </c>
      <c r="DF313" s="253" t="s">
        <v>153</v>
      </c>
      <c r="DG313" s="254" t="s">
        <v>153</v>
      </c>
      <c r="DH313" s="255" t="s">
        <v>153</v>
      </c>
      <c r="DI313" s="256" t="s">
        <v>153</v>
      </c>
      <c r="DJ313" s="257" t="s">
        <v>153</v>
      </c>
      <c r="DK313" s="258" t="s">
        <v>153</v>
      </c>
      <c r="DL313" s="259" t="s">
        <v>153</v>
      </c>
      <c r="DM313" s="260" t="s">
        <v>153</v>
      </c>
      <c r="DN313" s="261" t="s">
        <v>153</v>
      </c>
      <c r="DO313" s="262" t="s">
        <v>153</v>
      </c>
      <c r="DP313" s="263" t="s">
        <v>153</v>
      </c>
      <c r="DQ313" s="264" t="s">
        <v>153</v>
      </c>
      <c r="DR313" s="265" t="s">
        <v>153</v>
      </c>
      <c r="DS313" s="266" t="s">
        <v>153</v>
      </c>
      <c r="DT313" s="267" t="s">
        <v>153</v>
      </c>
      <c r="DU313" s="268" t="s">
        <v>153</v>
      </c>
      <c r="DV313" s="269" t="s">
        <v>153</v>
      </c>
      <c r="DW313" s="270" t="s">
        <v>153</v>
      </c>
      <c r="DX313" s="271" t="s">
        <v>153</v>
      </c>
      <c r="DY313" s="272" t="s">
        <v>153</v>
      </c>
      <c r="DZ313" s="273" t="s">
        <v>191</v>
      </c>
      <c r="EA313" s="274">
        <v>43764</v>
      </c>
      <c r="EB313" s="275">
        <v>12134.8</v>
      </c>
      <c r="EC313" s="276">
        <v>38749</v>
      </c>
      <c r="ED313" s="277" t="s">
        <v>226</v>
      </c>
      <c r="EE313" s="279" t="str">
        <f>HYPERLINK("https://my.pitchbook.com?c=165738-43", "View company online")</f>
        <v>View company online</v>
      </c>
    </row>
    <row r="314" spans="1:135" x14ac:dyDescent="0.45">
      <c r="A314" s="10" t="s">
        <v>6774</v>
      </c>
      <c r="B314" s="11" t="s">
        <v>6775</v>
      </c>
      <c r="C314" s="12" t="s">
        <v>153</v>
      </c>
      <c r="D314" s="13" t="s">
        <v>153</v>
      </c>
      <c r="E314" s="14" t="s">
        <v>6776</v>
      </c>
      <c r="F314" s="15" t="s">
        <v>153</v>
      </c>
      <c r="G314" s="16" t="s">
        <v>6777</v>
      </c>
      <c r="H314" s="17" t="s">
        <v>6778</v>
      </c>
      <c r="I314" s="18" t="s">
        <v>6774</v>
      </c>
      <c r="J314" s="19" t="s">
        <v>6779</v>
      </c>
      <c r="K314" s="20" t="s">
        <v>232</v>
      </c>
      <c r="L314" s="21" t="s">
        <v>1016</v>
      </c>
      <c r="M314" s="22" t="s">
        <v>1017</v>
      </c>
      <c r="N314" s="23" t="s">
        <v>6780</v>
      </c>
      <c r="O314" s="24" t="s">
        <v>153</v>
      </c>
      <c r="P314" s="25" t="s">
        <v>6781</v>
      </c>
      <c r="Q314" s="26" t="s">
        <v>367</v>
      </c>
      <c r="R314" s="27">
        <v>126</v>
      </c>
      <c r="S314" s="28" t="s">
        <v>290</v>
      </c>
      <c r="T314" s="29" t="s">
        <v>291</v>
      </c>
      <c r="U314" s="30" t="s">
        <v>369</v>
      </c>
      <c r="V314" s="31" t="s">
        <v>6782</v>
      </c>
      <c r="W314" s="32">
        <v>16700</v>
      </c>
      <c r="X314" s="33" t="s">
        <v>6783</v>
      </c>
      <c r="Y314" s="34" t="s">
        <v>372</v>
      </c>
      <c r="Z314" s="35" t="s">
        <v>6784</v>
      </c>
      <c r="AA314" s="36">
        <v>1988</v>
      </c>
      <c r="AB314" s="37" t="s">
        <v>153</v>
      </c>
      <c r="AC314" s="38" t="s">
        <v>1540</v>
      </c>
      <c r="AD314" s="39" t="s">
        <v>6785</v>
      </c>
      <c r="AE314" s="40">
        <v>18065</v>
      </c>
      <c r="AF314" s="41">
        <v>9187</v>
      </c>
      <c r="AG314" s="42">
        <v>5489</v>
      </c>
      <c r="AH314" s="43">
        <v>136881.03</v>
      </c>
      <c r="AI314" s="44">
        <v>8216</v>
      </c>
      <c r="AJ314" s="45">
        <v>8091</v>
      </c>
      <c r="AK314" s="46">
        <v>132340.03</v>
      </c>
      <c r="AL314" s="47">
        <v>0</v>
      </c>
      <c r="AM314" s="48">
        <v>20.22</v>
      </c>
      <c r="AN314" s="49" t="s">
        <v>299</v>
      </c>
      <c r="AO314" s="50" t="s">
        <v>6786</v>
      </c>
      <c r="AP314" s="51" t="s">
        <v>6787</v>
      </c>
      <c r="AQ314" s="52" t="s">
        <v>6788</v>
      </c>
      <c r="AR314" s="53" t="s">
        <v>6789</v>
      </c>
      <c r="AS314" s="54" t="s">
        <v>6790</v>
      </c>
      <c r="AT314" s="55" t="s">
        <v>433</v>
      </c>
      <c r="AU314" s="56" t="s">
        <v>6791</v>
      </c>
      <c r="AV314" s="57" t="s">
        <v>153</v>
      </c>
      <c r="AW314" s="58" t="s">
        <v>436</v>
      </c>
      <c r="AX314" s="59" t="s">
        <v>436</v>
      </c>
      <c r="AY314" s="60" t="s">
        <v>2269</v>
      </c>
      <c r="AZ314" s="61" t="s">
        <v>215</v>
      </c>
      <c r="BA314" s="62" t="s">
        <v>6790</v>
      </c>
      <c r="BB314" s="63" t="s">
        <v>153</v>
      </c>
      <c r="BC314" s="64" t="s">
        <v>6792</v>
      </c>
      <c r="BD314" s="65" t="s">
        <v>216</v>
      </c>
      <c r="BE314" s="66" t="s">
        <v>217</v>
      </c>
      <c r="BF314" s="67" t="s">
        <v>6793</v>
      </c>
      <c r="BG314" s="68" t="s">
        <v>6794</v>
      </c>
      <c r="BH314" s="69">
        <v>2</v>
      </c>
      <c r="BI314" s="70" t="s">
        <v>153</v>
      </c>
      <c r="BJ314" s="71" t="s">
        <v>6795</v>
      </c>
      <c r="BK314" s="72" t="s">
        <v>153</v>
      </c>
      <c r="BL314" s="73" t="s">
        <v>6796</v>
      </c>
      <c r="BM314" s="74" t="s">
        <v>6797</v>
      </c>
      <c r="BN314" s="75" t="s">
        <v>153</v>
      </c>
      <c r="BO314" s="76" t="s">
        <v>6798</v>
      </c>
      <c r="BP314" s="77" t="s">
        <v>6799</v>
      </c>
      <c r="BQ314" s="78">
        <v>36434</v>
      </c>
      <c r="BR314" s="79">
        <v>126</v>
      </c>
      <c r="BS314" s="80" t="s">
        <v>186</v>
      </c>
      <c r="BT314" s="81">
        <v>895.76</v>
      </c>
      <c r="BU314" s="82" t="s">
        <v>187</v>
      </c>
      <c r="BV314" s="83" t="s">
        <v>251</v>
      </c>
      <c r="BW314" s="84" t="s">
        <v>153</v>
      </c>
      <c r="BX314" s="85" t="s">
        <v>153</v>
      </c>
      <c r="BY314" s="86" t="s">
        <v>252</v>
      </c>
      <c r="BZ314" s="87" t="s">
        <v>153</v>
      </c>
      <c r="CA314" s="88" t="s">
        <v>190</v>
      </c>
      <c r="CB314" s="89">
        <v>43966</v>
      </c>
      <c r="CC314" s="90">
        <v>12076.36</v>
      </c>
      <c r="CD314" s="91" t="s">
        <v>186</v>
      </c>
      <c r="CE314" s="92" t="s">
        <v>153</v>
      </c>
      <c r="CF314" s="93" t="s">
        <v>153</v>
      </c>
      <c r="CG314" s="94" t="s">
        <v>5867</v>
      </c>
      <c r="CH314" s="95" t="s">
        <v>153</v>
      </c>
      <c r="CI314" s="96" t="s">
        <v>153</v>
      </c>
      <c r="CJ314" s="97" t="s">
        <v>153</v>
      </c>
      <c r="CK314" s="98">
        <v>43966</v>
      </c>
      <c r="CL314" s="99" t="s">
        <v>153</v>
      </c>
      <c r="CM314" s="100" t="s">
        <v>153</v>
      </c>
      <c r="CN314" s="101" t="s">
        <v>190</v>
      </c>
      <c r="CO314" s="102">
        <v>0.16</v>
      </c>
      <c r="CP314" s="103">
        <v>90</v>
      </c>
      <c r="CQ314" s="104">
        <v>-0.09</v>
      </c>
      <c r="CR314" s="105">
        <v>-37.119999999999997</v>
      </c>
      <c r="CS314" s="106">
        <v>0.02</v>
      </c>
      <c r="CT314" s="107">
        <v>89</v>
      </c>
      <c r="CU314" s="108">
        <v>0.1</v>
      </c>
      <c r="CV314" s="109">
        <v>86</v>
      </c>
      <c r="CW314" s="110">
        <v>-0.44</v>
      </c>
      <c r="CX314" s="111">
        <v>19</v>
      </c>
      <c r="CY314" s="112">
        <v>0.48</v>
      </c>
      <c r="CZ314" s="113">
        <v>94</v>
      </c>
      <c r="DA314" s="114">
        <v>0.1</v>
      </c>
      <c r="DB314" s="115">
        <v>86</v>
      </c>
      <c r="DC314" s="116">
        <v>746.2</v>
      </c>
      <c r="DD314" s="117">
        <v>100</v>
      </c>
      <c r="DE314" s="118">
        <v>2.74</v>
      </c>
      <c r="DF314" s="119">
        <v>0.37</v>
      </c>
      <c r="DG314" s="120">
        <v>1091.82</v>
      </c>
      <c r="DH314" s="121">
        <v>100</v>
      </c>
      <c r="DI314" s="122">
        <v>1438.69</v>
      </c>
      <c r="DJ314" s="123">
        <v>100</v>
      </c>
      <c r="DK314" s="124">
        <v>901.13</v>
      </c>
      <c r="DL314" s="125">
        <v>100</v>
      </c>
      <c r="DM314" s="126">
        <v>1282.5</v>
      </c>
      <c r="DN314" s="127">
        <v>100</v>
      </c>
      <c r="DO314" s="128">
        <v>1438.69</v>
      </c>
      <c r="DP314" s="129">
        <v>100</v>
      </c>
      <c r="DQ314" s="130">
        <v>534967</v>
      </c>
      <c r="DR314" s="131">
        <v>-2176</v>
      </c>
      <c r="DS314" s="132">
        <v>-0.41</v>
      </c>
      <c r="DT314" s="133">
        <v>20538</v>
      </c>
      <c r="DU314" s="134">
        <v>-11</v>
      </c>
      <c r="DV314" s="135">
        <v>-0.05</v>
      </c>
      <c r="DW314" s="136">
        <v>451270</v>
      </c>
      <c r="DX314" s="137">
        <v>828</v>
      </c>
      <c r="DY314" s="138">
        <v>0.18</v>
      </c>
      <c r="DZ314" s="139" t="s">
        <v>191</v>
      </c>
      <c r="EA314" s="140">
        <v>44403</v>
      </c>
      <c r="EB314" s="141">
        <v>57142.86</v>
      </c>
      <c r="EC314" s="142">
        <v>42627</v>
      </c>
      <c r="ED314" s="143" t="s">
        <v>906</v>
      </c>
      <c r="EE314" s="278" t="str">
        <f>HYPERLINK("https://my.pitchbook.com?c=10768-06", "View company online")</f>
        <v>View company online</v>
      </c>
    </row>
    <row r="315" spans="1:135" x14ac:dyDescent="0.45">
      <c r="A315" s="144" t="s">
        <v>6800</v>
      </c>
      <c r="B315" s="145" t="s">
        <v>6801</v>
      </c>
      <c r="C315" s="146" t="s">
        <v>153</v>
      </c>
      <c r="D315" s="147" t="s">
        <v>153</v>
      </c>
      <c r="E315" s="148" t="s">
        <v>153</v>
      </c>
      <c r="F315" s="149" t="s">
        <v>6802</v>
      </c>
      <c r="G315" s="150" t="s">
        <v>6803</v>
      </c>
      <c r="H315" s="151" t="s">
        <v>6804</v>
      </c>
      <c r="I315" s="152" t="s">
        <v>6800</v>
      </c>
      <c r="J315" s="153" t="s">
        <v>6805</v>
      </c>
      <c r="K315" s="154" t="s">
        <v>792</v>
      </c>
      <c r="L315" s="155" t="s">
        <v>841</v>
      </c>
      <c r="M315" s="156" t="s">
        <v>913</v>
      </c>
      <c r="N315" s="157" t="s">
        <v>6806</v>
      </c>
      <c r="O315" s="158" t="s">
        <v>6807</v>
      </c>
      <c r="P315" s="159" t="s">
        <v>6808</v>
      </c>
      <c r="Q315" s="160" t="s">
        <v>1487</v>
      </c>
      <c r="R315" s="161">
        <v>768.71</v>
      </c>
      <c r="S315" s="162" t="s">
        <v>290</v>
      </c>
      <c r="T315" s="163" t="s">
        <v>291</v>
      </c>
      <c r="U315" s="164" t="s">
        <v>369</v>
      </c>
      <c r="V315" s="165" t="s">
        <v>6809</v>
      </c>
      <c r="W315" s="166">
        <v>17398</v>
      </c>
      <c r="X315" s="167" t="s">
        <v>6810</v>
      </c>
      <c r="Y315" s="168" t="s">
        <v>6184</v>
      </c>
      <c r="Z315" s="169" t="s">
        <v>6811</v>
      </c>
      <c r="AA315" s="170">
        <v>1975</v>
      </c>
      <c r="AB315" s="171" t="s">
        <v>153</v>
      </c>
      <c r="AC315" s="172" t="s">
        <v>537</v>
      </c>
      <c r="AD315" s="173" t="s">
        <v>1795</v>
      </c>
      <c r="AE315" s="174">
        <v>14990.76</v>
      </c>
      <c r="AF315" s="175">
        <v>6771.85</v>
      </c>
      <c r="AG315" s="176">
        <v>1967.02</v>
      </c>
      <c r="AH315" s="177">
        <v>38225</v>
      </c>
      <c r="AI315" s="178">
        <v>4994.79</v>
      </c>
      <c r="AJ315" s="179">
        <v>3321.36</v>
      </c>
      <c r="AK315" s="180">
        <v>15433.4</v>
      </c>
      <c r="AL315" s="181">
        <v>24148.080000000002</v>
      </c>
      <c r="AM315" s="182">
        <v>1.89</v>
      </c>
      <c r="AN315" s="183" t="s">
        <v>1765</v>
      </c>
      <c r="AO315" s="184" t="s">
        <v>6812</v>
      </c>
      <c r="AP315" s="185" t="s">
        <v>6813</v>
      </c>
      <c r="AQ315" s="186" t="s">
        <v>6814</v>
      </c>
      <c r="AR315" s="187" t="s">
        <v>6815</v>
      </c>
      <c r="AS315" s="188" t="s">
        <v>6816</v>
      </c>
      <c r="AT315" s="189" t="s">
        <v>6817</v>
      </c>
      <c r="AU315" s="190" t="s">
        <v>6818</v>
      </c>
      <c r="AV315" s="191" t="s">
        <v>6819</v>
      </c>
      <c r="AW315" s="192" t="s">
        <v>6820</v>
      </c>
      <c r="AX315" s="193" t="s">
        <v>6820</v>
      </c>
      <c r="AY315" s="194" t="s">
        <v>6821</v>
      </c>
      <c r="AZ315" s="195" t="s">
        <v>3046</v>
      </c>
      <c r="BA315" s="196" t="s">
        <v>6816</v>
      </c>
      <c r="BB315" s="197" t="s">
        <v>6822</v>
      </c>
      <c r="BC315" s="198" t="s">
        <v>6823</v>
      </c>
      <c r="BD315" s="199" t="s">
        <v>1406</v>
      </c>
      <c r="BE315" s="200" t="s">
        <v>3047</v>
      </c>
      <c r="BF315" s="201" t="s">
        <v>6824</v>
      </c>
      <c r="BG315" s="202" t="s">
        <v>6825</v>
      </c>
      <c r="BH315" s="203">
        <v>2</v>
      </c>
      <c r="BI315" s="204" t="s">
        <v>153</v>
      </c>
      <c r="BJ315" s="205" t="s">
        <v>153</v>
      </c>
      <c r="BK315" s="206" t="s">
        <v>153</v>
      </c>
      <c r="BL315" s="207" t="s">
        <v>6826</v>
      </c>
      <c r="BM315" s="208" t="s">
        <v>153</v>
      </c>
      <c r="BN315" s="209" t="s">
        <v>153</v>
      </c>
      <c r="BO315" s="210" t="s">
        <v>6827</v>
      </c>
      <c r="BP315" s="211" t="s">
        <v>6828</v>
      </c>
      <c r="BQ315" s="212">
        <v>38296</v>
      </c>
      <c r="BR315" s="213">
        <v>1177.42</v>
      </c>
      <c r="BS315" s="214" t="s">
        <v>186</v>
      </c>
      <c r="BT315" s="215" t="s">
        <v>153</v>
      </c>
      <c r="BU315" s="216" t="s">
        <v>153</v>
      </c>
      <c r="BV315" s="217" t="s">
        <v>251</v>
      </c>
      <c r="BW315" s="218" t="s">
        <v>153</v>
      </c>
      <c r="BX315" s="219" t="s">
        <v>153</v>
      </c>
      <c r="BY315" s="220" t="s">
        <v>252</v>
      </c>
      <c r="BZ315" s="221" t="s">
        <v>153</v>
      </c>
      <c r="CA315" s="222" t="s">
        <v>190</v>
      </c>
      <c r="CB315" s="223" t="s">
        <v>153</v>
      </c>
      <c r="CC315" s="224">
        <v>12075.23</v>
      </c>
      <c r="CD315" s="225" t="s">
        <v>187</v>
      </c>
      <c r="CE315" s="226">
        <v>22792.05</v>
      </c>
      <c r="CF315" s="227" t="s">
        <v>187</v>
      </c>
      <c r="CG315" s="228" t="s">
        <v>226</v>
      </c>
      <c r="CH315" s="229" t="s">
        <v>153</v>
      </c>
      <c r="CI315" s="230" t="s">
        <v>153</v>
      </c>
      <c r="CJ315" s="231" t="s">
        <v>225</v>
      </c>
      <c r="CK315" s="232" t="s">
        <v>153</v>
      </c>
      <c r="CL315" s="233" t="s">
        <v>153</v>
      </c>
      <c r="CM315" s="234" t="s">
        <v>153</v>
      </c>
      <c r="CN315" s="235" t="s">
        <v>1698</v>
      </c>
      <c r="CO315" s="236">
        <v>0.85</v>
      </c>
      <c r="CP315" s="237">
        <v>95</v>
      </c>
      <c r="CQ315" s="238">
        <v>-0.09</v>
      </c>
      <c r="CR315" s="239">
        <v>-9.42</v>
      </c>
      <c r="CS315" s="240">
        <v>0.56000000000000005</v>
      </c>
      <c r="CT315" s="241">
        <v>93</v>
      </c>
      <c r="CU315" s="242">
        <v>1.1399999999999999</v>
      </c>
      <c r="CV315" s="243">
        <v>99</v>
      </c>
      <c r="CW315" s="244" t="s">
        <v>153</v>
      </c>
      <c r="CX315" s="245" t="s">
        <v>153</v>
      </c>
      <c r="CY315" s="246">
        <v>0.56000000000000005</v>
      </c>
      <c r="CZ315" s="247">
        <v>95</v>
      </c>
      <c r="DA315" s="248">
        <v>1.1399999999999999</v>
      </c>
      <c r="DB315" s="249">
        <v>99</v>
      </c>
      <c r="DC315" s="250">
        <v>117.18</v>
      </c>
      <c r="DD315" s="251">
        <v>100</v>
      </c>
      <c r="DE315" s="252">
        <v>0.6</v>
      </c>
      <c r="DF315" s="253">
        <v>0.51</v>
      </c>
      <c r="DG315" s="254">
        <v>151.81</v>
      </c>
      <c r="DH315" s="255">
        <v>100</v>
      </c>
      <c r="DI315" s="256">
        <v>82.55</v>
      </c>
      <c r="DJ315" s="257">
        <v>97</v>
      </c>
      <c r="DK315" s="258" t="s">
        <v>153</v>
      </c>
      <c r="DL315" s="259" t="s">
        <v>153</v>
      </c>
      <c r="DM315" s="260">
        <v>151.81</v>
      </c>
      <c r="DN315" s="261">
        <v>100</v>
      </c>
      <c r="DO315" s="262">
        <v>82.55</v>
      </c>
      <c r="DP315" s="263">
        <v>97</v>
      </c>
      <c r="DQ315" s="264" t="s">
        <v>153</v>
      </c>
      <c r="DR315" s="265" t="s">
        <v>153</v>
      </c>
      <c r="DS315" s="266" t="s">
        <v>153</v>
      </c>
      <c r="DT315" s="267">
        <v>2429</v>
      </c>
      <c r="DU315" s="268">
        <v>-1</v>
      </c>
      <c r="DV315" s="269">
        <v>-0.04</v>
      </c>
      <c r="DW315" s="270">
        <v>25821</v>
      </c>
      <c r="DX315" s="271">
        <v>253</v>
      </c>
      <c r="DY315" s="272">
        <v>0.99</v>
      </c>
      <c r="DZ315" s="273" t="s">
        <v>191</v>
      </c>
      <c r="EA315" s="274">
        <v>44403</v>
      </c>
      <c r="EB315" s="275">
        <v>22792.05</v>
      </c>
      <c r="EC315" s="276" t="s">
        <v>153</v>
      </c>
      <c r="ED315" s="277" t="s">
        <v>226</v>
      </c>
      <c r="EE315" s="279" t="str">
        <f>HYPERLINK("https://my.pitchbook.com?c=60935-59", "View company online")</f>
        <v>View company online</v>
      </c>
    </row>
    <row r="316" spans="1:135" x14ac:dyDescent="0.45">
      <c r="A316" s="10" t="s">
        <v>6829</v>
      </c>
      <c r="B316" s="11" t="s">
        <v>6830</v>
      </c>
      <c r="C316" s="12" t="s">
        <v>153</v>
      </c>
      <c r="D316" s="13" t="s">
        <v>153</v>
      </c>
      <c r="E316" s="14" t="s">
        <v>153</v>
      </c>
      <c r="F316" s="15" t="s">
        <v>6831</v>
      </c>
      <c r="G316" s="16" t="s">
        <v>6832</v>
      </c>
      <c r="H316" s="17" t="s">
        <v>6833</v>
      </c>
      <c r="I316" s="18" t="s">
        <v>6829</v>
      </c>
      <c r="J316" s="19" t="s">
        <v>6834</v>
      </c>
      <c r="K316" s="20" t="s">
        <v>882</v>
      </c>
      <c r="L316" s="21" t="s">
        <v>1257</v>
      </c>
      <c r="M316" s="22" t="s">
        <v>6835</v>
      </c>
      <c r="N316" s="23" t="s">
        <v>6836</v>
      </c>
      <c r="O316" s="24" t="s">
        <v>2839</v>
      </c>
      <c r="P316" s="25" t="s">
        <v>6837</v>
      </c>
      <c r="Q316" s="26" t="s">
        <v>204</v>
      </c>
      <c r="R316" s="27" t="s">
        <v>153</v>
      </c>
      <c r="S316" s="28" t="s">
        <v>290</v>
      </c>
      <c r="T316" s="29" t="s">
        <v>205</v>
      </c>
      <c r="U316" s="30" t="s">
        <v>237</v>
      </c>
      <c r="V316" s="31" t="s">
        <v>6838</v>
      </c>
      <c r="W316" s="32">
        <v>3600</v>
      </c>
      <c r="X316" s="33" t="s">
        <v>6839</v>
      </c>
      <c r="Y316" s="34" t="s">
        <v>153</v>
      </c>
      <c r="Z316" s="35" t="s">
        <v>153</v>
      </c>
      <c r="AA316" s="36">
        <v>2008</v>
      </c>
      <c r="AB316" s="37" t="s">
        <v>153</v>
      </c>
      <c r="AC316" s="38" t="s">
        <v>153</v>
      </c>
      <c r="AD316" s="39" t="s">
        <v>153</v>
      </c>
      <c r="AE316" s="40" t="s">
        <v>153</v>
      </c>
      <c r="AF316" s="41" t="s">
        <v>153</v>
      </c>
      <c r="AG316" s="42" t="s">
        <v>153</v>
      </c>
      <c r="AH316" s="43" t="s">
        <v>153</v>
      </c>
      <c r="AI316" s="44" t="s">
        <v>153</v>
      </c>
      <c r="AJ316" s="45" t="s">
        <v>153</v>
      </c>
      <c r="AK316" s="46" t="s">
        <v>153</v>
      </c>
      <c r="AL316" s="47" t="s">
        <v>153</v>
      </c>
      <c r="AM316" s="48" t="s">
        <v>153</v>
      </c>
      <c r="AN316" s="49" t="s">
        <v>868</v>
      </c>
      <c r="AO316" s="50" t="s">
        <v>153</v>
      </c>
      <c r="AP316" s="51" t="s">
        <v>153</v>
      </c>
      <c r="AQ316" s="52" t="s">
        <v>153</v>
      </c>
      <c r="AR316" s="53" t="s">
        <v>153</v>
      </c>
      <c r="AS316" s="54" t="s">
        <v>153</v>
      </c>
      <c r="AT316" s="55" t="s">
        <v>6840</v>
      </c>
      <c r="AU316" s="56" t="s">
        <v>6841</v>
      </c>
      <c r="AV316" s="57" t="s">
        <v>153</v>
      </c>
      <c r="AW316" s="58" t="s">
        <v>6842</v>
      </c>
      <c r="AX316" s="59" t="s">
        <v>5243</v>
      </c>
      <c r="AY316" s="60" t="s">
        <v>6843</v>
      </c>
      <c r="AZ316" s="61" t="s">
        <v>215</v>
      </c>
      <c r="BA316" s="62" t="s">
        <v>153</v>
      </c>
      <c r="BB316" s="63" t="s">
        <v>153</v>
      </c>
      <c r="BC316" s="64" t="s">
        <v>153</v>
      </c>
      <c r="BD316" s="65" t="s">
        <v>216</v>
      </c>
      <c r="BE316" s="66" t="s">
        <v>217</v>
      </c>
      <c r="BF316" s="67" t="s">
        <v>6844</v>
      </c>
      <c r="BG316" s="68" t="s">
        <v>153</v>
      </c>
      <c r="BH316" s="69" t="s">
        <v>153</v>
      </c>
      <c r="BI316" s="70" t="s">
        <v>6845</v>
      </c>
      <c r="BJ316" s="71" t="s">
        <v>6846</v>
      </c>
      <c r="BK316" s="72" t="s">
        <v>153</v>
      </c>
      <c r="BL316" s="73" t="s">
        <v>153</v>
      </c>
      <c r="BM316" s="74" t="s">
        <v>6847</v>
      </c>
      <c r="BN316" s="75" t="s">
        <v>153</v>
      </c>
      <c r="BO316" s="76" t="s">
        <v>6848</v>
      </c>
      <c r="BP316" s="77" t="s">
        <v>6849</v>
      </c>
      <c r="BQ316" s="78">
        <v>39611</v>
      </c>
      <c r="BR316" s="79" t="s">
        <v>153</v>
      </c>
      <c r="BS316" s="80" t="s">
        <v>153</v>
      </c>
      <c r="BT316" s="81" t="s">
        <v>153</v>
      </c>
      <c r="BU316" s="82" t="s">
        <v>153</v>
      </c>
      <c r="BV316" s="83" t="s">
        <v>251</v>
      </c>
      <c r="BW316" s="84" t="s">
        <v>524</v>
      </c>
      <c r="BX316" s="85" t="s">
        <v>153</v>
      </c>
      <c r="BY316" s="86" t="s">
        <v>252</v>
      </c>
      <c r="BZ316" s="87" t="s">
        <v>153</v>
      </c>
      <c r="CA316" s="88" t="s">
        <v>190</v>
      </c>
      <c r="CB316" s="89">
        <v>43165</v>
      </c>
      <c r="CC316" s="90">
        <v>12013</v>
      </c>
      <c r="CD316" s="91" t="s">
        <v>186</v>
      </c>
      <c r="CE316" s="92">
        <v>12013</v>
      </c>
      <c r="CF316" s="93" t="s">
        <v>187</v>
      </c>
      <c r="CG316" s="94" t="s">
        <v>226</v>
      </c>
      <c r="CH316" s="95" t="s">
        <v>153</v>
      </c>
      <c r="CI316" s="96" t="s">
        <v>153</v>
      </c>
      <c r="CJ316" s="97" t="s">
        <v>225</v>
      </c>
      <c r="CK316" s="98">
        <v>43165</v>
      </c>
      <c r="CL316" s="99" t="s">
        <v>153</v>
      </c>
      <c r="CM316" s="100" t="s">
        <v>153</v>
      </c>
      <c r="CN316" s="101" t="s">
        <v>190</v>
      </c>
      <c r="CO316" s="102" t="s">
        <v>153</v>
      </c>
      <c r="CP316" s="103" t="s">
        <v>153</v>
      </c>
      <c r="CQ316" s="104" t="s">
        <v>153</v>
      </c>
      <c r="CR316" s="105" t="s">
        <v>153</v>
      </c>
      <c r="CS316" s="106" t="s">
        <v>153</v>
      </c>
      <c r="CT316" s="107" t="s">
        <v>153</v>
      </c>
      <c r="CU316" s="108" t="s">
        <v>153</v>
      </c>
      <c r="CV316" s="109" t="s">
        <v>153</v>
      </c>
      <c r="CW316" s="110" t="s">
        <v>153</v>
      </c>
      <c r="CX316" s="111" t="s">
        <v>153</v>
      </c>
      <c r="CY316" s="112" t="s">
        <v>153</v>
      </c>
      <c r="CZ316" s="113" t="s">
        <v>153</v>
      </c>
      <c r="DA316" s="114" t="s">
        <v>153</v>
      </c>
      <c r="DB316" s="115" t="s">
        <v>153</v>
      </c>
      <c r="DC316" s="116" t="s">
        <v>153</v>
      </c>
      <c r="DD316" s="117" t="s">
        <v>153</v>
      </c>
      <c r="DE316" s="118" t="s">
        <v>153</v>
      </c>
      <c r="DF316" s="119" t="s">
        <v>153</v>
      </c>
      <c r="DG316" s="120" t="s">
        <v>153</v>
      </c>
      <c r="DH316" s="121" t="s">
        <v>153</v>
      </c>
      <c r="DI316" s="122" t="s">
        <v>153</v>
      </c>
      <c r="DJ316" s="123" t="s">
        <v>153</v>
      </c>
      <c r="DK316" s="124" t="s">
        <v>153</v>
      </c>
      <c r="DL316" s="125" t="s">
        <v>153</v>
      </c>
      <c r="DM316" s="126" t="s">
        <v>153</v>
      </c>
      <c r="DN316" s="127" t="s">
        <v>153</v>
      </c>
      <c r="DO316" s="128" t="s">
        <v>153</v>
      </c>
      <c r="DP316" s="129" t="s">
        <v>153</v>
      </c>
      <c r="DQ316" s="130" t="s">
        <v>153</v>
      </c>
      <c r="DR316" s="131" t="s">
        <v>153</v>
      </c>
      <c r="DS316" s="132" t="s">
        <v>153</v>
      </c>
      <c r="DT316" s="133" t="s">
        <v>153</v>
      </c>
      <c r="DU316" s="134" t="s">
        <v>153</v>
      </c>
      <c r="DV316" s="135" t="s">
        <v>153</v>
      </c>
      <c r="DW316" s="136" t="s">
        <v>153</v>
      </c>
      <c r="DX316" s="137" t="s">
        <v>153</v>
      </c>
      <c r="DY316" s="138" t="s">
        <v>153</v>
      </c>
      <c r="DZ316" s="139" t="s">
        <v>191</v>
      </c>
      <c r="EA316" s="140">
        <v>44217</v>
      </c>
      <c r="EB316" s="141">
        <v>12013</v>
      </c>
      <c r="EC316" s="142">
        <v>43165</v>
      </c>
      <c r="ED316" s="143" t="s">
        <v>226</v>
      </c>
      <c r="EE316" s="278" t="str">
        <f>HYPERLINK("https://my.pitchbook.com?c=41908-24", "View company online")</f>
        <v>View company online</v>
      </c>
    </row>
    <row r="317" spans="1:135" x14ac:dyDescent="0.45">
      <c r="A317" s="144" t="s">
        <v>6850</v>
      </c>
      <c r="B317" s="145" t="s">
        <v>6851</v>
      </c>
      <c r="C317" s="146" t="s">
        <v>153</v>
      </c>
      <c r="D317" s="147" t="s">
        <v>153</v>
      </c>
      <c r="E317" s="148" t="s">
        <v>153</v>
      </c>
      <c r="F317" s="149" t="s">
        <v>6852</v>
      </c>
      <c r="G317" s="150" t="s">
        <v>6853</v>
      </c>
      <c r="H317" s="151" t="s">
        <v>6854</v>
      </c>
      <c r="I317" s="152" t="s">
        <v>6850</v>
      </c>
      <c r="J317" s="153" t="s">
        <v>6855</v>
      </c>
      <c r="K317" s="154" t="s">
        <v>232</v>
      </c>
      <c r="L317" s="155" t="s">
        <v>1016</v>
      </c>
      <c r="M317" s="156" t="s">
        <v>1639</v>
      </c>
      <c r="N317" s="157" t="s">
        <v>5728</v>
      </c>
      <c r="O317" s="158" t="s">
        <v>153</v>
      </c>
      <c r="P317" s="159" t="s">
        <v>6856</v>
      </c>
      <c r="Q317" s="160" t="s">
        <v>204</v>
      </c>
      <c r="R317" s="161">
        <v>1734</v>
      </c>
      <c r="S317" s="162" t="s">
        <v>290</v>
      </c>
      <c r="T317" s="163" t="s">
        <v>164</v>
      </c>
      <c r="U317" s="164" t="s">
        <v>237</v>
      </c>
      <c r="V317" s="165" t="s">
        <v>6857</v>
      </c>
      <c r="W317" s="166">
        <v>34000</v>
      </c>
      <c r="X317" s="167" t="s">
        <v>6858</v>
      </c>
      <c r="Y317" s="168" t="s">
        <v>153</v>
      </c>
      <c r="Z317" s="169" t="s">
        <v>153</v>
      </c>
      <c r="AA317" s="170">
        <v>1861</v>
      </c>
      <c r="AB317" s="171" t="s">
        <v>6859</v>
      </c>
      <c r="AC317" s="172" t="s">
        <v>153</v>
      </c>
      <c r="AD317" s="173" t="s">
        <v>570</v>
      </c>
      <c r="AE317" s="174" t="s">
        <v>153</v>
      </c>
      <c r="AF317" s="175" t="s">
        <v>153</v>
      </c>
      <c r="AG317" s="176" t="s">
        <v>153</v>
      </c>
      <c r="AH317" s="177" t="s">
        <v>153</v>
      </c>
      <c r="AI317" s="178" t="s">
        <v>153</v>
      </c>
      <c r="AJ317" s="179" t="s">
        <v>153</v>
      </c>
      <c r="AK317" s="180" t="s">
        <v>153</v>
      </c>
      <c r="AL317" s="181" t="s">
        <v>153</v>
      </c>
      <c r="AM317" s="182" t="s">
        <v>153</v>
      </c>
      <c r="AN317" s="183" t="s">
        <v>6860</v>
      </c>
      <c r="AO317" s="184" t="s">
        <v>6861</v>
      </c>
      <c r="AP317" s="185" t="s">
        <v>6862</v>
      </c>
      <c r="AQ317" s="186" t="s">
        <v>512</v>
      </c>
      <c r="AR317" s="187" t="s">
        <v>6863</v>
      </c>
      <c r="AS317" s="188" t="s">
        <v>6864</v>
      </c>
      <c r="AT317" s="189" t="s">
        <v>826</v>
      </c>
      <c r="AU317" s="190" t="s">
        <v>6865</v>
      </c>
      <c r="AV317" s="191" t="s">
        <v>153</v>
      </c>
      <c r="AW317" s="192" t="s">
        <v>828</v>
      </c>
      <c r="AX317" s="193" t="s">
        <v>385</v>
      </c>
      <c r="AY317" s="194" t="s">
        <v>6866</v>
      </c>
      <c r="AZ317" s="195" t="s">
        <v>215</v>
      </c>
      <c r="BA317" s="196" t="s">
        <v>6864</v>
      </c>
      <c r="BB317" s="197" t="s">
        <v>6867</v>
      </c>
      <c r="BC317" s="198" t="s">
        <v>6868</v>
      </c>
      <c r="BD317" s="199" t="s">
        <v>216</v>
      </c>
      <c r="BE317" s="200" t="s">
        <v>217</v>
      </c>
      <c r="BF317" s="201" t="s">
        <v>6869</v>
      </c>
      <c r="BG317" s="202" t="s">
        <v>153</v>
      </c>
      <c r="BH317" s="203" t="s">
        <v>153</v>
      </c>
      <c r="BI317" s="204" t="s">
        <v>6859</v>
      </c>
      <c r="BJ317" s="205" t="s">
        <v>153</v>
      </c>
      <c r="BK317" s="206" t="s">
        <v>153</v>
      </c>
      <c r="BL317" s="207" t="s">
        <v>153</v>
      </c>
      <c r="BM317" s="208" t="s">
        <v>153</v>
      </c>
      <c r="BN317" s="209" t="s">
        <v>153</v>
      </c>
      <c r="BO317" s="210" t="s">
        <v>6870</v>
      </c>
      <c r="BP317" s="211" t="s">
        <v>6871</v>
      </c>
      <c r="BQ317" s="212">
        <v>36552</v>
      </c>
      <c r="BR317" s="213">
        <v>1734</v>
      </c>
      <c r="BS317" s="214" t="s">
        <v>186</v>
      </c>
      <c r="BT317" s="215">
        <v>5638.9</v>
      </c>
      <c r="BU317" s="216" t="s">
        <v>187</v>
      </c>
      <c r="BV317" s="217" t="s">
        <v>251</v>
      </c>
      <c r="BW317" s="218" t="s">
        <v>153</v>
      </c>
      <c r="BX317" s="219" t="s">
        <v>153</v>
      </c>
      <c r="BY317" s="220" t="s">
        <v>252</v>
      </c>
      <c r="BZ317" s="221" t="s">
        <v>153</v>
      </c>
      <c r="CA317" s="222" t="s">
        <v>190</v>
      </c>
      <c r="CB317" s="223">
        <v>38105</v>
      </c>
      <c r="CC317" s="224">
        <v>12000</v>
      </c>
      <c r="CD317" s="225" t="s">
        <v>186</v>
      </c>
      <c r="CE317" s="226">
        <v>12000</v>
      </c>
      <c r="CF317" s="227" t="s">
        <v>186</v>
      </c>
      <c r="CG317" s="228" t="s">
        <v>226</v>
      </c>
      <c r="CH317" s="229" t="s">
        <v>153</v>
      </c>
      <c r="CI317" s="230" t="s">
        <v>153</v>
      </c>
      <c r="CJ317" s="231" t="s">
        <v>225</v>
      </c>
      <c r="CK317" s="232">
        <v>38105</v>
      </c>
      <c r="CL317" s="233" t="s">
        <v>153</v>
      </c>
      <c r="CM317" s="234" t="s">
        <v>153</v>
      </c>
      <c r="CN317" s="235" t="s">
        <v>190</v>
      </c>
      <c r="CO317" s="236">
        <v>0.79</v>
      </c>
      <c r="CP317" s="237">
        <v>95</v>
      </c>
      <c r="CQ317" s="238">
        <v>0.01</v>
      </c>
      <c r="CR317" s="239">
        <v>0.72</v>
      </c>
      <c r="CS317" s="240">
        <v>1.66</v>
      </c>
      <c r="CT317" s="241">
        <v>97</v>
      </c>
      <c r="CU317" s="242">
        <v>-0.09</v>
      </c>
      <c r="CV317" s="243">
        <v>21</v>
      </c>
      <c r="CW317" s="244">
        <v>1.57</v>
      </c>
      <c r="CX317" s="245">
        <v>84</v>
      </c>
      <c r="CY317" s="246">
        <v>1.76</v>
      </c>
      <c r="CZ317" s="247">
        <v>100</v>
      </c>
      <c r="DA317" s="248">
        <v>-0.09</v>
      </c>
      <c r="DB317" s="249">
        <v>21</v>
      </c>
      <c r="DC317" s="250">
        <v>135.94999999999999</v>
      </c>
      <c r="DD317" s="251">
        <v>100</v>
      </c>
      <c r="DE317" s="252">
        <v>0.32</v>
      </c>
      <c r="DF317" s="253">
        <v>0.24</v>
      </c>
      <c r="DG317" s="254">
        <v>192.46</v>
      </c>
      <c r="DH317" s="255">
        <v>100</v>
      </c>
      <c r="DI317" s="256">
        <v>79.45</v>
      </c>
      <c r="DJ317" s="257">
        <v>97</v>
      </c>
      <c r="DK317" s="258">
        <v>141.55000000000001</v>
      </c>
      <c r="DL317" s="259">
        <v>98</v>
      </c>
      <c r="DM317" s="260">
        <v>243.38</v>
      </c>
      <c r="DN317" s="261">
        <v>100</v>
      </c>
      <c r="DO317" s="262">
        <v>79.45</v>
      </c>
      <c r="DP317" s="263">
        <v>97</v>
      </c>
      <c r="DQ317" s="264">
        <v>83332</v>
      </c>
      <c r="DR317" s="265">
        <v>2218</v>
      </c>
      <c r="DS317" s="266">
        <v>2.73</v>
      </c>
      <c r="DT317" s="267">
        <v>3892</v>
      </c>
      <c r="DU317" s="268">
        <v>4</v>
      </c>
      <c r="DV317" s="269">
        <v>0.1</v>
      </c>
      <c r="DW317" s="270">
        <v>24944</v>
      </c>
      <c r="DX317" s="271">
        <v>4</v>
      </c>
      <c r="DY317" s="272">
        <v>0.02</v>
      </c>
      <c r="DZ317" s="273" t="s">
        <v>191</v>
      </c>
      <c r="EA317" s="274">
        <v>44391</v>
      </c>
      <c r="EB317" s="275">
        <v>12000</v>
      </c>
      <c r="EC317" s="276">
        <v>38105</v>
      </c>
      <c r="ED317" s="277" t="s">
        <v>226</v>
      </c>
      <c r="EE317" s="279" t="str">
        <f>HYPERLINK("https://my.pitchbook.com?c=10716-13", "View company online")</f>
        <v>View company online</v>
      </c>
    </row>
    <row r="318" spans="1:135" x14ac:dyDescent="0.45">
      <c r="A318" s="10" t="s">
        <v>6872</v>
      </c>
      <c r="B318" s="11" t="s">
        <v>6873</v>
      </c>
      <c r="C318" s="12" t="s">
        <v>153</v>
      </c>
      <c r="D318" s="13" t="s">
        <v>153</v>
      </c>
      <c r="E318" s="14" t="s">
        <v>153</v>
      </c>
      <c r="F318" s="15" t="s">
        <v>6874</v>
      </c>
      <c r="G318" s="16" t="s">
        <v>6875</v>
      </c>
      <c r="H318" s="17" t="s">
        <v>6876</v>
      </c>
      <c r="I318" s="18" t="s">
        <v>6872</v>
      </c>
      <c r="J318" s="19" t="s">
        <v>6877</v>
      </c>
      <c r="K318" s="20" t="s">
        <v>257</v>
      </c>
      <c r="L318" s="21" t="s">
        <v>258</v>
      </c>
      <c r="M318" s="22" t="s">
        <v>448</v>
      </c>
      <c r="N318" s="23" t="s">
        <v>3439</v>
      </c>
      <c r="O318" s="24" t="s">
        <v>450</v>
      </c>
      <c r="P318" s="25" t="s">
        <v>6878</v>
      </c>
      <c r="Q318" s="26" t="s">
        <v>289</v>
      </c>
      <c r="R318" s="27">
        <v>212.5</v>
      </c>
      <c r="S318" s="28" t="s">
        <v>290</v>
      </c>
      <c r="T318" s="29" t="s">
        <v>164</v>
      </c>
      <c r="U318" s="30" t="s">
        <v>4270</v>
      </c>
      <c r="V318" s="31" t="s">
        <v>6879</v>
      </c>
      <c r="W318" s="32">
        <v>300</v>
      </c>
      <c r="X318" s="33" t="s">
        <v>6880</v>
      </c>
      <c r="Y318" s="34" t="s">
        <v>153</v>
      </c>
      <c r="Z318" s="35" t="s">
        <v>153</v>
      </c>
      <c r="AA318" s="36">
        <v>2009</v>
      </c>
      <c r="AB318" s="37" t="s">
        <v>3394</v>
      </c>
      <c r="AC318" s="38" t="s">
        <v>153</v>
      </c>
      <c r="AD318" s="39" t="s">
        <v>671</v>
      </c>
      <c r="AE318" s="40" t="s">
        <v>153</v>
      </c>
      <c r="AF318" s="41" t="s">
        <v>153</v>
      </c>
      <c r="AG318" s="42" t="s">
        <v>153</v>
      </c>
      <c r="AH318" s="43" t="s">
        <v>153</v>
      </c>
      <c r="AI318" s="44" t="s">
        <v>153</v>
      </c>
      <c r="AJ318" s="45" t="s">
        <v>153</v>
      </c>
      <c r="AK318" s="46" t="s">
        <v>153</v>
      </c>
      <c r="AL318" s="47" t="s">
        <v>153</v>
      </c>
      <c r="AM318" s="48" t="s">
        <v>153</v>
      </c>
      <c r="AN318" s="49" t="s">
        <v>4877</v>
      </c>
      <c r="AO318" s="50" t="s">
        <v>6881</v>
      </c>
      <c r="AP318" s="51" t="s">
        <v>6882</v>
      </c>
      <c r="AQ318" s="52" t="s">
        <v>6883</v>
      </c>
      <c r="AR318" s="53" t="s">
        <v>6884</v>
      </c>
      <c r="AS318" s="54" t="s">
        <v>6885</v>
      </c>
      <c r="AT318" s="55" t="s">
        <v>6886</v>
      </c>
      <c r="AU318" s="56" t="s">
        <v>6887</v>
      </c>
      <c r="AV318" s="57" t="s">
        <v>153</v>
      </c>
      <c r="AW318" s="58" t="s">
        <v>6888</v>
      </c>
      <c r="AX318" s="59" t="s">
        <v>308</v>
      </c>
      <c r="AY318" s="60" t="s">
        <v>6889</v>
      </c>
      <c r="AZ318" s="61" t="s">
        <v>215</v>
      </c>
      <c r="BA318" s="62" t="s">
        <v>6885</v>
      </c>
      <c r="BB318" s="63" t="s">
        <v>153</v>
      </c>
      <c r="BC318" s="64" t="s">
        <v>6890</v>
      </c>
      <c r="BD318" s="65" t="s">
        <v>216</v>
      </c>
      <c r="BE318" s="66" t="s">
        <v>217</v>
      </c>
      <c r="BF318" s="67" t="s">
        <v>6891</v>
      </c>
      <c r="BG318" s="68" t="s">
        <v>153</v>
      </c>
      <c r="BH318" s="69" t="s">
        <v>153</v>
      </c>
      <c r="BI318" s="70" t="s">
        <v>3394</v>
      </c>
      <c r="BJ318" s="71" t="s">
        <v>6892</v>
      </c>
      <c r="BK318" s="72" t="s">
        <v>153</v>
      </c>
      <c r="BL318" s="73" t="s">
        <v>153</v>
      </c>
      <c r="BM318" s="74" t="s">
        <v>6893</v>
      </c>
      <c r="BN318" s="75" t="s">
        <v>153</v>
      </c>
      <c r="BO318" s="76" t="s">
        <v>6894</v>
      </c>
      <c r="BP318" s="77" t="s">
        <v>6895</v>
      </c>
      <c r="BQ318" s="78">
        <v>41409</v>
      </c>
      <c r="BR318" s="79">
        <v>35</v>
      </c>
      <c r="BS318" s="80" t="s">
        <v>186</v>
      </c>
      <c r="BT318" s="81">
        <v>136.04</v>
      </c>
      <c r="BU318" s="82" t="s">
        <v>186</v>
      </c>
      <c r="BV318" s="83" t="s">
        <v>471</v>
      </c>
      <c r="BW318" s="84" t="s">
        <v>1811</v>
      </c>
      <c r="BX318" s="85" t="s">
        <v>153</v>
      </c>
      <c r="BY318" s="86" t="s">
        <v>472</v>
      </c>
      <c r="BZ318" s="87" t="s">
        <v>153</v>
      </c>
      <c r="CA318" s="88" t="s">
        <v>190</v>
      </c>
      <c r="CB318" s="89">
        <v>43011</v>
      </c>
      <c r="CC318" s="90">
        <v>12000</v>
      </c>
      <c r="CD318" s="91" t="s">
        <v>186</v>
      </c>
      <c r="CE318" s="92">
        <v>12000</v>
      </c>
      <c r="CF318" s="93" t="s">
        <v>186</v>
      </c>
      <c r="CG318" s="94" t="s">
        <v>226</v>
      </c>
      <c r="CH318" s="95" t="s">
        <v>153</v>
      </c>
      <c r="CI318" s="96" t="s">
        <v>153</v>
      </c>
      <c r="CJ318" s="97" t="s">
        <v>225</v>
      </c>
      <c r="CK318" s="98">
        <v>43011</v>
      </c>
      <c r="CL318" s="99" t="s">
        <v>153</v>
      </c>
      <c r="CM318" s="100" t="s">
        <v>153</v>
      </c>
      <c r="CN318" s="101" t="s">
        <v>190</v>
      </c>
      <c r="CO318" s="102" t="s">
        <v>153</v>
      </c>
      <c r="CP318" s="103" t="s">
        <v>153</v>
      </c>
      <c r="CQ318" s="104" t="s">
        <v>153</v>
      </c>
      <c r="CR318" s="105" t="s">
        <v>153</v>
      </c>
      <c r="CS318" s="106" t="s">
        <v>153</v>
      </c>
      <c r="CT318" s="107" t="s">
        <v>153</v>
      </c>
      <c r="CU318" s="108" t="s">
        <v>153</v>
      </c>
      <c r="CV318" s="109" t="s">
        <v>153</v>
      </c>
      <c r="CW318" s="110" t="s">
        <v>153</v>
      </c>
      <c r="CX318" s="111" t="s">
        <v>153</v>
      </c>
      <c r="CY318" s="112" t="s">
        <v>153</v>
      </c>
      <c r="CZ318" s="113" t="s">
        <v>153</v>
      </c>
      <c r="DA318" s="114" t="s">
        <v>153</v>
      </c>
      <c r="DB318" s="115" t="s">
        <v>153</v>
      </c>
      <c r="DC318" s="116" t="s">
        <v>153</v>
      </c>
      <c r="DD318" s="117" t="s">
        <v>153</v>
      </c>
      <c r="DE318" s="118" t="s">
        <v>153</v>
      </c>
      <c r="DF318" s="119" t="s">
        <v>153</v>
      </c>
      <c r="DG318" s="120" t="s">
        <v>153</v>
      </c>
      <c r="DH318" s="121" t="s">
        <v>153</v>
      </c>
      <c r="DI318" s="122" t="s">
        <v>153</v>
      </c>
      <c r="DJ318" s="123" t="s">
        <v>153</v>
      </c>
      <c r="DK318" s="124" t="s">
        <v>153</v>
      </c>
      <c r="DL318" s="125" t="s">
        <v>153</v>
      </c>
      <c r="DM318" s="126" t="s">
        <v>153</v>
      </c>
      <c r="DN318" s="127" t="s">
        <v>153</v>
      </c>
      <c r="DO318" s="128" t="s">
        <v>153</v>
      </c>
      <c r="DP318" s="129" t="s">
        <v>153</v>
      </c>
      <c r="DQ318" s="130" t="s">
        <v>153</v>
      </c>
      <c r="DR318" s="131" t="s">
        <v>153</v>
      </c>
      <c r="DS318" s="132" t="s">
        <v>153</v>
      </c>
      <c r="DT318" s="133" t="s">
        <v>153</v>
      </c>
      <c r="DU318" s="134" t="s">
        <v>153</v>
      </c>
      <c r="DV318" s="135" t="s">
        <v>153</v>
      </c>
      <c r="DW318" s="136" t="s">
        <v>153</v>
      </c>
      <c r="DX318" s="137" t="s">
        <v>153</v>
      </c>
      <c r="DY318" s="138" t="s">
        <v>153</v>
      </c>
      <c r="DZ318" s="139" t="s">
        <v>191</v>
      </c>
      <c r="EA318" s="140">
        <v>44251</v>
      </c>
      <c r="EB318" s="141">
        <v>12000</v>
      </c>
      <c r="EC318" s="142">
        <v>43011</v>
      </c>
      <c r="ED318" s="143" t="s">
        <v>226</v>
      </c>
      <c r="EE318" s="278" t="str">
        <f>HYPERLINK("https://my.pitchbook.com?c=51664-42", "View company online")</f>
        <v>View company online</v>
      </c>
    </row>
    <row r="319" spans="1:135" x14ac:dyDescent="0.45">
      <c r="A319" s="144" t="s">
        <v>6896</v>
      </c>
      <c r="B319" s="145" t="s">
        <v>6897</v>
      </c>
      <c r="C319" s="146" t="s">
        <v>153</v>
      </c>
      <c r="D319" s="147" t="s">
        <v>153</v>
      </c>
      <c r="E319" s="148" t="s">
        <v>153</v>
      </c>
      <c r="F319" s="149" t="s">
        <v>153</v>
      </c>
      <c r="G319" s="150" t="s">
        <v>6898</v>
      </c>
      <c r="H319" s="151" t="s">
        <v>6899</v>
      </c>
      <c r="I319" s="152" t="s">
        <v>6896</v>
      </c>
      <c r="J319" s="153" t="s">
        <v>6900</v>
      </c>
      <c r="K319" s="154" t="s">
        <v>157</v>
      </c>
      <c r="L319" s="155" t="s">
        <v>817</v>
      </c>
      <c r="M319" s="156" t="s">
        <v>1499</v>
      </c>
      <c r="N319" s="157" t="s">
        <v>6901</v>
      </c>
      <c r="O319" s="158" t="s">
        <v>261</v>
      </c>
      <c r="P319" s="159" t="s">
        <v>6902</v>
      </c>
      <c r="Q319" s="160" t="s">
        <v>204</v>
      </c>
      <c r="R319" s="161" t="s">
        <v>153</v>
      </c>
      <c r="S319" s="162" t="s">
        <v>290</v>
      </c>
      <c r="T319" s="163" t="s">
        <v>164</v>
      </c>
      <c r="U319" s="164" t="s">
        <v>206</v>
      </c>
      <c r="V319" s="165" t="s">
        <v>6903</v>
      </c>
      <c r="W319" s="166">
        <v>6405</v>
      </c>
      <c r="X319" s="167" t="s">
        <v>6904</v>
      </c>
      <c r="Y319" s="168" t="s">
        <v>153</v>
      </c>
      <c r="Z319" s="169" t="s">
        <v>153</v>
      </c>
      <c r="AA319" s="170">
        <v>2008</v>
      </c>
      <c r="AB319" s="171" t="s">
        <v>6905</v>
      </c>
      <c r="AC319" s="172" t="s">
        <v>153</v>
      </c>
      <c r="AD319" s="173" t="s">
        <v>153</v>
      </c>
      <c r="AE319" s="174" t="s">
        <v>153</v>
      </c>
      <c r="AF319" s="175" t="s">
        <v>153</v>
      </c>
      <c r="AG319" s="176" t="s">
        <v>153</v>
      </c>
      <c r="AH319" s="177" t="s">
        <v>153</v>
      </c>
      <c r="AI319" s="178" t="s">
        <v>153</v>
      </c>
      <c r="AJ319" s="179" t="s">
        <v>153</v>
      </c>
      <c r="AK319" s="180" t="s">
        <v>153</v>
      </c>
      <c r="AL319" s="181" t="s">
        <v>153</v>
      </c>
      <c r="AM319" s="182" t="s">
        <v>153</v>
      </c>
      <c r="AN319" s="183" t="s">
        <v>2112</v>
      </c>
      <c r="AO319" s="184" t="s">
        <v>6906</v>
      </c>
      <c r="AP319" s="185" t="s">
        <v>6907</v>
      </c>
      <c r="AQ319" s="186" t="s">
        <v>512</v>
      </c>
      <c r="AR319" s="187" t="s">
        <v>6908</v>
      </c>
      <c r="AS319" s="188" t="s">
        <v>6909</v>
      </c>
      <c r="AT319" s="189" t="s">
        <v>780</v>
      </c>
      <c r="AU319" s="190" t="s">
        <v>6910</v>
      </c>
      <c r="AV319" s="191" t="s">
        <v>153</v>
      </c>
      <c r="AW319" s="192" t="s">
        <v>782</v>
      </c>
      <c r="AX319" s="193" t="s">
        <v>783</v>
      </c>
      <c r="AY319" s="194" t="s">
        <v>2876</v>
      </c>
      <c r="AZ319" s="195" t="s">
        <v>215</v>
      </c>
      <c r="BA319" s="196" t="s">
        <v>6909</v>
      </c>
      <c r="BB319" s="197" t="s">
        <v>153</v>
      </c>
      <c r="BC319" s="198" t="s">
        <v>153</v>
      </c>
      <c r="BD319" s="199" t="s">
        <v>216</v>
      </c>
      <c r="BE319" s="200" t="s">
        <v>217</v>
      </c>
      <c r="BF319" s="201" t="s">
        <v>6911</v>
      </c>
      <c r="BG319" s="202" t="s">
        <v>153</v>
      </c>
      <c r="BH319" s="203" t="s">
        <v>153</v>
      </c>
      <c r="BI319" s="204" t="s">
        <v>6905</v>
      </c>
      <c r="BJ319" s="205" t="s">
        <v>6372</v>
      </c>
      <c r="BK319" s="206" t="s">
        <v>153</v>
      </c>
      <c r="BL319" s="207" t="s">
        <v>153</v>
      </c>
      <c r="BM319" s="208" t="s">
        <v>6912</v>
      </c>
      <c r="BN319" s="209" t="s">
        <v>153</v>
      </c>
      <c r="BO319" s="210" t="s">
        <v>6913</v>
      </c>
      <c r="BP319" s="211" t="s">
        <v>6914</v>
      </c>
      <c r="BQ319" s="212">
        <v>39629</v>
      </c>
      <c r="BR319" s="213" t="s">
        <v>153</v>
      </c>
      <c r="BS319" s="214" t="s">
        <v>153</v>
      </c>
      <c r="BT319" s="215" t="s">
        <v>153</v>
      </c>
      <c r="BU319" s="216" t="s">
        <v>153</v>
      </c>
      <c r="BV319" s="217" t="s">
        <v>224</v>
      </c>
      <c r="BW319" s="218" t="s">
        <v>153</v>
      </c>
      <c r="BX319" s="219" t="s">
        <v>153</v>
      </c>
      <c r="BY319" s="220" t="s">
        <v>321</v>
      </c>
      <c r="BZ319" s="221" t="s">
        <v>153</v>
      </c>
      <c r="CA319" s="222" t="s">
        <v>190</v>
      </c>
      <c r="CB319" s="223">
        <v>42654</v>
      </c>
      <c r="CC319" s="224">
        <v>12000</v>
      </c>
      <c r="CD319" s="225" t="s">
        <v>186</v>
      </c>
      <c r="CE319" s="226">
        <v>20689.650000000001</v>
      </c>
      <c r="CF319" s="227" t="s">
        <v>187</v>
      </c>
      <c r="CG319" s="228" t="s">
        <v>226</v>
      </c>
      <c r="CH319" s="229" t="s">
        <v>729</v>
      </c>
      <c r="CI319" s="230" t="s">
        <v>153</v>
      </c>
      <c r="CJ319" s="231" t="s">
        <v>225</v>
      </c>
      <c r="CK319" s="232">
        <v>42654</v>
      </c>
      <c r="CL319" s="233" t="s">
        <v>153</v>
      </c>
      <c r="CM319" s="234" t="s">
        <v>321</v>
      </c>
      <c r="CN319" s="235" t="s">
        <v>190</v>
      </c>
      <c r="CO319" s="236">
        <v>-0.14000000000000001</v>
      </c>
      <c r="CP319" s="237">
        <v>7</v>
      </c>
      <c r="CQ319" s="238">
        <v>-0.1</v>
      </c>
      <c r="CR319" s="239">
        <v>-268.85000000000002</v>
      </c>
      <c r="CS319" s="240">
        <v>-0.19</v>
      </c>
      <c r="CT319" s="241">
        <v>7</v>
      </c>
      <c r="CU319" s="242">
        <v>-0.09</v>
      </c>
      <c r="CV319" s="243">
        <v>21</v>
      </c>
      <c r="CW319" s="244" t="s">
        <v>153</v>
      </c>
      <c r="CX319" s="245" t="s">
        <v>153</v>
      </c>
      <c r="CY319" s="246">
        <v>-0.19</v>
      </c>
      <c r="CZ319" s="247">
        <v>4</v>
      </c>
      <c r="DA319" s="248">
        <v>-0.09</v>
      </c>
      <c r="DB319" s="249">
        <v>21</v>
      </c>
      <c r="DC319" s="250">
        <v>119.36</v>
      </c>
      <c r="DD319" s="251">
        <v>100</v>
      </c>
      <c r="DE319" s="252">
        <v>-1.31</v>
      </c>
      <c r="DF319" s="253">
        <v>-1.08</v>
      </c>
      <c r="DG319" s="254">
        <v>186</v>
      </c>
      <c r="DH319" s="255">
        <v>100</v>
      </c>
      <c r="DI319" s="256">
        <v>52.73</v>
      </c>
      <c r="DJ319" s="257">
        <v>96</v>
      </c>
      <c r="DK319" s="258" t="s">
        <v>153</v>
      </c>
      <c r="DL319" s="259" t="s">
        <v>153</v>
      </c>
      <c r="DM319" s="260">
        <v>186</v>
      </c>
      <c r="DN319" s="261">
        <v>100</v>
      </c>
      <c r="DO319" s="262">
        <v>52.73</v>
      </c>
      <c r="DP319" s="263">
        <v>96</v>
      </c>
      <c r="DQ319" s="264" t="s">
        <v>153</v>
      </c>
      <c r="DR319" s="265" t="s">
        <v>153</v>
      </c>
      <c r="DS319" s="266" t="s">
        <v>153</v>
      </c>
      <c r="DT319" s="267">
        <v>2995</v>
      </c>
      <c r="DU319" s="268">
        <v>-51</v>
      </c>
      <c r="DV319" s="269">
        <v>-1.67</v>
      </c>
      <c r="DW319" s="270">
        <v>16557</v>
      </c>
      <c r="DX319" s="271">
        <v>-2</v>
      </c>
      <c r="DY319" s="272">
        <v>-0.01</v>
      </c>
      <c r="DZ319" s="273" t="s">
        <v>191</v>
      </c>
      <c r="EA319" s="274">
        <v>44300</v>
      </c>
      <c r="EB319" s="275">
        <v>20689.650000000001</v>
      </c>
      <c r="EC319" s="276">
        <v>42654</v>
      </c>
      <c r="ED319" s="277" t="s">
        <v>226</v>
      </c>
      <c r="EE319" s="279" t="str">
        <f>HYPERLINK("https://my.pitchbook.com?c=52534-99", "View company online")</f>
        <v>View company online</v>
      </c>
    </row>
    <row r="320" spans="1:135" x14ac:dyDescent="0.45">
      <c r="A320" s="10" t="s">
        <v>6915</v>
      </c>
      <c r="B320" s="11" t="s">
        <v>6916</v>
      </c>
      <c r="C320" s="12" t="s">
        <v>153</v>
      </c>
      <c r="D320" s="13" t="s">
        <v>153</v>
      </c>
      <c r="E320" s="14" t="s">
        <v>6917</v>
      </c>
      <c r="F320" s="15" t="s">
        <v>6918</v>
      </c>
      <c r="G320" s="16" t="s">
        <v>6919</v>
      </c>
      <c r="H320" s="17" t="s">
        <v>6920</v>
      </c>
      <c r="I320" s="18" t="s">
        <v>6915</v>
      </c>
      <c r="J320" s="19" t="s">
        <v>6921</v>
      </c>
      <c r="K320" s="20" t="s">
        <v>257</v>
      </c>
      <c r="L320" s="21" t="s">
        <v>258</v>
      </c>
      <c r="M320" s="22" t="s">
        <v>259</v>
      </c>
      <c r="N320" s="23" t="s">
        <v>260</v>
      </c>
      <c r="O320" s="24" t="s">
        <v>261</v>
      </c>
      <c r="P320" s="25" t="s">
        <v>6922</v>
      </c>
      <c r="Q320" s="26" t="s">
        <v>204</v>
      </c>
      <c r="R320" s="27">
        <v>1601.99</v>
      </c>
      <c r="S320" s="28" t="s">
        <v>290</v>
      </c>
      <c r="T320" s="29" t="s">
        <v>205</v>
      </c>
      <c r="U320" s="30" t="s">
        <v>2534</v>
      </c>
      <c r="V320" s="31" t="s">
        <v>6923</v>
      </c>
      <c r="W320" s="32">
        <v>15000</v>
      </c>
      <c r="X320" s="33" t="s">
        <v>6924</v>
      </c>
      <c r="Y320" s="34" t="s">
        <v>153</v>
      </c>
      <c r="Z320" s="35" t="s">
        <v>153</v>
      </c>
      <c r="AA320" s="36">
        <v>1961</v>
      </c>
      <c r="AB320" s="37" t="s">
        <v>153</v>
      </c>
      <c r="AC320" s="38" t="s">
        <v>570</v>
      </c>
      <c r="AD320" s="39" t="s">
        <v>622</v>
      </c>
      <c r="AE320" s="40" t="s">
        <v>153</v>
      </c>
      <c r="AF320" s="41" t="s">
        <v>153</v>
      </c>
      <c r="AG320" s="42" t="s">
        <v>153</v>
      </c>
      <c r="AH320" s="43" t="s">
        <v>153</v>
      </c>
      <c r="AI320" s="44" t="s">
        <v>153</v>
      </c>
      <c r="AJ320" s="45" t="s">
        <v>153</v>
      </c>
      <c r="AK320" s="46" t="s">
        <v>153</v>
      </c>
      <c r="AL320" s="47" t="s">
        <v>153</v>
      </c>
      <c r="AM320" s="48" t="s">
        <v>153</v>
      </c>
      <c r="AN320" s="49" t="s">
        <v>456</v>
      </c>
      <c r="AO320" s="50" t="s">
        <v>6925</v>
      </c>
      <c r="AP320" s="51" t="s">
        <v>6926</v>
      </c>
      <c r="AQ320" s="52" t="s">
        <v>379</v>
      </c>
      <c r="AR320" s="53" t="s">
        <v>6927</v>
      </c>
      <c r="AS320" s="54" t="s">
        <v>153</v>
      </c>
      <c r="AT320" s="55" t="s">
        <v>6928</v>
      </c>
      <c r="AU320" s="56" t="s">
        <v>6929</v>
      </c>
      <c r="AV320" s="57" t="s">
        <v>6930</v>
      </c>
      <c r="AW320" s="58" t="s">
        <v>6931</v>
      </c>
      <c r="AX320" s="59" t="s">
        <v>177</v>
      </c>
      <c r="AY320" s="60" t="s">
        <v>6932</v>
      </c>
      <c r="AZ320" s="61" t="s">
        <v>179</v>
      </c>
      <c r="BA320" s="62" t="s">
        <v>153</v>
      </c>
      <c r="BB320" s="63" t="s">
        <v>153</v>
      </c>
      <c r="BC320" s="64" t="s">
        <v>153</v>
      </c>
      <c r="BD320" s="65" t="s">
        <v>180</v>
      </c>
      <c r="BE320" s="66" t="s">
        <v>181</v>
      </c>
      <c r="BF320" s="67" t="s">
        <v>6933</v>
      </c>
      <c r="BG320" s="68" t="s">
        <v>153</v>
      </c>
      <c r="BH320" s="69" t="s">
        <v>153</v>
      </c>
      <c r="BI320" s="70" t="s">
        <v>265</v>
      </c>
      <c r="BJ320" s="71" t="s">
        <v>6934</v>
      </c>
      <c r="BK320" s="72" t="s">
        <v>153</v>
      </c>
      <c r="BL320" s="73" t="s">
        <v>153</v>
      </c>
      <c r="BM320" s="74" t="s">
        <v>6935</v>
      </c>
      <c r="BN320" s="75" t="s">
        <v>153</v>
      </c>
      <c r="BO320" s="76" t="s">
        <v>6936</v>
      </c>
      <c r="BP320" s="77" t="s">
        <v>6937</v>
      </c>
      <c r="BQ320" s="78">
        <v>26718</v>
      </c>
      <c r="BR320" s="79" t="s">
        <v>153</v>
      </c>
      <c r="BS320" s="80" t="s">
        <v>153</v>
      </c>
      <c r="BT320" s="81" t="s">
        <v>153</v>
      </c>
      <c r="BU320" s="82" t="s">
        <v>153</v>
      </c>
      <c r="BV320" s="83" t="s">
        <v>251</v>
      </c>
      <c r="BW320" s="84" t="s">
        <v>153</v>
      </c>
      <c r="BX320" s="85" t="s">
        <v>153</v>
      </c>
      <c r="BY320" s="86" t="s">
        <v>252</v>
      </c>
      <c r="BZ320" s="87" t="s">
        <v>153</v>
      </c>
      <c r="CA320" s="88" t="s">
        <v>190</v>
      </c>
      <c r="CB320" s="89">
        <v>44151</v>
      </c>
      <c r="CC320" s="90">
        <v>12000</v>
      </c>
      <c r="CD320" s="91" t="s">
        <v>186</v>
      </c>
      <c r="CE320" s="92">
        <v>12000</v>
      </c>
      <c r="CF320" s="93" t="s">
        <v>187</v>
      </c>
      <c r="CG320" s="94" t="s">
        <v>226</v>
      </c>
      <c r="CH320" s="95" t="s">
        <v>153</v>
      </c>
      <c r="CI320" s="96" t="s">
        <v>153</v>
      </c>
      <c r="CJ320" s="97" t="s">
        <v>225</v>
      </c>
      <c r="CK320" s="98">
        <v>44151</v>
      </c>
      <c r="CL320" s="99" t="s">
        <v>153</v>
      </c>
      <c r="CM320" s="100" t="s">
        <v>153</v>
      </c>
      <c r="CN320" s="101" t="s">
        <v>190</v>
      </c>
      <c r="CO320" s="102" t="s">
        <v>153</v>
      </c>
      <c r="CP320" s="103" t="s">
        <v>153</v>
      </c>
      <c r="CQ320" s="104" t="s">
        <v>153</v>
      </c>
      <c r="CR320" s="105" t="s">
        <v>153</v>
      </c>
      <c r="CS320" s="106" t="s">
        <v>153</v>
      </c>
      <c r="CT320" s="107" t="s">
        <v>153</v>
      </c>
      <c r="CU320" s="108" t="s">
        <v>153</v>
      </c>
      <c r="CV320" s="109" t="s">
        <v>153</v>
      </c>
      <c r="CW320" s="110" t="s">
        <v>153</v>
      </c>
      <c r="CX320" s="111" t="s">
        <v>153</v>
      </c>
      <c r="CY320" s="112" t="s">
        <v>153</v>
      </c>
      <c r="CZ320" s="113" t="s">
        <v>153</v>
      </c>
      <c r="DA320" s="114" t="s">
        <v>153</v>
      </c>
      <c r="DB320" s="115" t="s">
        <v>153</v>
      </c>
      <c r="DC320" s="116" t="s">
        <v>153</v>
      </c>
      <c r="DD320" s="117" t="s">
        <v>153</v>
      </c>
      <c r="DE320" s="118" t="s">
        <v>153</v>
      </c>
      <c r="DF320" s="119" t="s">
        <v>153</v>
      </c>
      <c r="DG320" s="120" t="s">
        <v>153</v>
      </c>
      <c r="DH320" s="121" t="s">
        <v>153</v>
      </c>
      <c r="DI320" s="122" t="s">
        <v>153</v>
      </c>
      <c r="DJ320" s="123" t="s">
        <v>153</v>
      </c>
      <c r="DK320" s="124" t="s">
        <v>153</v>
      </c>
      <c r="DL320" s="125" t="s">
        <v>153</v>
      </c>
      <c r="DM320" s="126" t="s">
        <v>153</v>
      </c>
      <c r="DN320" s="127" t="s">
        <v>153</v>
      </c>
      <c r="DO320" s="128" t="s">
        <v>153</v>
      </c>
      <c r="DP320" s="129" t="s">
        <v>153</v>
      </c>
      <c r="DQ320" s="130" t="s">
        <v>153</v>
      </c>
      <c r="DR320" s="131" t="s">
        <v>153</v>
      </c>
      <c r="DS320" s="132" t="s">
        <v>153</v>
      </c>
      <c r="DT320" s="133" t="s">
        <v>153</v>
      </c>
      <c r="DU320" s="134" t="s">
        <v>153</v>
      </c>
      <c r="DV320" s="135" t="s">
        <v>153</v>
      </c>
      <c r="DW320" s="136" t="s">
        <v>153</v>
      </c>
      <c r="DX320" s="137" t="s">
        <v>153</v>
      </c>
      <c r="DY320" s="138" t="s">
        <v>153</v>
      </c>
      <c r="DZ320" s="139" t="s">
        <v>191</v>
      </c>
      <c r="EA320" s="140">
        <v>44377</v>
      </c>
      <c r="EB320" s="141">
        <v>12000</v>
      </c>
      <c r="EC320" s="142">
        <v>44151</v>
      </c>
      <c r="ED320" s="143" t="s">
        <v>226</v>
      </c>
      <c r="EE320" s="278" t="str">
        <f>HYPERLINK("https://my.pitchbook.com?c=41218-48", "View company online")</f>
        <v>View company online</v>
      </c>
    </row>
    <row r="321" spans="1:135" x14ac:dyDescent="0.45">
      <c r="A321" s="144" t="s">
        <v>6938</v>
      </c>
      <c r="B321" s="145" t="s">
        <v>6939</v>
      </c>
      <c r="C321" s="146" t="s">
        <v>153</v>
      </c>
      <c r="D321" s="147" t="s">
        <v>153</v>
      </c>
      <c r="E321" s="148" t="s">
        <v>153</v>
      </c>
      <c r="F321" s="149" t="s">
        <v>153</v>
      </c>
      <c r="G321" s="150" t="s">
        <v>6940</v>
      </c>
      <c r="H321" s="151" t="s">
        <v>153</v>
      </c>
      <c r="I321" s="152" t="s">
        <v>6938</v>
      </c>
      <c r="J321" s="153" t="s">
        <v>6941</v>
      </c>
      <c r="K321" s="154" t="s">
        <v>882</v>
      </c>
      <c r="L321" s="155" t="s">
        <v>883</v>
      </c>
      <c r="M321" s="156" t="s">
        <v>2243</v>
      </c>
      <c r="N321" s="157" t="s">
        <v>6942</v>
      </c>
      <c r="O321" s="158" t="s">
        <v>1234</v>
      </c>
      <c r="P321" s="159" t="s">
        <v>6943</v>
      </c>
      <c r="Q321" s="160" t="s">
        <v>204</v>
      </c>
      <c r="R321" s="161" t="s">
        <v>153</v>
      </c>
      <c r="S321" s="162" t="s">
        <v>290</v>
      </c>
      <c r="T321" s="163" t="s">
        <v>205</v>
      </c>
      <c r="U321" s="164" t="s">
        <v>369</v>
      </c>
      <c r="V321" s="165" t="s">
        <v>6944</v>
      </c>
      <c r="W321" s="166">
        <v>600</v>
      </c>
      <c r="X321" s="167" t="s">
        <v>6945</v>
      </c>
      <c r="Y321" s="168" t="s">
        <v>153</v>
      </c>
      <c r="Z321" s="169" t="s">
        <v>153</v>
      </c>
      <c r="AA321" s="170">
        <v>1971</v>
      </c>
      <c r="AB321" s="171" t="s">
        <v>153</v>
      </c>
      <c r="AC321" s="172" t="s">
        <v>153</v>
      </c>
      <c r="AD321" s="173" t="s">
        <v>153</v>
      </c>
      <c r="AE321" s="174" t="s">
        <v>153</v>
      </c>
      <c r="AF321" s="175" t="s">
        <v>153</v>
      </c>
      <c r="AG321" s="176" t="s">
        <v>153</v>
      </c>
      <c r="AH321" s="177" t="s">
        <v>153</v>
      </c>
      <c r="AI321" s="178" t="s">
        <v>153</v>
      </c>
      <c r="AJ321" s="179" t="s">
        <v>153</v>
      </c>
      <c r="AK321" s="180" t="s">
        <v>153</v>
      </c>
      <c r="AL321" s="181" t="s">
        <v>153</v>
      </c>
      <c r="AM321" s="182" t="s">
        <v>153</v>
      </c>
      <c r="AN321" s="183" t="s">
        <v>1570</v>
      </c>
      <c r="AO321" s="184" t="s">
        <v>6946</v>
      </c>
      <c r="AP321" s="185" t="s">
        <v>6947</v>
      </c>
      <c r="AQ321" s="186" t="s">
        <v>3683</v>
      </c>
      <c r="AR321" s="187" t="s">
        <v>6948</v>
      </c>
      <c r="AS321" s="188" t="s">
        <v>153</v>
      </c>
      <c r="AT321" s="189" t="s">
        <v>404</v>
      </c>
      <c r="AU321" s="190" t="s">
        <v>6949</v>
      </c>
      <c r="AV321" s="191" t="s">
        <v>6950</v>
      </c>
      <c r="AW321" s="192" t="s">
        <v>407</v>
      </c>
      <c r="AX321" s="193" t="s">
        <v>408</v>
      </c>
      <c r="AY321" s="194" t="s">
        <v>6951</v>
      </c>
      <c r="AZ321" s="195" t="s">
        <v>215</v>
      </c>
      <c r="BA321" s="196" t="s">
        <v>153</v>
      </c>
      <c r="BB321" s="197" t="s">
        <v>153</v>
      </c>
      <c r="BC321" s="198" t="s">
        <v>153</v>
      </c>
      <c r="BD321" s="199" t="s">
        <v>216</v>
      </c>
      <c r="BE321" s="200" t="s">
        <v>217</v>
      </c>
      <c r="BF321" s="201" t="s">
        <v>6952</v>
      </c>
      <c r="BG321" s="202" t="s">
        <v>153</v>
      </c>
      <c r="BH321" s="203" t="s">
        <v>153</v>
      </c>
      <c r="BI321" s="204" t="s">
        <v>6953</v>
      </c>
      <c r="BJ321" s="205" t="s">
        <v>153</v>
      </c>
      <c r="BK321" s="206" t="s">
        <v>6954</v>
      </c>
      <c r="BL321" s="207" t="s">
        <v>153</v>
      </c>
      <c r="BM321" s="208" t="s">
        <v>153</v>
      </c>
      <c r="BN321" s="209" t="s">
        <v>6955</v>
      </c>
      <c r="BO321" s="210" t="s">
        <v>6956</v>
      </c>
      <c r="BP321" s="211" t="s">
        <v>6957</v>
      </c>
      <c r="BQ321" s="212">
        <v>34166</v>
      </c>
      <c r="BR321" s="213" t="s">
        <v>153</v>
      </c>
      <c r="BS321" s="214" t="s">
        <v>153</v>
      </c>
      <c r="BT321" s="215" t="s">
        <v>153</v>
      </c>
      <c r="BU321" s="216" t="s">
        <v>153</v>
      </c>
      <c r="BV321" s="217" t="s">
        <v>251</v>
      </c>
      <c r="BW321" s="218" t="s">
        <v>153</v>
      </c>
      <c r="BX321" s="219" t="s">
        <v>153</v>
      </c>
      <c r="BY321" s="220" t="s">
        <v>252</v>
      </c>
      <c r="BZ321" s="221" t="s">
        <v>153</v>
      </c>
      <c r="CA321" s="222" t="s">
        <v>190</v>
      </c>
      <c r="CB321" s="223">
        <v>42705</v>
      </c>
      <c r="CC321" s="224">
        <v>12000</v>
      </c>
      <c r="CD321" s="225" t="s">
        <v>186</v>
      </c>
      <c r="CE321" s="226">
        <v>12000</v>
      </c>
      <c r="CF321" s="227" t="s">
        <v>186</v>
      </c>
      <c r="CG321" s="228" t="s">
        <v>226</v>
      </c>
      <c r="CH321" s="229" t="s">
        <v>153</v>
      </c>
      <c r="CI321" s="230" t="s">
        <v>153</v>
      </c>
      <c r="CJ321" s="231" t="s">
        <v>225</v>
      </c>
      <c r="CK321" s="232">
        <v>42705</v>
      </c>
      <c r="CL321" s="233" t="s">
        <v>153</v>
      </c>
      <c r="CM321" s="234" t="s">
        <v>153</v>
      </c>
      <c r="CN321" s="235" t="s">
        <v>190</v>
      </c>
      <c r="CO321" s="236" t="s">
        <v>153</v>
      </c>
      <c r="CP321" s="237" t="s">
        <v>153</v>
      </c>
      <c r="CQ321" s="238" t="s">
        <v>153</v>
      </c>
      <c r="CR321" s="239" t="s">
        <v>153</v>
      </c>
      <c r="CS321" s="240" t="s">
        <v>153</v>
      </c>
      <c r="CT321" s="241" t="s">
        <v>153</v>
      </c>
      <c r="CU321" s="242" t="s">
        <v>153</v>
      </c>
      <c r="CV321" s="243" t="s">
        <v>153</v>
      </c>
      <c r="CW321" s="244" t="s">
        <v>153</v>
      </c>
      <c r="CX321" s="245" t="s">
        <v>153</v>
      </c>
      <c r="CY321" s="246" t="s">
        <v>153</v>
      </c>
      <c r="CZ321" s="247" t="s">
        <v>153</v>
      </c>
      <c r="DA321" s="248" t="s">
        <v>153</v>
      </c>
      <c r="DB321" s="249" t="s">
        <v>153</v>
      </c>
      <c r="DC321" s="250" t="s">
        <v>153</v>
      </c>
      <c r="DD321" s="251" t="s">
        <v>153</v>
      </c>
      <c r="DE321" s="252" t="s">
        <v>153</v>
      </c>
      <c r="DF321" s="253" t="s">
        <v>153</v>
      </c>
      <c r="DG321" s="254" t="s">
        <v>153</v>
      </c>
      <c r="DH321" s="255" t="s">
        <v>153</v>
      </c>
      <c r="DI321" s="256" t="s">
        <v>153</v>
      </c>
      <c r="DJ321" s="257" t="s">
        <v>153</v>
      </c>
      <c r="DK321" s="258" t="s">
        <v>153</v>
      </c>
      <c r="DL321" s="259" t="s">
        <v>153</v>
      </c>
      <c r="DM321" s="260" t="s">
        <v>153</v>
      </c>
      <c r="DN321" s="261" t="s">
        <v>153</v>
      </c>
      <c r="DO321" s="262" t="s">
        <v>153</v>
      </c>
      <c r="DP321" s="263" t="s">
        <v>153</v>
      </c>
      <c r="DQ321" s="264" t="s">
        <v>153</v>
      </c>
      <c r="DR321" s="265" t="s">
        <v>153</v>
      </c>
      <c r="DS321" s="266" t="s">
        <v>153</v>
      </c>
      <c r="DT321" s="267" t="s">
        <v>153</v>
      </c>
      <c r="DU321" s="268" t="s">
        <v>153</v>
      </c>
      <c r="DV321" s="269" t="s">
        <v>153</v>
      </c>
      <c r="DW321" s="270" t="s">
        <v>153</v>
      </c>
      <c r="DX321" s="271" t="s">
        <v>153</v>
      </c>
      <c r="DY321" s="272" t="s">
        <v>153</v>
      </c>
      <c r="DZ321" s="273" t="s">
        <v>191</v>
      </c>
      <c r="EA321" s="274">
        <v>44217</v>
      </c>
      <c r="EB321" s="275">
        <v>12000</v>
      </c>
      <c r="EC321" s="276">
        <v>42705</v>
      </c>
      <c r="ED321" s="277" t="s">
        <v>226</v>
      </c>
      <c r="EE321" s="279" t="str">
        <f>HYPERLINK("https://my.pitchbook.com?c=11818-54", "View company online")</f>
        <v>View company online</v>
      </c>
    </row>
    <row r="322" spans="1:135" x14ac:dyDescent="0.45">
      <c r="A322" s="10" t="s">
        <v>6958</v>
      </c>
      <c r="B322" s="11" t="s">
        <v>6959</v>
      </c>
      <c r="C322" s="12" t="s">
        <v>153</v>
      </c>
      <c r="D322" s="13" t="s">
        <v>153</v>
      </c>
      <c r="E322" s="14" t="s">
        <v>6960</v>
      </c>
      <c r="F322" s="15" t="s">
        <v>6961</v>
      </c>
      <c r="G322" s="16" t="s">
        <v>6962</v>
      </c>
      <c r="H322" s="17" t="s">
        <v>6963</v>
      </c>
      <c r="I322" s="18" t="s">
        <v>6958</v>
      </c>
      <c r="J322" s="19" t="s">
        <v>6964</v>
      </c>
      <c r="K322" s="20" t="s">
        <v>882</v>
      </c>
      <c r="L322" s="21" t="s">
        <v>1257</v>
      </c>
      <c r="M322" s="22" t="s">
        <v>4242</v>
      </c>
      <c r="N322" s="23" t="s">
        <v>6965</v>
      </c>
      <c r="O322" s="24" t="s">
        <v>755</v>
      </c>
      <c r="P322" s="25" t="s">
        <v>6966</v>
      </c>
      <c r="Q322" s="26" t="s">
        <v>564</v>
      </c>
      <c r="R322" s="27">
        <v>307.58</v>
      </c>
      <c r="S322" s="28" t="s">
        <v>290</v>
      </c>
      <c r="T322" s="29" t="s">
        <v>205</v>
      </c>
      <c r="U322" s="30" t="s">
        <v>1791</v>
      </c>
      <c r="V322" s="31" t="s">
        <v>6967</v>
      </c>
      <c r="W322" s="32">
        <v>16400</v>
      </c>
      <c r="X322" s="33" t="s">
        <v>6968</v>
      </c>
      <c r="Y322" s="34" t="s">
        <v>153</v>
      </c>
      <c r="Z322" s="35" t="s">
        <v>153</v>
      </c>
      <c r="AA322" s="36">
        <v>1976</v>
      </c>
      <c r="AB322" s="37" t="s">
        <v>153</v>
      </c>
      <c r="AC322" s="38" t="s">
        <v>428</v>
      </c>
      <c r="AD322" s="39" t="s">
        <v>1264</v>
      </c>
      <c r="AE322" s="40">
        <v>3333.43</v>
      </c>
      <c r="AF322" s="41">
        <v>904.01</v>
      </c>
      <c r="AG322" s="42">
        <v>213.32</v>
      </c>
      <c r="AH322" s="43">
        <v>10863.81</v>
      </c>
      <c r="AI322" s="44">
        <v>444.89</v>
      </c>
      <c r="AJ322" s="45">
        <v>312.97000000000003</v>
      </c>
      <c r="AK322" s="46" t="s">
        <v>153</v>
      </c>
      <c r="AL322" s="47">
        <v>768.03</v>
      </c>
      <c r="AM322" s="48">
        <v>6.57</v>
      </c>
      <c r="AN322" s="49" t="s">
        <v>376</v>
      </c>
      <c r="AO322" s="50" t="s">
        <v>6969</v>
      </c>
      <c r="AP322" s="51" t="s">
        <v>6970</v>
      </c>
      <c r="AQ322" s="52" t="s">
        <v>994</v>
      </c>
      <c r="AR322" s="53" t="s">
        <v>153</v>
      </c>
      <c r="AS322" s="54" t="s">
        <v>153</v>
      </c>
      <c r="AT322" s="55" t="s">
        <v>1859</v>
      </c>
      <c r="AU322" s="56" t="s">
        <v>6971</v>
      </c>
      <c r="AV322" s="57" t="s">
        <v>1577</v>
      </c>
      <c r="AW322" s="58" t="s">
        <v>1861</v>
      </c>
      <c r="AX322" s="59" t="s">
        <v>1862</v>
      </c>
      <c r="AY322" s="60" t="s">
        <v>6972</v>
      </c>
      <c r="AZ322" s="61" t="s">
        <v>215</v>
      </c>
      <c r="BA322" s="62" t="s">
        <v>153</v>
      </c>
      <c r="BB322" s="63" t="s">
        <v>153</v>
      </c>
      <c r="BC322" s="64" t="s">
        <v>153</v>
      </c>
      <c r="BD322" s="65" t="s">
        <v>216</v>
      </c>
      <c r="BE322" s="66" t="s">
        <v>217</v>
      </c>
      <c r="BF322" s="67" t="s">
        <v>6973</v>
      </c>
      <c r="BG322" s="68" t="s">
        <v>153</v>
      </c>
      <c r="BH322" s="69" t="s">
        <v>153</v>
      </c>
      <c r="BI322" s="70" t="s">
        <v>6974</v>
      </c>
      <c r="BJ322" s="71" t="s">
        <v>6975</v>
      </c>
      <c r="BK322" s="72" t="s">
        <v>153</v>
      </c>
      <c r="BL322" s="73" t="s">
        <v>153</v>
      </c>
      <c r="BM322" s="74" t="s">
        <v>6976</v>
      </c>
      <c r="BN322" s="75" t="s">
        <v>153</v>
      </c>
      <c r="BO322" s="76" t="s">
        <v>6977</v>
      </c>
      <c r="BP322" s="77" t="s">
        <v>6978</v>
      </c>
      <c r="BQ322" s="78">
        <v>35065</v>
      </c>
      <c r="BR322" s="79" t="s">
        <v>153</v>
      </c>
      <c r="BS322" s="80" t="s">
        <v>153</v>
      </c>
      <c r="BT322" s="81" t="s">
        <v>153</v>
      </c>
      <c r="BU322" s="82" t="s">
        <v>153</v>
      </c>
      <c r="BV322" s="83" t="s">
        <v>188</v>
      </c>
      <c r="BW322" s="84" t="s">
        <v>153</v>
      </c>
      <c r="BX322" s="85" t="s">
        <v>153</v>
      </c>
      <c r="BY322" s="86" t="s">
        <v>165</v>
      </c>
      <c r="BZ322" s="87" t="s">
        <v>153</v>
      </c>
      <c r="CA322" s="88" t="s">
        <v>190</v>
      </c>
      <c r="CB322" s="89">
        <v>44378</v>
      </c>
      <c r="CC322" s="90">
        <v>12000</v>
      </c>
      <c r="CD322" s="91" t="s">
        <v>186</v>
      </c>
      <c r="CE322" s="92">
        <v>12000</v>
      </c>
      <c r="CF322" s="93" t="s">
        <v>187</v>
      </c>
      <c r="CG322" s="94" t="s">
        <v>226</v>
      </c>
      <c r="CH322" s="95" t="s">
        <v>153</v>
      </c>
      <c r="CI322" s="96" t="s">
        <v>153</v>
      </c>
      <c r="CJ322" s="97" t="s">
        <v>225</v>
      </c>
      <c r="CK322" s="98">
        <v>44378</v>
      </c>
      <c r="CL322" s="99" t="s">
        <v>153</v>
      </c>
      <c r="CM322" s="100" t="s">
        <v>153</v>
      </c>
      <c r="CN322" s="101" t="s">
        <v>190</v>
      </c>
      <c r="CO322" s="102">
        <v>0.09</v>
      </c>
      <c r="CP322" s="103">
        <v>89</v>
      </c>
      <c r="CQ322" s="104">
        <v>0</v>
      </c>
      <c r="CR322" s="105">
        <v>0</v>
      </c>
      <c r="CS322" s="106" t="s">
        <v>153</v>
      </c>
      <c r="CT322" s="107" t="s">
        <v>153</v>
      </c>
      <c r="CU322" s="108" t="s">
        <v>153</v>
      </c>
      <c r="CV322" s="109" t="s">
        <v>153</v>
      </c>
      <c r="CW322" s="110" t="s">
        <v>153</v>
      </c>
      <c r="CX322" s="111" t="s">
        <v>153</v>
      </c>
      <c r="CY322" s="112" t="s">
        <v>153</v>
      </c>
      <c r="CZ322" s="113" t="s">
        <v>153</v>
      </c>
      <c r="DA322" s="114" t="s">
        <v>153</v>
      </c>
      <c r="DB322" s="115" t="s">
        <v>153</v>
      </c>
      <c r="DC322" s="116">
        <v>443.24</v>
      </c>
      <c r="DD322" s="117">
        <v>100</v>
      </c>
      <c r="DE322" s="118">
        <v>0</v>
      </c>
      <c r="DF322" s="119">
        <v>0</v>
      </c>
      <c r="DG322" s="120" t="s">
        <v>153</v>
      </c>
      <c r="DH322" s="121" t="s">
        <v>153</v>
      </c>
      <c r="DI322" s="122" t="s">
        <v>153</v>
      </c>
      <c r="DJ322" s="123" t="s">
        <v>153</v>
      </c>
      <c r="DK322" s="124" t="s">
        <v>153</v>
      </c>
      <c r="DL322" s="125" t="s">
        <v>153</v>
      </c>
      <c r="DM322" s="126" t="s">
        <v>153</v>
      </c>
      <c r="DN322" s="127" t="s">
        <v>153</v>
      </c>
      <c r="DO322" s="128" t="s">
        <v>153</v>
      </c>
      <c r="DP322" s="129" t="s">
        <v>153</v>
      </c>
      <c r="DQ322" s="130" t="s">
        <v>153</v>
      </c>
      <c r="DR322" s="131" t="s">
        <v>153</v>
      </c>
      <c r="DS322" s="132" t="s">
        <v>153</v>
      </c>
      <c r="DT322" s="133" t="s">
        <v>153</v>
      </c>
      <c r="DU322" s="134" t="s">
        <v>153</v>
      </c>
      <c r="DV322" s="135" t="s">
        <v>153</v>
      </c>
      <c r="DW322" s="136" t="s">
        <v>153</v>
      </c>
      <c r="DX322" s="137" t="s">
        <v>153</v>
      </c>
      <c r="DY322" s="138" t="s">
        <v>153</v>
      </c>
      <c r="DZ322" s="139" t="s">
        <v>191</v>
      </c>
      <c r="EA322" s="140">
        <v>44402</v>
      </c>
      <c r="EB322" s="141">
        <v>12000</v>
      </c>
      <c r="EC322" s="142">
        <v>44378</v>
      </c>
      <c r="ED322" s="143" t="s">
        <v>226</v>
      </c>
      <c r="EE322" s="278" t="str">
        <f>HYPERLINK("https://my.pitchbook.com?c=10333-09", "View company online")</f>
        <v>View company online</v>
      </c>
    </row>
    <row r="323" spans="1:135" x14ac:dyDescent="0.45">
      <c r="A323" s="144" t="s">
        <v>6979</v>
      </c>
      <c r="B323" s="145" t="s">
        <v>6980</v>
      </c>
      <c r="C323" s="146" t="s">
        <v>153</v>
      </c>
      <c r="D323" s="147" t="s">
        <v>153</v>
      </c>
      <c r="E323" s="148" t="s">
        <v>153</v>
      </c>
      <c r="F323" s="149" t="s">
        <v>153</v>
      </c>
      <c r="G323" s="150" t="s">
        <v>6981</v>
      </c>
      <c r="H323" s="151" t="s">
        <v>153</v>
      </c>
      <c r="I323" s="152" t="s">
        <v>6979</v>
      </c>
      <c r="J323" s="153" t="s">
        <v>6982</v>
      </c>
      <c r="K323" s="154" t="s">
        <v>882</v>
      </c>
      <c r="L323" s="155" t="s">
        <v>1257</v>
      </c>
      <c r="M323" s="156" t="s">
        <v>6983</v>
      </c>
      <c r="N323" s="157" t="s">
        <v>6984</v>
      </c>
      <c r="O323" s="158" t="s">
        <v>1877</v>
      </c>
      <c r="P323" s="159" t="s">
        <v>6985</v>
      </c>
      <c r="Q323" s="160" t="s">
        <v>162</v>
      </c>
      <c r="R323" s="161" t="s">
        <v>153</v>
      </c>
      <c r="S323" s="162" t="s">
        <v>290</v>
      </c>
      <c r="T323" s="163" t="s">
        <v>1392</v>
      </c>
      <c r="U323" s="164" t="s">
        <v>165</v>
      </c>
      <c r="V323" s="165" t="s">
        <v>153</v>
      </c>
      <c r="W323" s="166" t="s">
        <v>153</v>
      </c>
      <c r="X323" s="167" t="s">
        <v>153</v>
      </c>
      <c r="Y323" s="168" t="s">
        <v>153</v>
      </c>
      <c r="Z323" s="169" t="s">
        <v>153</v>
      </c>
      <c r="AA323" s="170">
        <v>1985</v>
      </c>
      <c r="AB323" s="171" t="s">
        <v>153</v>
      </c>
      <c r="AC323" s="172" t="s">
        <v>153</v>
      </c>
      <c r="AD323" s="173" t="s">
        <v>153</v>
      </c>
      <c r="AE323" s="174" t="s">
        <v>153</v>
      </c>
      <c r="AF323" s="175" t="s">
        <v>153</v>
      </c>
      <c r="AG323" s="176" t="s">
        <v>153</v>
      </c>
      <c r="AH323" s="177" t="s">
        <v>153</v>
      </c>
      <c r="AI323" s="178" t="s">
        <v>153</v>
      </c>
      <c r="AJ323" s="179" t="s">
        <v>153</v>
      </c>
      <c r="AK323" s="180" t="s">
        <v>153</v>
      </c>
      <c r="AL323" s="181" t="s">
        <v>153</v>
      </c>
      <c r="AM323" s="182" t="s">
        <v>153</v>
      </c>
      <c r="AN323" s="183" t="s">
        <v>868</v>
      </c>
      <c r="AO323" s="184" t="s">
        <v>153</v>
      </c>
      <c r="AP323" s="185" t="s">
        <v>153</v>
      </c>
      <c r="AQ323" s="186" t="s">
        <v>153</v>
      </c>
      <c r="AR323" s="187" t="s">
        <v>153</v>
      </c>
      <c r="AS323" s="188" t="s">
        <v>153</v>
      </c>
      <c r="AT323" s="189" t="s">
        <v>3972</v>
      </c>
      <c r="AU323" s="190" t="s">
        <v>6986</v>
      </c>
      <c r="AV323" s="191" t="s">
        <v>153</v>
      </c>
      <c r="AW323" s="192" t="s">
        <v>3974</v>
      </c>
      <c r="AX323" s="193" t="s">
        <v>6987</v>
      </c>
      <c r="AY323" s="194" t="s">
        <v>153</v>
      </c>
      <c r="AZ323" s="195" t="s">
        <v>1519</v>
      </c>
      <c r="BA323" s="196" t="s">
        <v>153</v>
      </c>
      <c r="BB323" s="197" t="s">
        <v>6988</v>
      </c>
      <c r="BC323" s="198" t="s">
        <v>153</v>
      </c>
      <c r="BD323" s="199" t="s">
        <v>1406</v>
      </c>
      <c r="BE323" s="200" t="s">
        <v>1407</v>
      </c>
      <c r="BF323" s="201" t="s">
        <v>6989</v>
      </c>
      <c r="BG323" s="202" t="s">
        <v>6990</v>
      </c>
      <c r="BH323" s="203">
        <v>6</v>
      </c>
      <c r="BI323" s="204" t="s">
        <v>153</v>
      </c>
      <c r="BJ323" s="205" t="s">
        <v>153</v>
      </c>
      <c r="BK323" s="206" t="s">
        <v>153</v>
      </c>
      <c r="BL323" s="207" t="s">
        <v>6991</v>
      </c>
      <c r="BM323" s="208" t="s">
        <v>153</v>
      </c>
      <c r="BN323" s="209" t="s">
        <v>153</v>
      </c>
      <c r="BO323" s="210" t="s">
        <v>153</v>
      </c>
      <c r="BP323" s="211" t="s">
        <v>6992</v>
      </c>
      <c r="BQ323" s="212">
        <v>41894</v>
      </c>
      <c r="BR323" s="213">
        <v>17500</v>
      </c>
      <c r="BS323" s="214" t="s">
        <v>186</v>
      </c>
      <c r="BT323" s="215">
        <v>58333.33</v>
      </c>
      <c r="BU323" s="216" t="s">
        <v>187</v>
      </c>
      <c r="BV323" s="217" t="s">
        <v>906</v>
      </c>
      <c r="BW323" s="218" t="s">
        <v>153</v>
      </c>
      <c r="BX323" s="219" t="s">
        <v>153</v>
      </c>
      <c r="BY323" s="220" t="s">
        <v>165</v>
      </c>
      <c r="BZ323" s="221" t="s">
        <v>153</v>
      </c>
      <c r="CA323" s="222" t="s">
        <v>190</v>
      </c>
      <c r="CB323" s="223">
        <v>42739</v>
      </c>
      <c r="CC323" s="224">
        <v>12000</v>
      </c>
      <c r="CD323" s="225" t="s">
        <v>187</v>
      </c>
      <c r="CE323" s="226" t="s">
        <v>153</v>
      </c>
      <c r="CF323" s="227" t="s">
        <v>153</v>
      </c>
      <c r="CG323" s="228" t="s">
        <v>251</v>
      </c>
      <c r="CH323" s="229" t="s">
        <v>153</v>
      </c>
      <c r="CI323" s="230" t="s">
        <v>153</v>
      </c>
      <c r="CJ323" s="231" t="s">
        <v>252</v>
      </c>
      <c r="CK323" s="232">
        <v>42739</v>
      </c>
      <c r="CL323" s="233" t="s">
        <v>153</v>
      </c>
      <c r="CM323" s="234" t="s">
        <v>153</v>
      </c>
      <c r="CN323" s="235" t="s">
        <v>394</v>
      </c>
      <c r="CO323" s="236" t="s">
        <v>153</v>
      </c>
      <c r="CP323" s="237" t="s">
        <v>153</v>
      </c>
      <c r="CQ323" s="238" t="s">
        <v>153</v>
      </c>
      <c r="CR323" s="239" t="s">
        <v>153</v>
      </c>
      <c r="CS323" s="240" t="s">
        <v>153</v>
      </c>
      <c r="CT323" s="241" t="s">
        <v>153</v>
      </c>
      <c r="CU323" s="242" t="s">
        <v>153</v>
      </c>
      <c r="CV323" s="243" t="s">
        <v>153</v>
      </c>
      <c r="CW323" s="244" t="s">
        <v>153</v>
      </c>
      <c r="CX323" s="245" t="s">
        <v>153</v>
      </c>
      <c r="CY323" s="246" t="s">
        <v>153</v>
      </c>
      <c r="CZ323" s="247" t="s">
        <v>153</v>
      </c>
      <c r="DA323" s="248" t="s">
        <v>153</v>
      </c>
      <c r="DB323" s="249" t="s">
        <v>153</v>
      </c>
      <c r="DC323" s="250" t="s">
        <v>153</v>
      </c>
      <c r="DD323" s="251" t="s">
        <v>153</v>
      </c>
      <c r="DE323" s="252" t="s">
        <v>153</v>
      </c>
      <c r="DF323" s="253" t="s">
        <v>153</v>
      </c>
      <c r="DG323" s="254" t="s">
        <v>153</v>
      </c>
      <c r="DH323" s="255" t="s">
        <v>153</v>
      </c>
      <c r="DI323" s="256" t="s">
        <v>153</v>
      </c>
      <c r="DJ323" s="257" t="s">
        <v>153</v>
      </c>
      <c r="DK323" s="258" t="s">
        <v>153</v>
      </c>
      <c r="DL323" s="259" t="s">
        <v>153</v>
      </c>
      <c r="DM323" s="260" t="s">
        <v>153</v>
      </c>
      <c r="DN323" s="261" t="s">
        <v>153</v>
      </c>
      <c r="DO323" s="262" t="s">
        <v>153</v>
      </c>
      <c r="DP323" s="263" t="s">
        <v>153</v>
      </c>
      <c r="DQ323" s="264" t="s">
        <v>153</v>
      </c>
      <c r="DR323" s="265" t="s">
        <v>153</v>
      </c>
      <c r="DS323" s="266" t="s">
        <v>153</v>
      </c>
      <c r="DT323" s="267" t="s">
        <v>153</v>
      </c>
      <c r="DU323" s="268" t="s">
        <v>153</v>
      </c>
      <c r="DV323" s="269" t="s">
        <v>153</v>
      </c>
      <c r="DW323" s="270" t="s">
        <v>153</v>
      </c>
      <c r="DX323" s="271" t="s">
        <v>153</v>
      </c>
      <c r="DY323" s="272" t="s">
        <v>153</v>
      </c>
      <c r="DZ323" s="273" t="s">
        <v>191</v>
      </c>
      <c r="EA323" s="274">
        <v>44354</v>
      </c>
      <c r="EB323" s="275">
        <v>58333.33</v>
      </c>
      <c r="EC323" s="276">
        <v>41894</v>
      </c>
      <c r="ED323" s="277" t="s">
        <v>906</v>
      </c>
      <c r="EE323" s="279" t="str">
        <f>HYPERLINK("https://my.pitchbook.com?c=97548-58", "View company online")</f>
        <v>View company online</v>
      </c>
    </row>
    <row r="324" spans="1:135" x14ac:dyDescent="0.45">
      <c r="A324" s="10" t="s">
        <v>6993</v>
      </c>
      <c r="B324" s="11" t="s">
        <v>6994</v>
      </c>
      <c r="C324" s="12" t="s">
        <v>153</v>
      </c>
      <c r="D324" s="13" t="s">
        <v>153</v>
      </c>
      <c r="E324" s="14" t="s">
        <v>6995</v>
      </c>
      <c r="F324" s="15" t="s">
        <v>153</v>
      </c>
      <c r="G324" s="16" t="s">
        <v>6996</v>
      </c>
      <c r="H324" s="17" t="s">
        <v>153</v>
      </c>
      <c r="I324" s="18" t="s">
        <v>6993</v>
      </c>
      <c r="J324" s="19" t="s">
        <v>6997</v>
      </c>
      <c r="K324" s="20" t="s">
        <v>157</v>
      </c>
      <c r="L324" s="21" t="s">
        <v>2713</v>
      </c>
      <c r="M324" s="22" t="s">
        <v>4514</v>
      </c>
      <c r="N324" s="23" t="s">
        <v>6998</v>
      </c>
      <c r="O324" s="24" t="s">
        <v>153</v>
      </c>
      <c r="P324" s="25" t="s">
        <v>6999</v>
      </c>
      <c r="Q324" s="26" t="s">
        <v>204</v>
      </c>
      <c r="R324" s="27" t="s">
        <v>153</v>
      </c>
      <c r="S324" s="28" t="s">
        <v>290</v>
      </c>
      <c r="T324" s="29" t="s">
        <v>205</v>
      </c>
      <c r="U324" s="30" t="s">
        <v>237</v>
      </c>
      <c r="V324" s="31" t="s">
        <v>7000</v>
      </c>
      <c r="W324" s="32">
        <v>247000</v>
      </c>
      <c r="X324" s="33" t="s">
        <v>7001</v>
      </c>
      <c r="Y324" s="34" t="s">
        <v>153</v>
      </c>
      <c r="Z324" s="35" t="s">
        <v>153</v>
      </c>
      <c r="AA324" s="36">
        <v>1893</v>
      </c>
      <c r="AB324" s="37" t="s">
        <v>153</v>
      </c>
      <c r="AC324" s="38" t="s">
        <v>153</v>
      </c>
      <c r="AD324" s="39" t="s">
        <v>153</v>
      </c>
      <c r="AE324" s="40" t="s">
        <v>153</v>
      </c>
      <c r="AF324" s="41" t="s">
        <v>153</v>
      </c>
      <c r="AG324" s="42" t="s">
        <v>153</v>
      </c>
      <c r="AH324" s="43" t="s">
        <v>153</v>
      </c>
      <c r="AI324" s="44" t="s">
        <v>153</v>
      </c>
      <c r="AJ324" s="45" t="s">
        <v>153</v>
      </c>
      <c r="AK324" s="46" t="s">
        <v>153</v>
      </c>
      <c r="AL324" s="47" t="s">
        <v>153</v>
      </c>
      <c r="AM324" s="48" t="s">
        <v>153</v>
      </c>
      <c r="AN324" s="49" t="s">
        <v>7002</v>
      </c>
      <c r="AO324" s="50" t="s">
        <v>153</v>
      </c>
      <c r="AP324" s="51" t="s">
        <v>153</v>
      </c>
      <c r="AQ324" s="52" t="s">
        <v>153</v>
      </c>
      <c r="AR324" s="53" t="s">
        <v>153</v>
      </c>
      <c r="AS324" s="54" t="s">
        <v>153</v>
      </c>
      <c r="AT324" s="55" t="s">
        <v>7003</v>
      </c>
      <c r="AU324" s="56" t="s">
        <v>7004</v>
      </c>
      <c r="AV324" s="57" t="s">
        <v>153</v>
      </c>
      <c r="AW324" s="58" t="s">
        <v>7005</v>
      </c>
      <c r="AX324" s="59" t="s">
        <v>783</v>
      </c>
      <c r="AY324" s="60" t="s">
        <v>7006</v>
      </c>
      <c r="AZ324" s="61" t="s">
        <v>215</v>
      </c>
      <c r="BA324" s="62" t="s">
        <v>153</v>
      </c>
      <c r="BB324" s="63" t="s">
        <v>153</v>
      </c>
      <c r="BC324" s="64" t="s">
        <v>153</v>
      </c>
      <c r="BD324" s="65" t="s">
        <v>216</v>
      </c>
      <c r="BE324" s="66" t="s">
        <v>217</v>
      </c>
      <c r="BF324" s="67" t="s">
        <v>7007</v>
      </c>
      <c r="BG324" s="68" t="s">
        <v>153</v>
      </c>
      <c r="BH324" s="69" t="s">
        <v>153</v>
      </c>
      <c r="BI324" s="70" t="s">
        <v>7008</v>
      </c>
      <c r="BJ324" s="71" t="s">
        <v>153</v>
      </c>
      <c r="BK324" s="72" t="s">
        <v>153</v>
      </c>
      <c r="BL324" s="73" t="s">
        <v>153</v>
      </c>
      <c r="BM324" s="74" t="s">
        <v>153</v>
      </c>
      <c r="BN324" s="75" t="s">
        <v>153</v>
      </c>
      <c r="BO324" s="76" t="s">
        <v>7009</v>
      </c>
      <c r="BP324" s="77" t="s">
        <v>153</v>
      </c>
      <c r="BQ324" s="78">
        <v>2193</v>
      </c>
      <c r="BR324" s="79" t="s">
        <v>153</v>
      </c>
      <c r="BS324" s="80" t="s">
        <v>153</v>
      </c>
      <c r="BT324" s="81" t="s">
        <v>153</v>
      </c>
      <c r="BU324" s="82" t="s">
        <v>153</v>
      </c>
      <c r="BV324" s="83" t="s">
        <v>251</v>
      </c>
      <c r="BW324" s="84" t="s">
        <v>153</v>
      </c>
      <c r="BX324" s="85" t="s">
        <v>153</v>
      </c>
      <c r="BY324" s="86" t="s">
        <v>252</v>
      </c>
      <c r="BZ324" s="87" t="s">
        <v>153</v>
      </c>
      <c r="CA324" s="88" t="s">
        <v>190</v>
      </c>
      <c r="CB324" s="89">
        <v>38435</v>
      </c>
      <c r="CC324" s="90">
        <v>11900</v>
      </c>
      <c r="CD324" s="91" t="s">
        <v>186</v>
      </c>
      <c r="CE324" s="92">
        <v>11900</v>
      </c>
      <c r="CF324" s="93" t="s">
        <v>186</v>
      </c>
      <c r="CG324" s="94" t="s">
        <v>226</v>
      </c>
      <c r="CH324" s="95" t="s">
        <v>153</v>
      </c>
      <c r="CI324" s="96" t="s">
        <v>153</v>
      </c>
      <c r="CJ324" s="97" t="s">
        <v>225</v>
      </c>
      <c r="CK324" s="98">
        <v>38435</v>
      </c>
      <c r="CL324" s="99" t="s">
        <v>153</v>
      </c>
      <c r="CM324" s="100" t="s">
        <v>153</v>
      </c>
      <c r="CN324" s="101" t="s">
        <v>190</v>
      </c>
      <c r="CO324" s="102" t="s">
        <v>153</v>
      </c>
      <c r="CP324" s="103" t="s">
        <v>153</v>
      </c>
      <c r="CQ324" s="104" t="s">
        <v>153</v>
      </c>
      <c r="CR324" s="105" t="s">
        <v>153</v>
      </c>
      <c r="CS324" s="106" t="s">
        <v>153</v>
      </c>
      <c r="CT324" s="107" t="s">
        <v>153</v>
      </c>
      <c r="CU324" s="108" t="s">
        <v>153</v>
      </c>
      <c r="CV324" s="109" t="s">
        <v>153</v>
      </c>
      <c r="CW324" s="110" t="s">
        <v>153</v>
      </c>
      <c r="CX324" s="111" t="s">
        <v>153</v>
      </c>
      <c r="CY324" s="112" t="s">
        <v>153</v>
      </c>
      <c r="CZ324" s="113" t="s">
        <v>153</v>
      </c>
      <c r="DA324" s="114" t="s">
        <v>153</v>
      </c>
      <c r="DB324" s="115" t="s">
        <v>153</v>
      </c>
      <c r="DC324" s="116" t="s">
        <v>153</v>
      </c>
      <c r="DD324" s="117" t="s">
        <v>153</v>
      </c>
      <c r="DE324" s="118" t="s">
        <v>153</v>
      </c>
      <c r="DF324" s="119" t="s">
        <v>153</v>
      </c>
      <c r="DG324" s="120" t="s">
        <v>153</v>
      </c>
      <c r="DH324" s="121" t="s">
        <v>153</v>
      </c>
      <c r="DI324" s="122" t="s">
        <v>153</v>
      </c>
      <c r="DJ324" s="123" t="s">
        <v>153</v>
      </c>
      <c r="DK324" s="124" t="s">
        <v>153</v>
      </c>
      <c r="DL324" s="125" t="s">
        <v>153</v>
      </c>
      <c r="DM324" s="126" t="s">
        <v>153</v>
      </c>
      <c r="DN324" s="127" t="s">
        <v>153</v>
      </c>
      <c r="DO324" s="128" t="s">
        <v>153</v>
      </c>
      <c r="DP324" s="129" t="s">
        <v>153</v>
      </c>
      <c r="DQ324" s="130" t="s">
        <v>153</v>
      </c>
      <c r="DR324" s="131" t="s">
        <v>153</v>
      </c>
      <c r="DS324" s="132" t="s">
        <v>153</v>
      </c>
      <c r="DT324" s="133" t="s">
        <v>153</v>
      </c>
      <c r="DU324" s="134" t="s">
        <v>153</v>
      </c>
      <c r="DV324" s="135" t="s">
        <v>153</v>
      </c>
      <c r="DW324" s="136" t="s">
        <v>153</v>
      </c>
      <c r="DX324" s="137" t="s">
        <v>153</v>
      </c>
      <c r="DY324" s="138" t="s">
        <v>153</v>
      </c>
      <c r="DZ324" s="139" t="s">
        <v>191</v>
      </c>
      <c r="EA324" s="140">
        <v>44217</v>
      </c>
      <c r="EB324" s="141">
        <v>11900</v>
      </c>
      <c r="EC324" s="142">
        <v>38435</v>
      </c>
      <c r="ED324" s="143" t="s">
        <v>226</v>
      </c>
      <c r="EE324" s="278" t="str">
        <f>HYPERLINK("https://my.pitchbook.com?c=41225-14", "View company online")</f>
        <v>View company online</v>
      </c>
    </row>
    <row r="325" spans="1:135" x14ac:dyDescent="0.45">
      <c r="A325" s="144" t="s">
        <v>7010</v>
      </c>
      <c r="B325" s="145" t="s">
        <v>7011</v>
      </c>
      <c r="C325" s="146" t="s">
        <v>153</v>
      </c>
      <c r="D325" s="147" t="s">
        <v>153</v>
      </c>
      <c r="E325" s="148" t="s">
        <v>153</v>
      </c>
      <c r="F325" s="149" t="s">
        <v>153</v>
      </c>
      <c r="G325" s="150" t="s">
        <v>153</v>
      </c>
      <c r="H325" s="151" t="s">
        <v>153</v>
      </c>
      <c r="I325" s="152" t="s">
        <v>7010</v>
      </c>
      <c r="J325" s="153" t="s">
        <v>7012</v>
      </c>
      <c r="K325" s="154" t="s">
        <v>157</v>
      </c>
      <c r="L325" s="155" t="s">
        <v>937</v>
      </c>
      <c r="M325" s="156" t="s">
        <v>938</v>
      </c>
      <c r="N325" s="157" t="s">
        <v>7013</v>
      </c>
      <c r="O325" s="158" t="s">
        <v>202</v>
      </c>
      <c r="P325" s="159" t="s">
        <v>7014</v>
      </c>
      <c r="Q325" s="160" t="s">
        <v>204</v>
      </c>
      <c r="R325" s="161" t="s">
        <v>153</v>
      </c>
      <c r="S325" s="162" t="s">
        <v>290</v>
      </c>
      <c r="T325" s="163" t="s">
        <v>205</v>
      </c>
      <c r="U325" s="164" t="s">
        <v>206</v>
      </c>
      <c r="V325" s="165" t="s">
        <v>153</v>
      </c>
      <c r="W325" s="166" t="s">
        <v>153</v>
      </c>
      <c r="X325" s="167" t="s">
        <v>153</v>
      </c>
      <c r="Y325" s="168" t="s">
        <v>153</v>
      </c>
      <c r="Z325" s="169" t="s">
        <v>153</v>
      </c>
      <c r="AA325" s="170" t="s">
        <v>153</v>
      </c>
      <c r="AB325" s="171" t="s">
        <v>153</v>
      </c>
      <c r="AC325" s="172" t="s">
        <v>153</v>
      </c>
      <c r="AD325" s="173" t="s">
        <v>153</v>
      </c>
      <c r="AE325" s="174" t="s">
        <v>153</v>
      </c>
      <c r="AF325" s="175" t="s">
        <v>153</v>
      </c>
      <c r="AG325" s="176" t="s">
        <v>153</v>
      </c>
      <c r="AH325" s="177" t="s">
        <v>153</v>
      </c>
      <c r="AI325" s="178" t="s">
        <v>153</v>
      </c>
      <c r="AJ325" s="179" t="s">
        <v>153</v>
      </c>
      <c r="AK325" s="180" t="s">
        <v>153</v>
      </c>
      <c r="AL325" s="181" t="s">
        <v>153</v>
      </c>
      <c r="AM325" s="182" t="s">
        <v>153</v>
      </c>
      <c r="AN325" s="183" t="s">
        <v>153</v>
      </c>
      <c r="AO325" s="184" t="s">
        <v>153</v>
      </c>
      <c r="AP325" s="185" t="s">
        <v>153</v>
      </c>
      <c r="AQ325" s="186" t="s">
        <v>153</v>
      </c>
      <c r="AR325" s="187" t="s">
        <v>153</v>
      </c>
      <c r="AS325" s="188" t="s">
        <v>153</v>
      </c>
      <c r="AT325" s="189" t="s">
        <v>352</v>
      </c>
      <c r="AU325" s="190" t="s">
        <v>153</v>
      </c>
      <c r="AV325" s="191" t="s">
        <v>153</v>
      </c>
      <c r="AW325" s="192" t="s">
        <v>153</v>
      </c>
      <c r="AX325" s="193" t="s">
        <v>153</v>
      </c>
      <c r="AY325" s="194" t="s">
        <v>153</v>
      </c>
      <c r="AZ325" s="195" t="s">
        <v>352</v>
      </c>
      <c r="BA325" s="196" t="s">
        <v>153</v>
      </c>
      <c r="BB325" s="197" t="s">
        <v>153</v>
      </c>
      <c r="BC325" s="198" t="s">
        <v>153</v>
      </c>
      <c r="BD325" s="199" t="s">
        <v>180</v>
      </c>
      <c r="BE325" s="200" t="s">
        <v>181</v>
      </c>
      <c r="BF325" s="201" t="s">
        <v>7015</v>
      </c>
      <c r="BG325" s="202" t="s">
        <v>153</v>
      </c>
      <c r="BH325" s="203" t="s">
        <v>153</v>
      </c>
      <c r="BI325" s="204" t="s">
        <v>7016</v>
      </c>
      <c r="BJ325" s="205" t="s">
        <v>7017</v>
      </c>
      <c r="BK325" s="206" t="s">
        <v>7018</v>
      </c>
      <c r="BL325" s="207" t="s">
        <v>153</v>
      </c>
      <c r="BM325" s="208" t="s">
        <v>7019</v>
      </c>
      <c r="BN325" s="209" t="s">
        <v>7020</v>
      </c>
      <c r="BO325" s="210" t="s">
        <v>153</v>
      </c>
      <c r="BP325" s="211" t="s">
        <v>153</v>
      </c>
      <c r="BQ325" s="212">
        <v>41549</v>
      </c>
      <c r="BR325" s="213">
        <v>11870</v>
      </c>
      <c r="BS325" s="214" t="s">
        <v>186</v>
      </c>
      <c r="BT325" s="215">
        <v>11870</v>
      </c>
      <c r="BU325" s="216" t="s">
        <v>187</v>
      </c>
      <c r="BV325" s="217" t="s">
        <v>226</v>
      </c>
      <c r="BW325" s="218" t="s">
        <v>729</v>
      </c>
      <c r="BX325" s="219" t="s">
        <v>153</v>
      </c>
      <c r="BY325" s="220" t="s">
        <v>225</v>
      </c>
      <c r="BZ325" s="221" t="s">
        <v>153</v>
      </c>
      <c r="CA325" s="222" t="s">
        <v>190</v>
      </c>
      <c r="CB325" s="223">
        <v>41549</v>
      </c>
      <c r="CC325" s="224">
        <v>11870</v>
      </c>
      <c r="CD325" s="225" t="s">
        <v>186</v>
      </c>
      <c r="CE325" s="226">
        <v>11870</v>
      </c>
      <c r="CF325" s="227" t="s">
        <v>187</v>
      </c>
      <c r="CG325" s="228" t="s">
        <v>226</v>
      </c>
      <c r="CH325" s="229" t="s">
        <v>729</v>
      </c>
      <c r="CI325" s="230" t="s">
        <v>153</v>
      </c>
      <c r="CJ325" s="231" t="s">
        <v>225</v>
      </c>
      <c r="CK325" s="232">
        <v>41549</v>
      </c>
      <c r="CL325" s="233" t="s">
        <v>153</v>
      </c>
      <c r="CM325" s="234" t="s">
        <v>153</v>
      </c>
      <c r="CN325" s="235" t="s">
        <v>190</v>
      </c>
      <c r="CO325" s="236" t="s">
        <v>153</v>
      </c>
      <c r="CP325" s="237" t="s">
        <v>153</v>
      </c>
      <c r="CQ325" s="238" t="s">
        <v>153</v>
      </c>
      <c r="CR325" s="239" t="s">
        <v>153</v>
      </c>
      <c r="CS325" s="240" t="s">
        <v>153</v>
      </c>
      <c r="CT325" s="241" t="s">
        <v>153</v>
      </c>
      <c r="CU325" s="242" t="s">
        <v>153</v>
      </c>
      <c r="CV325" s="243" t="s">
        <v>153</v>
      </c>
      <c r="CW325" s="244" t="s">
        <v>153</v>
      </c>
      <c r="CX325" s="245" t="s">
        <v>153</v>
      </c>
      <c r="CY325" s="246" t="s">
        <v>153</v>
      </c>
      <c r="CZ325" s="247" t="s">
        <v>153</v>
      </c>
      <c r="DA325" s="248" t="s">
        <v>153</v>
      </c>
      <c r="DB325" s="249" t="s">
        <v>153</v>
      </c>
      <c r="DC325" s="250" t="s">
        <v>153</v>
      </c>
      <c r="DD325" s="251" t="s">
        <v>153</v>
      </c>
      <c r="DE325" s="252" t="s">
        <v>153</v>
      </c>
      <c r="DF325" s="253" t="s">
        <v>153</v>
      </c>
      <c r="DG325" s="254" t="s">
        <v>153</v>
      </c>
      <c r="DH325" s="255" t="s">
        <v>153</v>
      </c>
      <c r="DI325" s="256" t="s">
        <v>153</v>
      </c>
      <c r="DJ325" s="257" t="s">
        <v>153</v>
      </c>
      <c r="DK325" s="258" t="s">
        <v>153</v>
      </c>
      <c r="DL325" s="259" t="s">
        <v>153</v>
      </c>
      <c r="DM325" s="260" t="s">
        <v>153</v>
      </c>
      <c r="DN325" s="261" t="s">
        <v>153</v>
      </c>
      <c r="DO325" s="262" t="s">
        <v>153</v>
      </c>
      <c r="DP325" s="263" t="s">
        <v>153</v>
      </c>
      <c r="DQ325" s="264" t="s">
        <v>153</v>
      </c>
      <c r="DR325" s="265" t="s">
        <v>153</v>
      </c>
      <c r="DS325" s="266" t="s">
        <v>153</v>
      </c>
      <c r="DT325" s="267" t="s">
        <v>153</v>
      </c>
      <c r="DU325" s="268" t="s">
        <v>153</v>
      </c>
      <c r="DV325" s="269" t="s">
        <v>153</v>
      </c>
      <c r="DW325" s="270" t="s">
        <v>153</v>
      </c>
      <c r="DX325" s="271" t="s">
        <v>153</v>
      </c>
      <c r="DY325" s="272" t="s">
        <v>153</v>
      </c>
      <c r="DZ325" s="273" t="s">
        <v>191</v>
      </c>
      <c r="EA325" s="274">
        <v>44147</v>
      </c>
      <c r="EB325" s="275">
        <v>11870</v>
      </c>
      <c r="EC325" s="276">
        <v>41549</v>
      </c>
      <c r="ED325" s="277" t="s">
        <v>226</v>
      </c>
      <c r="EE325" s="279" t="str">
        <f>HYPERLINK("https://my.pitchbook.com?c=54865-99", "View company online")</f>
        <v>View company online</v>
      </c>
    </row>
    <row r="326" spans="1:135" x14ac:dyDescent="0.45">
      <c r="A326" s="10" t="s">
        <v>7021</v>
      </c>
      <c r="B326" s="11" t="s">
        <v>7022</v>
      </c>
      <c r="C326" s="12" t="s">
        <v>153</v>
      </c>
      <c r="D326" s="13" t="s">
        <v>153</v>
      </c>
      <c r="E326" s="14" t="s">
        <v>7023</v>
      </c>
      <c r="F326" s="15" t="s">
        <v>153</v>
      </c>
      <c r="G326" s="16" t="s">
        <v>7024</v>
      </c>
      <c r="H326" s="17" t="s">
        <v>153</v>
      </c>
      <c r="I326" s="18" t="s">
        <v>7021</v>
      </c>
      <c r="J326" s="19" t="s">
        <v>7025</v>
      </c>
      <c r="K326" s="20" t="s">
        <v>157</v>
      </c>
      <c r="L326" s="21" t="s">
        <v>817</v>
      </c>
      <c r="M326" s="22" t="s">
        <v>863</v>
      </c>
      <c r="N326" s="23" t="s">
        <v>2494</v>
      </c>
      <c r="O326" s="24" t="s">
        <v>153</v>
      </c>
      <c r="P326" s="25" t="s">
        <v>7026</v>
      </c>
      <c r="Q326" s="26" t="s">
        <v>204</v>
      </c>
      <c r="R326" s="27" t="s">
        <v>153</v>
      </c>
      <c r="S326" s="28" t="s">
        <v>290</v>
      </c>
      <c r="T326" s="29" t="s">
        <v>205</v>
      </c>
      <c r="U326" s="30" t="s">
        <v>206</v>
      </c>
      <c r="V326" s="31" t="s">
        <v>153</v>
      </c>
      <c r="W326" s="32">
        <v>4500</v>
      </c>
      <c r="X326" s="33" t="s">
        <v>7027</v>
      </c>
      <c r="Y326" s="34" t="s">
        <v>153</v>
      </c>
      <c r="Z326" s="35" t="s">
        <v>153</v>
      </c>
      <c r="AA326" s="36">
        <v>1982</v>
      </c>
      <c r="AB326" s="37" t="s">
        <v>153</v>
      </c>
      <c r="AC326" s="38" t="s">
        <v>153</v>
      </c>
      <c r="AD326" s="39" t="s">
        <v>153</v>
      </c>
      <c r="AE326" s="40" t="s">
        <v>153</v>
      </c>
      <c r="AF326" s="41" t="s">
        <v>153</v>
      </c>
      <c r="AG326" s="42" t="s">
        <v>153</v>
      </c>
      <c r="AH326" s="43" t="s">
        <v>153</v>
      </c>
      <c r="AI326" s="44" t="s">
        <v>153</v>
      </c>
      <c r="AJ326" s="45" t="s">
        <v>153</v>
      </c>
      <c r="AK326" s="46" t="s">
        <v>153</v>
      </c>
      <c r="AL326" s="47" t="s">
        <v>153</v>
      </c>
      <c r="AM326" s="48" t="s">
        <v>153</v>
      </c>
      <c r="AN326" s="49" t="s">
        <v>1421</v>
      </c>
      <c r="AO326" s="50" t="s">
        <v>7028</v>
      </c>
      <c r="AP326" s="51" t="s">
        <v>7029</v>
      </c>
      <c r="AQ326" s="52" t="s">
        <v>1376</v>
      </c>
      <c r="AR326" s="53" t="s">
        <v>153</v>
      </c>
      <c r="AS326" s="54" t="s">
        <v>153</v>
      </c>
      <c r="AT326" s="55" t="s">
        <v>603</v>
      </c>
      <c r="AU326" s="56" t="s">
        <v>604</v>
      </c>
      <c r="AV326" s="57" t="s">
        <v>153</v>
      </c>
      <c r="AW326" s="58" t="s">
        <v>605</v>
      </c>
      <c r="AX326" s="59" t="s">
        <v>273</v>
      </c>
      <c r="AY326" s="60" t="s">
        <v>606</v>
      </c>
      <c r="AZ326" s="61" t="s">
        <v>215</v>
      </c>
      <c r="BA326" s="62" t="s">
        <v>153</v>
      </c>
      <c r="BB326" s="63" t="s">
        <v>153</v>
      </c>
      <c r="BC326" s="64" t="s">
        <v>153</v>
      </c>
      <c r="BD326" s="65" t="s">
        <v>216</v>
      </c>
      <c r="BE326" s="66" t="s">
        <v>217</v>
      </c>
      <c r="BF326" s="67" t="s">
        <v>7030</v>
      </c>
      <c r="BG326" s="68" t="s">
        <v>153</v>
      </c>
      <c r="BH326" s="69" t="s">
        <v>153</v>
      </c>
      <c r="BI326" s="70" t="s">
        <v>7031</v>
      </c>
      <c r="BJ326" s="71" t="s">
        <v>265</v>
      </c>
      <c r="BK326" s="72" t="s">
        <v>153</v>
      </c>
      <c r="BL326" s="73" t="s">
        <v>153</v>
      </c>
      <c r="BM326" s="74" t="s">
        <v>633</v>
      </c>
      <c r="BN326" s="75" t="s">
        <v>153</v>
      </c>
      <c r="BO326" s="76" t="s">
        <v>153</v>
      </c>
      <c r="BP326" s="77" t="s">
        <v>7032</v>
      </c>
      <c r="BQ326" s="78">
        <v>41243</v>
      </c>
      <c r="BR326" s="79">
        <v>11850</v>
      </c>
      <c r="BS326" s="80" t="s">
        <v>186</v>
      </c>
      <c r="BT326" s="81">
        <v>11850</v>
      </c>
      <c r="BU326" s="82" t="s">
        <v>186</v>
      </c>
      <c r="BV326" s="83" t="s">
        <v>226</v>
      </c>
      <c r="BW326" s="84" t="s">
        <v>729</v>
      </c>
      <c r="BX326" s="85" t="s">
        <v>153</v>
      </c>
      <c r="BY326" s="86" t="s">
        <v>225</v>
      </c>
      <c r="BZ326" s="87" t="s">
        <v>153</v>
      </c>
      <c r="CA326" s="88" t="s">
        <v>190</v>
      </c>
      <c r="CB326" s="89">
        <v>41243</v>
      </c>
      <c r="CC326" s="90">
        <v>11850</v>
      </c>
      <c r="CD326" s="91" t="s">
        <v>186</v>
      </c>
      <c r="CE326" s="92">
        <v>11850</v>
      </c>
      <c r="CF326" s="93" t="s">
        <v>186</v>
      </c>
      <c r="CG326" s="94" t="s">
        <v>226</v>
      </c>
      <c r="CH326" s="95" t="s">
        <v>729</v>
      </c>
      <c r="CI326" s="96" t="s">
        <v>153</v>
      </c>
      <c r="CJ326" s="97" t="s">
        <v>225</v>
      </c>
      <c r="CK326" s="98">
        <v>41243</v>
      </c>
      <c r="CL326" s="99" t="s">
        <v>153</v>
      </c>
      <c r="CM326" s="100" t="s">
        <v>153</v>
      </c>
      <c r="CN326" s="101" t="s">
        <v>190</v>
      </c>
      <c r="CO326" s="102" t="s">
        <v>153</v>
      </c>
      <c r="CP326" s="103" t="s">
        <v>153</v>
      </c>
      <c r="CQ326" s="104" t="s">
        <v>153</v>
      </c>
      <c r="CR326" s="105" t="s">
        <v>153</v>
      </c>
      <c r="CS326" s="106" t="s">
        <v>153</v>
      </c>
      <c r="CT326" s="107" t="s">
        <v>153</v>
      </c>
      <c r="CU326" s="108" t="s">
        <v>153</v>
      </c>
      <c r="CV326" s="109" t="s">
        <v>153</v>
      </c>
      <c r="CW326" s="110" t="s">
        <v>153</v>
      </c>
      <c r="CX326" s="111" t="s">
        <v>153</v>
      </c>
      <c r="CY326" s="112" t="s">
        <v>153</v>
      </c>
      <c r="CZ326" s="113" t="s">
        <v>153</v>
      </c>
      <c r="DA326" s="114" t="s">
        <v>153</v>
      </c>
      <c r="DB326" s="115" t="s">
        <v>153</v>
      </c>
      <c r="DC326" s="116" t="s">
        <v>153</v>
      </c>
      <c r="DD326" s="117" t="s">
        <v>153</v>
      </c>
      <c r="DE326" s="118" t="s">
        <v>153</v>
      </c>
      <c r="DF326" s="119" t="s">
        <v>153</v>
      </c>
      <c r="DG326" s="120" t="s">
        <v>153</v>
      </c>
      <c r="DH326" s="121" t="s">
        <v>153</v>
      </c>
      <c r="DI326" s="122" t="s">
        <v>153</v>
      </c>
      <c r="DJ326" s="123" t="s">
        <v>153</v>
      </c>
      <c r="DK326" s="124" t="s">
        <v>153</v>
      </c>
      <c r="DL326" s="125" t="s">
        <v>153</v>
      </c>
      <c r="DM326" s="126" t="s">
        <v>153</v>
      </c>
      <c r="DN326" s="127" t="s">
        <v>153</v>
      </c>
      <c r="DO326" s="128" t="s">
        <v>153</v>
      </c>
      <c r="DP326" s="129" t="s">
        <v>153</v>
      </c>
      <c r="DQ326" s="130" t="s">
        <v>153</v>
      </c>
      <c r="DR326" s="131" t="s">
        <v>153</v>
      </c>
      <c r="DS326" s="132" t="s">
        <v>153</v>
      </c>
      <c r="DT326" s="133" t="s">
        <v>153</v>
      </c>
      <c r="DU326" s="134" t="s">
        <v>153</v>
      </c>
      <c r="DV326" s="135" t="s">
        <v>153</v>
      </c>
      <c r="DW326" s="136" t="s">
        <v>153</v>
      </c>
      <c r="DX326" s="137" t="s">
        <v>153</v>
      </c>
      <c r="DY326" s="138" t="s">
        <v>153</v>
      </c>
      <c r="DZ326" s="139" t="s">
        <v>191</v>
      </c>
      <c r="EA326" s="140">
        <v>44147</v>
      </c>
      <c r="EB326" s="141">
        <v>11850</v>
      </c>
      <c r="EC326" s="142">
        <v>41243</v>
      </c>
      <c r="ED326" s="143" t="s">
        <v>226</v>
      </c>
      <c r="EE326" s="278" t="str">
        <f>HYPERLINK("https://my.pitchbook.com?c=63559-27", "View company online")</f>
        <v>View company online</v>
      </c>
    </row>
    <row r="327" spans="1:135" x14ac:dyDescent="0.45">
      <c r="A327" s="144" t="s">
        <v>7033</v>
      </c>
      <c r="B327" s="145" t="s">
        <v>7034</v>
      </c>
      <c r="C327" s="146" t="s">
        <v>153</v>
      </c>
      <c r="D327" s="147" t="s">
        <v>153</v>
      </c>
      <c r="E327" s="148" t="s">
        <v>153</v>
      </c>
      <c r="F327" s="149" t="s">
        <v>153</v>
      </c>
      <c r="G327" s="150" t="s">
        <v>153</v>
      </c>
      <c r="H327" s="151" t="s">
        <v>153</v>
      </c>
      <c r="I327" s="152" t="s">
        <v>7033</v>
      </c>
      <c r="J327" s="153" t="s">
        <v>7035</v>
      </c>
      <c r="K327" s="154" t="s">
        <v>882</v>
      </c>
      <c r="L327" s="155" t="s">
        <v>2888</v>
      </c>
      <c r="M327" s="156" t="s">
        <v>2889</v>
      </c>
      <c r="N327" s="157" t="s">
        <v>7036</v>
      </c>
      <c r="O327" s="158" t="s">
        <v>153</v>
      </c>
      <c r="P327" s="159" t="s">
        <v>7037</v>
      </c>
      <c r="Q327" s="160" t="s">
        <v>204</v>
      </c>
      <c r="R327" s="161" t="s">
        <v>153</v>
      </c>
      <c r="S327" s="162" t="s">
        <v>153</v>
      </c>
      <c r="T327" s="163" t="s">
        <v>205</v>
      </c>
      <c r="U327" s="164" t="s">
        <v>206</v>
      </c>
      <c r="V327" s="165" t="s">
        <v>153</v>
      </c>
      <c r="W327" s="166" t="s">
        <v>153</v>
      </c>
      <c r="X327" s="167" t="s">
        <v>153</v>
      </c>
      <c r="Y327" s="168" t="s">
        <v>153</v>
      </c>
      <c r="Z327" s="169" t="s">
        <v>153</v>
      </c>
      <c r="AA327" s="170" t="s">
        <v>153</v>
      </c>
      <c r="AB327" s="171" t="s">
        <v>153</v>
      </c>
      <c r="AC327" s="172" t="s">
        <v>153</v>
      </c>
      <c r="AD327" s="173" t="s">
        <v>153</v>
      </c>
      <c r="AE327" s="174" t="s">
        <v>153</v>
      </c>
      <c r="AF327" s="175" t="s">
        <v>153</v>
      </c>
      <c r="AG327" s="176" t="s">
        <v>153</v>
      </c>
      <c r="AH327" s="177" t="s">
        <v>153</v>
      </c>
      <c r="AI327" s="178" t="s">
        <v>153</v>
      </c>
      <c r="AJ327" s="179" t="s">
        <v>153</v>
      </c>
      <c r="AK327" s="180" t="s">
        <v>153</v>
      </c>
      <c r="AL327" s="181" t="s">
        <v>153</v>
      </c>
      <c r="AM327" s="182" t="s">
        <v>153</v>
      </c>
      <c r="AN327" s="183" t="s">
        <v>153</v>
      </c>
      <c r="AO327" s="184" t="s">
        <v>153</v>
      </c>
      <c r="AP327" s="185" t="s">
        <v>153</v>
      </c>
      <c r="AQ327" s="186" t="s">
        <v>153</v>
      </c>
      <c r="AR327" s="187" t="s">
        <v>153</v>
      </c>
      <c r="AS327" s="188" t="s">
        <v>153</v>
      </c>
      <c r="AT327" s="189" t="s">
        <v>2121</v>
      </c>
      <c r="AU327" s="190" t="s">
        <v>153</v>
      </c>
      <c r="AV327" s="191" t="s">
        <v>153</v>
      </c>
      <c r="AW327" s="192" t="s">
        <v>153</v>
      </c>
      <c r="AX327" s="193" t="s">
        <v>153</v>
      </c>
      <c r="AY327" s="194" t="s">
        <v>153</v>
      </c>
      <c r="AZ327" s="195" t="s">
        <v>2121</v>
      </c>
      <c r="BA327" s="196" t="s">
        <v>153</v>
      </c>
      <c r="BB327" s="197" t="s">
        <v>153</v>
      </c>
      <c r="BC327" s="198" t="s">
        <v>153</v>
      </c>
      <c r="BD327" s="199" t="s">
        <v>180</v>
      </c>
      <c r="BE327" s="200" t="s">
        <v>684</v>
      </c>
      <c r="BF327" s="201" t="s">
        <v>7038</v>
      </c>
      <c r="BG327" s="202" t="s">
        <v>153</v>
      </c>
      <c r="BH327" s="203" t="s">
        <v>153</v>
      </c>
      <c r="BI327" s="204" t="s">
        <v>7039</v>
      </c>
      <c r="BJ327" s="205" t="s">
        <v>7040</v>
      </c>
      <c r="BK327" s="206" t="s">
        <v>153</v>
      </c>
      <c r="BL327" s="207" t="s">
        <v>153</v>
      </c>
      <c r="BM327" s="208" t="s">
        <v>7041</v>
      </c>
      <c r="BN327" s="209" t="s">
        <v>153</v>
      </c>
      <c r="BO327" s="210" t="s">
        <v>153</v>
      </c>
      <c r="BP327" s="211" t="s">
        <v>153</v>
      </c>
      <c r="BQ327" s="212">
        <v>44148</v>
      </c>
      <c r="BR327" s="213">
        <v>11773.82</v>
      </c>
      <c r="BS327" s="214" t="s">
        <v>186</v>
      </c>
      <c r="BT327" s="215">
        <v>11773.82</v>
      </c>
      <c r="BU327" s="216" t="s">
        <v>187</v>
      </c>
      <c r="BV327" s="217" t="s">
        <v>1524</v>
      </c>
      <c r="BW327" s="218" t="s">
        <v>1525</v>
      </c>
      <c r="BX327" s="219" t="s">
        <v>1526</v>
      </c>
      <c r="BY327" s="220" t="s">
        <v>225</v>
      </c>
      <c r="BZ327" s="221" t="s">
        <v>153</v>
      </c>
      <c r="CA327" s="222" t="s">
        <v>190</v>
      </c>
      <c r="CB327" s="223">
        <v>44148</v>
      </c>
      <c r="CC327" s="224">
        <v>11773.82</v>
      </c>
      <c r="CD327" s="225" t="s">
        <v>186</v>
      </c>
      <c r="CE327" s="226">
        <v>11773.82</v>
      </c>
      <c r="CF327" s="227" t="s">
        <v>187</v>
      </c>
      <c r="CG327" s="228" t="s">
        <v>1524</v>
      </c>
      <c r="CH327" s="229" t="s">
        <v>1525</v>
      </c>
      <c r="CI327" s="230" t="s">
        <v>1526</v>
      </c>
      <c r="CJ327" s="231" t="s">
        <v>225</v>
      </c>
      <c r="CK327" s="232">
        <v>44148</v>
      </c>
      <c r="CL327" s="233" t="s">
        <v>153</v>
      </c>
      <c r="CM327" s="234" t="s">
        <v>153</v>
      </c>
      <c r="CN327" s="235" t="s">
        <v>190</v>
      </c>
      <c r="CO327" s="236" t="s">
        <v>153</v>
      </c>
      <c r="CP327" s="237" t="s">
        <v>153</v>
      </c>
      <c r="CQ327" s="238" t="s">
        <v>153</v>
      </c>
      <c r="CR327" s="239" t="s">
        <v>153</v>
      </c>
      <c r="CS327" s="240" t="s">
        <v>153</v>
      </c>
      <c r="CT327" s="241" t="s">
        <v>153</v>
      </c>
      <c r="CU327" s="242" t="s">
        <v>153</v>
      </c>
      <c r="CV327" s="243" t="s">
        <v>153</v>
      </c>
      <c r="CW327" s="244" t="s">
        <v>153</v>
      </c>
      <c r="CX327" s="245" t="s">
        <v>153</v>
      </c>
      <c r="CY327" s="246" t="s">
        <v>153</v>
      </c>
      <c r="CZ327" s="247" t="s">
        <v>153</v>
      </c>
      <c r="DA327" s="248" t="s">
        <v>153</v>
      </c>
      <c r="DB327" s="249" t="s">
        <v>153</v>
      </c>
      <c r="DC327" s="250" t="s">
        <v>153</v>
      </c>
      <c r="DD327" s="251" t="s">
        <v>153</v>
      </c>
      <c r="DE327" s="252" t="s">
        <v>153</v>
      </c>
      <c r="DF327" s="253" t="s">
        <v>153</v>
      </c>
      <c r="DG327" s="254" t="s">
        <v>153</v>
      </c>
      <c r="DH327" s="255" t="s">
        <v>153</v>
      </c>
      <c r="DI327" s="256" t="s">
        <v>153</v>
      </c>
      <c r="DJ327" s="257" t="s">
        <v>153</v>
      </c>
      <c r="DK327" s="258" t="s">
        <v>153</v>
      </c>
      <c r="DL327" s="259" t="s">
        <v>153</v>
      </c>
      <c r="DM327" s="260" t="s">
        <v>153</v>
      </c>
      <c r="DN327" s="261" t="s">
        <v>153</v>
      </c>
      <c r="DO327" s="262" t="s">
        <v>153</v>
      </c>
      <c r="DP327" s="263" t="s">
        <v>153</v>
      </c>
      <c r="DQ327" s="264" t="s">
        <v>153</v>
      </c>
      <c r="DR327" s="265" t="s">
        <v>153</v>
      </c>
      <c r="DS327" s="266" t="s">
        <v>153</v>
      </c>
      <c r="DT327" s="267" t="s">
        <v>153</v>
      </c>
      <c r="DU327" s="268" t="s">
        <v>153</v>
      </c>
      <c r="DV327" s="269" t="s">
        <v>153</v>
      </c>
      <c r="DW327" s="270" t="s">
        <v>153</v>
      </c>
      <c r="DX327" s="271" t="s">
        <v>153</v>
      </c>
      <c r="DY327" s="272" t="s">
        <v>153</v>
      </c>
      <c r="DZ327" s="273" t="s">
        <v>191</v>
      </c>
      <c r="EA327" s="274">
        <v>44376</v>
      </c>
      <c r="EB327" s="275">
        <v>11773.82</v>
      </c>
      <c r="EC327" s="276">
        <v>44148</v>
      </c>
      <c r="ED327" s="277" t="s">
        <v>1524</v>
      </c>
      <c r="EE327" s="279" t="str">
        <f>HYPERLINK("https://my.pitchbook.com?c=437054-86", "View company online")</f>
        <v>View company online</v>
      </c>
    </row>
    <row r="328" spans="1:135" x14ac:dyDescent="0.45">
      <c r="A328" s="10" t="s">
        <v>7042</v>
      </c>
      <c r="B328" s="11" t="s">
        <v>7043</v>
      </c>
      <c r="C328" s="12" t="s">
        <v>153</v>
      </c>
      <c r="D328" s="13" t="s">
        <v>153</v>
      </c>
      <c r="E328" s="14" t="s">
        <v>153</v>
      </c>
      <c r="F328" s="15" t="s">
        <v>153</v>
      </c>
      <c r="G328" s="16" t="s">
        <v>7044</v>
      </c>
      <c r="H328" s="17" t="s">
        <v>7045</v>
      </c>
      <c r="I328" s="18" t="s">
        <v>7042</v>
      </c>
      <c r="J328" s="19" t="s">
        <v>7046</v>
      </c>
      <c r="K328" s="20" t="s">
        <v>198</v>
      </c>
      <c r="L328" s="21" t="s">
        <v>984</v>
      </c>
      <c r="M328" s="22" t="s">
        <v>3544</v>
      </c>
      <c r="N328" s="23" t="s">
        <v>7047</v>
      </c>
      <c r="O328" s="24" t="s">
        <v>5594</v>
      </c>
      <c r="P328" s="25" t="s">
        <v>7048</v>
      </c>
      <c r="Q328" s="26" t="s">
        <v>204</v>
      </c>
      <c r="R328" s="27" t="s">
        <v>153</v>
      </c>
      <c r="S328" s="28" t="s">
        <v>163</v>
      </c>
      <c r="T328" s="29" t="s">
        <v>205</v>
      </c>
      <c r="U328" s="30" t="s">
        <v>482</v>
      </c>
      <c r="V328" s="31" t="s">
        <v>7049</v>
      </c>
      <c r="W328" s="32">
        <v>1900</v>
      </c>
      <c r="X328" s="33" t="s">
        <v>7050</v>
      </c>
      <c r="Y328" s="34" t="s">
        <v>153</v>
      </c>
      <c r="Z328" s="35" t="s">
        <v>153</v>
      </c>
      <c r="AA328" s="36">
        <v>1996</v>
      </c>
      <c r="AB328" s="37" t="s">
        <v>153</v>
      </c>
      <c r="AC328" s="38" t="s">
        <v>537</v>
      </c>
      <c r="AD328" s="39" t="s">
        <v>1794</v>
      </c>
      <c r="AE328" s="40" t="s">
        <v>153</v>
      </c>
      <c r="AF328" s="41" t="s">
        <v>153</v>
      </c>
      <c r="AG328" s="42" t="s">
        <v>153</v>
      </c>
      <c r="AH328" s="43" t="s">
        <v>153</v>
      </c>
      <c r="AI328" s="44" t="s">
        <v>153</v>
      </c>
      <c r="AJ328" s="45" t="s">
        <v>153</v>
      </c>
      <c r="AK328" s="46" t="s">
        <v>153</v>
      </c>
      <c r="AL328" s="47" t="s">
        <v>153</v>
      </c>
      <c r="AM328" s="48" t="s">
        <v>153</v>
      </c>
      <c r="AN328" s="49" t="s">
        <v>153</v>
      </c>
      <c r="AO328" s="50" t="s">
        <v>153</v>
      </c>
      <c r="AP328" s="51" t="s">
        <v>153</v>
      </c>
      <c r="AQ328" s="52" t="s">
        <v>153</v>
      </c>
      <c r="AR328" s="53" t="s">
        <v>153</v>
      </c>
      <c r="AS328" s="54" t="s">
        <v>153</v>
      </c>
      <c r="AT328" s="55" t="s">
        <v>7051</v>
      </c>
      <c r="AU328" s="56" t="s">
        <v>7052</v>
      </c>
      <c r="AV328" s="57" t="s">
        <v>7053</v>
      </c>
      <c r="AW328" s="58" t="s">
        <v>3452</v>
      </c>
      <c r="AX328" s="59" t="s">
        <v>177</v>
      </c>
      <c r="AY328" s="60" t="s">
        <v>7054</v>
      </c>
      <c r="AZ328" s="61" t="s">
        <v>179</v>
      </c>
      <c r="BA328" s="62" t="s">
        <v>153</v>
      </c>
      <c r="BB328" s="63" t="s">
        <v>153</v>
      </c>
      <c r="BC328" s="64" t="s">
        <v>153</v>
      </c>
      <c r="BD328" s="65" t="s">
        <v>180</v>
      </c>
      <c r="BE328" s="66" t="s">
        <v>181</v>
      </c>
      <c r="BF328" s="67" t="s">
        <v>7055</v>
      </c>
      <c r="BG328" s="68" t="s">
        <v>153</v>
      </c>
      <c r="BH328" s="69" t="s">
        <v>153</v>
      </c>
      <c r="BI328" s="70" t="s">
        <v>2522</v>
      </c>
      <c r="BJ328" s="71" t="s">
        <v>7056</v>
      </c>
      <c r="BK328" s="72" t="s">
        <v>153</v>
      </c>
      <c r="BL328" s="73" t="s">
        <v>153</v>
      </c>
      <c r="BM328" s="74" t="s">
        <v>7057</v>
      </c>
      <c r="BN328" s="75" t="s">
        <v>153</v>
      </c>
      <c r="BO328" s="76" t="s">
        <v>7058</v>
      </c>
      <c r="BP328" s="77" t="s">
        <v>7059</v>
      </c>
      <c r="BQ328" s="78">
        <v>35431</v>
      </c>
      <c r="BR328" s="79" t="s">
        <v>153</v>
      </c>
      <c r="BS328" s="80" t="s">
        <v>153</v>
      </c>
      <c r="BT328" s="81" t="s">
        <v>153</v>
      </c>
      <c r="BU328" s="82" t="s">
        <v>153</v>
      </c>
      <c r="BV328" s="83" t="s">
        <v>471</v>
      </c>
      <c r="BW328" s="84" t="s">
        <v>153</v>
      </c>
      <c r="BX328" s="85" t="s">
        <v>153</v>
      </c>
      <c r="BY328" s="86" t="s">
        <v>472</v>
      </c>
      <c r="BZ328" s="87" t="s">
        <v>153</v>
      </c>
      <c r="CA328" s="88" t="s">
        <v>190</v>
      </c>
      <c r="CB328" s="89">
        <v>40829</v>
      </c>
      <c r="CC328" s="90">
        <v>11700</v>
      </c>
      <c r="CD328" s="91" t="s">
        <v>186</v>
      </c>
      <c r="CE328" s="92">
        <v>11700</v>
      </c>
      <c r="CF328" s="93" t="s">
        <v>186</v>
      </c>
      <c r="CG328" s="94" t="s">
        <v>226</v>
      </c>
      <c r="CH328" s="95" t="s">
        <v>153</v>
      </c>
      <c r="CI328" s="96" t="s">
        <v>153</v>
      </c>
      <c r="CJ328" s="97" t="s">
        <v>225</v>
      </c>
      <c r="CK328" s="98">
        <v>40829</v>
      </c>
      <c r="CL328" s="99" t="s">
        <v>153</v>
      </c>
      <c r="CM328" s="100" t="s">
        <v>153</v>
      </c>
      <c r="CN328" s="101" t="s">
        <v>190</v>
      </c>
      <c r="CO328" s="102" t="s">
        <v>153</v>
      </c>
      <c r="CP328" s="103" t="s">
        <v>153</v>
      </c>
      <c r="CQ328" s="104" t="s">
        <v>153</v>
      </c>
      <c r="CR328" s="105" t="s">
        <v>153</v>
      </c>
      <c r="CS328" s="106" t="s">
        <v>153</v>
      </c>
      <c r="CT328" s="107" t="s">
        <v>153</v>
      </c>
      <c r="CU328" s="108" t="s">
        <v>153</v>
      </c>
      <c r="CV328" s="109" t="s">
        <v>153</v>
      </c>
      <c r="CW328" s="110" t="s">
        <v>153</v>
      </c>
      <c r="CX328" s="111" t="s">
        <v>153</v>
      </c>
      <c r="CY328" s="112" t="s">
        <v>153</v>
      </c>
      <c r="CZ328" s="113" t="s">
        <v>153</v>
      </c>
      <c r="DA328" s="114" t="s">
        <v>153</v>
      </c>
      <c r="DB328" s="115" t="s">
        <v>153</v>
      </c>
      <c r="DC328" s="116" t="s">
        <v>153</v>
      </c>
      <c r="DD328" s="117" t="s">
        <v>153</v>
      </c>
      <c r="DE328" s="118" t="s">
        <v>153</v>
      </c>
      <c r="DF328" s="119" t="s">
        <v>153</v>
      </c>
      <c r="DG328" s="120" t="s">
        <v>153</v>
      </c>
      <c r="DH328" s="121" t="s">
        <v>153</v>
      </c>
      <c r="DI328" s="122" t="s">
        <v>153</v>
      </c>
      <c r="DJ328" s="123" t="s">
        <v>153</v>
      </c>
      <c r="DK328" s="124" t="s">
        <v>153</v>
      </c>
      <c r="DL328" s="125" t="s">
        <v>153</v>
      </c>
      <c r="DM328" s="126" t="s">
        <v>153</v>
      </c>
      <c r="DN328" s="127" t="s">
        <v>153</v>
      </c>
      <c r="DO328" s="128" t="s">
        <v>153</v>
      </c>
      <c r="DP328" s="129" t="s">
        <v>153</v>
      </c>
      <c r="DQ328" s="130" t="s">
        <v>153</v>
      </c>
      <c r="DR328" s="131" t="s">
        <v>153</v>
      </c>
      <c r="DS328" s="132" t="s">
        <v>153</v>
      </c>
      <c r="DT328" s="133" t="s">
        <v>153</v>
      </c>
      <c r="DU328" s="134" t="s">
        <v>153</v>
      </c>
      <c r="DV328" s="135" t="s">
        <v>153</v>
      </c>
      <c r="DW328" s="136" t="s">
        <v>153</v>
      </c>
      <c r="DX328" s="137" t="s">
        <v>153</v>
      </c>
      <c r="DY328" s="138" t="s">
        <v>153</v>
      </c>
      <c r="DZ328" s="139" t="s">
        <v>191</v>
      </c>
      <c r="EA328" s="140">
        <v>44292</v>
      </c>
      <c r="EB328" s="141">
        <v>11700</v>
      </c>
      <c r="EC328" s="142">
        <v>40829</v>
      </c>
      <c r="ED328" s="143" t="s">
        <v>226</v>
      </c>
      <c r="EE328" s="278" t="str">
        <f>HYPERLINK("https://my.pitchbook.com?c=40999-24", "View company online")</f>
        <v>View company online</v>
      </c>
    </row>
    <row r="329" spans="1:135" x14ac:dyDescent="0.45">
      <c r="A329" s="144" t="s">
        <v>7060</v>
      </c>
      <c r="B329" s="145" t="s">
        <v>7061</v>
      </c>
      <c r="C329" s="146" t="s">
        <v>153</v>
      </c>
      <c r="D329" s="147" t="s">
        <v>153</v>
      </c>
      <c r="E329" s="148" t="s">
        <v>153</v>
      </c>
      <c r="F329" s="149" t="s">
        <v>7062</v>
      </c>
      <c r="G329" s="150" t="s">
        <v>7063</v>
      </c>
      <c r="H329" s="151" t="s">
        <v>7064</v>
      </c>
      <c r="I329" s="152" t="s">
        <v>7060</v>
      </c>
      <c r="J329" s="153" t="s">
        <v>7065</v>
      </c>
      <c r="K329" s="154" t="s">
        <v>198</v>
      </c>
      <c r="L329" s="155" t="s">
        <v>199</v>
      </c>
      <c r="M329" s="156" t="s">
        <v>344</v>
      </c>
      <c r="N329" s="157" t="s">
        <v>345</v>
      </c>
      <c r="O329" s="158" t="s">
        <v>202</v>
      </c>
      <c r="P329" s="159" t="s">
        <v>7066</v>
      </c>
      <c r="Q329" s="160" t="s">
        <v>204</v>
      </c>
      <c r="R329" s="161">
        <v>249.92</v>
      </c>
      <c r="S329" s="162" t="s">
        <v>290</v>
      </c>
      <c r="T329" s="163" t="s">
        <v>291</v>
      </c>
      <c r="U329" s="164" t="s">
        <v>1169</v>
      </c>
      <c r="V329" s="165" t="s">
        <v>7067</v>
      </c>
      <c r="W329" s="166">
        <v>254702</v>
      </c>
      <c r="X329" s="167" t="s">
        <v>7068</v>
      </c>
      <c r="Y329" s="168" t="s">
        <v>1674</v>
      </c>
      <c r="Z329" s="169" t="s">
        <v>7069</v>
      </c>
      <c r="AA329" s="170">
        <v>2000</v>
      </c>
      <c r="AB329" s="171" t="s">
        <v>7062</v>
      </c>
      <c r="AC329" s="172" t="s">
        <v>428</v>
      </c>
      <c r="AD329" s="173" t="s">
        <v>570</v>
      </c>
      <c r="AE329" s="174">
        <v>46017.26</v>
      </c>
      <c r="AF329" s="175">
        <v>29540.78</v>
      </c>
      <c r="AG329" s="176">
        <v>1941.27</v>
      </c>
      <c r="AH329" s="177">
        <v>17275</v>
      </c>
      <c r="AI329" s="178">
        <v>14746.81</v>
      </c>
      <c r="AJ329" s="179">
        <v>2462.17</v>
      </c>
      <c r="AK329" s="180">
        <v>16890.900000000001</v>
      </c>
      <c r="AL329" s="181">
        <v>0</v>
      </c>
      <c r="AM329" s="182">
        <v>7.24</v>
      </c>
      <c r="AN329" s="183" t="s">
        <v>376</v>
      </c>
      <c r="AO329" s="184" t="s">
        <v>7070</v>
      </c>
      <c r="AP329" s="185" t="s">
        <v>7071</v>
      </c>
      <c r="AQ329" s="186" t="s">
        <v>269</v>
      </c>
      <c r="AR329" s="187" t="s">
        <v>7072</v>
      </c>
      <c r="AS329" s="188" t="s">
        <v>7073</v>
      </c>
      <c r="AT329" s="189" t="s">
        <v>7074</v>
      </c>
      <c r="AU329" s="190" t="s">
        <v>7075</v>
      </c>
      <c r="AV329" s="191" t="s">
        <v>7076</v>
      </c>
      <c r="AW329" s="192" t="s">
        <v>6555</v>
      </c>
      <c r="AX329" s="193" t="s">
        <v>153</v>
      </c>
      <c r="AY329" s="194" t="s">
        <v>153</v>
      </c>
      <c r="AZ329" s="195" t="s">
        <v>6555</v>
      </c>
      <c r="BA329" s="196" t="s">
        <v>7073</v>
      </c>
      <c r="BB329" s="197" t="s">
        <v>7077</v>
      </c>
      <c r="BC329" s="198" t="s">
        <v>7078</v>
      </c>
      <c r="BD329" s="199" t="s">
        <v>1406</v>
      </c>
      <c r="BE329" s="200" t="s">
        <v>1407</v>
      </c>
      <c r="BF329" s="201" t="s">
        <v>7079</v>
      </c>
      <c r="BG329" s="202" t="s">
        <v>7080</v>
      </c>
      <c r="BH329" s="203">
        <v>7</v>
      </c>
      <c r="BI329" s="204" t="s">
        <v>153</v>
      </c>
      <c r="BJ329" s="205" t="s">
        <v>7081</v>
      </c>
      <c r="BK329" s="206" t="s">
        <v>153</v>
      </c>
      <c r="BL329" s="207" t="s">
        <v>7082</v>
      </c>
      <c r="BM329" s="208" t="s">
        <v>7083</v>
      </c>
      <c r="BN329" s="209" t="s">
        <v>153</v>
      </c>
      <c r="BO329" s="210" t="s">
        <v>7084</v>
      </c>
      <c r="BP329" s="211" t="s">
        <v>7085</v>
      </c>
      <c r="BQ329" s="212">
        <v>36699</v>
      </c>
      <c r="BR329" s="213">
        <v>249.92</v>
      </c>
      <c r="BS329" s="214" t="s">
        <v>187</v>
      </c>
      <c r="BT329" s="215">
        <v>4998.33</v>
      </c>
      <c r="BU329" s="216" t="s">
        <v>187</v>
      </c>
      <c r="BV329" s="217" t="s">
        <v>251</v>
      </c>
      <c r="BW329" s="218" t="s">
        <v>153</v>
      </c>
      <c r="BX329" s="219" t="s">
        <v>153</v>
      </c>
      <c r="BY329" s="220" t="s">
        <v>252</v>
      </c>
      <c r="BZ329" s="221" t="s">
        <v>153</v>
      </c>
      <c r="CA329" s="222" t="s">
        <v>190</v>
      </c>
      <c r="CB329" s="223">
        <v>42948</v>
      </c>
      <c r="CC329" s="224">
        <v>11700</v>
      </c>
      <c r="CD329" s="225" t="s">
        <v>186</v>
      </c>
      <c r="CE329" s="226">
        <v>33238.639999999999</v>
      </c>
      <c r="CF329" s="227" t="s">
        <v>186</v>
      </c>
      <c r="CG329" s="228" t="s">
        <v>5867</v>
      </c>
      <c r="CH329" s="229" t="s">
        <v>153</v>
      </c>
      <c r="CI329" s="230" t="s">
        <v>153</v>
      </c>
      <c r="CJ329" s="231" t="s">
        <v>225</v>
      </c>
      <c r="CK329" s="232">
        <v>42948</v>
      </c>
      <c r="CL329" s="233" t="s">
        <v>153</v>
      </c>
      <c r="CM329" s="234" t="s">
        <v>153</v>
      </c>
      <c r="CN329" s="235" t="s">
        <v>190</v>
      </c>
      <c r="CO329" s="236">
        <v>-0.51</v>
      </c>
      <c r="CP329" s="237">
        <v>5</v>
      </c>
      <c r="CQ329" s="238">
        <v>-0.03</v>
      </c>
      <c r="CR329" s="239">
        <v>-6.21</v>
      </c>
      <c r="CS329" s="240">
        <v>-1.02</v>
      </c>
      <c r="CT329" s="241">
        <v>4</v>
      </c>
      <c r="CU329" s="242">
        <v>0</v>
      </c>
      <c r="CV329" s="243">
        <v>41</v>
      </c>
      <c r="CW329" s="244">
        <v>-1.65</v>
      </c>
      <c r="CX329" s="245">
        <v>14</v>
      </c>
      <c r="CY329" s="246">
        <v>-0.39</v>
      </c>
      <c r="CZ329" s="247">
        <v>3</v>
      </c>
      <c r="DA329" s="248">
        <v>0</v>
      </c>
      <c r="DB329" s="249">
        <v>41</v>
      </c>
      <c r="DC329" s="250">
        <v>17</v>
      </c>
      <c r="DD329" s="251">
        <v>95</v>
      </c>
      <c r="DE329" s="252">
        <v>-0.11</v>
      </c>
      <c r="DF329" s="253">
        <v>-0.63</v>
      </c>
      <c r="DG329" s="254">
        <v>33.56</v>
      </c>
      <c r="DH329" s="255">
        <v>97</v>
      </c>
      <c r="DI329" s="256">
        <v>0.45</v>
      </c>
      <c r="DJ329" s="257">
        <v>37</v>
      </c>
      <c r="DK329" s="258">
        <v>2.68</v>
      </c>
      <c r="DL329" s="259">
        <v>69</v>
      </c>
      <c r="DM329" s="260">
        <v>64.44</v>
      </c>
      <c r="DN329" s="261">
        <v>99</v>
      </c>
      <c r="DO329" s="262">
        <v>0.45</v>
      </c>
      <c r="DP329" s="263">
        <v>37</v>
      </c>
      <c r="DQ329" s="264">
        <v>1618</v>
      </c>
      <c r="DR329" s="265">
        <v>-113</v>
      </c>
      <c r="DS329" s="266">
        <v>-6.53</v>
      </c>
      <c r="DT329" s="267">
        <v>1034</v>
      </c>
      <c r="DU329" s="268">
        <v>-7</v>
      </c>
      <c r="DV329" s="269">
        <v>-0.67</v>
      </c>
      <c r="DW329" s="270">
        <v>140</v>
      </c>
      <c r="DX329" s="271">
        <v>1</v>
      </c>
      <c r="DY329" s="272">
        <v>0.72</v>
      </c>
      <c r="DZ329" s="273" t="s">
        <v>191</v>
      </c>
      <c r="EA329" s="274">
        <v>44385</v>
      </c>
      <c r="EB329" s="275">
        <v>33238.639999999999</v>
      </c>
      <c r="EC329" s="276">
        <v>42948</v>
      </c>
      <c r="ED329" s="277" t="s">
        <v>5867</v>
      </c>
      <c r="EE329" s="279" t="str">
        <f>HYPERLINK("https://my.pitchbook.com?c=42013-99", "View company online")</f>
        <v>View company online</v>
      </c>
    </row>
    <row r="330" spans="1:135" x14ac:dyDescent="0.45">
      <c r="A330" s="10" t="s">
        <v>7086</v>
      </c>
      <c r="B330" s="11" t="s">
        <v>7087</v>
      </c>
      <c r="C330" s="12" t="s">
        <v>153</v>
      </c>
      <c r="D330" s="13" t="s">
        <v>153</v>
      </c>
      <c r="E330" s="14" t="s">
        <v>153</v>
      </c>
      <c r="F330" s="15" t="s">
        <v>153</v>
      </c>
      <c r="G330" s="16" t="s">
        <v>7088</v>
      </c>
      <c r="H330" s="17" t="s">
        <v>153</v>
      </c>
      <c r="I330" s="18" t="s">
        <v>7086</v>
      </c>
      <c r="J330" s="19" t="s">
        <v>7089</v>
      </c>
      <c r="K330" s="20" t="s">
        <v>157</v>
      </c>
      <c r="L330" s="21" t="s">
        <v>817</v>
      </c>
      <c r="M330" s="22" t="s">
        <v>2107</v>
      </c>
      <c r="N330" s="23" t="s">
        <v>2108</v>
      </c>
      <c r="O330" s="24" t="s">
        <v>261</v>
      </c>
      <c r="P330" s="25" t="s">
        <v>153</v>
      </c>
      <c r="Q330" s="26" t="s">
        <v>204</v>
      </c>
      <c r="R330" s="27">
        <v>11700</v>
      </c>
      <c r="S330" s="28" t="s">
        <v>290</v>
      </c>
      <c r="T330" s="29" t="s">
        <v>205</v>
      </c>
      <c r="U330" s="30" t="s">
        <v>237</v>
      </c>
      <c r="V330" s="31" t="s">
        <v>153</v>
      </c>
      <c r="W330" s="32">
        <v>4610</v>
      </c>
      <c r="X330" s="33" t="s">
        <v>7090</v>
      </c>
      <c r="Y330" s="34" t="s">
        <v>153</v>
      </c>
      <c r="Z330" s="35" t="s">
        <v>153</v>
      </c>
      <c r="AA330" s="36" t="s">
        <v>153</v>
      </c>
      <c r="AB330" s="37" t="s">
        <v>153</v>
      </c>
      <c r="AC330" s="38" t="s">
        <v>153</v>
      </c>
      <c r="AD330" s="39" t="s">
        <v>153</v>
      </c>
      <c r="AE330" s="40" t="s">
        <v>153</v>
      </c>
      <c r="AF330" s="41" t="s">
        <v>153</v>
      </c>
      <c r="AG330" s="42" t="s">
        <v>153</v>
      </c>
      <c r="AH330" s="43" t="s">
        <v>153</v>
      </c>
      <c r="AI330" s="44" t="s">
        <v>153</v>
      </c>
      <c r="AJ330" s="45" t="s">
        <v>153</v>
      </c>
      <c r="AK330" s="46" t="s">
        <v>153</v>
      </c>
      <c r="AL330" s="47" t="s">
        <v>153</v>
      </c>
      <c r="AM330" s="48" t="s">
        <v>153</v>
      </c>
      <c r="AN330" s="49" t="s">
        <v>5196</v>
      </c>
      <c r="AO330" s="50" t="s">
        <v>153</v>
      </c>
      <c r="AP330" s="51" t="s">
        <v>153</v>
      </c>
      <c r="AQ330" s="52" t="s">
        <v>153</v>
      </c>
      <c r="AR330" s="53" t="s">
        <v>153</v>
      </c>
      <c r="AS330" s="54" t="s">
        <v>153</v>
      </c>
      <c r="AT330" s="55" t="s">
        <v>7091</v>
      </c>
      <c r="AU330" s="56" t="s">
        <v>7092</v>
      </c>
      <c r="AV330" s="57" t="s">
        <v>7093</v>
      </c>
      <c r="AW330" s="58" t="s">
        <v>7094</v>
      </c>
      <c r="AX330" s="59" t="s">
        <v>213</v>
      </c>
      <c r="AY330" s="60" t="s">
        <v>7095</v>
      </c>
      <c r="AZ330" s="61" t="s">
        <v>215</v>
      </c>
      <c r="BA330" s="62" t="s">
        <v>7096</v>
      </c>
      <c r="BB330" s="63" t="s">
        <v>7097</v>
      </c>
      <c r="BC330" s="64" t="s">
        <v>153</v>
      </c>
      <c r="BD330" s="65" t="s">
        <v>216</v>
      </c>
      <c r="BE330" s="66" t="s">
        <v>217</v>
      </c>
      <c r="BF330" s="67" t="s">
        <v>7098</v>
      </c>
      <c r="BG330" s="68" t="s">
        <v>7099</v>
      </c>
      <c r="BH330" s="69">
        <v>1</v>
      </c>
      <c r="BI330" s="70" t="s">
        <v>153</v>
      </c>
      <c r="BJ330" s="71" t="s">
        <v>153</v>
      </c>
      <c r="BK330" s="72" t="s">
        <v>153</v>
      </c>
      <c r="BL330" s="73" t="s">
        <v>7100</v>
      </c>
      <c r="BM330" s="74" t="s">
        <v>153</v>
      </c>
      <c r="BN330" s="75" t="s">
        <v>153</v>
      </c>
      <c r="BO330" s="76" t="s">
        <v>153</v>
      </c>
      <c r="BP330" s="77" t="s">
        <v>7101</v>
      </c>
      <c r="BQ330" s="78">
        <v>39819</v>
      </c>
      <c r="BR330" s="79">
        <v>11700</v>
      </c>
      <c r="BS330" s="80" t="s">
        <v>186</v>
      </c>
      <c r="BT330" s="81">
        <v>11700</v>
      </c>
      <c r="BU330" s="82" t="s">
        <v>186</v>
      </c>
      <c r="BV330" s="83" t="s">
        <v>3319</v>
      </c>
      <c r="BW330" s="84" t="s">
        <v>153</v>
      </c>
      <c r="BX330" s="85" t="s">
        <v>153</v>
      </c>
      <c r="BY330" s="86" t="s">
        <v>225</v>
      </c>
      <c r="BZ330" s="87" t="s">
        <v>153</v>
      </c>
      <c r="CA330" s="88" t="s">
        <v>190</v>
      </c>
      <c r="CB330" s="89">
        <v>39819</v>
      </c>
      <c r="CC330" s="90">
        <v>11700</v>
      </c>
      <c r="CD330" s="91" t="s">
        <v>186</v>
      </c>
      <c r="CE330" s="92">
        <v>11700</v>
      </c>
      <c r="CF330" s="93" t="s">
        <v>186</v>
      </c>
      <c r="CG330" s="94" t="s">
        <v>3319</v>
      </c>
      <c r="CH330" s="95" t="s">
        <v>153</v>
      </c>
      <c r="CI330" s="96" t="s">
        <v>153</v>
      </c>
      <c r="CJ330" s="97" t="s">
        <v>225</v>
      </c>
      <c r="CK330" s="98">
        <v>39819</v>
      </c>
      <c r="CL330" s="99" t="s">
        <v>153</v>
      </c>
      <c r="CM330" s="100" t="s">
        <v>153</v>
      </c>
      <c r="CN330" s="101" t="s">
        <v>190</v>
      </c>
      <c r="CO330" s="102" t="s">
        <v>153</v>
      </c>
      <c r="CP330" s="103" t="s">
        <v>153</v>
      </c>
      <c r="CQ330" s="104" t="s">
        <v>153</v>
      </c>
      <c r="CR330" s="105" t="s">
        <v>153</v>
      </c>
      <c r="CS330" s="106" t="s">
        <v>153</v>
      </c>
      <c r="CT330" s="107" t="s">
        <v>153</v>
      </c>
      <c r="CU330" s="108" t="s">
        <v>153</v>
      </c>
      <c r="CV330" s="109" t="s">
        <v>153</v>
      </c>
      <c r="CW330" s="110" t="s">
        <v>153</v>
      </c>
      <c r="CX330" s="111" t="s">
        <v>153</v>
      </c>
      <c r="CY330" s="112" t="s">
        <v>153</v>
      </c>
      <c r="CZ330" s="113" t="s">
        <v>153</v>
      </c>
      <c r="DA330" s="114" t="s">
        <v>153</v>
      </c>
      <c r="DB330" s="115" t="s">
        <v>153</v>
      </c>
      <c r="DC330" s="116" t="s">
        <v>153</v>
      </c>
      <c r="DD330" s="117" t="s">
        <v>153</v>
      </c>
      <c r="DE330" s="118" t="s">
        <v>153</v>
      </c>
      <c r="DF330" s="119" t="s">
        <v>153</v>
      </c>
      <c r="DG330" s="120" t="s">
        <v>153</v>
      </c>
      <c r="DH330" s="121" t="s">
        <v>153</v>
      </c>
      <c r="DI330" s="122" t="s">
        <v>153</v>
      </c>
      <c r="DJ330" s="123" t="s">
        <v>153</v>
      </c>
      <c r="DK330" s="124" t="s">
        <v>153</v>
      </c>
      <c r="DL330" s="125" t="s">
        <v>153</v>
      </c>
      <c r="DM330" s="126" t="s">
        <v>153</v>
      </c>
      <c r="DN330" s="127" t="s">
        <v>153</v>
      </c>
      <c r="DO330" s="128" t="s">
        <v>153</v>
      </c>
      <c r="DP330" s="129" t="s">
        <v>153</v>
      </c>
      <c r="DQ330" s="130" t="s">
        <v>153</v>
      </c>
      <c r="DR330" s="131" t="s">
        <v>153</v>
      </c>
      <c r="DS330" s="132" t="s">
        <v>153</v>
      </c>
      <c r="DT330" s="133" t="s">
        <v>153</v>
      </c>
      <c r="DU330" s="134" t="s">
        <v>153</v>
      </c>
      <c r="DV330" s="135" t="s">
        <v>153</v>
      </c>
      <c r="DW330" s="136" t="s">
        <v>153</v>
      </c>
      <c r="DX330" s="137" t="s">
        <v>153</v>
      </c>
      <c r="DY330" s="138" t="s">
        <v>153</v>
      </c>
      <c r="DZ330" s="139" t="s">
        <v>191</v>
      </c>
      <c r="EA330" s="140">
        <v>44389</v>
      </c>
      <c r="EB330" s="141">
        <v>11700</v>
      </c>
      <c r="EC330" s="142">
        <v>39819</v>
      </c>
      <c r="ED330" s="143" t="s">
        <v>3319</v>
      </c>
      <c r="EE330" s="278" t="str">
        <f>HYPERLINK("https://my.pitchbook.com?c=11738-98", "View company online")</f>
        <v>View company online</v>
      </c>
    </row>
    <row r="331" spans="1:135" x14ac:dyDescent="0.45">
      <c r="A331" s="144" t="s">
        <v>7102</v>
      </c>
      <c r="B331" s="145" t="s">
        <v>6667</v>
      </c>
      <c r="C331" s="146" t="s">
        <v>153</v>
      </c>
      <c r="D331" s="147" t="s">
        <v>153</v>
      </c>
      <c r="E331" s="148" t="s">
        <v>153</v>
      </c>
      <c r="F331" s="149" t="s">
        <v>153</v>
      </c>
      <c r="G331" s="150" t="s">
        <v>7103</v>
      </c>
      <c r="H331" s="151" t="s">
        <v>7104</v>
      </c>
      <c r="I331" s="152" t="s">
        <v>7102</v>
      </c>
      <c r="J331" s="153" t="s">
        <v>7105</v>
      </c>
      <c r="K331" s="154" t="s">
        <v>157</v>
      </c>
      <c r="L331" s="155" t="s">
        <v>421</v>
      </c>
      <c r="M331" s="156" t="s">
        <v>422</v>
      </c>
      <c r="N331" s="157" t="s">
        <v>7106</v>
      </c>
      <c r="O331" s="158" t="s">
        <v>399</v>
      </c>
      <c r="P331" s="159" t="s">
        <v>7107</v>
      </c>
      <c r="Q331" s="160" t="s">
        <v>204</v>
      </c>
      <c r="R331" s="161" t="s">
        <v>153</v>
      </c>
      <c r="S331" s="162" t="s">
        <v>290</v>
      </c>
      <c r="T331" s="163" t="s">
        <v>205</v>
      </c>
      <c r="U331" s="164" t="s">
        <v>237</v>
      </c>
      <c r="V331" s="165" t="s">
        <v>7108</v>
      </c>
      <c r="W331" s="166">
        <v>12100</v>
      </c>
      <c r="X331" s="167" t="s">
        <v>7109</v>
      </c>
      <c r="Y331" s="168" t="s">
        <v>153</v>
      </c>
      <c r="Z331" s="169" t="s">
        <v>153</v>
      </c>
      <c r="AA331" s="170">
        <v>1971</v>
      </c>
      <c r="AB331" s="171" t="s">
        <v>153</v>
      </c>
      <c r="AC331" s="172" t="s">
        <v>153</v>
      </c>
      <c r="AD331" s="173" t="s">
        <v>153</v>
      </c>
      <c r="AE331" s="174" t="s">
        <v>153</v>
      </c>
      <c r="AF331" s="175" t="s">
        <v>153</v>
      </c>
      <c r="AG331" s="176" t="s">
        <v>153</v>
      </c>
      <c r="AH331" s="177" t="s">
        <v>153</v>
      </c>
      <c r="AI331" s="178" t="s">
        <v>153</v>
      </c>
      <c r="AJ331" s="179" t="s">
        <v>153</v>
      </c>
      <c r="AK331" s="180" t="s">
        <v>153</v>
      </c>
      <c r="AL331" s="181" t="s">
        <v>153</v>
      </c>
      <c r="AM331" s="182" t="s">
        <v>153</v>
      </c>
      <c r="AN331" s="183" t="s">
        <v>456</v>
      </c>
      <c r="AO331" s="184" t="s">
        <v>7110</v>
      </c>
      <c r="AP331" s="185" t="s">
        <v>7111</v>
      </c>
      <c r="AQ331" s="186" t="s">
        <v>573</v>
      </c>
      <c r="AR331" s="187" t="s">
        <v>153</v>
      </c>
      <c r="AS331" s="188" t="s">
        <v>153</v>
      </c>
      <c r="AT331" s="189" t="s">
        <v>433</v>
      </c>
      <c r="AU331" s="190" t="s">
        <v>7112</v>
      </c>
      <c r="AV331" s="191" t="s">
        <v>7113</v>
      </c>
      <c r="AW331" s="192" t="s">
        <v>436</v>
      </c>
      <c r="AX331" s="193" t="s">
        <v>436</v>
      </c>
      <c r="AY331" s="194" t="s">
        <v>515</v>
      </c>
      <c r="AZ331" s="195" t="s">
        <v>215</v>
      </c>
      <c r="BA331" s="196" t="s">
        <v>153</v>
      </c>
      <c r="BB331" s="197" t="s">
        <v>153</v>
      </c>
      <c r="BC331" s="198" t="s">
        <v>153</v>
      </c>
      <c r="BD331" s="199" t="s">
        <v>216</v>
      </c>
      <c r="BE331" s="200" t="s">
        <v>217</v>
      </c>
      <c r="BF331" s="201" t="s">
        <v>7114</v>
      </c>
      <c r="BG331" s="202" t="s">
        <v>153</v>
      </c>
      <c r="BH331" s="203" t="s">
        <v>153</v>
      </c>
      <c r="BI331" s="204" t="s">
        <v>7115</v>
      </c>
      <c r="BJ331" s="205" t="s">
        <v>7116</v>
      </c>
      <c r="BK331" s="206" t="s">
        <v>153</v>
      </c>
      <c r="BL331" s="207" t="s">
        <v>153</v>
      </c>
      <c r="BM331" s="208" t="s">
        <v>7117</v>
      </c>
      <c r="BN331" s="209" t="s">
        <v>153</v>
      </c>
      <c r="BO331" s="210" t="s">
        <v>7118</v>
      </c>
      <c r="BP331" s="211" t="s">
        <v>7119</v>
      </c>
      <c r="BQ331" s="212" t="s">
        <v>153</v>
      </c>
      <c r="BR331" s="213" t="s">
        <v>153</v>
      </c>
      <c r="BS331" s="214" t="s">
        <v>153</v>
      </c>
      <c r="BT331" s="215" t="s">
        <v>153</v>
      </c>
      <c r="BU331" s="216" t="s">
        <v>153</v>
      </c>
      <c r="BV331" s="217" t="s">
        <v>251</v>
      </c>
      <c r="BW331" s="218" t="s">
        <v>153</v>
      </c>
      <c r="BX331" s="219" t="s">
        <v>153</v>
      </c>
      <c r="BY331" s="220" t="s">
        <v>252</v>
      </c>
      <c r="BZ331" s="221" t="s">
        <v>153</v>
      </c>
      <c r="CA331" s="222" t="s">
        <v>190</v>
      </c>
      <c r="CB331" s="223">
        <v>43803</v>
      </c>
      <c r="CC331" s="224">
        <v>11700</v>
      </c>
      <c r="CD331" s="225" t="s">
        <v>186</v>
      </c>
      <c r="CE331" s="226">
        <v>11700</v>
      </c>
      <c r="CF331" s="227" t="s">
        <v>187</v>
      </c>
      <c r="CG331" s="228" t="s">
        <v>226</v>
      </c>
      <c r="CH331" s="229" t="s">
        <v>153</v>
      </c>
      <c r="CI331" s="230" t="s">
        <v>153</v>
      </c>
      <c r="CJ331" s="231" t="s">
        <v>225</v>
      </c>
      <c r="CK331" s="232">
        <v>43803</v>
      </c>
      <c r="CL331" s="233" t="s">
        <v>153</v>
      </c>
      <c r="CM331" s="234" t="s">
        <v>153</v>
      </c>
      <c r="CN331" s="235" t="s">
        <v>190</v>
      </c>
      <c r="CO331" s="236" t="s">
        <v>153</v>
      </c>
      <c r="CP331" s="237" t="s">
        <v>153</v>
      </c>
      <c r="CQ331" s="238" t="s">
        <v>153</v>
      </c>
      <c r="CR331" s="239" t="s">
        <v>153</v>
      </c>
      <c r="CS331" s="240" t="s">
        <v>153</v>
      </c>
      <c r="CT331" s="241" t="s">
        <v>153</v>
      </c>
      <c r="CU331" s="242" t="s">
        <v>153</v>
      </c>
      <c r="CV331" s="243" t="s">
        <v>153</v>
      </c>
      <c r="CW331" s="244" t="s">
        <v>153</v>
      </c>
      <c r="CX331" s="245" t="s">
        <v>153</v>
      </c>
      <c r="CY331" s="246" t="s">
        <v>153</v>
      </c>
      <c r="CZ331" s="247" t="s">
        <v>153</v>
      </c>
      <c r="DA331" s="248" t="s">
        <v>153</v>
      </c>
      <c r="DB331" s="249" t="s">
        <v>153</v>
      </c>
      <c r="DC331" s="250" t="s">
        <v>153</v>
      </c>
      <c r="DD331" s="251" t="s">
        <v>153</v>
      </c>
      <c r="DE331" s="252" t="s">
        <v>153</v>
      </c>
      <c r="DF331" s="253" t="s">
        <v>153</v>
      </c>
      <c r="DG331" s="254" t="s">
        <v>153</v>
      </c>
      <c r="DH331" s="255" t="s">
        <v>153</v>
      </c>
      <c r="DI331" s="256" t="s">
        <v>153</v>
      </c>
      <c r="DJ331" s="257" t="s">
        <v>153</v>
      </c>
      <c r="DK331" s="258" t="s">
        <v>153</v>
      </c>
      <c r="DL331" s="259" t="s">
        <v>153</v>
      </c>
      <c r="DM331" s="260" t="s">
        <v>153</v>
      </c>
      <c r="DN331" s="261" t="s">
        <v>153</v>
      </c>
      <c r="DO331" s="262" t="s">
        <v>153</v>
      </c>
      <c r="DP331" s="263" t="s">
        <v>153</v>
      </c>
      <c r="DQ331" s="264" t="s">
        <v>153</v>
      </c>
      <c r="DR331" s="265" t="s">
        <v>153</v>
      </c>
      <c r="DS331" s="266" t="s">
        <v>153</v>
      </c>
      <c r="DT331" s="267" t="s">
        <v>153</v>
      </c>
      <c r="DU331" s="268" t="s">
        <v>153</v>
      </c>
      <c r="DV331" s="269" t="s">
        <v>153</v>
      </c>
      <c r="DW331" s="270" t="s">
        <v>153</v>
      </c>
      <c r="DX331" s="271" t="s">
        <v>153</v>
      </c>
      <c r="DY331" s="272" t="s">
        <v>153</v>
      </c>
      <c r="DZ331" s="273" t="s">
        <v>191</v>
      </c>
      <c r="EA331" s="274">
        <v>44333</v>
      </c>
      <c r="EB331" s="275">
        <v>11700</v>
      </c>
      <c r="EC331" s="276">
        <v>43803</v>
      </c>
      <c r="ED331" s="277" t="s">
        <v>226</v>
      </c>
      <c r="EE331" s="279" t="str">
        <f>HYPERLINK("https://my.pitchbook.com?c=41604-13", "View company online")</f>
        <v>View company online</v>
      </c>
    </row>
    <row r="332" spans="1:135" x14ac:dyDescent="0.45">
      <c r="A332" s="10" t="s">
        <v>7120</v>
      </c>
      <c r="B332" s="11" t="s">
        <v>7121</v>
      </c>
      <c r="C332" s="12" t="s">
        <v>153</v>
      </c>
      <c r="D332" s="13" t="s">
        <v>153</v>
      </c>
      <c r="E332" s="14" t="s">
        <v>7122</v>
      </c>
      <c r="F332" s="15" t="s">
        <v>7123</v>
      </c>
      <c r="G332" s="16" t="s">
        <v>7124</v>
      </c>
      <c r="H332" s="17" t="s">
        <v>7125</v>
      </c>
      <c r="I332" s="18" t="s">
        <v>7120</v>
      </c>
      <c r="J332" s="19" t="s">
        <v>7126</v>
      </c>
      <c r="K332" s="20" t="s">
        <v>157</v>
      </c>
      <c r="L332" s="21" t="s">
        <v>4190</v>
      </c>
      <c r="M332" s="22" t="s">
        <v>7127</v>
      </c>
      <c r="N332" s="23" t="s">
        <v>7128</v>
      </c>
      <c r="O332" s="24" t="s">
        <v>153</v>
      </c>
      <c r="P332" s="25" t="s">
        <v>7129</v>
      </c>
      <c r="Q332" s="26" t="s">
        <v>204</v>
      </c>
      <c r="R332" s="27" t="s">
        <v>153</v>
      </c>
      <c r="S332" s="28" t="s">
        <v>290</v>
      </c>
      <c r="T332" s="29" t="s">
        <v>205</v>
      </c>
      <c r="U332" s="30" t="s">
        <v>369</v>
      </c>
      <c r="V332" s="31" t="s">
        <v>7130</v>
      </c>
      <c r="W332" s="32">
        <v>188000</v>
      </c>
      <c r="X332" s="33" t="s">
        <v>7131</v>
      </c>
      <c r="Y332" s="34" t="s">
        <v>153</v>
      </c>
      <c r="Z332" s="35" t="s">
        <v>153</v>
      </c>
      <c r="AA332" s="36">
        <v>1969</v>
      </c>
      <c r="AB332" s="37" t="s">
        <v>153</v>
      </c>
      <c r="AC332" s="38" t="s">
        <v>153</v>
      </c>
      <c r="AD332" s="39" t="s">
        <v>428</v>
      </c>
      <c r="AE332" s="40" t="s">
        <v>153</v>
      </c>
      <c r="AF332" s="41" t="s">
        <v>153</v>
      </c>
      <c r="AG332" s="42" t="s">
        <v>153</v>
      </c>
      <c r="AH332" s="43" t="s">
        <v>153</v>
      </c>
      <c r="AI332" s="44" t="s">
        <v>153</v>
      </c>
      <c r="AJ332" s="45" t="s">
        <v>153</v>
      </c>
      <c r="AK332" s="46" t="s">
        <v>153</v>
      </c>
      <c r="AL332" s="47" t="s">
        <v>153</v>
      </c>
      <c r="AM332" s="48" t="s">
        <v>153</v>
      </c>
      <c r="AN332" s="49" t="s">
        <v>5666</v>
      </c>
      <c r="AO332" s="50" t="s">
        <v>153</v>
      </c>
      <c r="AP332" s="51" t="s">
        <v>153</v>
      </c>
      <c r="AQ332" s="52" t="s">
        <v>153</v>
      </c>
      <c r="AR332" s="53" t="s">
        <v>153</v>
      </c>
      <c r="AS332" s="54" t="s">
        <v>153</v>
      </c>
      <c r="AT332" s="55" t="s">
        <v>946</v>
      </c>
      <c r="AU332" s="56" t="s">
        <v>7132</v>
      </c>
      <c r="AV332" s="57" t="s">
        <v>153</v>
      </c>
      <c r="AW332" s="58" t="s">
        <v>948</v>
      </c>
      <c r="AX332" s="59" t="s">
        <v>213</v>
      </c>
      <c r="AY332" s="60" t="s">
        <v>7133</v>
      </c>
      <c r="AZ332" s="61" t="s">
        <v>215</v>
      </c>
      <c r="BA332" s="62" t="s">
        <v>153</v>
      </c>
      <c r="BB332" s="63" t="s">
        <v>153</v>
      </c>
      <c r="BC332" s="64" t="s">
        <v>153</v>
      </c>
      <c r="BD332" s="65" t="s">
        <v>216</v>
      </c>
      <c r="BE332" s="66" t="s">
        <v>217</v>
      </c>
      <c r="BF332" s="67" t="s">
        <v>7134</v>
      </c>
      <c r="BG332" s="68" t="s">
        <v>153</v>
      </c>
      <c r="BH332" s="69" t="s">
        <v>153</v>
      </c>
      <c r="BI332" s="70" t="s">
        <v>7135</v>
      </c>
      <c r="BJ332" s="71" t="s">
        <v>7136</v>
      </c>
      <c r="BK332" s="72" t="s">
        <v>7137</v>
      </c>
      <c r="BL332" s="73" t="s">
        <v>153</v>
      </c>
      <c r="BM332" s="74" t="s">
        <v>7138</v>
      </c>
      <c r="BN332" s="75" t="s">
        <v>7139</v>
      </c>
      <c r="BO332" s="76" t="s">
        <v>7140</v>
      </c>
      <c r="BP332" s="77" t="s">
        <v>7141</v>
      </c>
      <c r="BQ332" s="78" t="s">
        <v>153</v>
      </c>
      <c r="BR332" s="79" t="s">
        <v>153</v>
      </c>
      <c r="BS332" s="80" t="s">
        <v>153</v>
      </c>
      <c r="BT332" s="81" t="s">
        <v>153</v>
      </c>
      <c r="BU332" s="82" t="s">
        <v>153</v>
      </c>
      <c r="BV332" s="83" t="s">
        <v>709</v>
      </c>
      <c r="BW332" s="84" t="s">
        <v>153</v>
      </c>
      <c r="BX332" s="85" t="s">
        <v>153</v>
      </c>
      <c r="BY332" s="86" t="s">
        <v>165</v>
      </c>
      <c r="BZ332" s="87" t="s">
        <v>153</v>
      </c>
      <c r="CA332" s="88" t="s">
        <v>190</v>
      </c>
      <c r="CB332" s="89">
        <v>42636</v>
      </c>
      <c r="CC332" s="90">
        <v>11681</v>
      </c>
      <c r="CD332" s="91" t="s">
        <v>186</v>
      </c>
      <c r="CE332" s="92">
        <v>11681</v>
      </c>
      <c r="CF332" s="93" t="s">
        <v>187</v>
      </c>
      <c r="CG332" s="94" t="s">
        <v>226</v>
      </c>
      <c r="CH332" s="95" t="s">
        <v>153</v>
      </c>
      <c r="CI332" s="96" t="s">
        <v>153</v>
      </c>
      <c r="CJ332" s="97" t="s">
        <v>225</v>
      </c>
      <c r="CK332" s="98">
        <v>42636</v>
      </c>
      <c r="CL332" s="99">
        <v>4000</v>
      </c>
      <c r="CM332" s="100" t="s">
        <v>2256</v>
      </c>
      <c r="CN332" s="101" t="s">
        <v>190</v>
      </c>
      <c r="CO332" s="102" t="s">
        <v>153</v>
      </c>
      <c r="CP332" s="103" t="s">
        <v>153</v>
      </c>
      <c r="CQ332" s="104" t="s">
        <v>153</v>
      </c>
      <c r="CR332" s="105" t="s">
        <v>153</v>
      </c>
      <c r="CS332" s="106" t="s">
        <v>153</v>
      </c>
      <c r="CT332" s="107" t="s">
        <v>153</v>
      </c>
      <c r="CU332" s="108" t="s">
        <v>153</v>
      </c>
      <c r="CV332" s="109" t="s">
        <v>153</v>
      </c>
      <c r="CW332" s="110" t="s">
        <v>153</v>
      </c>
      <c r="CX332" s="111" t="s">
        <v>153</v>
      </c>
      <c r="CY332" s="112" t="s">
        <v>153</v>
      </c>
      <c r="CZ332" s="113" t="s">
        <v>153</v>
      </c>
      <c r="DA332" s="114" t="s">
        <v>153</v>
      </c>
      <c r="DB332" s="115" t="s">
        <v>153</v>
      </c>
      <c r="DC332" s="116" t="s">
        <v>153</v>
      </c>
      <c r="DD332" s="117" t="s">
        <v>153</v>
      </c>
      <c r="DE332" s="118" t="s">
        <v>153</v>
      </c>
      <c r="DF332" s="119" t="s">
        <v>153</v>
      </c>
      <c r="DG332" s="120" t="s">
        <v>153</v>
      </c>
      <c r="DH332" s="121" t="s">
        <v>153</v>
      </c>
      <c r="DI332" s="122" t="s">
        <v>153</v>
      </c>
      <c r="DJ332" s="123" t="s">
        <v>153</v>
      </c>
      <c r="DK332" s="124" t="s">
        <v>153</v>
      </c>
      <c r="DL332" s="125" t="s">
        <v>153</v>
      </c>
      <c r="DM332" s="126" t="s">
        <v>153</v>
      </c>
      <c r="DN332" s="127" t="s">
        <v>153</v>
      </c>
      <c r="DO332" s="128" t="s">
        <v>153</v>
      </c>
      <c r="DP332" s="129" t="s">
        <v>153</v>
      </c>
      <c r="DQ332" s="130" t="s">
        <v>153</v>
      </c>
      <c r="DR332" s="131" t="s">
        <v>153</v>
      </c>
      <c r="DS332" s="132" t="s">
        <v>153</v>
      </c>
      <c r="DT332" s="133" t="s">
        <v>153</v>
      </c>
      <c r="DU332" s="134" t="s">
        <v>153</v>
      </c>
      <c r="DV332" s="135" t="s">
        <v>153</v>
      </c>
      <c r="DW332" s="136" t="s">
        <v>153</v>
      </c>
      <c r="DX332" s="137" t="s">
        <v>153</v>
      </c>
      <c r="DY332" s="138" t="s">
        <v>153</v>
      </c>
      <c r="DZ332" s="139" t="s">
        <v>191</v>
      </c>
      <c r="EA332" s="140">
        <v>44382</v>
      </c>
      <c r="EB332" s="141">
        <v>11681</v>
      </c>
      <c r="EC332" s="142">
        <v>42636</v>
      </c>
      <c r="ED332" s="143" t="s">
        <v>226</v>
      </c>
      <c r="EE332" s="278" t="str">
        <f>HYPERLINK("https://my.pitchbook.com?c=41359-24", "View company online")</f>
        <v>View company online</v>
      </c>
    </row>
    <row r="333" spans="1:135" x14ac:dyDescent="0.45">
      <c r="A333" s="144" t="s">
        <v>7142</v>
      </c>
      <c r="B333" s="145" t="s">
        <v>7143</v>
      </c>
      <c r="C333" s="146" t="s">
        <v>153</v>
      </c>
      <c r="D333" s="147" t="s">
        <v>153</v>
      </c>
      <c r="E333" s="148" t="s">
        <v>7144</v>
      </c>
      <c r="F333" s="149" t="s">
        <v>7145</v>
      </c>
      <c r="G333" s="150" t="s">
        <v>7146</v>
      </c>
      <c r="H333" s="151" t="s">
        <v>7147</v>
      </c>
      <c r="I333" s="152" t="s">
        <v>7142</v>
      </c>
      <c r="J333" s="153" t="s">
        <v>7148</v>
      </c>
      <c r="K333" s="154" t="s">
        <v>232</v>
      </c>
      <c r="L333" s="155" t="s">
        <v>233</v>
      </c>
      <c r="M333" s="156" t="s">
        <v>4039</v>
      </c>
      <c r="N333" s="157" t="s">
        <v>5193</v>
      </c>
      <c r="O333" s="158" t="s">
        <v>153</v>
      </c>
      <c r="P333" s="159" t="s">
        <v>7149</v>
      </c>
      <c r="Q333" s="160" t="s">
        <v>204</v>
      </c>
      <c r="R333" s="161" t="s">
        <v>153</v>
      </c>
      <c r="S333" s="162" t="s">
        <v>163</v>
      </c>
      <c r="T333" s="163" t="s">
        <v>164</v>
      </c>
      <c r="U333" s="164" t="s">
        <v>237</v>
      </c>
      <c r="V333" s="165" t="s">
        <v>7150</v>
      </c>
      <c r="W333" s="166">
        <v>11000</v>
      </c>
      <c r="X333" s="167" t="s">
        <v>7151</v>
      </c>
      <c r="Y333" s="168" t="s">
        <v>153</v>
      </c>
      <c r="Z333" s="169" t="s">
        <v>153</v>
      </c>
      <c r="AA333" s="170">
        <v>1964</v>
      </c>
      <c r="AB333" s="171" t="s">
        <v>6795</v>
      </c>
      <c r="AC333" s="172" t="s">
        <v>428</v>
      </c>
      <c r="AD333" s="173" t="s">
        <v>570</v>
      </c>
      <c r="AE333" s="174" t="s">
        <v>153</v>
      </c>
      <c r="AF333" s="175" t="s">
        <v>153</v>
      </c>
      <c r="AG333" s="176" t="s">
        <v>153</v>
      </c>
      <c r="AH333" s="177" t="s">
        <v>153</v>
      </c>
      <c r="AI333" s="178" t="s">
        <v>153</v>
      </c>
      <c r="AJ333" s="179" t="s">
        <v>153</v>
      </c>
      <c r="AK333" s="180" t="s">
        <v>153</v>
      </c>
      <c r="AL333" s="181" t="s">
        <v>153</v>
      </c>
      <c r="AM333" s="182" t="s">
        <v>153</v>
      </c>
      <c r="AN333" s="183" t="s">
        <v>4622</v>
      </c>
      <c r="AO333" s="184" t="s">
        <v>7152</v>
      </c>
      <c r="AP333" s="185" t="s">
        <v>7153</v>
      </c>
      <c r="AQ333" s="186" t="s">
        <v>7154</v>
      </c>
      <c r="AR333" s="187" t="s">
        <v>7155</v>
      </c>
      <c r="AS333" s="188" t="s">
        <v>7156</v>
      </c>
      <c r="AT333" s="189" t="s">
        <v>1124</v>
      </c>
      <c r="AU333" s="190" t="s">
        <v>7157</v>
      </c>
      <c r="AV333" s="191" t="s">
        <v>7158</v>
      </c>
      <c r="AW333" s="192" t="s">
        <v>1127</v>
      </c>
      <c r="AX333" s="193" t="s">
        <v>1128</v>
      </c>
      <c r="AY333" s="194" t="s">
        <v>2229</v>
      </c>
      <c r="AZ333" s="195" t="s">
        <v>215</v>
      </c>
      <c r="BA333" s="196" t="s">
        <v>7159</v>
      </c>
      <c r="BB333" s="197" t="s">
        <v>153</v>
      </c>
      <c r="BC333" s="198" t="s">
        <v>153</v>
      </c>
      <c r="BD333" s="199" t="s">
        <v>216</v>
      </c>
      <c r="BE333" s="200" t="s">
        <v>217</v>
      </c>
      <c r="BF333" s="201" t="s">
        <v>7160</v>
      </c>
      <c r="BG333" s="202" t="s">
        <v>7161</v>
      </c>
      <c r="BH333" s="203">
        <v>1</v>
      </c>
      <c r="BI333" s="204" t="s">
        <v>153</v>
      </c>
      <c r="BJ333" s="205" t="s">
        <v>153</v>
      </c>
      <c r="BK333" s="206" t="s">
        <v>6795</v>
      </c>
      <c r="BL333" s="207" t="s">
        <v>7162</v>
      </c>
      <c r="BM333" s="208" t="s">
        <v>153</v>
      </c>
      <c r="BN333" s="209" t="s">
        <v>6797</v>
      </c>
      <c r="BO333" s="210" t="s">
        <v>7163</v>
      </c>
      <c r="BP333" s="211" t="s">
        <v>7164</v>
      </c>
      <c r="BQ333" s="212">
        <v>26695</v>
      </c>
      <c r="BR333" s="213" t="s">
        <v>153</v>
      </c>
      <c r="BS333" s="214" t="s">
        <v>153</v>
      </c>
      <c r="BT333" s="215" t="s">
        <v>153</v>
      </c>
      <c r="BU333" s="216" t="s">
        <v>153</v>
      </c>
      <c r="BV333" s="217" t="s">
        <v>251</v>
      </c>
      <c r="BW333" s="218" t="s">
        <v>153</v>
      </c>
      <c r="BX333" s="219" t="s">
        <v>153</v>
      </c>
      <c r="BY333" s="220" t="s">
        <v>252</v>
      </c>
      <c r="BZ333" s="221" t="s">
        <v>153</v>
      </c>
      <c r="CA333" s="222" t="s">
        <v>190</v>
      </c>
      <c r="CB333" s="223">
        <v>44348</v>
      </c>
      <c r="CC333" s="224">
        <v>11600</v>
      </c>
      <c r="CD333" s="225" t="s">
        <v>186</v>
      </c>
      <c r="CE333" s="226">
        <v>11600</v>
      </c>
      <c r="CF333" s="227" t="s">
        <v>187</v>
      </c>
      <c r="CG333" s="228" t="s">
        <v>226</v>
      </c>
      <c r="CH333" s="229" t="s">
        <v>729</v>
      </c>
      <c r="CI333" s="230" t="s">
        <v>153</v>
      </c>
      <c r="CJ333" s="231" t="s">
        <v>225</v>
      </c>
      <c r="CK333" s="232">
        <v>44348</v>
      </c>
      <c r="CL333" s="233" t="s">
        <v>153</v>
      </c>
      <c r="CM333" s="234" t="s">
        <v>153</v>
      </c>
      <c r="CN333" s="235" t="s">
        <v>190</v>
      </c>
      <c r="CO333" s="236">
        <v>-0.01</v>
      </c>
      <c r="CP333" s="237">
        <v>11</v>
      </c>
      <c r="CQ333" s="238">
        <v>-0.33</v>
      </c>
      <c r="CR333" s="239">
        <v>-101.69</v>
      </c>
      <c r="CS333" s="240">
        <v>-0.71</v>
      </c>
      <c r="CT333" s="241">
        <v>5</v>
      </c>
      <c r="CU333" s="242">
        <v>0.24</v>
      </c>
      <c r="CV333" s="243">
        <v>92</v>
      </c>
      <c r="CW333" s="244">
        <v>3.07</v>
      </c>
      <c r="CX333" s="245">
        <v>89</v>
      </c>
      <c r="CY333" s="246">
        <v>-4.49</v>
      </c>
      <c r="CZ333" s="247">
        <v>1</v>
      </c>
      <c r="DA333" s="248">
        <v>0.24</v>
      </c>
      <c r="DB333" s="249">
        <v>92</v>
      </c>
      <c r="DC333" s="250">
        <v>5609.84</v>
      </c>
      <c r="DD333" s="251">
        <v>100</v>
      </c>
      <c r="DE333" s="252">
        <v>21.33</v>
      </c>
      <c r="DF333" s="253">
        <v>0.38</v>
      </c>
      <c r="DG333" s="254">
        <v>725.33</v>
      </c>
      <c r="DH333" s="255">
        <v>100</v>
      </c>
      <c r="DI333" s="256">
        <v>44.72</v>
      </c>
      <c r="DJ333" s="257">
        <v>95</v>
      </c>
      <c r="DK333" s="258">
        <v>1156.04</v>
      </c>
      <c r="DL333" s="259">
        <v>100</v>
      </c>
      <c r="DM333" s="260">
        <v>294.63</v>
      </c>
      <c r="DN333" s="261">
        <v>100</v>
      </c>
      <c r="DO333" s="262">
        <v>44.72</v>
      </c>
      <c r="DP333" s="263">
        <v>95</v>
      </c>
      <c r="DQ333" s="264">
        <v>690230</v>
      </c>
      <c r="DR333" s="265">
        <v>-17219</v>
      </c>
      <c r="DS333" s="266">
        <v>-2.4300000000000002</v>
      </c>
      <c r="DT333" s="267">
        <v>4766</v>
      </c>
      <c r="DU333" s="268">
        <v>-137</v>
      </c>
      <c r="DV333" s="269">
        <v>-2.79</v>
      </c>
      <c r="DW333" s="270">
        <v>14040</v>
      </c>
      <c r="DX333" s="271">
        <v>12</v>
      </c>
      <c r="DY333" s="272">
        <v>0.09</v>
      </c>
      <c r="DZ333" s="273" t="s">
        <v>191</v>
      </c>
      <c r="EA333" s="274">
        <v>44399</v>
      </c>
      <c r="EB333" s="275">
        <v>11600</v>
      </c>
      <c r="EC333" s="276">
        <v>44348</v>
      </c>
      <c r="ED333" s="277" t="s">
        <v>226</v>
      </c>
      <c r="EE333" s="279" t="str">
        <f>HYPERLINK("https://my.pitchbook.com?c=42121-63", "View company online")</f>
        <v>View company online</v>
      </c>
    </row>
    <row r="334" spans="1:135" x14ac:dyDescent="0.45">
      <c r="A334" s="10" t="s">
        <v>7165</v>
      </c>
      <c r="B334" s="11" t="s">
        <v>7166</v>
      </c>
      <c r="C334" s="12" t="s">
        <v>153</v>
      </c>
      <c r="D334" s="13" t="s">
        <v>153</v>
      </c>
      <c r="E334" s="14" t="s">
        <v>153</v>
      </c>
      <c r="F334" s="15" t="s">
        <v>7167</v>
      </c>
      <c r="G334" s="16" t="s">
        <v>7168</v>
      </c>
      <c r="H334" s="17" t="s">
        <v>153</v>
      </c>
      <c r="I334" s="18" t="s">
        <v>7165</v>
      </c>
      <c r="J334" s="19" t="s">
        <v>7169</v>
      </c>
      <c r="K334" s="20" t="s">
        <v>232</v>
      </c>
      <c r="L334" s="21" t="s">
        <v>1016</v>
      </c>
      <c r="M334" s="22" t="s">
        <v>5175</v>
      </c>
      <c r="N334" s="23" t="s">
        <v>7170</v>
      </c>
      <c r="O334" s="24" t="s">
        <v>153</v>
      </c>
      <c r="P334" s="25" t="s">
        <v>7171</v>
      </c>
      <c r="Q334" s="26" t="s">
        <v>204</v>
      </c>
      <c r="R334" s="27">
        <v>585.70000000000005</v>
      </c>
      <c r="S334" s="28" t="s">
        <v>163</v>
      </c>
      <c r="T334" s="29" t="s">
        <v>205</v>
      </c>
      <c r="U334" s="30" t="s">
        <v>237</v>
      </c>
      <c r="V334" s="31" t="s">
        <v>7172</v>
      </c>
      <c r="W334" s="32" t="s">
        <v>153</v>
      </c>
      <c r="X334" s="33" t="s">
        <v>153</v>
      </c>
      <c r="Y334" s="34" t="s">
        <v>153</v>
      </c>
      <c r="Z334" s="35" t="s">
        <v>153</v>
      </c>
      <c r="AA334" s="36">
        <v>1959</v>
      </c>
      <c r="AB334" s="37" t="s">
        <v>153</v>
      </c>
      <c r="AC334" s="38" t="s">
        <v>153</v>
      </c>
      <c r="AD334" s="39" t="s">
        <v>153</v>
      </c>
      <c r="AE334" s="40" t="s">
        <v>153</v>
      </c>
      <c r="AF334" s="41" t="s">
        <v>153</v>
      </c>
      <c r="AG334" s="42" t="s">
        <v>153</v>
      </c>
      <c r="AH334" s="43" t="s">
        <v>153</v>
      </c>
      <c r="AI334" s="44" t="s">
        <v>153</v>
      </c>
      <c r="AJ334" s="45" t="s">
        <v>153</v>
      </c>
      <c r="AK334" s="46" t="s">
        <v>153</v>
      </c>
      <c r="AL334" s="47" t="s">
        <v>153</v>
      </c>
      <c r="AM334" s="48" t="s">
        <v>153</v>
      </c>
      <c r="AN334" s="49" t="s">
        <v>153</v>
      </c>
      <c r="AO334" s="50" t="s">
        <v>7173</v>
      </c>
      <c r="AP334" s="51" t="s">
        <v>7174</v>
      </c>
      <c r="AQ334" s="52" t="s">
        <v>1598</v>
      </c>
      <c r="AR334" s="53" t="s">
        <v>153</v>
      </c>
      <c r="AS334" s="54" t="s">
        <v>153</v>
      </c>
      <c r="AT334" s="55" t="s">
        <v>433</v>
      </c>
      <c r="AU334" s="56" t="s">
        <v>7175</v>
      </c>
      <c r="AV334" s="57" t="s">
        <v>153</v>
      </c>
      <c r="AW334" s="58" t="s">
        <v>436</v>
      </c>
      <c r="AX334" s="59" t="s">
        <v>436</v>
      </c>
      <c r="AY334" s="60" t="s">
        <v>7176</v>
      </c>
      <c r="AZ334" s="61" t="s">
        <v>215</v>
      </c>
      <c r="BA334" s="62" t="s">
        <v>153</v>
      </c>
      <c r="BB334" s="63" t="s">
        <v>153</v>
      </c>
      <c r="BC334" s="64" t="s">
        <v>153</v>
      </c>
      <c r="BD334" s="65" t="s">
        <v>216</v>
      </c>
      <c r="BE334" s="66" t="s">
        <v>217</v>
      </c>
      <c r="BF334" s="67" t="s">
        <v>7177</v>
      </c>
      <c r="BG334" s="68" t="s">
        <v>153</v>
      </c>
      <c r="BH334" s="69" t="s">
        <v>153</v>
      </c>
      <c r="BI334" s="70" t="s">
        <v>7178</v>
      </c>
      <c r="BJ334" s="71" t="s">
        <v>7179</v>
      </c>
      <c r="BK334" s="72" t="s">
        <v>153</v>
      </c>
      <c r="BL334" s="73" t="s">
        <v>153</v>
      </c>
      <c r="BM334" s="74" t="s">
        <v>7180</v>
      </c>
      <c r="BN334" s="75" t="s">
        <v>153</v>
      </c>
      <c r="BO334" s="76" t="s">
        <v>7181</v>
      </c>
      <c r="BP334" s="77" t="s">
        <v>7182</v>
      </c>
      <c r="BQ334" s="78">
        <v>25659</v>
      </c>
      <c r="BR334" s="79">
        <v>12</v>
      </c>
      <c r="BS334" s="80" t="s">
        <v>186</v>
      </c>
      <c r="BT334" s="81" t="s">
        <v>153</v>
      </c>
      <c r="BU334" s="82" t="s">
        <v>153</v>
      </c>
      <c r="BV334" s="83" t="s">
        <v>251</v>
      </c>
      <c r="BW334" s="84" t="s">
        <v>153</v>
      </c>
      <c r="BX334" s="85" t="s">
        <v>153</v>
      </c>
      <c r="BY334" s="86" t="s">
        <v>252</v>
      </c>
      <c r="BZ334" s="87" t="s">
        <v>153</v>
      </c>
      <c r="CA334" s="88" t="s">
        <v>190</v>
      </c>
      <c r="CB334" s="89">
        <v>36832</v>
      </c>
      <c r="CC334" s="90">
        <v>11600</v>
      </c>
      <c r="CD334" s="91" t="s">
        <v>186</v>
      </c>
      <c r="CE334" s="92">
        <v>11600</v>
      </c>
      <c r="CF334" s="93" t="s">
        <v>186</v>
      </c>
      <c r="CG334" s="94" t="s">
        <v>226</v>
      </c>
      <c r="CH334" s="95" t="s">
        <v>729</v>
      </c>
      <c r="CI334" s="96" t="s">
        <v>153</v>
      </c>
      <c r="CJ334" s="97" t="s">
        <v>225</v>
      </c>
      <c r="CK334" s="98">
        <v>36832</v>
      </c>
      <c r="CL334" s="99" t="s">
        <v>153</v>
      </c>
      <c r="CM334" s="100" t="s">
        <v>153</v>
      </c>
      <c r="CN334" s="101" t="s">
        <v>190</v>
      </c>
      <c r="CO334" s="102" t="s">
        <v>153</v>
      </c>
      <c r="CP334" s="103" t="s">
        <v>153</v>
      </c>
      <c r="CQ334" s="104" t="s">
        <v>153</v>
      </c>
      <c r="CR334" s="105" t="s">
        <v>153</v>
      </c>
      <c r="CS334" s="106" t="s">
        <v>153</v>
      </c>
      <c r="CT334" s="107" t="s">
        <v>153</v>
      </c>
      <c r="CU334" s="108" t="s">
        <v>153</v>
      </c>
      <c r="CV334" s="109" t="s">
        <v>153</v>
      </c>
      <c r="CW334" s="110" t="s">
        <v>153</v>
      </c>
      <c r="CX334" s="111" t="s">
        <v>153</v>
      </c>
      <c r="CY334" s="112" t="s">
        <v>153</v>
      </c>
      <c r="CZ334" s="113" t="s">
        <v>153</v>
      </c>
      <c r="DA334" s="114" t="s">
        <v>153</v>
      </c>
      <c r="DB334" s="115" t="s">
        <v>153</v>
      </c>
      <c r="DC334" s="116" t="s">
        <v>153</v>
      </c>
      <c r="DD334" s="117" t="s">
        <v>153</v>
      </c>
      <c r="DE334" s="118" t="s">
        <v>153</v>
      </c>
      <c r="DF334" s="119" t="s">
        <v>153</v>
      </c>
      <c r="DG334" s="120" t="s">
        <v>153</v>
      </c>
      <c r="DH334" s="121" t="s">
        <v>153</v>
      </c>
      <c r="DI334" s="122" t="s">
        <v>153</v>
      </c>
      <c r="DJ334" s="123" t="s">
        <v>153</v>
      </c>
      <c r="DK334" s="124" t="s">
        <v>153</v>
      </c>
      <c r="DL334" s="125" t="s">
        <v>153</v>
      </c>
      <c r="DM334" s="126" t="s">
        <v>153</v>
      </c>
      <c r="DN334" s="127" t="s">
        <v>153</v>
      </c>
      <c r="DO334" s="128" t="s">
        <v>153</v>
      </c>
      <c r="DP334" s="129" t="s">
        <v>153</v>
      </c>
      <c r="DQ334" s="130" t="s">
        <v>153</v>
      </c>
      <c r="DR334" s="131" t="s">
        <v>153</v>
      </c>
      <c r="DS334" s="132" t="s">
        <v>153</v>
      </c>
      <c r="DT334" s="133" t="s">
        <v>153</v>
      </c>
      <c r="DU334" s="134" t="s">
        <v>153</v>
      </c>
      <c r="DV334" s="135" t="s">
        <v>153</v>
      </c>
      <c r="DW334" s="136" t="s">
        <v>153</v>
      </c>
      <c r="DX334" s="137" t="s">
        <v>153</v>
      </c>
      <c r="DY334" s="138" t="s">
        <v>153</v>
      </c>
      <c r="DZ334" s="139" t="s">
        <v>191</v>
      </c>
      <c r="EA334" s="140">
        <v>44166</v>
      </c>
      <c r="EB334" s="141">
        <v>11600</v>
      </c>
      <c r="EC334" s="142">
        <v>36832</v>
      </c>
      <c r="ED334" s="143" t="s">
        <v>226</v>
      </c>
      <c r="EE334" s="278" t="str">
        <f>HYPERLINK("https://my.pitchbook.com?c=10395-64", "View company online")</f>
        <v>View company online</v>
      </c>
    </row>
    <row r="335" spans="1:135" x14ac:dyDescent="0.45">
      <c r="A335" s="144" t="s">
        <v>7183</v>
      </c>
      <c r="B335" s="145" t="s">
        <v>7184</v>
      </c>
      <c r="C335" s="146" t="s">
        <v>153</v>
      </c>
      <c r="D335" s="147" t="s">
        <v>153</v>
      </c>
      <c r="E335" s="148" t="s">
        <v>7185</v>
      </c>
      <c r="F335" s="149" t="s">
        <v>153</v>
      </c>
      <c r="G335" s="150" t="s">
        <v>7186</v>
      </c>
      <c r="H335" s="151" t="s">
        <v>7187</v>
      </c>
      <c r="I335" s="152" t="s">
        <v>7183</v>
      </c>
      <c r="J335" s="153" t="s">
        <v>7188</v>
      </c>
      <c r="K335" s="154" t="s">
        <v>198</v>
      </c>
      <c r="L335" s="155" t="s">
        <v>1589</v>
      </c>
      <c r="M335" s="156" t="s">
        <v>1590</v>
      </c>
      <c r="N335" s="157" t="s">
        <v>7189</v>
      </c>
      <c r="O335" s="158" t="s">
        <v>1592</v>
      </c>
      <c r="P335" s="159" t="s">
        <v>7190</v>
      </c>
      <c r="Q335" s="160" t="s">
        <v>564</v>
      </c>
      <c r="R335" s="161">
        <v>4816.4799999999996</v>
      </c>
      <c r="S335" s="162" t="s">
        <v>163</v>
      </c>
      <c r="T335" s="163" t="s">
        <v>205</v>
      </c>
      <c r="U335" s="164" t="s">
        <v>1791</v>
      </c>
      <c r="V335" s="165" t="s">
        <v>7191</v>
      </c>
      <c r="W335" s="166">
        <v>18000</v>
      </c>
      <c r="X335" s="167" t="s">
        <v>7192</v>
      </c>
      <c r="Y335" s="168" t="s">
        <v>153</v>
      </c>
      <c r="Z335" s="169" t="s">
        <v>153</v>
      </c>
      <c r="AA335" s="170">
        <v>1953</v>
      </c>
      <c r="AB335" s="171" t="s">
        <v>153</v>
      </c>
      <c r="AC335" s="172" t="s">
        <v>153</v>
      </c>
      <c r="AD335" s="173" t="s">
        <v>153</v>
      </c>
      <c r="AE335" s="174" t="s">
        <v>153</v>
      </c>
      <c r="AF335" s="175" t="s">
        <v>153</v>
      </c>
      <c r="AG335" s="176" t="s">
        <v>153</v>
      </c>
      <c r="AH335" s="177" t="s">
        <v>153</v>
      </c>
      <c r="AI335" s="178" t="s">
        <v>153</v>
      </c>
      <c r="AJ335" s="179" t="s">
        <v>153</v>
      </c>
      <c r="AK335" s="180" t="s">
        <v>153</v>
      </c>
      <c r="AL335" s="181" t="s">
        <v>153</v>
      </c>
      <c r="AM335" s="182" t="s">
        <v>153</v>
      </c>
      <c r="AN335" s="183" t="s">
        <v>1595</v>
      </c>
      <c r="AO335" s="184" t="s">
        <v>7193</v>
      </c>
      <c r="AP335" s="185" t="s">
        <v>7194</v>
      </c>
      <c r="AQ335" s="186" t="s">
        <v>1267</v>
      </c>
      <c r="AR335" s="187" t="s">
        <v>7195</v>
      </c>
      <c r="AS335" s="188" t="s">
        <v>7196</v>
      </c>
      <c r="AT335" s="189" t="s">
        <v>6161</v>
      </c>
      <c r="AU335" s="190" t="s">
        <v>7197</v>
      </c>
      <c r="AV335" s="191" t="s">
        <v>153</v>
      </c>
      <c r="AW335" s="192" t="s">
        <v>6163</v>
      </c>
      <c r="AX335" s="193" t="s">
        <v>1128</v>
      </c>
      <c r="AY335" s="194" t="s">
        <v>7198</v>
      </c>
      <c r="AZ335" s="195" t="s">
        <v>215</v>
      </c>
      <c r="BA335" s="196" t="s">
        <v>153</v>
      </c>
      <c r="BB335" s="197" t="s">
        <v>153</v>
      </c>
      <c r="BC335" s="198" t="s">
        <v>153</v>
      </c>
      <c r="BD335" s="199" t="s">
        <v>216</v>
      </c>
      <c r="BE335" s="200" t="s">
        <v>217</v>
      </c>
      <c r="BF335" s="201" t="s">
        <v>7199</v>
      </c>
      <c r="BG335" s="202" t="s">
        <v>7200</v>
      </c>
      <c r="BH335" s="203">
        <v>1</v>
      </c>
      <c r="BI335" s="204" t="s">
        <v>7201</v>
      </c>
      <c r="BJ335" s="205" t="s">
        <v>7202</v>
      </c>
      <c r="BK335" s="206" t="s">
        <v>153</v>
      </c>
      <c r="BL335" s="207" t="s">
        <v>7203</v>
      </c>
      <c r="BM335" s="208" t="s">
        <v>7204</v>
      </c>
      <c r="BN335" s="209" t="s">
        <v>153</v>
      </c>
      <c r="BO335" s="210" t="s">
        <v>7205</v>
      </c>
      <c r="BP335" s="211" t="s">
        <v>7206</v>
      </c>
      <c r="BQ335" s="212">
        <v>38184</v>
      </c>
      <c r="BR335" s="213">
        <v>1581.08</v>
      </c>
      <c r="BS335" s="214" t="s">
        <v>186</v>
      </c>
      <c r="BT335" s="215">
        <v>5200</v>
      </c>
      <c r="BU335" s="216" t="s">
        <v>187</v>
      </c>
      <c r="BV335" s="217" t="s">
        <v>251</v>
      </c>
      <c r="BW335" s="218" t="s">
        <v>524</v>
      </c>
      <c r="BX335" s="219" t="s">
        <v>153</v>
      </c>
      <c r="BY335" s="220" t="s">
        <v>252</v>
      </c>
      <c r="BZ335" s="221" t="s">
        <v>153</v>
      </c>
      <c r="CA335" s="222" t="s">
        <v>190</v>
      </c>
      <c r="CB335" s="223">
        <v>42345</v>
      </c>
      <c r="CC335" s="224">
        <v>11600</v>
      </c>
      <c r="CD335" s="225" t="s">
        <v>186</v>
      </c>
      <c r="CE335" s="226">
        <v>11600</v>
      </c>
      <c r="CF335" s="227" t="s">
        <v>186</v>
      </c>
      <c r="CG335" s="228" t="s">
        <v>226</v>
      </c>
      <c r="CH335" s="229" t="s">
        <v>153</v>
      </c>
      <c r="CI335" s="230" t="s">
        <v>153</v>
      </c>
      <c r="CJ335" s="231" t="s">
        <v>225</v>
      </c>
      <c r="CK335" s="232">
        <v>42345</v>
      </c>
      <c r="CL335" s="233" t="s">
        <v>153</v>
      </c>
      <c r="CM335" s="234" t="s">
        <v>153</v>
      </c>
      <c r="CN335" s="235" t="s">
        <v>190</v>
      </c>
      <c r="CO335" s="236" t="s">
        <v>153</v>
      </c>
      <c r="CP335" s="237" t="s">
        <v>153</v>
      </c>
      <c r="CQ335" s="238" t="s">
        <v>153</v>
      </c>
      <c r="CR335" s="239" t="s">
        <v>153</v>
      </c>
      <c r="CS335" s="240" t="s">
        <v>153</v>
      </c>
      <c r="CT335" s="241" t="s">
        <v>153</v>
      </c>
      <c r="CU335" s="242" t="s">
        <v>153</v>
      </c>
      <c r="CV335" s="243" t="s">
        <v>153</v>
      </c>
      <c r="CW335" s="244" t="s">
        <v>153</v>
      </c>
      <c r="CX335" s="245" t="s">
        <v>153</v>
      </c>
      <c r="CY335" s="246" t="s">
        <v>153</v>
      </c>
      <c r="CZ335" s="247" t="s">
        <v>153</v>
      </c>
      <c r="DA335" s="248" t="s">
        <v>153</v>
      </c>
      <c r="DB335" s="249" t="s">
        <v>153</v>
      </c>
      <c r="DC335" s="250" t="s">
        <v>153</v>
      </c>
      <c r="DD335" s="251" t="s">
        <v>153</v>
      </c>
      <c r="DE335" s="252" t="s">
        <v>153</v>
      </c>
      <c r="DF335" s="253" t="s">
        <v>153</v>
      </c>
      <c r="DG335" s="254" t="s">
        <v>153</v>
      </c>
      <c r="DH335" s="255" t="s">
        <v>153</v>
      </c>
      <c r="DI335" s="256" t="s">
        <v>153</v>
      </c>
      <c r="DJ335" s="257" t="s">
        <v>153</v>
      </c>
      <c r="DK335" s="258" t="s">
        <v>153</v>
      </c>
      <c r="DL335" s="259" t="s">
        <v>153</v>
      </c>
      <c r="DM335" s="260" t="s">
        <v>153</v>
      </c>
      <c r="DN335" s="261" t="s">
        <v>153</v>
      </c>
      <c r="DO335" s="262" t="s">
        <v>153</v>
      </c>
      <c r="DP335" s="263" t="s">
        <v>153</v>
      </c>
      <c r="DQ335" s="264" t="s">
        <v>153</v>
      </c>
      <c r="DR335" s="265" t="s">
        <v>153</v>
      </c>
      <c r="DS335" s="266" t="s">
        <v>153</v>
      </c>
      <c r="DT335" s="267" t="s">
        <v>153</v>
      </c>
      <c r="DU335" s="268" t="s">
        <v>153</v>
      </c>
      <c r="DV335" s="269" t="s">
        <v>153</v>
      </c>
      <c r="DW335" s="270" t="s">
        <v>153</v>
      </c>
      <c r="DX335" s="271" t="s">
        <v>153</v>
      </c>
      <c r="DY335" s="272" t="s">
        <v>153</v>
      </c>
      <c r="DZ335" s="273" t="s">
        <v>191</v>
      </c>
      <c r="EA335" s="274">
        <v>44365</v>
      </c>
      <c r="EB335" s="275">
        <v>11600</v>
      </c>
      <c r="EC335" s="276">
        <v>42345</v>
      </c>
      <c r="ED335" s="277" t="s">
        <v>226</v>
      </c>
      <c r="EE335" s="279" t="str">
        <f>HYPERLINK("https://my.pitchbook.com?c=10552-33", "View company online")</f>
        <v>View company online</v>
      </c>
    </row>
    <row r="336" spans="1:135" x14ac:dyDescent="0.45">
      <c r="A336" s="10" t="s">
        <v>7207</v>
      </c>
      <c r="B336" s="11" t="s">
        <v>7208</v>
      </c>
      <c r="C336" s="12" t="s">
        <v>153</v>
      </c>
      <c r="D336" s="13" t="s">
        <v>153</v>
      </c>
      <c r="E336" s="14" t="s">
        <v>7209</v>
      </c>
      <c r="F336" s="15" t="s">
        <v>153</v>
      </c>
      <c r="G336" s="16" t="s">
        <v>7210</v>
      </c>
      <c r="H336" s="17" t="s">
        <v>153</v>
      </c>
      <c r="I336" s="18" t="s">
        <v>7207</v>
      </c>
      <c r="J336" s="19" t="s">
        <v>7211</v>
      </c>
      <c r="K336" s="20" t="s">
        <v>559</v>
      </c>
      <c r="L336" s="21" t="s">
        <v>3055</v>
      </c>
      <c r="M336" s="22" t="s">
        <v>7212</v>
      </c>
      <c r="N336" s="23" t="s">
        <v>7213</v>
      </c>
      <c r="O336" s="24" t="s">
        <v>153</v>
      </c>
      <c r="P336" s="25" t="s">
        <v>7214</v>
      </c>
      <c r="Q336" s="26" t="s">
        <v>204</v>
      </c>
      <c r="R336" s="27" t="s">
        <v>153</v>
      </c>
      <c r="S336" s="28" t="s">
        <v>290</v>
      </c>
      <c r="T336" s="29" t="s">
        <v>205</v>
      </c>
      <c r="U336" s="30" t="s">
        <v>206</v>
      </c>
      <c r="V336" s="31" t="s">
        <v>153</v>
      </c>
      <c r="W336" s="32">
        <v>10300</v>
      </c>
      <c r="X336" s="33" t="s">
        <v>7215</v>
      </c>
      <c r="Y336" s="34" t="s">
        <v>153</v>
      </c>
      <c r="Z336" s="35" t="s">
        <v>153</v>
      </c>
      <c r="AA336" s="36">
        <v>1971</v>
      </c>
      <c r="AB336" s="37" t="s">
        <v>153</v>
      </c>
      <c r="AC336" s="38" t="s">
        <v>153</v>
      </c>
      <c r="AD336" s="39" t="s">
        <v>153</v>
      </c>
      <c r="AE336" s="40" t="s">
        <v>153</v>
      </c>
      <c r="AF336" s="41" t="s">
        <v>153</v>
      </c>
      <c r="AG336" s="42" t="s">
        <v>153</v>
      </c>
      <c r="AH336" s="43" t="s">
        <v>153</v>
      </c>
      <c r="AI336" s="44" t="s">
        <v>153</v>
      </c>
      <c r="AJ336" s="45" t="s">
        <v>153</v>
      </c>
      <c r="AK336" s="46" t="s">
        <v>153</v>
      </c>
      <c r="AL336" s="47" t="s">
        <v>153</v>
      </c>
      <c r="AM336" s="48" t="s">
        <v>153</v>
      </c>
      <c r="AN336" s="49" t="s">
        <v>3725</v>
      </c>
      <c r="AO336" s="50" t="s">
        <v>7216</v>
      </c>
      <c r="AP336" s="51" t="s">
        <v>7217</v>
      </c>
      <c r="AQ336" s="52" t="s">
        <v>7218</v>
      </c>
      <c r="AR336" s="53" t="s">
        <v>153</v>
      </c>
      <c r="AS336" s="54" t="s">
        <v>153</v>
      </c>
      <c r="AT336" s="55" t="s">
        <v>331</v>
      </c>
      <c r="AU336" s="56" t="s">
        <v>7219</v>
      </c>
      <c r="AV336" s="57" t="s">
        <v>153</v>
      </c>
      <c r="AW336" s="58" t="s">
        <v>333</v>
      </c>
      <c r="AX336" s="59" t="s">
        <v>153</v>
      </c>
      <c r="AY336" s="60" t="s">
        <v>7220</v>
      </c>
      <c r="AZ336" s="61" t="s">
        <v>335</v>
      </c>
      <c r="BA336" s="62" t="s">
        <v>153</v>
      </c>
      <c r="BB336" s="63" t="s">
        <v>153</v>
      </c>
      <c r="BC336" s="64" t="s">
        <v>153</v>
      </c>
      <c r="BD336" s="65" t="s">
        <v>180</v>
      </c>
      <c r="BE336" s="66" t="s">
        <v>181</v>
      </c>
      <c r="BF336" s="67" t="s">
        <v>7221</v>
      </c>
      <c r="BG336" s="68" t="s">
        <v>153</v>
      </c>
      <c r="BH336" s="69" t="s">
        <v>153</v>
      </c>
      <c r="BI336" s="70" t="s">
        <v>7222</v>
      </c>
      <c r="BJ336" s="71" t="s">
        <v>1971</v>
      </c>
      <c r="BK336" s="72" t="s">
        <v>153</v>
      </c>
      <c r="BL336" s="73" t="s">
        <v>153</v>
      </c>
      <c r="BM336" s="74" t="s">
        <v>1972</v>
      </c>
      <c r="BN336" s="75" t="s">
        <v>153</v>
      </c>
      <c r="BO336" s="76" t="s">
        <v>153</v>
      </c>
      <c r="BP336" s="77" t="s">
        <v>153</v>
      </c>
      <c r="BQ336" s="78">
        <v>39325</v>
      </c>
      <c r="BR336" s="79">
        <v>11600</v>
      </c>
      <c r="BS336" s="80" t="s">
        <v>186</v>
      </c>
      <c r="BT336" s="81">
        <v>11600</v>
      </c>
      <c r="BU336" s="82" t="s">
        <v>186</v>
      </c>
      <c r="BV336" s="83" t="s">
        <v>226</v>
      </c>
      <c r="BW336" s="84" t="s">
        <v>729</v>
      </c>
      <c r="BX336" s="85" t="s">
        <v>153</v>
      </c>
      <c r="BY336" s="86" t="s">
        <v>225</v>
      </c>
      <c r="BZ336" s="87" t="s">
        <v>153</v>
      </c>
      <c r="CA336" s="88" t="s">
        <v>190</v>
      </c>
      <c r="CB336" s="89">
        <v>39325</v>
      </c>
      <c r="CC336" s="90">
        <v>11600</v>
      </c>
      <c r="CD336" s="91" t="s">
        <v>186</v>
      </c>
      <c r="CE336" s="92">
        <v>11600</v>
      </c>
      <c r="CF336" s="93" t="s">
        <v>186</v>
      </c>
      <c r="CG336" s="94" t="s">
        <v>226</v>
      </c>
      <c r="CH336" s="95" t="s">
        <v>729</v>
      </c>
      <c r="CI336" s="96" t="s">
        <v>153</v>
      </c>
      <c r="CJ336" s="97" t="s">
        <v>225</v>
      </c>
      <c r="CK336" s="98">
        <v>39325</v>
      </c>
      <c r="CL336" s="99" t="s">
        <v>153</v>
      </c>
      <c r="CM336" s="100" t="s">
        <v>153</v>
      </c>
      <c r="CN336" s="101" t="s">
        <v>190</v>
      </c>
      <c r="CO336" s="102" t="s">
        <v>153</v>
      </c>
      <c r="CP336" s="103" t="s">
        <v>153</v>
      </c>
      <c r="CQ336" s="104" t="s">
        <v>153</v>
      </c>
      <c r="CR336" s="105" t="s">
        <v>153</v>
      </c>
      <c r="CS336" s="106" t="s">
        <v>153</v>
      </c>
      <c r="CT336" s="107" t="s">
        <v>153</v>
      </c>
      <c r="CU336" s="108" t="s">
        <v>153</v>
      </c>
      <c r="CV336" s="109" t="s">
        <v>153</v>
      </c>
      <c r="CW336" s="110" t="s">
        <v>153</v>
      </c>
      <c r="CX336" s="111" t="s">
        <v>153</v>
      </c>
      <c r="CY336" s="112" t="s">
        <v>153</v>
      </c>
      <c r="CZ336" s="113" t="s">
        <v>153</v>
      </c>
      <c r="DA336" s="114" t="s">
        <v>153</v>
      </c>
      <c r="DB336" s="115" t="s">
        <v>153</v>
      </c>
      <c r="DC336" s="116" t="s">
        <v>153</v>
      </c>
      <c r="DD336" s="117" t="s">
        <v>153</v>
      </c>
      <c r="DE336" s="118" t="s">
        <v>153</v>
      </c>
      <c r="DF336" s="119" t="s">
        <v>153</v>
      </c>
      <c r="DG336" s="120" t="s">
        <v>153</v>
      </c>
      <c r="DH336" s="121" t="s">
        <v>153</v>
      </c>
      <c r="DI336" s="122" t="s">
        <v>153</v>
      </c>
      <c r="DJ336" s="123" t="s">
        <v>153</v>
      </c>
      <c r="DK336" s="124" t="s">
        <v>153</v>
      </c>
      <c r="DL336" s="125" t="s">
        <v>153</v>
      </c>
      <c r="DM336" s="126" t="s">
        <v>153</v>
      </c>
      <c r="DN336" s="127" t="s">
        <v>153</v>
      </c>
      <c r="DO336" s="128" t="s">
        <v>153</v>
      </c>
      <c r="DP336" s="129" t="s">
        <v>153</v>
      </c>
      <c r="DQ336" s="130" t="s">
        <v>153</v>
      </c>
      <c r="DR336" s="131" t="s">
        <v>153</v>
      </c>
      <c r="DS336" s="132" t="s">
        <v>153</v>
      </c>
      <c r="DT336" s="133" t="s">
        <v>153</v>
      </c>
      <c r="DU336" s="134" t="s">
        <v>153</v>
      </c>
      <c r="DV336" s="135" t="s">
        <v>153</v>
      </c>
      <c r="DW336" s="136" t="s">
        <v>153</v>
      </c>
      <c r="DX336" s="137" t="s">
        <v>153</v>
      </c>
      <c r="DY336" s="138" t="s">
        <v>153</v>
      </c>
      <c r="DZ336" s="139" t="s">
        <v>191</v>
      </c>
      <c r="EA336" s="140">
        <v>43940</v>
      </c>
      <c r="EB336" s="141">
        <v>11600</v>
      </c>
      <c r="EC336" s="142">
        <v>39325</v>
      </c>
      <c r="ED336" s="143" t="s">
        <v>226</v>
      </c>
      <c r="EE336" s="278" t="str">
        <f>HYPERLINK("https://my.pitchbook.com?c=233037-28", "View company online")</f>
        <v>View company online</v>
      </c>
    </row>
    <row r="337" spans="1:135" x14ac:dyDescent="0.45">
      <c r="A337" s="144" t="s">
        <v>7223</v>
      </c>
      <c r="B337" s="145" t="s">
        <v>7224</v>
      </c>
      <c r="C337" s="146" t="s">
        <v>153</v>
      </c>
      <c r="D337" s="147" t="s">
        <v>153</v>
      </c>
      <c r="E337" s="148" t="s">
        <v>153</v>
      </c>
      <c r="F337" s="149" t="s">
        <v>153</v>
      </c>
      <c r="G337" s="150" t="s">
        <v>153</v>
      </c>
      <c r="H337" s="151" t="s">
        <v>153</v>
      </c>
      <c r="I337" s="152" t="s">
        <v>7223</v>
      </c>
      <c r="J337" s="153" t="s">
        <v>7225</v>
      </c>
      <c r="K337" s="154" t="s">
        <v>559</v>
      </c>
      <c r="L337" s="155" t="s">
        <v>560</v>
      </c>
      <c r="M337" s="156" t="s">
        <v>4572</v>
      </c>
      <c r="N337" s="157" t="s">
        <v>4573</v>
      </c>
      <c r="O337" s="158" t="s">
        <v>153</v>
      </c>
      <c r="P337" s="159" t="s">
        <v>7226</v>
      </c>
      <c r="Q337" s="160" t="s">
        <v>204</v>
      </c>
      <c r="R337" s="161" t="s">
        <v>153</v>
      </c>
      <c r="S337" s="162" t="s">
        <v>290</v>
      </c>
      <c r="T337" s="163" t="s">
        <v>164</v>
      </c>
      <c r="U337" s="164" t="s">
        <v>237</v>
      </c>
      <c r="V337" s="165" t="s">
        <v>7227</v>
      </c>
      <c r="W337" s="166">
        <v>2400</v>
      </c>
      <c r="X337" s="167" t="s">
        <v>7228</v>
      </c>
      <c r="Y337" s="168" t="s">
        <v>153</v>
      </c>
      <c r="Z337" s="169" t="s">
        <v>153</v>
      </c>
      <c r="AA337" s="170">
        <v>1917</v>
      </c>
      <c r="AB337" s="171" t="s">
        <v>4586</v>
      </c>
      <c r="AC337" s="172" t="s">
        <v>153</v>
      </c>
      <c r="AD337" s="173" t="s">
        <v>153</v>
      </c>
      <c r="AE337" s="174">
        <v>3664</v>
      </c>
      <c r="AF337" s="175">
        <v>208</v>
      </c>
      <c r="AG337" s="176">
        <v>232</v>
      </c>
      <c r="AH337" s="177" t="s">
        <v>153</v>
      </c>
      <c r="AI337" s="178">
        <v>378</v>
      </c>
      <c r="AJ337" s="179">
        <v>332</v>
      </c>
      <c r="AK337" s="180" t="s">
        <v>153</v>
      </c>
      <c r="AL337" s="181">
        <v>531</v>
      </c>
      <c r="AM337" s="182">
        <v>-11.52</v>
      </c>
      <c r="AN337" s="183" t="s">
        <v>376</v>
      </c>
      <c r="AO337" s="184" t="s">
        <v>7229</v>
      </c>
      <c r="AP337" s="185" t="s">
        <v>7230</v>
      </c>
      <c r="AQ337" s="186" t="s">
        <v>171</v>
      </c>
      <c r="AR337" s="187" t="s">
        <v>7231</v>
      </c>
      <c r="AS337" s="188" t="s">
        <v>153</v>
      </c>
      <c r="AT337" s="189" t="s">
        <v>1304</v>
      </c>
      <c r="AU337" s="190" t="s">
        <v>7232</v>
      </c>
      <c r="AV337" s="191" t="s">
        <v>153</v>
      </c>
      <c r="AW337" s="192" t="s">
        <v>1306</v>
      </c>
      <c r="AX337" s="193" t="s">
        <v>213</v>
      </c>
      <c r="AY337" s="194" t="s">
        <v>7233</v>
      </c>
      <c r="AZ337" s="195" t="s">
        <v>215</v>
      </c>
      <c r="BA337" s="196" t="s">
        <v>153</v>
      </c>
      <c r="BB337" s="197" t="s">
        <v>153</v>
      </c>
      <c r="BC337" s="198" t="s">
        <v>153</v>
      </c>
      <c r="BD337" s="199" t="s">
        <v>216</v>
      </c>
      <c r="BE337" s="200" t="s">
        <v>217</v>
      </c>
      <c r="BF337" s="201" t="s">
        <v>7234</v>
      </c>
      <c r="BG337" s="202" t="s">
        <v>153</v>
      </c>
      <c r="BH337" s="203" t="s">
        <v>153</v>
      </c>
      <c r="BI337" s="204" t="s">
        <v>4586</v>
      </c>
      <c r="BJ337" s="205" t="s">
        <v>153</v>
      </c>
      <c r="BK337" s="206" t="s">
        <v>153</v>
      </c>
      <c r="BL337" s="207" t="s">
        <v>153</v>
      </c>
      <c r="BM337" s="208" t="s">
        <v>153</v>
      </c>
      <c r="BN337" s="209" t="s">
        <v>153</v>
      </c>
      <c r="BO337" s="210" t="s">
        <v>7235</v>
      </c>
      <c r="BP337" s="211" t="s">
        <v>153</v>
      </c>
      <c r="BQ337" s="212">
        <v>6211</v>
      </c>
      <c r="BR337" s="213" t="s">
        <v>153</v>
      </c>
      <c r="BS337" s="214" t="s">
        <v>153</v>
      </c>
      <c r="BT337" s="215" t="s">
        <v>153</v>
      </c>
      <c r="BU337" s="216" t="s">
        <v>153</v>
      </c>
      <c r="BV337" s="217" t="s">
        <v>251</v>
      </c>
      <c r="BW337" s="218" t="s">
        <v>153</v>
      </c>
      <c r="BX337" s="219" t="s">
        <v>153</v>
      </c>
      <c r="BY337" s="220" t="s">
        <v>252</v>
      </c>
      <c r="BZ337" s="221" t="s">
        <v>153</v>
      </c>
      <c r="CA337" s="222" t="s">
        <v>190</v>
      </c>
      <c r="CB337" s="223">
        <v>36951</v>
      </c>
      <c r="CC337" s="224">
        <v>11600</v>
      </c>
      <c r="CD337" s="225" t="s">
        <v>186</v>
      </c>
      <c r="CE337" s="226">
        <v>11600</v>
      </c>
      <c r="CF337" s="227" t="s">
        <v>186</v>
      </c>
      <c r="CG337" s="228" t="s">
        <v>226</v>
      </c>
      <c r="CH337" s="229" t="s">
        <v>153</v>
      </c>
      <c r="CI337" s="230" t="s">
        <v>153</v>
      </c>
      <c r="CJ337" s="231" t="s">
        <v>225</v>
      </c>
      <c r="CK337" s="232">
        <v>36951</v>
      </c>
      <c r="CL337" s="233" t="s">
        <v>153</v>
      </c>
      <c r="CM337" s="234" t="s">
        <v>153</v>
      </c>
      <c r="CN337" s="235" t="s">
        <v>190</v>
      </c>
      <c r="CO337" s="236">
        <v>2.94</v>
      </c>
      <c r="CP337" s="237">
        <v>99</v>
      </c>
      <c r="CQ337" s="238">
        <v>-0.16</v>
      </c>
      <c r="CR337" s="239">
        <v>-5.21</v>
      </c>
      <c r="CS337" s="240">
        <v>2.94</v>
      </c>
      <c r="CT337" s="241">
        <v>99</v>
      </c>
      <c r="CU337" s="242" t="s">
        <v>153</v>
      </c>
      <c r="CV337" s="243" t="s">
        <v>153</v>
      </c>
      <c r="CW337" s="244">
        <v>6.23</v>
      </c>
      <c r="CX337" s="245">
        <v>96</v>
      </c>
      <c r="CY337" s="246">
        <v>-0.35</v>
      </c>
      <c r="CZ337" s="247">
        <v>3</v>
      </c>
      <c r="DA337" s="248" t="s">
        <v>153</v>
      </c>
      <c r="DB337" s="249" t="s">
        <v>153</v>
      </c>
      <c r="DC337" s="250">
        <v>13.45</v>
      </c>
      <c r="DD337" s="251">
        <v>94</v>
      </c>
      <c r="DE337" s="252">
        <v>-0.03</v>
      </c>
      <c r="DF337" s="253">
        <v>-0.23</v>
      </c>
      <c r="DG337" s="254">
        <v>13.45</v>
      </c>
      <c r="DH337" s="255">
        <v>93</v>
      </c>
      <c r="DI337" s="256" t="s">
        <v>153</v>
      </c>
      <c r="DJ337" s="257" t="s">
        <v>153</v>
      </c>
      <c r="DK337" s="258">
        <v>2.84</v>
      </c>
      <c r="DL337" s="259">
        <v>70</v>
      </c>
      <c r="DM337" s="260">
        <v>24.06</v>
      </c>
      <c r="DN337" s="261">
        <v>96</v>
      </c>
      <c r="DO337" s="262" t="s">
        <v>153</v>
      </c>
      <c r="DP337" s="263" t="s">
        <v>153</v>
      </c>
      <c r="DQ337" s="264">
        <v>1678</v>
      </c>
      <c r="DR337" s="265">
        <v>22</v>
      </c>
      <c r="DS337" s="266">
        <v>1.33</v>
      </c>
      <c r="DT337" s="267">
        <v>385</v>
      </c>
      <c r="DU337" s="268">
        <v>-1</v>
      </c>
      <c r="DV337" s="269">
        <v>-0.26</v>
      </c>
      <c r="DW337" s="270" t="s">
        <v>153</v>
      </c>
      <c r="DX337" s="271" t="s">
        <v>153</v>
      </c>
      <c r="DY337" s="272" t="s">
        <v>153</v>
      </c>
      <c r="DZ337" s="273" t="s">
        <v>191</v>
      </c>
      <c r="EA337" s="274">
        <v>44217</v>
      </c>
      <c r="EB337" s="275">
        <v>11600</v>
      </c>
      <c r="EC337" s="276">
        <v>36951</v>
      </c>
      <c r="ED337" s="277" t="s">
        <v>226</v>
      </c>
      <c r="EE337" s="279" t="str">
        <f>HYPERLINK("https://my.pitchbook.com?c=26033-41", "View company online")</f>
        <v>View company online</v>
      </c>
    </row>
    <row r="338" spans="1:135" x14ac:dyDescent="0.45">
      <c r="A338" s="10" t="s">
        <v>7236</v>
      </c>
      <c r="B338" s="11" t="s">
        <v>7237</v>
      </c>
      <c r="C338" s="12" t="s">
        <v>153</v>
      </c>
      <c r="D338" s="13" t="s">
        <v>153</v>
      </c>
      <c r="E338" s="14" t="s">
        <v>3437</v>
      </c>
      <c r="F338" s="15" t="s">
        <v>7238</v>
      </c>
      <c r="G338" s="16" t="s">
        <v>7239</v>
      </c>
      <c r="H338" s="17" t="s">
        <v>7240</v>
      </c>
      <c r="I338" s="18" t="s">
        <v>7236</v>
      </c>
      <c r="J338" s="19" t="s">
        <v>7241</v>
      </c>
      <c r="K338" s="20" t="s">
        <v>257</v>
      </c>
      <c r="L338" s="21" t="s">
        <v>258</v>
      </c>
      <c r="M338" s="22" t="s">
        <v>448</v>
      </c>
      <c r="N338" s="23" t="s">
        <v>3439</v>
      </c>
      <c r="O338" s="24" t="s">
        <v>755</v>
      </c>
      <c r="P338" s="25" t="s">
        <v>7242</v>
      </c>
      <c r="Q338" s="26" t="s">
        <v>204</v>
      </c>
      <c r="R338" s="27" t="s">
        <v>153</v>
      </c>
      <c r="S338" s="28" t="s">
        <v>290</v>
      </c>
      <c r="T338" s="29" t="s">
        <v>1392</v>
      </c>
      <c r="U338" s="30" t="s">
        <v>369</v>
      </c>
      <c r="V338" s="31" t="s">
        <v>7243</v>
      </c>
      <c r="W338" s="32">
        <v>480</v>
      </c>
      <c r="X338" s="33" t="s">
        <v>7244</v>
      </c>
      <c r="Y338" s="34" t="s">
        <v>153</v>
      </c>
      <c r="Z338" s="35" t="s">
        <v>153</v>
      </c>
      <c r="AA338" s="36">
        <v>2016</v>
      </c>
      <c r="AB338" s="37" t="s">
        <v>153</v>
      </c>
      <c r="AC338" s="38" t="s">
        <v>153</v>
      </c>
      <c r="AD338" s="39" t="s">
        <v>153</v>
      </c>
      <c r="AE338" s="40" t="s">
        <v>153</v>
      </c>
      <c r="AF338" s="41" t="s">
        <v>153</v>
      </c>
      <c r="AG338" s="42" t="s">
        <v>153</v>
      </c>
      <c r="AH338" s="43" t="s">
        <v>153</v>
      </c>
      <c r="AI338" s="44" t="s">
        <v>153</v>
      </c>
      <c r="AJ338" s="45" t="s">
        <v>153</v>
      </c>
      <c r="AK338" s="46" t="s">
        <v>153</v>
      </c>
      <c r="AL338" s="47" t="s">
        <v>153</v>
      </c>
      <c r="AM338" s="48" t="s">
        <v>153</v>
      </c>
      <c r="AN338" s="49" t="s">
        <v>868</v>
      </c>
      <c r="AO338" s="50" t="s">
        <v>153</v>
      </c>
      <c r="AP338" s="51" t="s">
        <v>153</v>
      </c>
      <c r="AQ338" s="52" t="s">
        <v>153</v>
      </c>
      <c r="AR338" s="53" t="s">
        <v>153</v>
      </c>
      <c r="AS338" s="54" t="s">
        <v>153</v>
      </c>
      <c r="AT338" s="55" t="s">
        <v>382</v>
      </c>
      <c r="AU338" s="56" t="s">
        <v>7245</v>
      </c>
      <c r="AV338" s="57" t="s">
        <v>153</v>
      </c>
      <c r="AW338" s="58" t="s">
        <v>384</v>
      </c>
      <c r="AX338" s="59" t="s">
        <v>385</v>
      </c>
      <c r="AY338" s="60" t="s">
        <v>386</v>
      </c>
      <c r="AZ338" s="61" t="s">
        <v>215</v>
      </c>
      <c r="BA338" s="62" t="s">
        <v>7246</v>
      </c>
      <c r="BB338" s="63" t="s">
        <v>153</v>
      </c>
      <c r="BC338" s="64" t="s">
        <v>153</v>
      </c>
      <c r="BD338" s="65" t="s">
        <v>216</v>
      </c>
      <c r="BE338" s="66" t="s">
        <v>217</v>
      </c>
      <c r="BF338" s="67" t="s">
        <v>7247</v>
      </c>
      <c r="BG338" s="68" t="s">
        <v>153</v>
      </c>
      <c r="BH338" s="69" t="s">
        <v>153</v>
      </c>
      <c r="BI338" s="70" t="s">
        <v>3443</v>
      </c>
      <c r="BJ338" s="71" t="s">
        <v>7248</v>
      </c>
      <c r="BK338" s="72" t="s">
        <v>153</v>
      </c>
      <c r="BL338" s="73" t="s">
        <v>153</v>
      </c>
      <c r="BM338" s="74" t="s">
        <v>7249</v>
      </c>
      <c r="BN338" s="75" t="s">
        <v>153</v>
      </c>
      <c r="BO338" s="76" t="s">
        <v>7250</v>
      </c>
      <c r="BP338" s="77" t="s">
        <v>7251</v>
      </c>
      <c r="BQ338" s="78">
        <v>42747</v>
      </c>
      <c r="BR338" s="79" t="s">
        <v>153</v>
      </c>
      <c r="BS338" s="80" t="s">
        <v>153</v>
      </c>
      <c r="BT338" s="81" t="s">
        <v>153</v>
      </c>
      <c r="BU338" s="82" t="s">
        <v>153</v>
      </c>
      <c r="BV338" s="83" t="s">
        <v>251</v>
      </c>
      <c r="BW338" s="84" t="s">
        <v>524</v>
      </c>
      <c r="BX338" s="85" t="s">
        <v>153</v>
      </c>
      <c r="BY338" s="86" t="s">
        <v>252</v>
      </c>
      <c r="BZ338" s="87" t="s">
        <v>153</v>
      </c>
      <c r="CA338" s="88" t="s">
        <v>190</v>
      </c>
      <c r="CB338" s="89">
        <v>43167</v>
      </c>
      <c r="CC338" s="90">
        <v>11528.26</v>
      </c>
      <c r="CD338" s="91" t="s">
        <v>186</v>
      </c>
      <c r="CE338" s="92">
        <v>11528.26</v>
      </c>
      <c r="CF338" s="93" t="s">
        <v>187</v>
      </c>
      <c r="CG338" s="94" t="s">
        <v>226</v>
      </c>
      <c r="CH338" s="95" t="s">
        <v>153</v>
      </c>
      <c r="CI338" s="96" t="s">
        <v>153</v>
      </c>
      <c r="CJ338" s="97" t="s">
        <v>225</v>
      </c>
      <c r="CK338" s="98">
        <v>43167</v>
      </c>
      <c r="CL338" s="99" t="s">
        <v>153</v>
      </c>
      <c r="CM338" s="100" t="s">
        <v>153</v>
      </c>
      <c r="CN338" s="101" t="s">
        <v>190</v>
      </c>
      <c r="CO338" s="102">
        <v>1.26</v>
      </c>
      <c r="CP338" s="103">
        <v>97</v>
      </c>
      <c r="CQ338" s="104">
        <v>-0.54</v>
      </c>
      <c r="CR338" s="105">
        <v>-30.16</v>
      </c>
      <c r="CS338" s="106">
        <v>1.26</v>
      </c>
      <c r="CT338" s="107">
        <v>96</v>
      </c>
      <c r="CU338" s="108" t="s">
        <v>153</v>
      </c>
      <c r="CV338" s="109" t="s">
        <v>153</v>
      </c>
      <c r="CW338" s="110" t="s">
        <v>153</v>
      </c>
      <c r="CX338" s="111" t="s">
        <v>153</v>
      </c>
      <c r="CY338" s="112">
        <v>1.26</v>
      </c>
      <c r="CZ338" s="113">
        <v>98</v>
      </c>
      <c r="DA338" s="114" t="s">
        <v>153</v>
      </c>
      <c r="DB338" s="115" t="s">
        <v>153</v>
      </c>
      <c r="DC338" s="116">
        <v>10</v>
      </c>
      <c r="DD338" s="117">
        <v>92</v>
      </c>
      <c r="DE338" s="118">
        <v>0.06</v>
      </c>
      <c r="DF338" s="119">
        <v>0.63</v>
      </c>
      <c r="DG338" s="120">
        <v>10</v>
      </c>
      <c r="DH338" s="121">
        <v>91</v>
      </c>
      <c r="DI338" s="122" t="s">
        <v>153</v>
      </c>
      <c r="DJ338" s="123" t="s">
        <v>153</v>
      </c>
      <c r="DK338" s="124" t="s">
        <v>153</v>
      </c>
      <c r="DL338" s="125" t="s">
        <v>153</v>
      </c>
      <c r="DM338" s="126">
        <v>10</v>
      </c>
      <c r="DN338" s="127">
        <v>90</v>
      </c>
      <c r="DO338" s="128" t="s">
        <v>153</v>
      </c>
      <c r="DP338" s="129" t="s">
        <v>153</v>
      </c>
      <c r="DQ338" s="130" t="s">
        <v>153</v>
      </c>
      <c r="DR338" s="131" t="s">
        <v>153</v>
      </c>
      <c r="DS338" s="132" t="s">
        <v>153</v>
      </c>
      <c r="DT338" s="133">
        <v>159</v>
      </c>
      <c r="DU338" s="134">
        <v>0</v>
      </c>
      <c r="DV338" s="135">
        <v>0</v>
      </c>
      <c r="DW338" s="136" t="s">
        <v>153</v>
      </c>
      <c r="DX338" s="137" t="s">
        <v>153</v>
      </c>
      <c r="DY338" s="138" t="s">
        <v>153</v>
      </c>
      <c r="DZ338" s="139" t="s">
        <v>191</v>
      </c>
      <c r="EA338" s="140">
        <v>44396</v>
      </c>
      <c r="EB338" s="141">
        <v>11528.26</v>
      </c>
      <c r="EC338" s="142">
        <v>43167</v>
      </c>
      <c r="ED338" s="143" t="s">
        <v>226</v>
      </c>
      <c r="EE338" s="278" t="str">
        <f>HYPERLINK("https://my.pitchbook.com?c=169838-02", "View company online")</f>
        <v>View company online</v>
      </c>
    </row>
    <row r="339" spans="1:135" x14ac:dyDescent="0.45">
      <c r="A339" s="144" t="s">
        <v>7252</v>
      </c>
      <c r="B339" s="145" t="s">
        <v>7253</v>
      </c>
      <c r="C339" s="146" t="s">
        <v>153</v>
      </c>
      <c r="D339" s="147" t="s">
        <v>153</v>
      </c>
      <c r="E339" s="148" t="s">
        <v>7254</v>
      </c>
      <c r="F339" s="149" t="s">
        <v>7255</v>
      </c>
      <c r="G339" s="150" t="s">
        <v>7256</v>
      </c>
      <c r="H339" s="151" t="s">
        <v>153</v>
      </c>
      <c r="I339" s="152" t="s">
        <v>7252</v>
      </c>
      <c r="J339" s="153" t="s">
        <v>7257</v>
      </c>
      <c r="K339" s="154" t="s">
        <v>559</v>
      </c>
      <c r="L339" s="155" t="s">
        <v>1345</v>
      </c>
      <c r="M339" s="156" t="s">
        <v>3286</v>
      </c>
      <c r="N339" s="157" t="s">
        <v>3287</v>
      </c>
      <c r="O339" s="158" t="s">
        <v>3141</v>
      </c>
      <c r="P339" s="159" t="s">
        <v>7258</v>
      </c>
      <c r="Q339" s="160" t="s">
        <v>204</v>
      </c>
      <c r="R339" s="161" t="s">
        <v>153</v>
      </c>
      <c r="S339" s="162" t="s">
        <v>163</v>
      </c>
      <c r="T339" s="163" t="s">
        <v>205</v>
      </c>
      <c r="U339" s="164" t="s">
        <v>369</v>
      </c>
      <c r="V339" s="165" t="s">
        <v>153</v>
      </c>
      <c r="W339" s="166" t="s">
        <v>153</v>
      </c>
      <c r="X339" s="167" t="s">
        <v>153</v>
      </c>
      <c r="Y339" s="168" t="s">
        <v>153</v>
      </c>
      <c r="Z339" s="169" t="s">
        <v>153</v>
      </c>
      <c r="AA339" s="170">
        <v>1997</v>
      </c>
      <c r="AB339" s="171" t="s">
        <v>153</v>
      </c>
      <c r="AC339" s="172" t="s">
        <v>153</v>
      </c>
      <c r="AD339" s="173" t="s">
        <v>153</v>
      </c>
      <c r="AE339" s="174" t="s">
        <v>153</v>
      </c>
      <c r="AF339" s="175" t="s">
        <v>153</v>
      </c>
      <c r="AG339" s="176" t="s">
        <v>153</v>
      </c>
      <c r="AH339" s="177" t="s">
        <v>153</v>
      </c>
      <c r="AI339" s="178" t="s">
        <v>153</v>
      </c>
      <c r="AJ339" s="179" t="s">
        <v>153</v>
      </c>
      <c r="AK339" s="180" t="s">
        <v>153</v>
      </c>
      <c r="AL339" s="181" t="s">
        <v>153</v>
      </c>
      <c r="AM339" s="182" t="s">
        <v>153</v>
      </c>
      <c r="AN339" s="183" t="s">
        <v>4414</v>
      </c>
      <c r="AO339" s="184" t="s">
        <v>153</v>
      </c>
      <c r="AP339" s="185" t="s">
        <v>153</v>
      </c>
      <c r="AQ339" s="186" t="s">
        <v>153</v>
      </c>
      <c r="AR339" s="187" t="s">
        <v>153</v>
      </c>
      <c r="AS339" s="188" t="s">
        <v>153</v>
      </c>
      <c r="AT339" s="189" t="s">
        <v>3419</v>
      </c>
      <c r="AU339" s="190" t="s">
        <v>7259</v>
      </c>
      <c r="AV339" s="191" t="s">
        <v>1126</v>
      </c>
      <c r="AW339" s="192" t="s">
        <v>3422</v>
      </c>
      <c r="AX339" s="193" t="s">
        <v>3423</v>
      </c>
      <c r="AY339" s="194" t="s">
        <v>7260</v>
      </c>
      <c r="AZ339" s="195" t="s">
        <v>1358</v>
      </c>
      <c r="BA339" s="196" t="s">
        <v>153</v>
      </c>
      <c r="BB339" s="197" t="s">
        <v>153</v>
      </c>
      <c r="BC339" s="198" t="s">
        <v>153</v>
      </c>
      <c r="BD339" s="199" t="s">
        <v>216</v>
      </c>
      <c r="BE339" s="200" t="s">
        <v>217</v>
      </c>
      <c r="BF339" s="201" t="s">
        <v>7261</v>
      </c>
      <c r="BG339" s="202" t="s">
        <v>153</v>
      </c>
      <c r="BH339" s="203" t="s">
        <v>153</v>
      </c>
      <c r="BI339" s="204" t="s">
        <v>7262</v>
      </c>
      <c r="BJ339" s="205" t="s">
        <v>7263</v>
      </c>
      <c r="BK339" s="206" t="s">
        <v>153</v>
      </c>
      <c r="BL339" s="207" t="s">
        <v>153</v>
      </c>
      <c r="BM339" s="208" t="s">
        <v>7264</v>
      </c>
      <c r="BN339" s="209" t="s">
        <v>153</v>
      </c>
      <c r="BO339" s="210" t="s">
        <v>153</v>
      </c>
      <c r="BP339" s="211" t="s">
        <v>7265</v>
      </c>
      <c r="BQ339" s="212" t="s">
        <v>153</v>
      </c>
      <c r="BR339" s="213" t="s">
        <v>153</v>
      </c>
      <c r="BS339" s="214" t="s">
        <v>153</v>
      </c>
      <c r="BT339" s="215" t="s">
        <v>153</v>
      </c>
      <c r="BU339" s="216" t="s">
        <v>153</v>
      </c>
      <c r="BV339" s="217" t="s">
        <v>251</v>
      </c>
      <c r="BW339" s="218" t="s">
        <v>153</v>
      </c>
      <c r="BX339" s="219" t="s">
        <v>153</v>
      </c>
      <c r="BY339" s="220" t="s">
        <v>252</v>
      </c>
      <c r="BZ339" s="221" t="s">
        <v>153</v>
      </c>
      <c r="CA339" s="222" t="s">
        <v>190</v>
      </c>
      <c r="CB339" s="223">
        <v>39751</v>
      </c>
      <c r="CC339" s="224">
        <v>11519.03</v>
      </c>
      <c r="CD339" s="225" t="s">
        <v>186</v>
      </c>
      <c r="CE339" s="226">
        <v>14507.16</v>
      </c>
      <c r="CF339" s="227" t="s">
        <v>186</v>
      </c>
      <c r="CG339" s="228" t="s">
        <v>226</v>
      </c>
      <c r="CH339" s="229" t="s">
        <v>153</v>
      </c>
      <c r="CI339" s="230" t="s">
        <v>153</v>
      </c>
      <c r="CJ339" s="231" t="s">
        <v>225</v>
      </c>
      <c r="CK339" s="232">
        <v>39751</v>
      </c>
      <c r="CL339" s="233" t="s">
        <v>153</v>
      </c>
      <c r="CM339" s="234" t="s">
        <v>153</v>
      </c>
      <c r="CN339" s="235" t="s">
        <v>190</v>
      </c>
      <c r="CO339" s="236" t="s">
        <v>153</v>
      </c>
      <c r="CP339" s="237" t="s">
        <v>153</v>
      </c>
      <c r="CQ339" s="238" t="s">
        <v>153</v>
      </c>
      <c r="CR339" s="239" t="s">
        <v>153</v>
      </c>
      <c r="CS339" s="240" t="s">
        <v>153</v>
      </c>
      <c r="CT339" s="241" t="s">
        <v>153</v>
      </c>
      <c r="CU339" s="242" t="s">
        <v>153</v>
      </c>
      <c r="CV339" s="243" t="s">
        <v>153</v>
      </c>
      <c r="CW339" s="244" t="s">
        <v>153</v>
      </c>
      <c r="CX339" s="245" t="s">
        <v>153</v>
      </c>
      <c r="CY339" s="246" t="s">
        <v>153</v>
      </c>
      <c r="CZ339" s="247" t="s">
        <v>153</v>
      </c>
      <c r="DA339" s="248" t="s">
        <v>153</v>
      </c>
      <c r="DB339" s="249" t="s">
        <v>153</v>
      </c>
      <c r="DC339" s="250" t="s">
        <v>153</v>
      </c>
      <c r="DD339" s="251" t="s">
        <v>153</v>
      </c>
      <c r="DE339" s="252" t="s">
        <v>153</v>
      </c>
      <c r="DF339" s="253" t="s">
        <v>153</v>
      </c>
      <c r="DG339" s="254" t="s">
        <v>153</v>
      </c>
      <c r="DH339" s="255" t="s">
        <v>153</v>
      </c>
      <c r="DI339" s="256" t="s">
        <v>153</v>
      </c>
      <c r="DJ339" s="257" t="s">
        <v>153</v>
      </c>
      <c r="DK339" s="258" t="s">
        <v>153</v>
      </c>
      <c r="DL339" s="259" t="s">
        <v>153</v>
      </c>
      <c r="DM339" s="260" t="s">
        <v>153</v>
      </c>
      <c r="DN339" s="261" t="s">
        <v>153</v>
      </c>
      <c r="DO339" s="262" t="s">
        <v>153</v>
      </c>
      <c r="DP339" s="263" t="s">
        <v>153</v>
      </c>
      <c r="DQ339" s="264" t="s">
        <v>153</v>
      </c>
      <c r="DR339" s="265" t="s">
        <v>153</v>
      </c>
      <c r="DS339" s="266" t="s">
        <v>153</v>
      </c>
      <c r="DT339" s="267" t="s">
        <v>153</v>
      </c>
      <c r="DU339" s="268" t="s">
        <v>153</v>
      </c>
      <c r="DV339" s="269" t="s">
        <v>153</v>
      </c>
      <c r="DW339" s="270" t="s">
        <v>153</v>
      </c>
      <c r="DX339" s="271" t="s">
        <v>153</v>
      </c>
      <c r="DY339" s="272" t="s">
        <v>153</v>
      </c>
      <c r="DZ339" s="273" t="s">
        <v>191</v>
      </c>
      <c r="EA339" s="274">
        <v>44147</v>
      </c>
      <c r="EB339" s="275">
        <v>14507.16</v>
      </c>
      <c r="EC339" s="276">
        <v>39751</v>
      </c>
      <c r="ED339" s="277" t="s">
        <v>226</v>
      </c>
      <c r="EE339" s="279" t="str">
        <f>HYPERLINK("https://my.pitchbook.com?c=13263-58", "View company online")</f>
        <v>View company online</v>
      </c>
    </row>
    <row r="340" spans="1:135" x14ac:dyDescent="0.45">
      <c r="A340" s="10" t="s">
        <v>7266</v>
      </c>
      <c r="B340" s="11" t="s">
        <v>7267</v>
      </c>
      <c r="C340" s="12" t="s">
        <v>153</v>
      </c>
      <c r="D340" s="13" t="s">
        <v>153</v>
      </c>
      <c r="E340" s="14" t="s">
        <v>153</v>
      </c>
      <c r="F340" s="15" t="s">
        <v>7268</v>
      </c>
      <c r="G340" s="16" t="s">
        <v>7269</v>
      </c>
      <c r="H340" s="17" t="s">
        <v>153</v>
      </c>
      <c r="I340" s="18" t="s">
        <v>7266</v>
      </c>
      <c r="J340" s="19" t="s">
        <v>7270</v>
      </c>
      <c r="K340" s="20" t="s">
        <v>882</v>
      </c>
      <c r="L340" s="21" t="s">
        <v>1257</v>
      </c>
      <c r="M340" s="22" t="s">
        <v>5055</v>
      </c>
      <c r="N340" s="23" t="s">
        <v>7271</v>
      </c>
      <c r="O340" s="24" t="s">
        <v>1234</v>
      </c>
      <c r="P340" s="25" t="s">
        <v>7272</v>
      </c>
      <c r="Q340" s="26" t="s">
        <v>564</v>
      </c>
      <c r="R340" s="27">
        <v>1491</v>
      </c>
      <c r="S340" s="28" t="s">
        <v>163</v>
      </c>
      <c r="T340" s="29" t="s">
        <v>205</v>
      </c>
      <c r="U340" s="30" t="s">
        <v>565</v>
      </c>
      <c r="V340" s="31" t="s">
        <v>153</v>
      </c>
      <c r="W340" s="32">
        <v>463</v>
      </c>
      <c r="X340" s="33" t="s">
        <v>7273</v>
      </c>
      <c r="Y340" s="34" t="s">
        <v>153</v>
      </c>
      <c r="Z340" s="35" t="s">
        <v>153</v>
      </c>
      <c r="AA340" s="36">
        <v>1988</v>
      </c>
      <c r="AB340" s="37" t="s">
        <v>153</v>
      </c>
      <c r="AC340" s="38" t="s">
        <v>153</v>
      </c>
      <c r="AD340" s="39" t="s">
        <v>153</v>
      </c>
      <c r="AE340" s="40" t="s">
        <v>153</v>
      </c>
      <c r="AF340" s="41" t="s">
        <v>153</v>
      </c>
      <c r="AG340" s="42" t="s">
        <v>153</v>
      </c>
      <c r="AH340" s="43" t="s">
        <v>153</v>
      </c>
      <c r="AI340" s="44" t="s">
        <v>153</v>
      </c>
      <c r="AJ340" s="45" t="s">
        <v>153</v>
      </c>
      <c r="AK340" s="46" t="s">
        <v>153</v>
      </c>
      <c r="AL340" s="47" t="s">
        <v>153</v>
      </c>
      <c r="AM340" s="48" t="s">
        <v>153</v>
      </c>
      <c r="AN340" s="49" t="s">
        <v>5196</v>
      </c>
      <c r="AO340" s="50" t="s">
        <v>153</v>
      </c>
      <c r="AP340" s="51" t="s">
        <v>153</v>
      </c>
      <c r="AQ340" s="52" t="s">
        <v>153</v>
      </c>
      <c r="AR340" s="53" t="s">
        <v>153</v>
      </c>
      <c r="AS340" s="54" t="s">
        <v>153</v>
      </c>
      <c r="AT340" s="55" t="s">
        <v>3608</v>
      </c>
      <c r="AU340" s="56" t="s">
        <v>7274</v>
      </c>
      <c r="AV340" s="57" t="s">
        <v>6060</v>
      </c>
      <c r="AW340" s="58" t="s">
        <v>3611</v>
      </c>
      <c r="AX340" s="59" t="s">
        <v>2482</v>
      </c>
      <c r="AY340" s="60" t="s">
        <v>7275</v>
      </c>
      <c r="AZ340" s="61" t="s">
        <v>215</v>
      </c>
      <c r="BA340" s="62" t="s">
        <v>7276</v>
      </c>
      <c r="BB340" s="63" t="s">
        <v>7277</v>
      </c>
      <c r="BC340" s="64" t="s">
        <v>153</v>
      </c>
      <c r="BD340" s="65" t="s">
        <v>216</v>
      </c>
      <c r="BE340" s="66" t="s">
        <v>217</v>
      </c>
      <c r="BF340" s="67" t="s">
        <v>7278</v>
      </c>
      <c r="BG340" s="68" t="s">
        <v>153</v>
      </c>
      <c r="BH340" s="69" t="s">
        <v>153</v>
      </c>
      <c r="BI340" s="70" t="s">
        <v>7279</v>
      </c>
      <c r="BJ340" s="71" t="s">
        <v>7280</v>
      </c>
      <c r="BK340" s="72" t="s">
        <v>153</v>
      </c>
      <c r="BL340" s="73" t="s">
        <v>153</v>
      </c>
      <c r="BM340" s="74" t="s">
        <v>7281</v>
      </c>
      <c r="BN340" s="75" t="s">
        <v>153</v>
      </c>
      <c r="BO340" s="76" t="s">
        <v>7282</v>
      </c>
      <c r="BP340" s="77" t="s">
        <v>7283</v>
      </c>
      <c r="BQ340" s="78">
        <v>34740</v>
      </c>
      <c r="BR340" s="79">
        <v>50</v>
      </c>
      <c r="BS340" s="80" t="s">
        <v>186</v>
      </c>
      <c r="BT340" s="81" t="s">
        <v>153</v>
      </c>
      <c r="BU340" s="82" t="s">
        <v>153</v>
      </c>
      <c r="BV340" s="83" t="s">
        <v>393</v>
      </c>
      <c r="BW340" s="84" t="s">
        <v>4234</v>
      </c>
      <c r="BX340" s="85" t="s">
        <v>153</v>
      </c>
      <c r="BY340" s="86" t="s">
        <v>165</v>
      </c>
      <c r="BZ340" s="87" t="s">
        <v>153</v>
      </c>
      <c r="CA340" s="88" t="s">
        <v>190</v>
      </c>
      <c r="CB340" s="89">
        <v>39623</v>
      </c>
      <c r="CC340" s="90">
        <v>11503</v>
      </c>
      <c r="CD340" s="91" t="s">
        <v>186</v>
      </c>
      <c r="CE340" s="92">
        <v>11503</v>
      </c>
      <c r="CF340" s="93" t="s">
        <v>186</v>
      </c>
      <c r="CG340" s="94" t="s">
        <v>226</v>
      </c>
      <c r="CH340" s="95" t="s">
        <v>153</v>
      </c>
      <c r="CI340" s="96" t="s">
        <v>153</v>
      </c>
      <c r="CJ340" s="97" t="s">
        <v>225</v>
      </c>
      <c r="CK340" s="98">
        <v>39623</v>
      </c>
      <c r="CL340" s="99" t="s">
        <v>153</v>
      </c>
      <c r="CM340" s="100" t="s">
        <v>153</v>
      </c>
      <c r="CN340" s="101" t="s">
        <v>190</v>
      </c>
      <c r="CO340" s="102" t="s">
        <v>153</v>
      </c>
      <c r="CP340" s="103" t="s">
        <v>153</v>
      </c>
      <c r="CQ340" s="104" t="s">
        <v>153</v>
      </c>
      <c r="CR340" s="105" t="s">
        <v>153</v>
      </c>
      <c r="CS340" s="106" t="s">
        <v>153</v>
      </c>
      <c r="CT340" s="107" t="s">
        <v>153</v>
      </c>
      <c r="CU340" s="108" t="s">
        <v>153</v>
      </c>
      <c r="CV340" s="109" t="s">
        <v>153</v>
      </c>
      <c r="CW340" s="110" t="s">
        <v>153</v>
      </c>
      <c r="CX340" s="111" t="s">
        <v>153</v>
      </c>
      <c r="CY340" s="112" t="s">
        <v>153</v>
      </c>
      <c r="CZ340" s="113" t="s">
        <v>153</v>
      </c>
      <c r="DA340" s="114" t="s">
        <v>153</v>
      </c>
      <c r="DB340" s="115" t="s">
        <v>153</v>
      </c>
      <c r="DC340" s="116" t="s">
        <v>153</v>
      </c>
      <c r="DD340" s="117" t="s">
        <v>153</v>
      </c>
      <c r="DE340" s="118" t="s">
        <v>153</v>
      </c>
      <c r="DF340" s="119" t="s">
        <v>153</v>
      </c>
      <c r="DG340" s="120" t="s">
        <v>153</v>
      </c>
      <c r="DH340" s="121" t="s">
        <v>153</v>
      </c>
      <c r="DI340" s="122" t="s">
        <v>153</v>
      </c>
      <c r="DJ340" s="123" t="s">
        <v>153</v>
      </c>
      <c r="DK340" s="124" t="s">
        <v>153</v>
      </c>
      <c r="DL340" s="125" t="s">
        <v>153</v>
      </c>
      <c r="DM340" s="126" t="s">
        <v>153</v>
      </c>
      <c r="DN340" s="127" t="s">
        <v>153</v>
      </c>
      <c r="DO340" s="128" t="s">
        <v>153</v>
      </c>
      <c r="DP340" s="129" t="s">
        <v>153</v>
      </c>
      <c r="DQ340" s="130" t="s">
        <v>153</v>
      </c>
      <c r="DR340" s="131" t="s">
        <v>153</v>
      </c>
      <c r="DS340" s="132" t="s">
        <v>153</v>
      </c>
      <c r="DT340" s="133" t="s">
        <v>153</v>
      </c>
      <c r="DU340" s="134" t="s">
        <v>153</v>
      </c>
      <c r="DV340" s="135" t="s">
        <v>153</v>
      </c>
      <c r="DW340" s="136" t="s">
        <v>153</v>
      </c>
      <c r="DX340" s="137" t="s">
        <v>153</v>
      </c>
      <c r="DY340" s="138" t="s">
        <v>153</v>
      </c>
      <c r="DZ340" s="139" t="s">
        <v>191</v>
      </c>
      <c r="EA340" s="140">
        <v>44368</v>
      </c>
      <c r="EB340" s="141">
        <v>11503</v>
      </c>
      <c r="EC340" s="142">
        <v>39623</v>
      </c>
      <c r="ED340" s="143" t="s">
        <v>226</v>
      </c>
      <c r="EE340" s="278" t="str">
        <f>HYPERLINK("https://my.pitchbook.com?c=11799-73", "View company online")</f>
        <v>View company online</v>
      </c>
    </row>
    <row r="341" spans="1:135" x14ac:dyDescent="0.45">
      <c r="A341" s="144" t="s">
        <v>7284</v>
      </c>
      <c r="B341" s="145" t="s">
        <v>7285</v>
      </c>
      <c r="C341" s="146" t="s">
        <v>153</v>
      </c>
      <c r="D341" s="147" t="s">
        <v>153</v>
      </c>
      <c r="E341" s="148" t="s">
        <v>153</v>
      </c>
      <c r="F341" s="149" t="s">
        <v>153</v>
      </c>
      <c r="G341" s="150" t="s">
        <v>153</v>
      </c>
      <c r="H341" s="151" t="s">
        <v>153</v>
      </c>
      <c r="I341" s="152" t="s">
        <v>7284</v>
      </c>
      <c r="J341" s="153" t="s">
        <v>7286</v>
      </c>
      <c r="K341" s="154" t="s">
        <v>232</v>
      </c>
      <c r="L341" s="155" t="s">
        <v>2162</v>
      </c>
      <c r="M341" s="156" t="s">
        <v>4087</v>
      </c>
      <c r="N341" s="157" t="s">
        <v>7287</v>
      </c>
      <c r="O341" s="158" t="s">
        <v>153</v>
      </c>
      <c r="P341" s="159" t="s">
        <v>7288</v>
      </c>
      <c r="Q341" s="160" t="s">
        <v>204</v>
      </c>
      <c r="R341" s="161" t="s">
        <v>153</v>
      </c>
      <c r="S341" s="162" t="s">
        <v>290</v>
      </c>
      <c r="T341" s="163" t="s">
        <v>205</v>
      </c>
      <c r="U341" s="164" t="s">
        <v>206</v>
      </c>
      <c r="V341" s="165" t="s">
        <v>153</v>
      </c>
      <c r="W341" s="166" t="s">
        <v>153</v>
      </c>
      <c r="X341" s="167" t="s">
        <v>153</v>
      </c>
      <c r="Y341" s="168" t="s">
        <v>153</v>
      </c>
      <c r="Z341" s="169" t="s">
        <v>153</v>
      </c>
      <c r="AA341" s="170" t="s">
        <v>153</v>
      </c>
      <c r="AB341" s="171" t="s">
        <v>153</v>
      </c>
      <c r="AC341" s="172" t="s">
        <v>153</v>
      </c>
      <c r="AD341" s="173" t="s">
        <v>153</v>
      </c>
      <c r="AE341" s="174" t="s">
        <v>153</v>
      </c>
      <c r="AF341" s="175" t="s">
        <v>153</v>
      </c>
      <c r="AG341" s="176" t="s">
        <v>153</v>
      </c>
      <c r="AH341" s="177" t="s">
        <v>153</v>
      </c>
      <c r="AI341" s="178" t="s">
        <v>153</v>
      </c>
      <c r="AJ341" s="179" t="s">
        <v>153</v>
      </c>
      <c r="AK341" s="180" t="s">
        <v>153</v>
      </c>
      <c r="AL341" s="181" t="s">
        <v>153</v>
      </c>
      <c r="AM341" s="182" t="s">
        <v>153</v>
      </c>
      <c r="AN341" s="183" t="s">
        <v>7002</v>
      </c>
      <c r="AO341" s="184" t="s">
        <v>153</v>
      </c>
      <c r="AP341" s="185" t="s">
        <v>153</v>
      </c>
      <c r="AQ341" s="186" t="s">
        <v>153</v>
      </c>
      <c r="AR341" s="187" t="s">
        <v>153</v>
      </c>
      <c r="AS341" s="188" t="s">
        <v>153</v>
      </c>
      <c r="AT341" s="189" t="s">
        <v>433</v>
      </c>
      <c r="AU341" s="190" t="s">
        <v>7289</v>
      </c>
      <c r="AV341" s="191" t="s">
        <v>153</v>
      </c>
      <c r="AW341" s="192" t="s">
        <v>436</v>
      </c>
      <c r="AX341" s="193" t="s">
        <v>436</v>
      </c>
      <c r="AY341" s="194" t="s">
        <v>7290</v>
      </c>
      <c r="AZ341" s="195" t="s">
        <v>215</v>
      </c>
      <c r="BA341" s="196" t="s">
        <v>153</v>
      </c>
      <c r="BB341" s="197" t="s">
        <v>153</v>
      </c>
      <c r="BC341" s="198" t="s">
        <v>153</v>
      </c>
      <c r="BD341" s="199" t="s">
        <v>216</v>
      </c>
      <c r="BE341" s="200" t="s">
        <v>217</v>
      </c>
      <c r="BF341" s="201" t="s">
        <v>7291</v>
      </c>
      <c r="BG341" s="202" t="s">
        <v>153</v>
      </c>
      <c r="BH341" s="203" t="s">
        <v>153</v>
      </c>
      <c r="BI341" s="204" t="s">
        <v>7292</v>
      </c>
      <c r="BJ341" s="205" t="s">
        <v>7293</v>
      </c>
      <c r="BK341" s="206" t="s">
        <v>153</v>
      </c>
      <c r="BL341" s="207" t="s">
        <v>153</v>
      </c>
      <c r="BM341" s="208" t="s">
        <v>7294</v>
      </c>
      <c r="BN341" s="209" t="s">
        <v>153</v>
      </c>
      <c r="BO341" s="210" t="s">
        <v>153</v>
      </c>
      <c r="BP341" s="211" t="s">
        <v>153</v>
      </c>
      <c r="BQ341" s="212">
        <v>38383</v>
      </c>
      <c r="BR341" s="213">
        <v>11500</v>
      </c>
      <c r="BS341" s="214" t="s">
        <v>186</v>
      </c>
      <c r="BT341" s="215">
        <v>11500</v>
      </c>
      <c r="BU341" s="216" t="s">
        <v>186</v>
      </c>
      <c r="BV341" s="217" t="s">
        <v>226</v>
      </c>
      <c r="BW341" s="218" t="s">
        <v>729</v>
      </c>
      <c r="BX341" s="219" t="s">
        <v>153</v>
      </c>
      <c r="BY341" s="220" t="s">
        <v>225</v>
      </c>
      <c r="BZ341" s="221" t="s">
        <v>153</v>
      </c>
      <c r="CA341" s="222" t="s">
        <v>190</v>
      </c>
      <c r="CB341" s="223">
        <v>38383</v>
      </c>
      <c r="CC341" s="224">
        <v>11500</v>
      </c>
      <c r="CD341" s="225" t="s">
        <v>186</v>
      </c>
      <c r="CE341" s="226">
        <v>11500</v>
      </c>
      <c r="CF341" s="227" t="s">
        <v>186</v>
      </c>
      <c r="CG341" s="228" t="s">
        <v>226</v>
      </c>
      <c r="CH341" s="229" t="s">
        <v>729</v>
      </c>
      <c r="CI341" s="230" t="s">
        <v>153</v>
      </c>
      <c r="CJ341" s="231" t="s">
        <v>225</v>
      </c>
      <c r="CK341" s="232">
        <v>38383</v>
      </c>
      <c r="CL341" s="233" t="s">
        <v>153</v>
      </c>
      <c r="CM341" s="234" t="s">
        <v>153</v>
      </c>
      <c r="CN341" s="235" t="s">
        <v>190</v>
      </c>
      <c r="CO341" s="236" t="s">
        <v>153</v>
      </c>
      <c r="CP341" s="237" t="s">
        <v>153</v>
      </c>
      <c r="CQ341" s="238" t="s">
        <v>153</v>
      </c>
      <c r="CR341" s="239" t="s">
        <v>153</v>
      </c>
      <c r="CS341" s="240" t="s">
        <v>153</v>
      </c>
      <c r="CT341" s="241" t="s">
        <v>153</v>
      </c>
      <c r="CU341" s="242" t="s">
        <v>153</v>
      </c>
      <c r="CV341" s="243" t="s">
        <v>153</v>
      </c>
      <c r="CW341" s="244" t="s">
        <v>153</v>
      </c>
      <c r="CX341" s="245" t="s">
        <v>153</v>
      </c>
      <c r="CY341" s="246" t="s">
        <v>153</v>
      </c>
      <c r="CZ341" s="247" t="s">
        <v>153</v>
      </c>
      <c r="DA341" s="248" t="s">
        <v>153</v>
      </c>
      <c r="DB341" s="249" t="s">
        <v>153</v>
      </c>
      <c r="DC341" s="250" t="s">
        <v>153</v>
      </c>
      <c r="DD341" s="251" t="s">
        <v>153</v>
      </c>
      <c r="DE341" s="252" t="s">
        <v>153</v>
      </c>
      <c r="DF341" s="253" t="s">
        <v>153</v>
      </c>
      <c r="DG341" s="254" t="s">
        <v>153</v>
      </c>
      <c r="DH341" s="255" t="s">
        <v>153</v>
      </c>
      <c r="DI341" s="256" t="s">
        <v>153</v>
      </c>
      <c r="DJ341" s="257" t="s">
        <v>153</v>
      </c>
      <c r="DK341" s="258" t="s">
        <v>153</v>
      </c>
      <c r="DL341" s="259" t="s">
        <v>153</v>
      </c>
      <c r="DM341" s="260" t="s">
        <v>153</v>
      </c>
      <c r="DN341" s="261" t="s">
        <v>153</v>
      </c>
      <c r="DO341" s="262" t="s">
        <v>153</v>
      </c>
      <c r="DP341" s="263" t="s">
        <v>153</v>
      </c>
      <c r="DQ341" s="264" t="s">
        <v>153</v>
      </c>
      <c r="DR341" s="265" t="s">
        <v>153</v>
      </c>
      <c r="DS341" s="266" t="s">
        <v>153</v>
      </c>
      <c r="DT341" s="267" t="s">
        <v>153</v>
      </c>
      <c r="DU341" s="268" t="s">
        <v>153</v>
      </c>
      <c r="DV341" s="269" t="s">
        <v>153</v>
      </c>
      <c r="DW341" s="270" t="s">
        <v>153</v>
      </c>
      <c r="DX341" s="271" t="s">
        <v>153</v>
      </c>
      <c r="DY341" s="272" t="s">
        <v>153</v>
      </c>
      <c r="DZ341" s="273" t="s">
        <v>191</v>
      </c>
      <c r="EA341" s="274">
        <v>43940</v>
      </c>
      <c r="EB341" s="275">
        <v>11500</v>
      </c>
      <c r="EC341" s="276">
        <v>38383</v>
      </c>
      <c r="ED341" s="277" t="s">
        <v>226</v>
      </c>
      <c r="EE341" s="279" t="str">
        <f>HYPERLINK("https://my.pitchbook.com?c=125662-51", "View company online")</f>
        <v>View company online</v>
      </c>
    </row>
    <row r="342" spans="1:135" x14ac:dyDescent="0.45">
      <c r="A342" s="10" t="s">
        <v>7295</v>
      </c>
      <c r="B342" s="11" t="s">
        <v>7296</v>
      </c>
      <c r="C342" s="12" t="s">
        <v>153</v>
      </c>
      <c r="D342" s="13" t="s">
        <v>153</v>
      </c>
      <c r="E342" s="14" t="s">
        <v>7297</v>
      </c>
      <c r="F342" s="15" t="s">
        <v>7298</v>
      </c>
      <c r="G342" s="16" t="s">
        <v>7299</v>
      </c>
      <c r="H342" s="17" t="s">
        <v>153</v>
      </c>
      <c r="I342" s="18" t="s">
        <v>7295</v>
      </c>
      <c r="J342" s="19" t="s">
        <v>7300</v>
      </c>
      <c r="K342" s="20" t="s">
        <v>882</v>
      </c>
      <c r="L342" s="21" t="s">
        <v>1231</v>
      </c>
      <c r="M342" s="22" t="s">
        <v>7301</v>
      </c>
      <c r="N342" s="23" t="s">
        <v>7302</v>
      </c>
      <c r="O342" s="24" t="s">
        <v>1234</v>
      </c>
      <c r="P342" s="25" t="s">
        <v>7303</v>
      </c>
      <c r="Q342" s="26" t="s">
        <v>204</v>
      </c>
      <c r="R342" s="27">
        <v>2364.59</v>
      </c>
      <c r="S342" s="28" t="s">
        <v>290</v>
      </c>
      <c r="T342" s="29" t="s">
        <v>205</v>
      </c>
      <c r="U342" s="30" t="s">
        <v>237</v>
      </c>
      <c r="V342" s="31" t="s">
        <v>7304</v>
      </c>
      <c r="W342" s="32">
        <v>4085</v>
      </c>
      <c r="X342" s="33" t="s">
        <v>7305</v>
      </c>
      <c r="Y342" s="34" t="s">
        <v>153</v>
      </c>
      <c r="Z342" s="35" t="s">
        <v>153</v>
      </c>
      <c r="AA342" s="36">
        <v>1957</v>
      </c>
      <c r="AB342" s="37" t="s">
        <v>153</v>
      </c>
      <c r="AC342" s="38" t="s">
        <v>153</v>
      </c>
      <c r="AD342" s="39" t="s">
        <v>153</v>
      </c>
      <c r="AE342" s="40" t="s">
        <v>153</v>
      </c>
      <c r="AF342" s="41" t="s">
        <v>153</v>
      </c>
      <c r="AG342" s="42" t="s">
        <v>153</v>
      </c>
      <c r="AH342" s="43" t="s">
        <v>153</v>
      </c>
      <c r="AI342" s="44" t="s">
        <v>153</v>
      </c>
      <c r="AJ342" s="45" t="s">
        <v>153</v>
      </c>
      <c r="AK342" s="46" t="s">
        <v>153</v>
      </c>
      <c r="AL342" s="47" t="s">
        <v>153</v>
      </c>
      <c r="AM342" s="48" t="s">
        <v>153</v>
      </c>
      <c r="AN342" s="49" t="s">
        <v>7306</v>
      </c>
      <c r="AO342" s="50" t="s">
        <v>7307</v>
      </c>
      <c r="AP342" s="51" t="s">
        <v>7308</v>
      </c>
      <c r="AQ342" s="52" t="s">
        <v>7309</v>
      </c>
      <c r="AR342" s="53" t="s">
        <v>153</v>
      </c>
      <c r="AS342" s="54" t="s">
        <v>153</v>
      </c>
      <c r="AT342" s="55" t="s">
        <v>3175</v>
      </c>
      <c r="AU342" s="56" t="s">
        <v>7310</v>
      </c>
      <c r="AV342" s="57" t="s">
        <v>153</v>
      </c>
      <c r="AW342" s="58" t="s">
        <v>3178</v>
      </c>
      <c r="AX342" s="59" t="s">
        <v>7311</v>
      </c>
      <c r="AY342" s="60" t="s">
        <v>3854</v>
      </c>
      <c r="AZ342" s="61" t="s">
        <v>701</v>
      </c>
      <c r="BA342" s="62" t="s">
        <v>153</v>
      </c>
      <c r="BB342" s="63" t="s">
        <v>153</v>
      </c>
      <c r="BC342" s="64" t="s">
        <v>153</v>
      </c>
      <c r="BD342" s="65" t="s">
        <v>180</v>
      </c>
      <c r="BE342" s="66" t="s">
        <v>181</v>
      </c>
      <c r="BF342" s="67" t="s">
        <v>7312</v>
      </c>
      <c r="BG342" s="68" t="s">
        <v>153</v>
      </c>
      <c r="BH342" s="69" t="s">
        <v>153</v>
      </c>
      <c r="BI342" s="70" t="s">
        <v>7313</v>
      </c>
      <c r="BJ342" s="71" t="s">
        <v>7314</v>
      </c>
      <c r="BK342" s="72" t="s">
        <v>153</v>
      </c>
      <c r="BL342" s="73" t="s">
        <v>153</v>
      </c>
      <c r="BM342" s="74" t="s">
        <v>7315</v>
      </c>
      <c r="BN342" s="75" t="s">
        <v>153</v>
      </c>
      <c r="BO342" s="76" t="s">
        <v>153</v>
      </c>
      <c r="BP342" s="77" t="s">
        <v>7316</v>
      </c>
      <c r="BQ342" s="78">
        <v>37342</v>
      </c>
      <c r="BR342" s="79">
        <v>2364.59</v>
      </c>
      <c r="BS342" s="80" t="s">
        <v>186</v>
      </c>
      <c r="BT342" s="81">
        <v>4825.68</v>
      </c>
      <c r="BU342" s="82" t="s">
        <v>187</v>
      </c>
      <c r="BV342" s="83" t="s">
        <v>251</v>
      </c>
      <c r="BW342" s="84" t="s">
        <v>153</v>
      </c>
      <c r="BX342" s="85" t="s">
        <v>153</v>
      </c>
      <c r="BY342" s="86" t="s">
        <v>252</v>
      </c>
      <c r="BZ342" s="87" t="s">
        <v>153</v>
      </c>
      <c r="CA342" s="88" t="s">
        <v>190</v>
      </c>
      <c r="CB342" s="89">
        <v>39024</v>
      </c>
      <c r="CC342" s="90">
        <v>11485.97</v>
      </c>
      <c r="CD342" s="91" t="s">
        <v>186</v>
      </c>
      <c r="CE342" s="92">
        <v>15195.1</v>
      </c>
      <c r="CF342" s="93" t="s">
        <v>186</v>
      </c>
      <c r="CG342" s="94" t="s">
        <v>226</v>
      </c>
      <c r="CH342" s="95" t="s">
        <v>729</v>
      </c>
      <c r="CI342" s="96" t="s">
        <v>153</v>
      </c>
      <c r="CJ342" s="97" t="s">
        <v>225</v>
      </c>
      <c r="CK342" s="98">
        <v>39024</v>
      </c>
      <c r="CL342" s="99" t="s">
        <v>153</v>
      </c>
      <c r="CM342" s="100" t="s">
        <v>153</v>
      </c>
      <c r="CN342" s="101" t="s">
        <v>190</v>
      </c>
      <c r="CO342" s="102" t="s">
        <v>153</v>
      </c>
      <c r="CP342" s="103" t="s">
        <v>153</v>
      </c>
      <c r="CQ342" s="104" t="s">
        <v>153</v>
      </c>
      <c r="CR342" s="105" t="s">
        <v>153</v>
      </c>
      <c r="CS342" s="106" t="s">
        <v>153</v>
      </c>
      <c r="CT342" s="107" t="s">
        <v>153</v>
      </c>
      <c r="CU342" s="108" t="s">
        <v>153</v>
      </c>
      <c r="CV342" s="109" t="s">
        <v>153</v>
      </c>
      <c r="CW342" s="110" t="s">
        <v>153</v>
      </c>
      <c r="CX342" s="111" t="s">
        <v>153</v>
      </c>
      <c r="CY342" s="112" t="s">
        <v>153</v>
      </c>
      <c r="CZ342" s="113" t="s">
        <v>153</v>
      </c>
      <c r="DA342" s="114" t="s">
        <v>153</v>
      </c>
      <c r="DB342" s="115" t="s">
        <v>153</v>
      </c>
      <c r="DC342" s="116" t="s">
        <v>153</v>
      </c>
      <c r="DD342" s="117" t="s">
        <v>153</v>
      </c>
      <c r="DE342" s="118" t="s">
        <v>153</v>
      </c>
      <c r="DF342" s="119" t="s">
        <v>153</v>
      </c>
      <c r="DG342" s="120" t="s">
        <v>153</v>
      </c>
      <c r="DH342" s="121" t="s">
        <v>153</v>
      </c>
      <c r="DI342" s="122" t="s">
        <v>153</v>
      </c>
      <c r="DJ342" s="123" t="s">
        <v>153</v>
      </c>
      <c r="DK342" s="124" t="s">
        <v>153</v>
      </c>
      <c r="DL342" s="125" t="s">
        <v>153</v>
      </c>
      <c r="DM342" s="126" t="s">
        <v>153</v>
      </c>
      <c r="DN342" s="127" t="s">
        <v>153</v>
      </c>
      <c r="DO342" s="128" t="s">
        <v>153</v>
      </c>
      <c r="DP342" s="129" t="s">
        <v>153</v>
      </c>
      <c r="DQ342" s="130" t="s">
        <v>153</v>
      </c>
      <c r="DR342" s="131" t="s">
        <v>153</v>
      </c>
      <c r="DS342" s="132" t="s">
        <v>153</v>
      </c>
      <c r="DT342" s="133" t="s">
        <v>153</v>
      </c>
      <c r="DU342" s="134" t="s">
        <v>153</v>
      </c>
      <c r="DV342" s="135" t="s">
        <v>153</v>
      </c>
      <c r="DW342" s="136" t="s">
        <v>153</v>
      </c>
      <c r="DX342" s="137" t="s">
        <v>153</v>
      </c>
      <c r="DY342" s="138" t="s">
        <v>153</v>
      </c>
      <c r="DZ342" s="139" t="s">
        <v>191</v>
      </c>
      <c r="EA342" s="140">
        <v>44268</v>
      </c>
      <c r="EB342" s="141">
        <v>15195.1</v>
      </c>
      <c r="EC342" s="142">
        <v>39024</v>
      </c>
      <c r="ED342" s="143" t="s">
        <v>226</v>
      </c>
      <c r="EE342" s="278" t="str">
        <f>HYPERLINK("https://my.pitchbook.com?c=112925-44", "View company online")</f>
        <v>View company online</v>
      </c>
    </row>
    <row r="343" spans="1:135" x14ac:dyDescent="0.45">
      <c r="A343" s="144" t="s">
        <v>7317</v>
      </c>
      <c r="B343" s="145" t="s">
        <v>7318</v>
      </c>
      <c r="C343" s="146" t="s">
        <v>153</v>
      </c>
      <c r="D343" s="147" t="s">
        <v>153</v>
      </c>
      <c r="E343" s="148" t="s">
        <v>7319</v>
      </c>
      <c r="F343" s="149" t="s">
        <v>153</v>
      </c>
      <c r="G343" s="150" t="s">
        <v>7320</v>
      </c>
      <c r="H343" s="151" t="s">
        <v>7321</v>
      </c>
      <c r="I343" s="152" t="s">
        <v>7317</v>
      </c>
      <c r="J343" s="153" t="s">
        <v>7322</v>
      </c>
      <c r="K343" s="154" t="s">
        <v>198</v>
      </c>
      <c r="L343" s="155" t="s">
        <v>984</v>
      </c>
      <c r="M343" s="156" t="s">
        <v>3544</v>
      </c>
      <c r="N343" s="157" t="s">
        <v>7323</v>
      </c>
      <c r="O343" s="158" t="s">
        <v>7324</v>
      </c>
      <c r="P343" s="159" t="s">
        <v>7325</v>
      </c>
      <c r="Q343" s="160" t="s">
        <v>564</v>
      </c>
      <c r="R343" s="161">
        <v>363.45</v>
      </c>
      <c r="S343" s="162" t="s">
        <v>290</v>
      </c>
      <c r="T343" s="163" t="s">
        <v>164</v>
      </c>
      <c r="U343" s="164" t="s">
        <v>1791</v>
      </c>
      <c r="V343" s="165" t="s">
        <v>7326</v>
      </c>
      <c r="W343" s="166">
        <v>1700</v>
      </c>
      <c r="X343" s="167" t="s">
        <v>7327</v>
      </c>
      <c r="Y343" s="168" t="s">
        <v>153</v>
      </c>
      <c r="Z343" s="169" t="s">
        <v>153</v>
      </c>
      <c r="AA343" s="170">
        <v>1997</v>
      </c>
      <c r="AB343" s="171" t="s">
        <v>7328</v>
      </c>
      <c r="AC343" s="172" t="s">
        <v>428</v>
      </c>
      <c r="AD343" s="173" t="s">
        <v>570</v>
      </c>
      <c r="AE343" s="174">
        <v>900</v>
      </c>
      <c r="AF343" s="175" t="s">
        <v>153</v>
      </c>
      <c r="AG343" s="176" t="s">
        <v>153</v>
      </c>
      <c r="AH343" s="177" t="s">
        <v>153</v>
      </c>
      <c r="AI343" s="178">
        <v>470</v>
      </c>
      <c r="AJ343" s="179" t="s">
        <v>153</v>
      </c>
      <c r="AK343" s="180" t="s">
        <v>153</v>
      </c>
      <c r="AL343" s="181" t="s">
        <v>153</v>
      </c>
      <c r="AM343" s="182" t="s">
        <v>153</v>
      </c>
      <c r="AN343" s="183" t="s">
        <v>168</v>
      </c>
      <c r="AO343" s="184" t="s">
        <v>7329</v>
      </c>
      <c r="AP343" s="185" t="s">
        <v>7330</v>
      </c>
      <c r="AQ343" s="186" t="s">
        <v>7331</v>
      </c>
      <c r="AR343" s="187" t="s">
        <v>153</v>
      </c>
      <c r="AS343" s="188" t="s">
        <v>153</v>
      </c>
      <c r="AT343" s="189" t="s">
        <v>7332</v>
      </c>
      <c r="AU343" s="190" t="s">
        <v>7333</v>
      </c>
      <c r="AV343" s="191" t="s">
        <v>7334</v>
      </c>
      <c r="AW343" s="192" t="s">
        <v>7335</v>
      </c>
      <c r="AX343" s="193" t="s">
        <v>308</v>
      </c>
      <c r="AY343" s="194" t="s">
        <v>7336</v>
      </c>
      <c r="AZ343" s="195" t="s">
        <v>215</v>
      </c>
      <c r="BA343" s="196" t="s">
        <v>7337</v>
      </c>
      <c r="BB343" s="197" t="s">
        <v>7338</v>
      </c>
      <c r="BC343" s="198" t="s">
        <v>153</v>
      </c>
      <c r="BD343" s="199" t="s">
        <v>216</v>
      </c>
      <c r="BE343" s="200" t="s">
        <v>217</v>
      </c>
      <c r="BF343" s="201" t="s">
        <v>7339</v>
      </c>
      <c r="BG343" s="202" t="s">
        <v>153</v>
      </c>
      <c r="BH343" s="203" t="s">
        <v>153</v>
      </c>
      <c r="BI343" s="204" t="s">
        <v>7328</v>
      </c>
      <c r="BJ343" s="205" t="s">
        <v>7340</v>
      </c>
      <c r="BK343" s="206" t="s">
        <v>153</v>
      </c>
      <c r="BL343" s="207" t="s">
        <v>153</v>
      </c>
      <c r="BM343" s="208" t="s">
        <v>7341</v>
      </c>
      <c r="BN343" s="209" t="s">
        <v>153</v>
      </c>
      <c r="BO343" s="210" t="s">
        <v>7342</v>
      </c>
      <c r="BP343" s="211" t="s">
        <v>7343</v>
      </c>
      <c r="BQ343" s="212" t="s">
        <v>153</v>
      </c>
      <c r="BR343" s="213">
        <v>4</v>
      </c>
      <c r="BS343" s="214" t="s">
        <v>187</v>
      </c>
      <c r="BT343" s="215" t="s">
        <v>153</v>
      </c>
      <c r="BU343" s="216" t="s">
        <v>153</v>
      </c>
      <c r="BV343" s="217" t="s">
        <v>471</v>
      </c>
      <c r="BW343" s="218" t="s">
        <v>153</v>
      </c>
      <c r="BX343" s="219" t="s">
        <v>153</v>
      </c>
      <c r="BY343" s="220" t="s">
        <v>472</v>
      </c>
      <c r="BZ343" s="221" t="s">
        <v>153</v>
      </c>
      <c r="CA343" s="222" t="s">
        <v>190</v>
      </c>
      <c r="CB343" s="223">
        <v>44078</v>
      </c>
      <c r="CC343" s="224">
        <v>11418</v>
      </c>
      <c r="CD343" s="225" t="s">
        <v>186</v>
      </c>
      <c r="CE343" s="226">
        <v>11418</v>
      </c>
      <c r="CF343" s="227" t="s">
        <v>186</v>
      </c>
      <c r="CG343" s="228" t="s">
        <v>226</v>
      </c>
      <c r="CH343" s="229" t="s">
        <v>153</v>
      </c>
      <c r="CI343" s="230" t="s">
        <v>153</v>
      </c>
      <c r="CJ343" s="231" t="s">
        <v>225</v>
      </c>
      <c r="CK343" s="232">
        <v>44078</v>
      </c>
      <c r="CL343" s="233" t="s">
        <v>153</v>
      </c>
      <c r="CM343" s="234" t="s">
        <v>153</v>
      </c>
      <c r="CN343" s="235" t="s">
        <v>190</v>
      </c>
      <c r="CO343" s="236" t="s">
        <v>153</v>
      </c>
      <c r="CP343" s="237" t="s">
        <v>153</v>
      </c>
      <c r="CQ343" s="238" t="s">
        <v>153</v>
      </c>
      <c r="CR343" s="239" t="s">
        <v>153</v>
      </c>
      <c r="CS343" s="240" t="s">
        <v>153</v>
      </c>
      <c r="CT343" s="241" t="s">
        <v>153</v>
      </c>
      <c r="CU343" s="242" t="s">
        <v>153</v>
      </c>
      <c r="CV343" s="243" t="s">
        <v>153</v>
      </c>
      <c r="CW343" s="244" t="s">
        <v>153</v>
      </c>
      <c r="CX343" s="245" t="s">
        <v>153</v>
      </c>
      <c r="CY343" s="246" t="s">
        <v>153</v>
      </c>
      <c r="CZ343" s="247" t="s">
        <v>153</v>
      </c>
      <c r="DA343" s="248" t="s">
        <v>153</v>
      </c>
      <c r="DB343" s="249" t="s">
        <v>153</v>
      </c>
      <c r="DC343" s="250" t="s">
        <v>153</v>
      </c>
      <c r="DD343" s="251" t="s">
        <v>153</v>
      </c>
      <c r="DE343" s="252" t="s">
        <v>153</v>
      </c>
      <c r="DF343" s="253" t="s">
        <v>153</v>
      </c>
      <c r="DG343" s="254" t="s">
        <v>153</v>
      </c>
      <c r="DH343" s="255" t="s">
        <v>153</v>
      </c>
      <c r="DI343" s="256" t="s">
        <v>153</v>
      </c>
      <c r="DJ343" s="257" t="s">
        <v>153</v>
      </c>
      <c r="DK343" s="258" t="s">
        <v>153</v>
      </c>
      <c r="DL343" s="259" t="s">
        <v>153</v>
      </c>
      <c r="DM343" s="260" t="s">
        <v>153</v>
      </c>
      <c r="DN343" s="261" t="s">
        <v>153</v>
      </c>
      <c r="DO343" s="262" t="s">
        <v>153</v>
      </c>
      <c r="DP343" s="263" t="s">
        <v>153</v>
      </c>
      <c r="DQ343" s="264" t="s">
        <v>153</v>
      </c>
      <c r="DR343" s="265" t="s">
        <v>153</v>
      </c>
      <c r="DS343" s="266" t="s">
        <v>153</v>
      </c>
      <c r="DT343" s="267" t="s">
        <v>153</v>
      </c>
      <c r="DU343" s="268" t="s">
        <v>153</v>
      </c>
      <c r="DV343" s="269" t="s">
        <v>153</v>
      </c>
      <c r="DW343" s="270" t="s">
        <v>153</v>
      </c>
      <c r="DX343" s="271" t="s">
        <v>153</v>
      </c>
      <c r="DY343" s="272" t="s">
        <v>153</v>
      </c>
      <c r="DZ343" s="273" t="s">
        <v>191</v>
      </c>
      <c r="EA343" s="274">
        <v>44334</v>
      </c>
      <c r="EB343" s="275">
        <v>11418</v>
      </c>
      <c r="EC343" s="276">
        <v>44078</v>
      </c>
      <c r="ED343" s="277" t="s">
        <v>226</v>
      </c>
      <c r="EE343" s="279" t="str">
        <f>HYPERLINK("https://my.pitchbook.com?c=42160-15", "View company online")</f>
        <v>View company online</v>
      </c>
    </row>
    <row r="344" spans="1:135" x14ac:dyDescent="0.45">
      <c r="A344" s="10" t="s">
        <v>7344</v>
      </c>
      <c r="B344" s="11" t="s">
        <v>7345</v>
      </c>
      <c r="C344" s="12" t="s">
        <v>153</v>
      </c>
      <c r="D344" s="13" t="s">
        <v>153</v>
      </c>
      <c r="E344" s="14" t="s">
        <v>153</v>
      </c>
      <c r="F344" s="15" t="s">
        <v>7346</v>
      </c>
      <c r="G344" s="16" t="s">
        <v>7347</v>
      </c>
      <c r="H344" s="17" t="s">
        <v>7348</v>
      </c>
      <c r="I344" s="18" t="s">
        <v>7344</v>
      </c>
      <c r="J344" s="19" t="s">
        <v>7349</v>
      </c>
      <c r="K344" s="20" t="s">
        <v>257</v>
      </c>
      <c r="L344" s="21" t="s">
        <v>258</v>
      </c>
      <c r="M344" s="22" t="s">
        <v>448</v>
      </c>
      <c r="N344" s="23" t="s">
        <v>5082</v>
      </c>
      <c r="O344" s="24" t="s">
        <v>450</v>
      </c>
      <c r="P344" s="25" t="s">
        <v>7350</v>
      </c>
      <c r="Q344" s="26" t="s">
        <v>289</v>
      </c>
      <c r="R344" s="27">
        <v>355.6</v>
      </c>
      <c r="S344" s="28" t="s">
        <v>290</v>
      </c>
      <c r="T344" s="29" t="s">
        <v>164</v>
      </c>
      <c r="U344" s="30" t="s">
        <v>4270</v>
      </c>
      <c r="V344" s="31" t="s">
        <v>7351</v>
      </c>
      <c r="W344" s="32">
        <v>298</v>
      </c>
      <c r="X344" s="33" t="s">
        <v>7352</v>
      </c>
      <c r="Y344" s="34" t="s">
        <v>153</v>
      </c>
      <c r="Z344" s="35" t="s">
        <v>153</v>
      </c>
      <c r="AA344" s="36">
        <v>1998</v>
      </c>
      <c r="AB344" s="37" t="s">
        <v>265</v>
      </c>
      <c r="AC344" s="38" t="s">
        <v>153</v>
      </c>
      <c r="AD344" s="39" t="s">
        <v>153</v>
      </c>
      <c r="AE344" s="40" t="s">
        <v>153</v>
      </c>
      <c r="AF344" s="41" t="s">
        <v>153</v>
      </c>
      <c r="AG344" s="42" t="s">
        <v>153</v>
      </c>
      <c r="AH344" s="43" t="s">
        <v>153</v>
      </c>
      <c r="AI344" s="44" t="s">
        <v>153</v>
      </c>
      <c r="AJ344" s="45" t="s">
        <v>153</v>
      </c>
      <c r="AK344" s="46" t="s">
        <v>153</v>
      </c>
      <c r="AL344" s="47" t="s">
        <v>153</v>
      </c>
      <c r="AM344" s="48" t="s">
        <v>153</v>
      </c>
      <c r="AN344" s="49" t="s">
        <v>1908</v>
      </c>
      <c r="AO344" s="50" t="s">
        <v>7353</v>
      </c>
      <c r="AP344" s="51" t="s">
        <v>7354</v>
      </c>
      <c r="AQ344" s="52" t="s">
        <v>379</v>
      </c>
      <c r="AR344" s="53" t="s">
        <v>153</v>
      </c>
      <c r="AS344" s="54" t="s">
        <v>7355</v>
      </c>
      <c r="AT344" s="55" t="s">
        <v>5709</v>
      </c>
      <c r="AU344" s="56" t="s">
        <v>7356</v>
      </c>
      <c r="AV344" s="57" t="s">
        <v>153</v>
      </c>
      <c r="AW344" s="58" t="s">
        <v>5712</v>
      </c>
      <c r="AX344" s="59" t="s">
        <v>1291</v>
      </c>
      <c r="AY344" s="60" t="s">
        <v>5713</v>
      </c>
      <c r="AZ344" s="61" t="s">
        <v>215</v>
      </c>
      <c r="BA344" s="62" t="s">
        <v>7355</v>
      </c>
      <c r="BB344" s="63" t="s">
        <v>153</v>
      </c>
      <c r="BC344" s="64" t="s">
        <v>7357</v>
      </c>
      <c r="BD344" s="65" t="s">
        <v>216</v>
      </c>
      <c r="BE344" s="66" t="s">
        <v>217</v>
      </c>
      <c r="BF344" s="67" t="s">
        <v>7358</v>
      </c>
      <c r="BG344" s="68" t="s">
        <v>7359</v>
      </c>
      <c r="BH344" s="69">
        <v>3</v>
      </c>
      <c r="BI344" s="70" t="s">
        <v>265</v>
      </c>
      <c r="BJ344" s="71" t="s">
        <v>7360</v>
      </c>
      <c r="BK344" s="72" t="s">
        <v>153</v>
      </c>
      <c r="BL344" s="73" t="s">
        <v>7361</v>
      </c>
      <c r="BM344" s="74" t="s">
        <v>7362</v>
      </c>
      <c r="BN344" s="75" t="s">
        <v>153</v>
      </c>
      <c r="BO344" s="76" t="s">
        <v>7363</v>
      </c>
      <c r="BP344" s="77" t="s">
        <v>7364</v>
      </c>
      <c r="BQ344" s="78">
        <v>36175</v>
      </c>
      <c r="BR344" s="79">
        <v>6.6</v>
      </c>
      <c r="BS344" s="80" t="s">
        <v>186</v>
      </c>
      <c r="BT344" s="81">
        <v>11.3</v>
      </c>
      <c r="BU344" s="82" t="s">
        <v>186</v>
      </c>
      <c r="BV344" s="83" t="s">
        <v>471</v>
      </c>
      <c r="BW344" s="84" t="s">
        <v>1811</v>
      </c>
      <c r="BX344" s="85" t="s">
        <v>153</v>
      </c>
      <c r="BY344" s="86" t="s">
        <v>472</v>
      </c>
      <c r="BZ344" s="87" t="s">
        <v>153</v>
      </c>
      <c r="CA344" s="88" t="s">
        <v>190</v>
      </c>
      <c r="CB344" s="89">
        <v>43676</v>
      </c>
      <c r="CC344" s="90">
        <v>11400</v>
      </c>
      <c r="CD344" s="91" t="s">
        <v>187</v>
      </c>
      <c r="CE344" s="92">
        <v>11400</v>
      </c>
      <c r="CF344" s="93" t="s">
        <v>187</v>
      </c>
      <c r="CG344" s="94" t="s">
        <v>226</v>
      </c>
      <c r="CH344" s="95" t="s">
        <v>153</v>
      </c>
      <c r="CI344" s="96" t="s">
        <v>153</v>
      </c>
      <c r="CJ344" s="97" t="s">
        <v>225</v>
      </c>
      <c r="CK344" s="98">
        <v>43676</v>
      </c>
      <c r="CL344" s="99" t="s">
        <v>153</v>
      </c>
      <c r="CM344" s="100" t="s">
        <v>153</v>
      </c>
      <c r="CN344" s="101" t="s">
        <v>190</v>
      </c>
      <c r="CO344" s="102" t="s">
        <v>153</v>
      </c>
      <c r="CP344" s="103" t="s">
        <v>153</v>
      </c>
      <c r="CQ344" s="104" t="s">
        <v>153</v>
      </c>
      <c r="CR344" s="105" t="s">
        <v>153</v>
      </c>
      <c r="CS344" s="106" t="s">
        <v>153</v>
      </c>
      <c r="CT344" s="107" t="s">
        <v>153</v>
      </c>
      <c r="CU344" s="108" t="s">
        <v>153</v>
      </c>
      <c r="CV344" s="109" t="s">
        <v>153</v>
      </c>
      <c r="CW344" s="110" t="s">
        <v>153</v>
      </c>
      <c r="CX344" s="111" t="s">
        <v>153</v>
      </c>
      <c r="CY344" s="112" t="s">
        <v>153</v>
      </c>
      <c r="CZ344" s="113" t="s">
        <v>153</v>
      </c>
      <c r="DA344" s="114" t="s">
        <v>153</v>
      </c>
      <c r="DB344" s="115" t="s">
        <v>153</v>
      </c>
      <c r="DC344" s="116" t="s">
        <v>153</v>
      </c>
      <c r="DD344" s="117" t="s">
        <v>153</v>
      </c>
      <c r="DE344" s="118" t="s">
        <v>153</v>
      </c>
      <c r="DF344" s="119" t="s">
        <v>153</v>
      </c>
      <c r="DG344" s="120" t="s">
        <v>153</v>
      </c>
      <c r="DH344" s="121" t="s">
        <v>153</v>
      </c>
      <c r="DI344" s="122" t="s">
        <v>153</v>
      </c>
      <c r="DJ344" s="123" t="s">
        <v>153</v>
      </c>
      <c r="DK344" s="124" t="s">
        <v>153</v>
      </c>
      <c r="DL344" s="125" t="s">
        <v>153</v>
      </c>
      <c r="DM344" s="126" t="s">
        <v>153</v>
      </c>
      <c r="DN344" s="127" t="s">
        <v>153</v>
      </c>
      <c r="DO344" s="128" t="s">
        <v>153</v>
      </c>
      <c r="DP344" s="129" t="s">
        <v>153</v>
      </c>
      <c r="DQ344" s="130" t="s">
        <v>153</v>
      </c>
      <c r="DR344" s="131" t="s">
        <v>153</v>
      </c>
      <c r="DS344" s="132" t="s">
        <v>153</v>
      </c>
      <c r="DT344" s="133" t="s">
        <v>153</v>
      </c>
      <c r="DU344" s="134" t="s">
        <v>153</v>
      </c>
      <c r="DV344" s="135" t="s">
        <v>153</v>
      </c>
      <c r="DW344" s="136" t="s">
        <v>153</v>
      </c>
      <c r="DX344" s="137" t="s">
        <v>153</v>
      </c>
      <c r="DY344" s="138" t="s">
        <v>153</v>
      </c>
      <c r="DZ344" s="139" t="s">
        <v>191</v>
      </c>
      <c r="EA344" s="140">
        <v>44399</v>
      </c>
      <c r="EB344" s="141">
        <v>11400</v>
      </c>
      <c r="EC344" s="142">
        <v>43676</v>
      </c>
      <c r="ED344" s="143" t="s">
        <v>226</v>
      </c>
      <c r="EE344" s="278" t="str">
        <f>HYPERLINK("https://my.pitchbook.com?c=41472-91", "View company online")</f>
        <v>View company online</v>
      </c>
    </row>
    <row r="345" spans="1:135" x14ac:dyDescent="0.45">
      <c r="A345" s="144" t="s">
        <v>7365</v>
      </c>
      <c r="B345" s="145" t="s">
        <v>7366</v>
      </c>
      <c r="C345" s="146" t="s">
        <v>153</v>
      </c>
      <c r="D345" s="147" t="s">
        <v>153</v>
      </c>
      <c r="E345" s="148" t="s">
        <v>7367</v>
      </c>
      <c r="F345" s="149" t="s">
        <v>7368</v>
      </c>
      <c r="G345" s="150" t="s">
        <v>7369</v>
      </c>
      <c r="H345" s="151" t="s">
        <v>7370</v>
      </c>
      <c r="I345" s="152" t="s">
        <v>7365</v>
      </c>
      <c r="J345" s="153" t="s">
        <v>7371</v>
      </c>
      <c r="K345" s="154" t="s">
        <v>232</v>
      </c>
      <c r="L345" s="155" t="s">
        <v>362</v>
      </c>
      <c r="M345" s="156" t="s">
        <v>4656</v>
      </c>
      <c r="N345" s="157" t="s">
        <v>4657</v>
      </c>
      <c r="O345" s="158" t="s">
        <v>153</v>
      </c>
      <c r="P345" s="159" t="s">
        <v>7372</v>
      </c>
      <c r="Q345" s="160" t="s">
        <v>204</v>
      </c>
      <c r="R345" s="161" t="s">
        <v>153</v>
      </c>
      <c r="S345" s="162" t="s">
        <v>290</v>
      </c>
      <c r="T345" s="163" t="s">
        <v>205</v>
      </c>
      <c r="U345" s="164" t="s">
        <v>237</v>
      </c>
      <c r="V345" s="165" t="s">
        <v>7373</v>
      </c>
      <c r="W345" s="166">
        <v>400</v>
      </c>
      <c r="X345" s="167" t="s">
        <v>7374</v>
      </c>
      <c r="Y345" s="168" t="s">
        <v>153</v>
      </c>
      <c r="Z345" s="169" t="s">
        <v>153</v>
      </c>
      <c r="AA345" s="170">
        <v>1920</v>
      </c>
      <c r="AB345" s="171" t="s">
        <v>153</v>
      </c>
      <c r="AC345" s="172" t="s">
        <v>153</v>
      </c>
      <c r="AD345" s="173" t="s">
        <v>153</v>
      </c>
      <c r="AE345" s="174" t="s">
        <v>153</v>
      </c>
      <c r="AF345" s="175" t="s">
        <v>153</v>
      </c>
      <c r="AG345" s="176" t="s">
        <v>153</v>
      </c>
      <c r="AH345" s="177" t="s">
        <v>153</v>
      </c>
      <c r="AI345" s="178" t="s">
        <v>153</v>
      </c>
      <c r="AJ345" s="179" t="s">
        <v>153</v>
      </c>
      <c r="AK345" s="180" t="s">
        <v>153</v>
      </c>
      <c r="AL345" s="181" t="s">
        <v>153</v>
      </c>
      <c r="AM345" s="182" t="s">
        <v>153</v>
      </c>
      <c r="AN345" s="183" t="s">
        <v>538</v>
      </c>
      <c r="AO345" s="184" t="s">
        <v>7375</v>
      </c>
      <c r="AP345" s="185" t="s">
        <v>7376</v>
      </c>
      <c r="AQ345" s="186" t="s">
        <v>7377</v>
      </c>
      <c r="AR345" s="187" t="s">
        <v>7378</v>
      </c>
      <c r="AS345" s="188" t="s">
        <v>153</v>
      </c>
      <c r="AT345" s="189" t="s">
        <v>7379</v>
      </c>
      <c r="AU345" s="190" t="s">
        <v>7380</v>
      </c>
      <c r="AV345" s="191" t="s">
        <v>7381</v>
      </c>
      <c r="AW345" s="192" t="s">
        <v>7382</v>
      </c>
      <c r="AX345" s="193" t="s">
        <v>724</v>
      </c>
      <c r="AY345" s="194" t="s">
        <v>7383</v>
      </c>
      <c r="AZ345" s="195" t="s">
        <v>215</v>
      </c>
      <c r="BA345" s="196" t="s">
        <v>153</v>
      </c>
      <c r="BB345" s="197" t="s">
        <v>153</v>
      </c>
      <c r="BC345" s="198" t="s">
        <v>153</v>
      </c>
      <c r="BD345" s="199" t="s">
        <v>216</v>
      </c>
      <c r="BE345" s="200" t="s">
        <v>217</v>
      </c>
      <c r="BF345" s="201" t="s">
        <v>7384</v>
      </c>
      <c r="BG345" s="202" t="s">
        <v>153</v>
      </c>
      <c r="BH345" s="203" t="s">
        <v>153</v>
      </c>
      <c r="BI345" s="204" t="s">
        <v>5163</v>
      </c>
      <c r="BJ345" s="205" t="s">
        <v>7385</v>
      </c>
      <c r="BK345" s="206" t="s">
        <v>153</v>
      </c>
      <c r="BL345" s="207" t="s">
        <v>153</v>
      </c>
      <c r="BM345" s="208" t="s">
        <v>7386</v>
      </c>
      <c r="BN345" s="209" t="s">
        <v>153</v>
      </c>
      <c r="BO345" s="210" t="s">
        <v>7387</v>
      </c>
      <c r="BP345" s="211" t="s">
        <v>7388</v>
      </c>
      <c r="BQ345" s="212">
        <v>21916</v>
      </c>
      <c r="BR345" s="213" t="s">
        <v>153</v>
      </c>
      <c r="BS345" s="214" t="s">
        <v>153</v>
      </c>
      <c r="BT345" s="215" t="s">
        <v>153</v>
      </c>
      <c r="BU345" s="216" t="s">
        <v>153</v>
      </c>
      <c r="BV345" s="217" t="s">
        <v>251</v>
      </c>
      <c r="BW345" s="218" t="s">
        <v>153</v>
      </c>
      <c r="BX345" s="219" t="s">
        <v>153</v>
      </c>
      <c r="BY345" s="220" t="s">
        <v>252</v>
      </c>
      <c r="BZ345" s="221" t="s">
        <v>153</v>
      </c>
      <c r="CA345" s="222" t="s">
        <v>190</v>
      </c>
      <c r="CB345" s="223">
        <v>43441</v>
      </c>
      <c r="CC345" s="224">
        <v>11400</v>
      </c>
      <c r="CD345" s="225" t="s">
        <v>186</v>
      </c>
      <c r="CE345" s="226">
        <v>11400</v>
      </c>
      <c r="CF345" s="227" t="s">
        <v>186</v>
      </c>
      <c r="CG345" s="228" t="s">
        <v>226</v>
      </c>
      <c r="CH345" s="229" t="s">
        <v>153</v>
      </c>
      <c r="CI345" s="230" t="s">
        <v>153</v>
      </c>
      <c r="CJ345" s="231" t="s">
        <v>225</v>
      </c>
      <c r="CK345" s="232">
        <v>43441</v>
      </c>
      <c r="CL345" s="233" t="s">
        <v>153</v>
      </c>
      <c r="CM345" s="234" t="s">
        <v>153</v>
      </c>
      <c r="CN345" s="235" t="s">
        <v>190</v>
      </c>
      <c r="CO345" s="236" t="s">
        <v>153</v>
      </c>
      <c r="CP345" s="237" t="s">
        <v>153</v>
      </c>
      <c r="CQ345" s="238" t="s">
        <v>153</v>
      </c>
      <c r="CR345" s="239" t="s">
        <v>153</v>
      </c>
      <c r="CS345" s="240" t="s">
        <v>153</v>
      </c>
      <c r="CT345" s="241" t="s">
        <v>153</v>
      </c>
      <c r="CU345" s="242" t="s">
        <v>153</v>
      </c>
      <c r="CV345" s="243" t="s">
        <v>153</v>
      </c>
      <c r="CW345" s="244" t="s">
        <v>153</v>
      </c>
      <c r="CX345" s="245" t="s">
        <v>153</v>
      </c>
      <c r="CY345" s="246" t="s">
        <v>153</v>
      </c>
      <c r="CZ345" s="247" t="s">
        <v>153</v>
      </c>
      <c r="DA345" s="248" t="s">
        <v>153</v>
      </c>
      <c r="DB345" s="249" t="s">
        <v>153</v>
      </c>
      <c r="DC345" s="250" t="s">
        <v>153</v>
      </c>
      <c r="DD345" s="251" t="s">
        <v>153</v>
      </c>
      <c r="DE345" s="252" t="s">
        <v>153</v>
      </c>
      <c r="DF345" s="253" t="s">
        <v>153</v>
      </c>
      <c r="DG345" s="254" t="s">
        <v>153</v>
      </c>
      <c r="DH345" s="255" t="s">
        <v>153</v>
      </c>
      <c r="DI345" s="256" t="s">
        <v>153</v>
      </c>
      <c r="DJ345" s="257" t="s">
        <v>153</v>
      </c>
      <c r="DK345" s="258" t="s">
        <v>153</v>
      </c>
      <c r="DL345" s="259" t="s">
        <v>153</v>
      </c>
      <c r="DM345" s="260" t="s">
        <v>153</v>
      </c>
      <c r="DN345" s="261" t="s">
        <v>153</v>
      </c>
      <c r="DO345" s="262" t="s">
        <v>153</v>
      </c>
      <c r="DP345" s="263" t="s">
        <v>153</v>
      </c>
      <c r="DQ345" s="264" t="s">
        <v>153</v>
      </c>
      <c r="DR345" s="265" t="s">
        <v>153</v>
      </c>
      <c r="DS345" s="266" t="s">
        <v>153</v>
      </c>
      <c r="DT345" s="267" t="s">
        <v>153</v>
      </c>
      <c r="DU345" s="268" t="s">
        <v>153</v>
      </c>
      <c r="DV345" s="269" t="s">
        <v>153</v>
      </c>
      <c r="DW345" s="270" t="s">
        <v>153</v>
      </c>
      <c r="DX345" s="271" t="s">
        <v>153</v>
      </c>
      <c r="DY345" s="272" t="s">
        <v>153</v>
      </c>
      <c r="DZ345" s="273" t="s">
        <v>191</v>
      </c>
      <c r="EA345" s="274">
        <v>44257</v>
      </c>
      <c r="EB345" s="275">
        <v>11400</v>
      </c>
      <c r="EC345" s="276">
        <v>43441</v>
      </c>
      <c r="ED345" s="277" t="s">
        <v>226</v>
      </c>
      <c r="EE345" s="279" t="str">
        <f>HYPERLINK("https://my.pitchbook.com?c=41093-11", "View company online")</f>
        <v>View company online</v>
      </c>
    </row>
    <row r="346" spans="1:135" x14ac:dyDescent="0.45">
      <c r="A346" s="10" t="s">
        <v>7389</v>
      </c>
      <c r="B346" s="11" t="s">
        <v>7390</v>
      </c>
      <c r="C346" s="12" t="s">
        <v>153</v>
      </c>
      <c r="D346" s="13" t="s">
        <v>153</v>
      </c>
      <c r="E346" s="14" t="s">
        <v>153</v>
      </c>
      <c r="F346" s="15" t="s">
        <v>153</v>
      </c>
      <c r="G346" s="16" t="s">
        <v>7391</v>
      </c>
      <c r="H346" s="17" t="s">
        <v>7392</v>
      </c>
      <c r="I346" s="18" t="s">
        <v>7389</v>
      </c>
      <c r="J346" s="19" t="s">
        <v>7393</v>
      </c>
      <c r="K346" s="20" t="s">
        <v>792</v>
      </c>
      <c r="L346" s="21" t="s">
        <v>3864</v>
      </c>
      <c r="M346" s="22" t="s">
        <v>3865</v>
      </c>
      <c r="N346" s="23" t="s">
        <v>7394</v>
      </c>
      <c r="O346" s="24" t="s">
        <v>6633</v>
      </c>
      <c r="P346" s="25" t="s">
        <v>7395</v>
      </c>
      <c r="Q346" s="26" t="s">
        <v>204</v>
      </c>
      <c r="R346" s="27" t="s">
        <v>153</v>
      </c>
      <c r="S346" s="28" t="s">
        <v>163</v>
      </c>
      <c r="T346" s="29" t="s">
        <v>164</v>
      </c>
      <c r="U346" s="30" t="s">
        <v>2000</v>
      </c>
      <c r="V346" s="31" t="s">
        <v>7396</v>
      </c>
      <c r="W346" s="32">
        <v>2870</v>
      </c>
      <c r="X346" s="33" t="s">
        <v>7397</v>
      </c>
      <c r="Y346" s="34" t="s">
        <v>153</v>
      </c>
      <c r="Z346" s="35" t="s">
        <v>153</v>
      </c>
      <c r="AA346" s="36">
        <v>1999</v>
      </c>
      <c r="AB346" s="37" t="s">
        <v>7398</v>
      </c>
      <c r="AC346" s="38" t="s">
        <v>153</v>
      </c>
      <c r="AD346" s="39" t="s">
        <v>153</v>
      </c>
      <c r="AE346" s="40" t="s">
        <v>153</v>
      </c>
      <c r="AF346" s="41" t="s">
        <v>153</v>
      </c>
      <c r="AG346" s="42" t="s">
        <v>153</v>
      </c>
      <c r="AH346" s="43" t="s">
        <v>153</v>
      </c>
      <c r="AI346" s="44" t="s">
        <v>153</v>
      </c>
      <c r="AJ346" s="45" t="s">
        <v>153</v>
      </c>
      <c r="AK346" s="46" t="s">
        <v>153</v>
      </c>
      <c r="AL346" s="47" t="s">
        <v>153</v>
      </c>
      <c r="AM346" s="48" t="s">
        <v>153</v>
      </c>
      <c r="AN346" s="49" t="s">
        <v>456</v>
      </c>
      <c r="AO346" s="50" t="s">
        <v>7399</v>
      </c>
      <c r="AP346" s="51" t="s">
        <v>7400</v>
      </c>
      <c r="AQ346" s="52" t="s">
        <v>171</v>
      </c>
      <c r="AR346" s="53" t="s">
        <v>7401</v>
      </c>
      <c r="AS346" s="54" t="s">
        <v>7402</v>
      </c>
      <c r="AT346" s="55" t="s">
        <v>7403</v>
      </c>
      <c r="AU346" s="56" t="s">
        <v>7404</v>
      </c>
      <c r="AV346" s="57" t="s">
        <v>153</v>
      </c>
      <c r="AW346" s="58" t="s">
        <v>7405</v>
      </c>
      <c r="AX346" s="59" t="s">
        <v>153</v>
      </c>
      <c r="AY346" s="60" t="s">
        <v>7406</v>
      </c>
      <c r="AZ346" s="61" t="s">
        <v>335</v>
      </c>
      <c r="BA346" s="62" t="s">
        <v>7402</v>
      </c>
      <c r="BB346" s="63" t="s">
        <v>153</v>
      </c>
      <c r="BC346" s="64" t="s">
        <v>153</v>
      </c>
      <c r="BD346" s="65" t="s">
        <v>180</v>
      </c>
      <c r="BE346" s="66" t="s">
        <v>181</v>
      </c>
      <c r="BF346" s="67" t="s">
        <v>7407</v>
      </c>
      <c r="BG346" s="68" t="s">
        <v>153</v>
      </c>
      <c r="BH346" s="69" t="s">
        <v>153</v>
      </c>
      <c r="BI346" s="70" t="s">
        <v>7398</v>
      </c>
      <c r="BJ346" s="71" t="s">
        <v>153</v>
      </c>
      <c r="BK346" s="72" t="s">
        <v>153</v>
      </c>
      <c r="BL346" s="73" t="s">
        <v>153</v>
      </c>
      <c r="BM346" s="74" t="s">
        <v>153</v>
      </c>
      <c r="BN346" s="75" t="s">
        <v>153</v>
      </c>
      <c r="BO346" s="76" t="s">
        <v>7408</v>
      </c>
      <c r="BP346" s="77" t="s">
        <v>153</v>
      </c>
      <c r="BQ346" s="78">
        <v>36182</v>
      </c>
      <c r="BR346" s="79" t="s">
        <v>153</v>
      </c>
      <c r="BS346" s="80" t="s">
        <v>153</v>
      </c>
      <c r="BT346" s="81" t="s">
        <v>153</v>
      </c>
      <c r="BU346" s="82" t="s">
        <v>153</v>
      </c>
      <c r="BV346" s="83" t="s">
        <v>589</v>
      </c>
      <c r="BW346" s="84" t="s">
        <v>153</v>
      </c>
      <c r="BX346" s="85" t="s">
        <v>153</v>
      </c>
      <c r="BY346" s="86" t="s">
        <v>165</v>
      </c>
      <c r="BZ346" s="87" t="s">
        <v>153</v>
      </c>
      <c r="CA346" s="88" t="s">
        <v>190</v>
      </c>
      <c r="CB346" s="89">
        <v>40086</v>
      </c>
      <c r="CC346" s="90">
        <v>11362.28</v>
      </c>
      <c r="CD346" s="91" t="s">
        <v>186</v>
      </c>
      <c r="CE346" s="92">
        <v>11362.28</v>
      </c>
      <c r="CF346" s="93" t="s">
        <v>186</v>
      </c>
      <c r="CG346" s="94" t="s">
        <v>226</v>
      </c>
      <c r="CH346" s="95" t="s">
        <v>153</v>
      </c>
      <c r="CI346" s="96" t="s">
        <v>153</v>
      </c>
      <c r="CJ346" s="97" t="s">
        <v>225</v>
      </c>
      <c r="CK346" s="98">
        <v>40086</v>
      </c>
      <c r="CL346" s="99" t="s">
        <v>153</v>
      </c>
      <c r="CM346" s="100" t="s">
        <v>153</v>
      </c>
      <c r="CN346" s="101" t="s">
        <v>190</v>
      </c>
      <c r="CO346" s="102">
        <v>0.04</v>
      </c>
      <c r="CP346" s="103">
        <v>88</v>
      </c>
      <c r="CQ346" s="104">
        <v>-0.04</v>
      </c>
      <c r="CR346" s="105">
        <v>-46.82</v>
      </c>
      <c r="CS346" s="106">
        <v>0.13</v>
      </c>
      <c r="CT346" s="107">
        <v>90</v>
      </c>
      <c r="CU346" s="108">
        <v>-0.04</v>
      </c>
      <c r="CV346" s="109">
        <v>34</v>
      </c>
      <c r="CW346" s="110" t="s">
        <v>153</v>
      </c>
      <c r="CX346" s="111" t="s">
        <v>153</v>
      </c>
      <c r="CY346" s="112">
        <v>0.13</v>
      </c>
      <c r="CZ346" s="113">
        <v>91</v>
      </c>
      <c r="DA346" s="114">
        <v>-0.04</v>
      </c>
      <c r="DB346" s="115">
        <v>34</v>
      </c>
      <c r="DC346" s="116">
        <v>93.09</v>
      </c>
      <c r="DD346" s="117">
        <v>99</v>
      </c>
      <c r="DE346" s="118">
        <v>-0.14000000000000001</v>
      </c>
      <c r="DF346" s="119">
        <v>-0.15</v>
      </c>
      <c r="DG346" s="120">
        <v>150.75</v>
      </c>
      <c r="DH346" s="121">
        <v>100</v>
      </c>
      <c r="DI346" s="122">
        <v>35.42</v>
      </c>
      <c r="DJ346" s="123">
        <v>95</v>
      </c>
      <c r="DK346" s="124" t="s">
        <v>153</v>
      </c>
      <c r="DL346" s="125" t="s">
        <v>153</v>
      </c>
      <c r="DM346" s="126">
        <v>150.75</v>
      </c>
      <c r="DN346" s="127">
        <v>100</v>
      </c>
      <c r="DO346" s="128">
        <v>35.42</v>
      </c>
      <c r="DP346" s="129">
        <v>95</v>
      </c>
      <c r="DQ346" s="130" t="s">
        <v>153</v>
      </c>
      <c r="DR346" s="131" t="s">
        <v>153</v>
      </c>
      <c r="DS346" s="132" t="s">
        <v>153</v>
      </c>
      <c r="DT346" s="133">
        <v>2415</v>
      </c>
      <c r="DU346" s="134">
        <v>2</v>
      </c>
      <c r="DV346" s="135">
        <v>0.08</v>
      </c>
      <c r="DW346" s="136">
        <v>11119</v>
      </c>
      <c r="DX346" s="137">
        <v>8</v>
      </c>
      <c r="DY346" s="138">
        <v>7.0000000000000007E-2</v>
      </c>
      <c r="DZ346" s="139" t="s">
        <v>191</v>
      </c>
      <c r="EA346" s="140">
        <v>44335</v>
      </c>
      <c r="EB346" s="141">
        <v>11362.28</v>
      </c>
      <c r="EC346" s="142">
        <v>40086</v>
      </c>
      <c r="ED346" s="143" t="s">
        <v>226</v>
      </c>
      <c r="EE346" s="278" t="str">
        <f>HYPERLINK("https://my.pitchbook.com?c=110136-70", "View company online")</f>
        <v>View company online</v>
      </c>
    </row>
    <row r="347" spans="1:135" x14ac:dyDescent="0.45">
      <c r="A347" s="144" t="s">
        <v>7409</v>
      </c>
      <c r="B347" s="145" t="s">
        <v>7410</v>
      </c>
      <c r="C347" s="146" t="s">
        <v>153</v>
      </c>
      <c r="D347" s="147" t="s">
        <v>153</v>
      </c>
      <c r="E347" s="148" t="s">
        <v>153</v>
      </c>
      <c r="F347" s="149" t="s">
        <v>7411</v>
      </c>
      <c r="G347" s="150" t="s">
        <v>7412</v>
      </c>
      <c r="H347" s="151" t="s">
        <v>153</v>
      </c>
      <c r="I347" s="152" t="s">
        <v>7409</v>
      </c>
      <c r="J347" s="153" t="s">
        <v>7413</v>
      </c>
      <c r="K347" s="154" t="s">
        <v>882</v>
      </c>
      <c r="L347" s="155" t="s">
        <v>1257</v>
      </c>
      <c r="M347" s="156" t="s">
        <v>6983</v>
      </c>
      <c r="N347" s="157" t="s">
        <v>7414</v>
      </c>
      <c r="O347" s="158" t="s">
        <v>1234</v>
      </c>
      <c r="P347" s="159" t="s">
        <v>7415</v>
      </c>
      <c r="Q347" s="160" t="s">
        <v>162</v>
      </c>
      <c r="R347" s="161">
        <v>4177.3100000000004</v>
      </c>
      <c r="S347" s="162" t="s">
        <v>163</v>
      </c>
      <c r="T347" s="163" t="s">
        <v>1392</v>
      </c>
      <c r="U347" s="164" t="s">
        <v>2025</v>
      </c>
      <c r="V347" s="165" t="s">
        <v>7416</v>
      </c>
      <c r="W347" s="166">
        <v>8000</v>
      </c>
      <c r="X347" s="167" t="s">
        <v>5212</v>
      </c>
      <c r="Y347" s="168" t="s">
        <v>153</v>
      </c>
      <c r="Z347" s="169" t="s">
        <v>153</v>
      </c>
      <c r="AA347" s="170">
        <v>1950</v>
      </c>
      <c r="AB347" s="171" t="s">
        <v>3154</v>
      </c>
      <c r="AC347" s="172" t="s">
        <v>153</v>
      </c>
      <c r="AD347" s="173" t="s">
        <v>428</v>
      </c>
      <c r="AE347" s="174">
        <v>3312.72</v>
      </c>
      <c r="AF347" s="175" t="s">
        <v>153</v>
      </c>
      <c r="AG347" s="176" t="s">
        <v>153</v>
      </c>
      <c r="AH347" s="177" t="s">
        <v>153</v>
      </c>
      <c r="AI347" s="178" t="s">
        <v>153</v>
      </c>
      <c r="AJ347" s="179">
        <v>-600.80999999999995</v>
      </c>
      <c r="AK347" s="180" t="s">
        <v>153</v>
      </c>
      <c r="AL347" s="181">
        <v>0</v>
      </c>
      <c r="AM347" s="182">
        <v>-24.64</v>
      </c>
      <c r="AN347" s="183" t="s">
        <v>168</v>
      </c>
      <c r="AO347" s="184" t="s">
        <v>7417</v>
      </c>
      <c r="AP347" s="185" t="s">
        <v>7418</v>
      </c>
      <c r="AQ347" s="186" t="s">
        <v>512</v>
      </c>
      <c r="AR347" s="187" t="s">
        <v>7419</v>
      </c>
      <c r="AS347" s="188" t="s">
        <v>7420</v>
      </c>
      <c r="AT347" s="189" t="s">
        <v>7421</v>
      </c>
      <c r="AU347" s="190" t="s">
        <v>7422</v>
      </c>
      <c r="AV347" s="191" t="s">
        <v>153</v>
      </c>
      <c r="AW347" s="192" t="s">
        <v>7423</v>
      </c>
      <c r="AX347" s="193" t="s">
        <v>153</v>
      </c>
      <c r="AY347" s="194" t="s">
        <v>7424</v>
      </c>
      <c r="AZ347" s="195" t="s">
        <v>681</v>
      </c>
      <c r="BA347" s="196" t="s">
        <v>7420</v>
      </c>
      <c r="BB347" s="197" t="s">
        <v>153</v>
      </c>
      <c r="BC347" s="198" t="s">
        <v>7425</v>
      </c>
      <c r="BD347" s="199" t="s">
        <v>180</v>
      </c>
      <c r="BE347" s="200" t="s">
        <v>684</v>
      </c>
      <c r="BF347" s="201" t="s">
        <v>7426</v>
      </c>
      <c r="BG347" s="202" t="s">
        <v>7427</v>
      </c>
      <c r="BH347" s="203">
        <v>5</v>
      </c>
      <c r="BI347" s="204" t="s">
        <v>153</v>
      </c>
      <c r="BJ347" s="205" t="s">
        <v>153</v>
      </c>
      <c r="BK347" s="206" t="s">
        <v>7428</v>
      </c>
      <c r="BL347" s="207" t="s">
        <v>7429</v>
      </c>
      <c r="BM347" s="208" t="s">
        <v>153</v>
      </c>
      <c r="BN347" s="209" t="s">
        <v>7430</v>
      </c>
      <c r="BO347" s="210" t="s">
        <v>153</v>
      </c>
      <c r="BP347" s="211" t="s">
        <v>7431</v>
      </c>
      <c r="BQ347" s="212">
        <v>42014</v>
      </c>
      <c r="BR347" s="213" t="s">
        <v>153</v>
      </c>
      <c r="BS347" s="214" t="s">
        <v>153</v>
      </c>
      <c r="BT347" s="215" t="s">
        <v>153</v>
      </c>
      <c r="BU347" s="216" t="s">
        <v>153</v>
      </c>
      <c r="BV347" s="217" t="s">
        <v>906</v>
      </c>
      <c r="BW347" s="218" t="s">
        <v>153</v>
      </c>
      <c r="BX347" s="219" t="s">
        <v>153</v>
      </c>
      <c r="BY347" s="220" t="s">
        <v>225</v>
      </c>
      <c r="BZ347" s="221" t="s">
        <v>1432</v>
      </c>
      <c r="CA347" s="222" t="s">
        <v>394</v>
      </c>
      <c r="CB347" s="223">
        <v>44358</v>
      </c>
      <c r="CC347" s="224">
        <v>11324.54</v>
      </c>
      <c r="CD347" s="225" t="s">
        <v>186</v>
      </c>
      <c r="CE347" s="226">
        <v>12860.03</v>
      </c>
      <c r="CF347" s="227" t="s">
        <v>187</v>
      </c>
      <c r="CG347" s="228" t="s">
        <v>188</v>
      </c>
      <c r="CH347" s="229" t="s">
        <v>153</v>
      </c>
      <c r="CI347" s="230" t="s">
        <v>153</v>
      </c>
      <c r="CJ347" s="231" t="s">
        <v>165</v>
      </c>
      <c r="CK347" s="232">
        <v>44358</v>
      </c>
      <c r="CL347" s="233" t="s">
        <v>153</v>
      </c>
      <c r="CM347" s="234" t="s">
        <v>153</v>
      </c>
      <c r="CN347" s="235" t="s">
        <v>1278</v>
      </c>
      <c r="CO347" s="236">
        <v>2.36</v>
      </c>
      <c r="CP347" s="237">
        <v>99</v>
      </c>
      <c r="CQ347" s="238">
        <v>-0.01</v>
      </c>
      <c r="CR347" s="239">
        <v>-0.38</v>
      </c>
      <c r="CS347" s="240">
        <v>4.0599999999999996</v>
      </c>
      <c r="CT347" s="241">
        <v>100</v>
      </c>
      <c r="CU347" s="242">
        <v>2.67</v>
      </c>
      <c r="CV347" s="243">
        <v>100</v>
      </c>
      <c r="CW347" s="244">
        <v>8.14</v>
      </c>
      <c r="CX347" s="245">
        <v>98</v>
      </c>
      <c r="CY347" s="246">
        <v>-0.01</v>
      </c>
      <c r="CZ347" s="247">
        <v>5</v>
      </c>
      <c r="DA347" s="248">
        <v>2.67</v>
      </c>
      <c r="DB347" s="249">
        <v>100</v>
      </c>
      <c r="DC347" s="250">
        <v>234.33</v>
      </c>
      <c r="DD347" s="251">
        <v>100</v>
      </c>
      <c r="DE347" s="252">
        <v>0.1</v>
      </c>
      <c r="DF347" s="253">
        <v>0.04</v>
      </c>
      <c r="DG347" s="254">
        <v>483.11</v>
      </c>
      <c r="DH347" s="255">
        <v>100</v>
      </c>
      <c r="DI347" s="256">
        <v>3.66</v>
      </c>
      <c r="DJ347" s="257">
        <v>73</v>
      </c>
      <c r="DK347" s="258">
        <v>476.46</v>
      </c>
      <c r="DL347" s="259">
        <v>99</v>
      </c>
      <c r="DM347" s="260">
        <v>489.75</v>
      </c>
      <c r="DN347" s="261">
        <v>100</v>
      </c>
      <c r="DO347" s="262">
        <v>3.66</v>
      </c>
      <c r="DP347" s="263">
        <v>73</v>
      </c>
      <c r="DQ347" s="264">
        <v>278477</v>
      </c>
      <c r="DR347" s="265">
        <v>14899</v>
      </c>
      <c r="DS347" s="266">
        <v>5.65</v>
      </c>
      <c r="DT347" s="267">
        <v>7832</v>
      </c>
      <c r="DU347" s="268">
        <v>9</v>
      </c>
      <c r="DV347" s="269">
        <v>0.12</v>
      </c>
      <c r="DW347" s="270">
        <v>1145</v>
      </c>
      <c r="DX347" s="271">
        <v>6</v>
      </c>
      <c r="DY347" s="272">
        <v>0.53</v>
      </c>
      <c r="DZ347" s="273" t="s">
        <v>191</v>
      </c>
      <c r="EA347" s="274">
        <v>44371</v>
      </c>
      <c r="EB347" s="275">
        <v>12860.03</v>
      </c>
      <c r="EC347" s="276">
        <v>44358</v>
      </c>
      <c r="ED347" s="277" t="s">
        <v>188</v>
      </c>
      <c r="EE347" s="279" t="str">
        <f>HYPERLINK("https://my.pitchbook.com?c=97684-57", "View company online")</f>
        <v>View company online</v>
      </c>
    </row>
    <row r="348" spans="1:135" x14ac:dyDescent="0.45">
      <c r="A348" s="10" t="s">
        <v>7432</v>
      </c>
      <c r="B348" s="11" t="s">
        <v>7433</v>
      </c>
      <c r="C348" s="12" t="s">
        <v>153</v>
      </c>
      <c r="D348" s="13" t="s">
        <v>153</v>
      </c>
      <c r="E348" s="14" t="s">
        <v>7434</v>
      </c>
      <c r="F348" s="15" t="s">
        <v>7435</v>
      </c>
      <c r="G348" s="16" t="s">
        <v>7436</v>
      </c>
      <c r="H348" s="17" t="s">
        <v>7437</v>
      </c>
      <c r="I348" s="18" t="s">
        <v>7432</v>
      </c>
      <c r="J348" s="19" t="s">
        <v>7438</v>
      </c>
      <c r="K348" s="20" t="s">
        <v>882</v>
      </c>
      <c r="L348" s="21" t="s">
        <v>1257</v>
      </c>
      <c r="M348" s="22" t="s">
        <v>6983</v>
      </c>
      <c r="N348" s="23" t="s">
        <v>7439</v>
      </c>
      <c r="O348" s="24" t="s">
        <v>365</v>
      </c>
      <c r="P348" s="25" t="s">
        <v>7440</v>
      </c>
      <c r="Q348" s="26" t="s">
        <v>204</v>
      </c>
      <c r="R348" s="27" t="s">
        <v>153</v>
      </c>
      <c r="S348" s="28" t="s">
        <v>290</v>
      </c>
      <c r="T348" s="29" t="s">
        <v>164</v>
      </c>
      <c r="U348" s="30" t="s">
        <v>369</v>
      </c>
      <c r="V348" s="31" t="s">
        <v>7441</v>
      </c>
      <c r="W348" s="32">
        <v>59000</v>
      </c>
      <c r="X348" s="33" t="s">
        <v>7442</v>
      </c>
      <c r="Y348" s="34" t="s">
        <v>153</v>
      </c>
      <c r="Z348" s="35" t="s">
        <v>153</v>
      </c>
      <c r="AA348" s="36" t="s">
        <v>153</v>
      </c>
      <c r="AB348" s="37" t="s">
        <v>7443</v>
      </c>
      <c r="AC348" s="38" t="s">
        <v>153</v>
      </c>
      <c r="AD348" s="39" t="s">
        <v>153</v>
      </c>
      <c r="AE348" s="40" t="s">
        <v>153</v>
      </c>
      <c r="AF348" s="41" t="s">
        <v>153</v>
      </c>
      <c r="AG348" s="42" t="s">
        <v>153</v>
      </c>
      <c r="AH348" s="43" t="s">
        <v>153</v>
      </c>
      <c r="AI348" s="44" t="s">
        <v>153</v>
      </c>
      <c r="AJ348" s="45" t="s">
        <v>153</v>
      </c>
      <c r="AK348" s="46" t="s">
        <v>153</v>
      </c>
      <c r="AL348" s="47" t="s">
        <v>153</v>
      </c>
      <c r="AM348" s="48" t="s">
        <v>153</v>
      </c>
      <c r="AN348" s="49" t="s">
        <v>868</v>
      </c>
      <c r="AO348" s="50" t="s">
        <v>7444</v>
      </c>
      <c r="AP348" s="51" t="s">
        <v>7445</v>
      </c>
      <c r="AQ348" s="52" t="s">
        <v>7446</v>
      </c>
      <c r="AR348" s="53" t="s">
        <v>7447</v>
      </c>
      <c r="AS348" s="54" t="s">
        <v>7448</v>
      </c>
      <c r="AT348" s="55" t="s">
        <v>7449</v>
      </c>
      <c r="AU348" s="56" t="s">
        <v>7450</v>
      </c>
      <c r="AV348" s="57" t="s">
        <v>7451</v>
      </c>
      <c r="AW348" s="58" t="s">
        <v>7452</v>
      </c>
      <c r="AX348" s="59" t="s">
        <v>177</v>
      </c>
      <c r="AY348" s="60" t="s">
        <v>7453</v>
      </c>
      <c r="AZ348" s="61" t="s">
        <v>179</v>
      </c>
      <c r="BA348" s="62" t="s">
        <v>7448</v>
      </c>
      <c r="BB348" s="63" t="s">
        <v>7454</v>
      </c>
      <c r="BC348" s="64" t="s">
        <v>7455</v>
      </c>
      <c r="BD348" s="65" t="s">
        <v>180</v>
      </c>
      <c r="BE348" s="66" t="s">
        <v>181</v>
      </c>
      <c r="BF348" s="67" t="s">
        <v>7456</v>
      </c>
      <c r="BG348" s="68" t="s">
        <v>153</v>
      </c>
      <c r="BH348" s="69" t="s">
        <v>153</v>
      </c>
      <c r="BI348" s="70" t="s">
        <v>7443</v>
      </c>
      <c r="BJ348" s="71" t="s">
        <v>7457</v>
      </c>
      <c r="BK348" s="72" t="s">
        <v>7458</v>
      </c>
      <c r="BL348" s="73" t="s">
        <v>153</v>
      </c>
      <c r="BM348" s="74" t="s">
        <v>7459</v>
      </c>
      <c r="BN348" s="75" t="s">
        <v>7460</v>
      </c>
      <c r="BO348" s="76" t="s">
        <v>7461</v>
      </c>
      <c r="BP348" s="77" t="s">
        <v>7462</v>
      </c>
      <c r="BQ348" s="78">
        <v>16967</v>
      </c>
      <c r="BR348" s="79" t="s">
        <v>153</v>
      </c>
      <c r="BS348" s="80" t="s">
        <v>153</v>
      </c>
      <c r="BT348" s="81" t="s">
        <v>153</v>
      </c>
      <c r="BU348" s="82" t="s">
        <v>153</v>
      </c>
      <c r="BV348" s="83" t="s">
        <v>251</v>
      </c>
      <c r="BW348" s="84" t="s">
        <v>153</v>
      </c>
      <c r="BX348" s="85" t="s">
        <v>153</v>
      </c>
      <c r="BY348" s="86" t="s">
        <v>252</v>
      </c>
      <c r="BZ348" s="87" t="s">
        <v>153</v>
      </c>
      <c r="CA348" s="88" t="s">
        <v>190</v>
      </c>
      <c r="CB348" s="89">
        <v>43160</v>
      </c>
      <c r="CC348" s="90">
        <v>11314.62</v>
      </c>
      <c r="CD348" s="91" t="s">
        <v>187</v>
      </c>
      <c r="CE348" s="92">
        <v>11314.62</v>
      </c>
      <c r="CF348" s="93" t="s">
        <v>187</v>
      </c>
      <c r="CG348" s="94" t="s">
        <v>226</v>
      </c>
      <c r="CH348" s="95" t="s">
        <v>153</v>
      </c>
      <c r="CI348" s="96" t="s">
        <v>153</v>
      </c>
      <c r="CJ348" s="97" t="s">
        <v>225</v>
      </c>
      <c r="CK348" s="98">
        <v>43160</v>
      </c>
      <c r="CL348" s="99" t="s">
        <v>153</v>
      </c>
      <c r="CM348" s="100" t="s">
        <v>153</v>
      </c>
      <c r="CN348" s="101" t="s">
        <v>190</v>
      </c>
      <c r="CO348" s="102">
        <v>-0.45</v>
      </c>
      <c r="CP348" s="103">
        <v>5</v>
      </c>
      <c r="CQ348" s="104">
        <v>-0.01</v>
      </c>
      <c r="CR348" s="105">
        <v>-2.44</v>
      </c>
      <c r="CS348" s="106">
        <v>-0.82</v>
      </c>
      <c r="CT348" s="107">
        <v>4</v>
      </c>
      <c r="CU348" s="108">
        <v>-0.08</v>
      </c>
      <c r="CV348" s="109">
        <v>24</v>
      </c>
      <c r="CW348" s="110">
        <v>-1.47</v>
      </c>
      <c r="CX348" s="111">
        <v>15</v>
      </c>
      <c r="CY348" s="112">
        <v>-0.17</v>
      </c>
      <c r="CZ348" s="113">
        <v>4</v>
      </c>
      <c r="DA348" s="114">
        <v>-0.08</v>
      </c>
      <c r="DB348" s="115">
        <v>24</v>
      </c>
      <c r="DC348" s="116">
        <v>43.76</v>
      </c>
      <c r="DD348" s="117">
        <v>98</v>
      </c>
      <c r="DE348" s="118">
        <v>-0.31</v>
      </c>
      <c r="DF348" s="119">
        <v>-0.7</v>
      </c>
      <c r="DG348" s="120">
        <v>76.47</v>
      </c>
      <c r="DH348" s="121">
        <v>99</v>
      </c>
      <c r="DI348" s="122">
        <v>11.04</v>
      </c>
      <c r="DJ348" s="123">
        <v>87</v>
      </c>
      <c r="DK348" s="124">
        <v>6.32</v>
      </c>
      <c r="DL348" s="125">
        <v>81</v>
      </c>
      <c r="DM348" s="126">
        <v>146.63</v>
      </c>
      <c r="DN348" s="127">
        <v>100</v>
      </c>
      <c r="DO348" s="128">
        <v>11.04</v>
      </c>
      <c r="DP348" s="129">
        <v>87</v>
      </c>
      <c r="DQ348" s="130">
        <v>3783</v>
      </c>
      <c r="DR348" s="131">
        <v>-140</v>
      </c>
      <c r="DS348" s="132">
        <v>-3.57</v>
      </c>
      <c r="DT348" s="133">
        <v>2355</v>
      </c>
      <c r="DU348" s="134">
        <v>-24</v>
      </c>
      <c r="DV348" s="135">
        <v>-1.01</v>
      </c>
      <c r="DW348" s="136">
        <v>3467</v>
      </c>
      <c r="DX348" s="137">
        <v>0</v>
      </c>
      <c r="DY348" s="138">
        <v>0</v>
      </c>
      <c r="DZ348" s="139" t="s">
        <v>191</v>
      </c>
      <c r="EA348" s="140">
        <v>44305</v>
      </c>
      <c r="EB348" s="141">
        <v>11314.62</v>
      </c>
      <c r="EC348" s="142">
        <v>43160</v>
      </c>
      <c r="ED348" s="143" t="s">
        <v>226</v>
      </c>
      <c r="EE348" s="278" t="str">
        <f>HYPERLINK("https://my.pitchbook.com?c=10331-02", "View company online")</f>
        <v>View company online</v>
      </c>
    </row>
    <row r="349" spans="1:135" x14ac:dyDescent="0.45">
      <c r="A349" s="144" t="s">
        <v>7463</v>
      </c>
      <c r="B349" s="145" t="s">
        <v>7464</v>
      </c>
      <c r="C349" s="146" t="s">
        <v>153</v>
      </c>
      <c r="D349" s="147" t="s">
        <v>153</v>
      </c>
      <c r="E349" s="148" t="s">
        <v>7465</v>
      </c>
      <c r="F349" s="149" t="s">
        <v>153</v>
      </c>
      <c r="G349" s="150" t="s">
        <v>7466</v>
      </c>
      <c r="H349" s="151" t="s">
        <v>153</v>
      </c>
      <c r="I349" s="152" t="s">
        <v>7463</v>
      </c>
      <c r="J349" s="153" t="s">
        <v>7467</v>
      </c>
      <c r="K349" s="154" t="s">
        <v>882</v>
      </c>
      <c r="L349" s="155" t="s">
        <v>883</v>
      </c>
      <c r="M349" s="156" t="s">
        <v>1369</v>
      </c>
      <c r="N349" s="157" t="s">
        <v>7468</v>
      </c>
      <c r="O349" s="158" t="s">
        <v>261</v>
      </c>
      <c r="P349" s="159" t="s">
        <v>7469</v>
      </c>
      <c r="Q349" s="160" t="s">
        <v>204</v>
      </c>
      <c r="R349" s="161" t="s">
        <v>153</v>
      </c>
      <c r="S349" s="162" t="s">
        <v>290</v>
      </c>
      <c r="T349" s="163" t="s">
        <v>205</v>
      </c>
      <c r="U349" s="164" t="s">
        <v>206</v>
      </c>
      <c r="V349" s="165" t="s">
        <v>153</v>
      </c>
      <c r="W349" s="166">
        <v>50800</v>
      </c>
      <c r="X349" s="167" t="s">
        <v>7470</v>
      </c>
      <c r="Y349" s="168" t="s">
        <v>153</v>
      </c>
      <c r="Z349" s="169" t="s">
        <v>153</v>
      </c>
      <c r="AA349" s="170">
        <v>1986</v>
      </c>
      <c r="AB349" s="171" t="s">
        <v>153</v>
      </c>
      <c r="AC349" s="172" t="s">
        <v>153</v>
      </c>
      <c r="AD349" s="173" t="s">
        <v>153</v>
      </c>
      <c r="AE349" s="174" t="s">
        <v>153</v>
      </c>
      <c r="AF349" s="175" t="s">
        <v>153</v>
      </c>
      <c r="AG349" s="176" t="s">
        <v>153</v>
      </c>
      <c r="AH349" s="177" t="s">
        <v>153</v>
      </c>
      <c r="AI349" s="178" t="s">
        <v>153</v>
      </c>
      <c r="AJ349" s="179" t="s">
        <v>153</v>
      </c>
      <c r="AK349" s="180" t="s">
        <v>153</v>
      </c>
      <c r="AL349" s="181" t="s">
        <v>153</v>
      </c>
      <c r="AM349" s="182" t="s">
        <v>153</v>
      </c>
      <c r="AN349" s="183" t="s">
        <v>2064</v>
      </c>
      <c r="AO349" s="184" t="s">
        <v>7471</v>
      </c>
      <c r="AP349" s="185" t="s">
        <v>7472</v>
      </c>
      <c r="AQ349" s="186" t="s">
        <v>1241</v>
      </c>
      <c r="AR349" s="187" t="s">
        <v>153</v>
      </c>
      <c r="AS349" s="188" t="s">
        <v>7473</v>
      </c>
      <c r="AT349" s="189" t="s">
        <v>7474</v>
      </c>
      <c r="AU349" s="190" t="s">
        <v>7475</v>
      </c>
      <c r="AV349" s="191" t="s">
        <v>153</v>
      </c>
      <c r="AW349" s="192" t="s">
        <v>7476</v>
      </c>
      <c r="AX349" s="193" t="s">
        <v>6023</v>
      </c>
      <c r="AY349" s="194" t="s">
        <v>7477</v>
      </c>
      <c r="AZ349" s="195" t="s">
        <v>215</v>
      </c>
      <c r="BA349" s="196" t="s">
        <v>7473</v>
      </c>
      <c r="BB349" s="197" t="s">
        <v>7478</v>
      </c>
      <c r="BC349" s="198" t="s">
        <v>153</v>
      </c>
      <c r="BD349" s="199" t="s">
        <v>216</v>
      </c>
      <c r="BE349" s="200" t="s">
        <v>217</v>
      </c>
      <c r="BF349" s="201" t="s">
        <v>7479</v>
      </c>
      <c r="BG349" s="202" t="s">
        <v>153</v>
      </c>
      <c r="BH349" s="203" t="s">
        <v>153</v>
      </c>
      <c r="BI349" s="204" t="s">
        <v>7480</v>
      </c>
      <c r="BJ349" s="205" t="s">
        <v>7481</v>
      </c>
      <c r="BK349" s="206" t="s">
        <v>153</v>
      </c>
      <c r="BL349" s="207" t="s">
        <v>153</v>
      </c>
      <c r="BM349" s="208" t="s">
        <v>7482</v>
      </c>
      <c r="BN349" s="209" t="s">
        <v>153</v>
      </c>
      <c r="BO349" s="210" t="s">
        <v>153</v>
      </c>
      <c r="BP349" s="211" t="s">
        <v>153</v>
      </c>
      <c r="BQ349" s="212">
        <v>39419</v>
      </c>
      <c r="BR349" s="213">
        <v>11291.8</v>
      </c>
      <c r="BS349" s="214" t="s">
        <v>186</v>
      </c>
      <c r="BT349" s="215">
        <v>11291.8</v>
      </c>
      <c r="BU349" s="216" t="s">
        <v>186</v>
      </c>
      <c r="BV349" s="217" t="s">
        <v>226</v>
      </c>
      <c r="BW349" s="218" t="s">
        <v>729</v>
      </c>
      <c r="BX349" s="219" t="s">
        <v>153</v>
      </c>
      <c r="BY349" s="220" t="s">
        <v>225</v>
      </c>
      <c r="BZ349" s="221" t="s">
        <v>153</v>
      </c>
      <c r="CA349" s="222" t="s">
        <v>190</v>
      </c>
      <c r="CB349" s="223">
        <v>39419</v>
      </c>
      <c r="CC349" s="224">
        <v>11291.8</v>
      </c>
      <c r="CD349" s="225" t="s">
        <v>186</v>
      </c>
      <c r="CE349" s="226">
        <v>11291.8</v>
      </c>
      <c r="CF349" s="227" t="s">
        <v>186</v>
      </c>
      <c r="CG349" s="228" t="s">
        <v>226</v>
      </c>
      <c r="CH349" s="229" t="s">
        <v>729</v>
      </c>
      <c r="CI349" s="230" t="s">
        <v>153</v>
      </c>
      <c r="CJ349" s="231" t="s">
        <v>225</v>
      </c>
      <c r="CK349" s="232">
        <v>39419</v>
      </c>
      <c r="CL349" s="233" t="s">
        <v>153</v>
      </c>
      <c r="CM349" s="234" t="s">
        <v>153</v>
      </c>
      <c r="CN349" s="235" t="s">
        <v>190</v>
      </c>
      <c r="CO349" s="236" t="s">
        <v>153</v>
      </c>
      <c r="CP349" s="237" t="s">
        <v>153</v>
      </c>
      <c r="CQ349" s="238" t="s">
        <v>153</v>
      </c>
      <c r="CR349" s="239" t="s">
        <v>153</v>
      </c>
      <c r="CS349" s="240" t="s">
        <v>153</v>
      </c>
      <c r="CT349" s="241" t="s">
        <v>153</v>
      </c>
      <c r="CU349" s="242" t="s">
        <v>153</v>
      </c>
      <c r="CV349" s="243" t="s">
        <v>153</v>
      </c>
      <c r="CW349" s="244" t="s">
        <v>153</v>
      </c>
      <c r="CX349" s="245" t="s">
        <v>153</v>
      </c>
      <c r="CY349" s="246" t="s">
        <v>153</v>
      </c>
      <c r="CZ349" s="247" t="s">
        <v>153</v>
      </c>
      <c r="DA349" s="248" t="s">
        <v>153</v>
      </c>
      <c r="DB349" s="249" t="s">
        <v>153</v>
      </c>
      <c r="DC349" s="250" t="s">
        <v>153</v>
      </c>
      <c r="DD349" s="251" t="s">
        <v>153</v>
      </c>
      <c r="DE349" s="252" t="s">
        <v>153</v>
      </c>
      <c r="DF349" s="253" t="s">
        <v>153</v>
      </c>
      <c r="DG349" s="254" t="s">
        <v>153</v>
      </c>
      <c r="DH349" s="255" t="s">
        <v>153</v>
      </c>
      <c r="DI349" s="256" t="s">
        <v>153</v>
      </c>
      <c r="DJ349" s="257" t="s">
        <v>153</v>
      </c>
      <c r="DK349" s="258" t="s">
        <v>153</v>
      </c>
      <c r="DL349" s="259" t="s">
        <v>153</v>
      </c>
      <c r="DM349" s="260" t="s">
        <v>153</v>
      </c>
      <c r="DN349" s="261" t="s">
        <v>153</v>
      </c>
      <c r="DO349" s="262" t="s">
        <v>153</v>
      </c>
      <c r="DP349" s="263" t="s">
        <v>153</v>
      </c>
      <c r="DQ349" s="264" t="s">
        <v>153</v>
      </c>
      <c r="DR349" s="265" t="s">
        <v>153</v>
      </c>
      <c r="DS349" s="266" t="s">
        <v>153</v>
      </c>
      <c r="DT349" s="267" t="s">
        <v>153</v>
      </c>
      <c r="DU349" s="268" t="s">
        <v>153</v>
      </c>
      <c r="DV349" s="269" t="s">
        <v>153</v>
      </c>
      <c r="DW349" s="270" t="s">
        <v>153</v>
      </c>
      <c r="DX349" s="271" t="s">
        <v>153</v>
      </c>
      <c r="DY349" s="272" t="s">
        <v>153</v>
      </c>
      <c r="DZ349" s="273" t="s">
        <v>191</v>
      </c>
      <c r="EA349" s="274">
        <v>44357</v>
      </c>
      <c r="EB349" s="275">
        <v>11291.8</v>
      </c>
      <c r="EC349" s="276">
        <v>39419</v>
      </c>
      <c r="ED349" s="277" t="s">
        <v>226</v>
      </c>
      <c r="EE349" s="279" t="str">
        <f>HYPERLINK("https://my.pitchbook.com?c=61433-74", "View company online")</f>
        <v>View company online</v>
      </c>
    </row>
    <row r="350" spans="1:135" x14ac:dyDescent="0.45">
      <c r="A350" s="10" t="s">
        <v>7483</v>
      </c>
      <c r="B350" s="11" t="s">
        <v>7484</v>
      </c>
      <c r="C350" s="12" t="s">
        <v>153</v>
      </c>
      <c r="D350" s="13" t="s">
        <v>153</v>
      </c>
      <c r="E350" s="14" t="s">
        <v>153</v>
      </c>
      <c r="F350" s="15" t="s">
        <v>153</v>
      </c>
      <c r="G350" s="16" t="s">
        <v>7485</v>
      </c>
      <c r="H350" s="17" t="s">
        <v>153</v>
      </c>
      <c r="I350" s="18" t="s">
        <v>7483</v>
      </c>
      <c r="J350" s="19" t="s">
        <v>7486</v>
      </c>
      <c r="K350" s="20" t="s">
        <v>232</v>
      </c>
      <c r="L350" s="21" t="s">
        <v>362</v>
      </c>
      <c r="M350" s="22" t="s">
        <v>4656</v>
      </c>
      <c r="N350" s="23" t="s">
        <v>7487</v>
      </c>
      <c r="O350" s="24" t="s">
        <v>153</v>
      </c>
      <c r="P350" s="25" t="s">
        <v>7488</v>
      </c>
      <c r="Q350" s="26" t="s">
        <v>204</v>
      </c>
      <c r="R350" s="27" t="s">
        <v>153</v>
      </c>
      <c r="S350" s="28" t="s">
        <v>290</v>
      </c>
      <c r="T350" s="29" t="s">
        <v>205</v>
      </c>
      <c r="U350" s="30" t="s">
        <v>237</v>
      </c>
      <c r="V350" s="31" t="s">
        <v>7489</v>
      </c>
      <c r="W350" s="32">
        <v>350</v>
      </c>
      <c r="X350" s="33" t="s">
        <v>7490</v>
      </c>
      <c r="Y350" s="34" t="s">
        <v>153</v>
      </c>
      <c r="Z350" s="35" t="s">
        <v>153</v>
      </c>
      <c r="AA350" s="36">
        <v>1979</v>
      </c>
      <c r="AB350" s="37" t="s">
        <v>153</v>
      </c>
      <c r="AC350" s="38" t="s">
        <v>153</v>
      </c>
      <c r="AD350" s="39" t="s">
        <v>153</v>
      </c>
      <c r="AE350" s="40" t="s">
        <v>153</v>
      </c>
      <c r="AF350" s="41" t="s">
        <v>153</v>
      </c>
      <c r="AG350" s="42" t="s">
        <v>153</v>
      </c>
      <c r="AH350" s="43" t="s">
        <v>153</v>
      </c>
      <c r="AI350" s="44" t="s">
        <v>153</v>
      </c>
      <c r="AJ350" s="45" t="s">
        <v>153</v>
      </c>
      <c r="AK350" s="46" t="s">
        <v>153</v>
      </c>
      <c r="AL350" s="47" t="s">
        <v>153</v>
      </c>
      <c r="AM350" s="48" t="s">
        <v>153</v>
      </c>
      <c r="AN350" s="49" t="s">
        <v>5087</v>
      </c>
      <c r="AO350" s="50" t="s">
        <v>153</v>
      </c>
      <c r="AP350" s="51" t="s">
        <v>153</v>
      </c>
      <c r="AQ350" s="52" t="s">
        <v>153</v>
      </c>
      <c r="AR350" s="53" t="s">
        <v>153</v>
      </c>
      <c r="AS350" s="54" t="s">
        <v>153</v>
      </c>
      <c r="AT350" s="55" t="s">
        <v>2479</v>
      </c>
      <c r="AU350" s="56" t="s">
        <v>7491</v>
      </c>
      <c r="AV350" s="57" t="s">
        <v>1577</v>
      </c>
      <c r="AW350" s="58" t="s">
        <v>2481</v>
      </c>
      <c r="AX350" s="59" t="s">
        <v>2482</v>
      </c>
      <c r="AY350" s="60" t="s">
        <v>7492</v>
      </c>
      <c r="AZ350" s="61" t="s">
        <v>215</v>
      </c>
      <c r="BA350" s="62" t="s">
        <v>153</v>
      </c>
      <c r="BB350" s="63" t="s">
        <v>153</v>
      </c>
      <c r="BC350" s="64" t="s">
        <v>153</v>
      </c>
      <c r="BD350" s="65" t="s">
        <v>216</v>
      </c>
      <c r="BE350" s="66" t="s">
        <v>217</v>
      </c>
      <c r="BF350" s="67" t="s">
        <v>7493</v>
      </c>
      <c r="BG350" s="68" t="s">
        <v>153</v>
      </c>
      <c r="BH350" s="69" t="s">
        <v>153</v>
      </c>
      <c r="BI350" s="70" t="s">
        <v>7494</v>
      </c>
      <c r="BJ350" s="71" t="s">
        <v>153</v>
      </c>
      <c r="BK350" s="72" t="s">
        <v>153</v>
      </c>
      <c r="BL350" s="73" t="s">
        <v>153</v>
      </c>
      <c r="BM350" s="74" t="s">
        <v>153</v>
      </c>
      <c r="BN350" s="75" t="s">
        <v>153</v>
      </c>
      <c r="BO350" s="76" t="s">
        <v>7495</v>
      </c>
      <c r="BP350" s="77" t="s">
        <v>7496</v>
      </c>
      <c r="BQ350" s="78">
        <v>41445</v>
      </c>
      <c r="BR350" s="79">
        <v>250</v>
      </c>
      <c r="BS350" s="80" t="s">
        <v>186</v>
      </c>
      <c r="BT350" s="81" t="s">
        <v>153</v>
      </c>
      <c r="BU350" s="82" t="s">
        <v>153</v>
      </c>
      <c r="BV350" s="83" t="s">
        <v>251</v>
      </c>
      <c r="BW350" s="84" t="s">
        <v>153</v>
      </c>
      <c r="BX350" s="85" t="s">
        <v>153</v>
      </c>
      <c r="BY350" s="86" t="s">
        <v>252</v>
      </c>
      <c r="BZ350" s="87" t="s">
        <v>153</v>
      </c>
      <c r="CA350" s="88" t="s">
        <v>190</v>
      </c>
      <c r="CB350" s="89">
        <v>41677</v>
      </c>
      <c r="CC350" s="90">
        <v>11200</v>
      </c>
      <c r="CD350" s="91" t="s">
        <v>186</v>
      </c>
      <c r="CE350" s="92">
        <v>11200</v>
      </c>
      <c r="CF350" s="93" t="s">
        <v>186</v>
      </c>
      <c r="CG350" s="94" t="s">
        <v>226</v>
      </c>
      <c r="CH350" s="95" t="s">
        <v>153</v>
      </c>
      <c r="CI350" s="96" t="s">
        <v>153</v>
      </c>
      <c r="CJ350" s="97" t="s">
        <v>225</v>
      </c>
      <c r="CK350" s="98">
        <v>41677</v>
      </c>
      <c r="CL350" s="99" t="s">
        <v>153</v>
      </c>
      <c r="CM350" s="100" t="s">
        <v>153</v>
      </c>
      <c r="CN350" s="101" t="s">
        <v>190</v>
      </c>
      <c r="CO350" s="102" t="s">
        <v>153</v>
      </c>
      <c r="CP350" s="103" t="s">
        <v>153</v>
      </c>
      <c r="CQ350" s="104" t="s">
        <v>153</v>
      </c>
      <c r="CR350" s="105" t="s">
        <v>153</v>
      </c>
      <c r="CS350" s="106" t="s">
        <v>153</v>
      </c>
      <c r="CT350" s="107" t="s">
        <v>153</v>
      </c>
      <c r="CU350" s="108" t="s">
        <v>153</v>
      </c>
      <c r="CV350" s="109" t="s">
        <v>153</v>
      </c>
      <c r="CW350" s="110" t="s">
        <v>153</v>
      </c>
      <c r="CX350" s="111" t="s">
        <v>153</v>
      </c>
      <c r="CY350" s="112" t="s">
        <v>153</v>
      </c>
      <c r="CZ350" s="113" t="s">
        <v>153</v>
      </c>
      <c r="DA350" s="114" t="s">
        <v>153</v>
      </c>
      <c r="DB350" s="115" t="s">
        <v>153</v>
      </c>
      <c r="DC350" s="116" t="s">
        <v>153</v>
      </c>
      <c r="DD350" s="117" t="s">
        <v>153</v>
      </c>
      <c r="DE350" s="118" t="s">
        <v>153</v>
      </c>
      <c r="DF350" s="119" t="s">
        <v>153</v>
      </c>
      <c r="DG350" s="120" t="s">
        <v>153</v>
      </c>
      <c r="DH350" s="121" t="s">
        <v>153</v>
      </c>
      <c r="DI350" s="122" t="s">
        <v>153</v>
      </c>
      <c r="DJ350" s="123" t="s">
        <v>153</v>
      </c>
      <c r="DK350" s="124" t="s">
        <v>153</v>
      </c>
      <c r="DL350" s="125" t="s">
        <v>153</v>
      </c>
      <c r="DM350" s="126" t="s">
        <v>153</v>
      </c>
      <c r="DN350" s="127" t="s">
        <v>153</v>
      </c>
      <c r="DO350" s="128" t="s">
        <v>153</v>
      </c>
      <c r="DP350" s="129" t="s">
        <v>153</v>
      </c>
      <c r="DQ350" s="130" t="s">
        <v>153</v>
      </c>
      <c r="DR350" s="131" t="s">
        <v>153</v>
      </c>
      <c r="DS350" s="132" t="s">
        <v>153</v>
      </c>
      <c r="DT350" s="133" t="s">
        <v>153</v>
      </c>
      <c r="DU350" s="134" t="s">
        <v>153</v>
      </c>
      <c r="DV350" s="135" t="s">
        <v>153</v>
      </c>
      <c r="DW350" s="136" t="s">
        <v>153</v>
      </c>
      <c r="DX350" s="137" t="s">
        <v>153</v>
      </c>
      <c r="DY350" s="138" t="s">
        <v>153</v>
      </c>
      <c r="DZ350" s="139" t="s">
        <v>191</v>
      </c>
      <c r="EA350" s="140">
        <v>44217</v>
      </c>
      <c r="EB350" s="141">
        <v>11200</v>
      </c>
      <c r="EC350" s="142">
        <v>41677</v>
      </c>
      <c r="ED350" s="143" t="s">
        <v>226</v>
      </c>
      <c r="EE350" s="278" t="str">
        <f>HYPERLINK("https://my.pitchbook.com?c=42853-51", "View company online")</f>
        <v>View company online</v>
      </c>
    </row>
    <row r="351" spans="1:135" x14ac:dyDescent="0.45">
      <c r="A351" s="144" t="s">
        <v>7497</v>
      </c>
      <c r="B351" s="145" t="s">
        <v>7498</v>
      </c>
      <c r="C351" s="146" t="s">
        <v>153</v>
      </c>
      <c r="D351" s="147" t="s">
        <v>153</v>
      </c>
      <c r="E351" s="148" t="s">
        <v>153</v>
      </c>
      <c r="F351" s="149" t="s">
        <v>7499</v>
      </c>
      <c r="G351" s="150" t="s">
        <v>7500</v>
      </c>
      <c r="H351" s="151" t="s">
        <v>7501</v>
      </c>
      <c r="I351" s="152" t="s">
        <v>7497</v>
      </c>
      <c r="J351" s="153" t="s">
        <v>7502</v>
      </c>
      <c r="K351" s="154" t="s">
        <v>157</v>
      </c>
      <c r="L351" s="155" t="s">
        <v>817</v>
      </c>
      <c r="M351" s="156" t="s">
        <v>1499</v>
      </c>
      <c r="N351" s="157" t="s">
        <v>2944</v>
      </c>
      <c r="O351" s="158" t="s">
        <v>261</v>
      </c>
      <c r="P351" s="159" t="s">
        <v>7503</v>
      </c>
      <c r="Q351" s="160" t="s">
        <v>204</v>
      </c>
      <c r="R351" s="161" t="s">
        <v>153</v>
      </c>
      <c r="S351" s="162" t="s">
        <v>290</v>
      </c>
      <c r="T351" s="163" t="s">
        <v>164</v>
      </c>
      <c r="U351" s="164" t="s">
        <v>237</v>
      </c>
      <c r="V351" s="165" t="s">
        <v>7504</v>
      </c>
      <c r="W351" s="166">
        <v>50479</v>
      </c>
      <c r="X351" s="167" t="s">
        <v>7505</v>
      </c>
      <c r="Y351" s="168" t="s">
        <v>153</v>
      </c>
      <c r="Z351" s="169" t="s">
        <v>153</v>
      </c>
      <c r="AA351" s="170">
        <v>1999</v>
      </c>
      <c r="AB351" s="171" t="s">
        <v>3508</v>
      </c>
      <c r="AC351" s="172" t="s">
        <v>153</v>
      </c>
      <c r="AD351" s="173" t="s">
        <v>428</v>
      </c>
      <c r="AE351" s="174">
        <v>11547.47</v>
      </c>
      <c r="AF351" s="175">
        <v>6114.12</v>
      </c>
      <c r="AG351" s="176">
        <v>2389.0100000000002</v>
      </c>
      <c r="AH351" s="177">
        <v>39235.96</v>
      </c>
      <c r="AI351" s="178">
        <v>3391.79</v>
      </c>
      <c r="AJ351" s="179">
        <v>2419.2199999999998</v>
      </c>
      <c r="AK351" s="180">
        <v>50794.12</v>
      </c>
      <c r="AL351" s="181">
        <v>-2477.67</v>
      </c>
      <c r="AM351" s="182">
        <v>20.11</v>
      </c>
      <c r="AN351" s="183" t="s">
        <v>376</v>
      </c>
      <c r="AO351" s="184" t="s">
        <v>7506</v>
      </c>
      <c r="AP351" s="185" t="s">
        <v>7507</v>
      </c>
      <c r="AQ351" s="186" t="s">
        <v>171</v>
      </c>
      <c r="AR351" s="187" t="s">
        <v>7508</v>
      </c>
      <c r="AS351" s="188" t="s">
        <v>153</v>
      </c>
      <c r="AT351" s="189" t="s">
        <v>2998</v>
      </c>
      <c r="AU351" s="190" t="s">
        <v>7509</v>
      </c>
      <c r="AV351" s="191" t="s">
        <v>7510</v>
      </c>
      <c r="AW351" s="192" t="s">
        <v>3000</v>
      </c>
      <c r="AX351" s="193" t="s">
        <v>153</v>
      </c>
      <c r="AY351" s="194" t="s">
        <v>7511</v>
      </c>
      <c r="AZ351" s="195" t="s">
        <v>3002</v>
      </c>
      <c r="BA351" s="196" t="s">
        <v>153</v>
      </c>
      <c r="BB351" s="197" t="s">
        <v>153</v>
      </c>
      <c r="BC351" s="198" t="s">
        <v>153</v>
      </c>
      <c r="BD351" s="199" t="s">
        <v>216</v>
      </c>
      <c r="BE351" s="200" t="s">
        <v>3004</v>
      </c>
      <c r="BF351" s="201" t="s">
        <v>7512</v>
      </c>
      <c r="BG351" s="202" t="s">
        <v>153</v>
      </c>
      <c r="BH351" s="203" t="s">
        <v>153</v>
      </c>
      <c r="BI351" s="204" t="s">
        <v>3508</v>
      </c>
      <c r="BJ351" s="205" t="s">
        <v>153</v>
      </c>
      <c r="BK351" s="206" t="s">
        <v>153</v>
      </c>
      <c r="BL351" s="207" t="s">
        <v>153</v>
      </c>
      <c r="BM351" s="208" t="s">
        <v>153</v>
      </c>
      <c r="BN351" s="209" t="s">
        <v>153</v>
      </c>
      <c r="BO351" s="210" t="s">
        <v>7513</v>
      </c>
      <c r="BP351" s="211" t="s">
        <v>7514</v>
      </c>
      <c r="BQ351" s="212">
        <v>36342</v>
      </c>
      <c r="BR351" s="213" t="s">
        <v>153</v>
      </c>
      <c r="BS351" s="214" t="s">
        <v>153</v>
      </c>
      <c r="BT351" s="215" t="s">
        <v>153</v>
      </c>
      <c r="BU351" s="216" t="s">
        <v>153</v>
      </c>
      <c r="BV351" s="217" t="s">
        <v>589</v>
      </c>
      <c r="BW351" s="218" t="s">
        <v>153</v>
      </c>
      <c r="BX351" s="219" t="s">
        <v>153</v>
      </c>
      <c r="BY351" s="220" t="s">
        <v>225</v>
      </c>
      <c r="BZ351" s="221" t="s">
        <v>153</v>
      </c>
      <c r="CA351" s="222" t="s">
        <v>190</v>
      </c>
      <c r="CB351" s="223">
        <v>38226</v>
      </c>
      <c r="CC351" s="224">
        <v>11200</v>
      </c>
      <c r="CD351" s="225" t="s">
        <v>186</v>
      </c>
      <c r="CE351" s="226">
        <v>11200</v>
      </c>
      <c r="CF351" s="227" t="s">
        <v>186</v>
      </c>
      <c r="CG351" s="228" t="s">
        <v>226</v>
      </c>
      <c r="CH351" s="229" t="s">
        <v>153</v>
      </c>
      <c r="CI351" s="230" t="s">
        <v>153</v>
      </c>
      <c r="CJ351" s="231" t="s">
        <v>225</v>
      </c>
      <c r="CK351" s="232">
        <v>38226</v>
      </c>
      <c r="CL351" s="233" t="s">
        <v>153</v>
      </c>
      <c r="CM351" s="234" t="s">
        <v>153</v>
      </c>
      <c r="CN351" s="235" t="s">
        <v>190</v>
      </c>
      <c r="CO351" s="236">
        <v>-2.0099999999999998</v>
      </c>
      <c r="CP351" s="237">
        <v>2</v>
      </c>
      <c r="CQ351" s="238">
        <v>-0.02</v>
      </c>
      <c r="CR351" s="239">
        <v>-1.25</v>
      </c>
      <c r="CS351" s="240">
        <v>-4.01</v>
      </c>
      <c r="CT351" s="241">
        <v>1</v>
      </c>
      <c r="CU351" s="242" t="s">
        <v>153</v>
      </c>
      <c r="CV351" s="243" t="s">
        <v>153</v>
      </c>
      <c r="CW351" s="244">
        <v>-8.31</v>
      </c>
      <c r="CX351" s="245">
        <v>2</v>
      </c>
      <c r="CY351" s="246">
        <v>0.28999999999999998</v>
      </c>
      <c r="CZ351" s="247">
        <v>92</v>
      </c>
      <c r="DA351" s="248" t="s">
        <v>153</v>
      </c>
      <c r="DB351" s="249" t="s">
        <v>153</v>
      </c>
      <c r="DC351" s="250">
        <v>72.08</v>
      </c>
      <c r="DD351" s="251">
        <v>99</v>
      </c>
      <c r="DE351" s="252">
        <v>0.03</v>
      </c>
      <c r="DF351" s="253">
        <v>0.04</v>
      </c>
      <c r="DG351" s="254">
        <v>143.36000000000001</v>
      </c>
      <c r="DH351" s="255">
        <v>100</v>
      </c>
      <c r="DI351" s="256" t="s">
        <v>153</v>
      </c>
      <c r="DJ351" s="257" t="s">
        <v>153</v>
      </c>
      <c r="DK351" s="258">
        <v>115.47</v>
      </c>
      <c r="DL351" s="259">
        <v>97</v>
      </c>
      <c r="DM351" s="260">
        <v>171.25</v>
      </c>
      <c r="DN351" s="261">
        <v>100</v>
      </c>
      <c r="DO351" s="262" t="s">
        <v>153</v>
      </c>
      <c r="DP351" s="263" t="s">
        <v>153</v>
      </c>
      <c r="DQ351" s="264">
        <v>68901</v>
      </c>
      <c r="DR351" s="265">
        <v>-1561</v>
      </c>
      <c r="DS351" s="266">
        <v>-2.2200000000000002</v>
      </c>
      <c r="DT351" s="267">
        <v>2739</v>
      </c>
      <c r="DU351" s="268">
        <v>2</v>
      </c>
      <c r="DV351" s="269">
        <v>7.0000000000000007E-2</v>
      </c>
      <c r="DW351" s="270" t="s">
        <v>153</v>
      </c>
      <c r="DX351" s="271" t="s">
        <v>153</v>
      </c>
      <c r="DY351" s="272" t="s">
        <v>153</v>
      </c>
      <c r="DZ351" s="273" t="s">
        <v>191</v>
      </c>
      <c r="EA351" s="274">
        <v>44380</v>
      </c>
      <c r="EB351" s="275">
        <v>11200</v>
      </c>
      <c r="EC351" s="276">
        <v>38226</v>
      </c>
      <c r="ED351" s="277" t="s">
        <v>226</v>
      </c>
      <c r="EE351" s="279" t="str">
        <f>HYPERLINK("https://my.pitchbook.com?c=111171-88", "View company online")</f>
        <v>View company online</v>
      </c>
    </row>
    <row r="352" spans="1:135" x14ac:dyDescent="0.45">
      <c r="A352" s="10" t="s">
        <v>7515</v>
      </c>
      <c r="B352" s="11" t="s">
        <v>7516</v>
      </c>
      <c r="C352" s="12" t="s">
        <v>153</v>
      </c>
      <c r="D352" s="13" t="s">
        <v>153</v>
      </c>
      <c r="E352" s="14" t="s">
        <v>7517</v>
      </c>
      <c r="F352" s="15" t="s">
        <v>7518</v>
      </c>
      <c r="G352" s="16" t="s">
        <v>7519</v>
      </c>
      <c r="H352" s="17" t="s">
        <v>153</v>
      </c>
      <c r="I352" s="18" t="s">
        <v>7515</v>
      </c>
      <c r="J352" s="19" t="s">
        <v>7520</v>
      </c>
      <c r="K352" s="20" t="s">
        <v>232</v>
      </c>
      <c r="L352" s="21" t="s">
        <v>362</v>
      </c>
      <c r="M352" s="22" t="s">
        <v>363</v>
      </c>
      <c r="N352" s="23" t="s">
        <v>7521</v>
      </c>
      <c r="O352" s="24" t="s">
        <v>153</v>
      </c>
      <c r="P352" s="25" t="s">
        <v>7522</v>
      </c>
      <c r="Q352" s="26" t="s">
        <v>204</v>
      </c>
      <c r="R352" s="27">
        <v>580.37</v>
      </c>
      <c r="S352" s="28" t="s">
        <v>290</v>
      </c>
      <c r="T352" s="29" t="s">
        <v>164</v>
      </c>
      <c r="U352" s="30" t="s">
        <v>369</v>
      </c>
      <c r="V352" s="31" t="s">
        <v>7523</v>
      </c>
      <c r="W352" s="32">
        <v>7700</v>
      </c>
      <c r="X352" s="33" t="s">
        <v>7524</v>
      </c>
      <c r="Y352" s="34" t="s">
        <v>153</v>
      </c>
      <c r="Z352" s="35" t="s">
        <v>153</v>
      </c>
      <c r="AA352" s="36">
        <v>1882</v>
      </c>
      <c r="AB352" s="37" t="s">
        <v>7525</v>
      </c>
      <c r="AC352" s="38" t="s">
        <v>153</v>
      </c>
      <c r="AD352" s="39" t="s">
        <v>153</v>
      </c>
      <c r="AE352" s="40">
        <v>1355.42</v>
      </c>
      <c r="AF352" s="41">
        <v>436.19</v>
      </c>
      <c r="AG352" s="42">
        <v>117.65</v>
      </c>
      <c r="AH352" s="43">
        <v>2305.6999999999998</v>
      </c>
      <c r="AI352" s="44">
        <v>267.75</v>
      </c>
      <c r="AJ352" s="45">
        <v>202.25</v>
      </c>
      <c r="AK352" s="46">
        <v>1537.86</v>
      </c>
      <c r="AL352" s="47">
        <v>391.04</v>
      </c>
      <c r="AM352" s="48">
        <v>-4.5</v>
      </c>
      <c r="AN352" s="49" t="s">
        <v>299</v>
      </c>
      <c r="AO352" s="50" t="s">
        <v>7526</v>
      </c>
      <c r="AP352" s="51" t="s">
        <v>7527</v>
      </c>
      <c r="AQ352" s="52" t="s">
        <v>7528</v>
      </c>
      <c r="AR352" s="53" t="s">
        <v>153</v>
      </c>
      <c r="AS352" s="54" t="s">
        <v>7529</v>
      </c>
      <c r="AT352" s="55" t="s">
        <v>7530</v>
      </c>
      <c r="AU352" s="56" t="s">
        <v>7531</v>
      </c>
      <c r="AV352" s="57" t="s">
        <v>7532</v>
      </c>
      <c r="AW352" s="58" t="s">
        <v>7533</v>
      </c>
      <c r="AX352" s="59" t="s">
        <v>153</v>
      </c>
      <c r="AY352" s="60" t="s">
        <v>7534</v>
      </c>
      <c r="AZ352" s="61" t="s">
        <v>7533</v>
      </c>
      <c r="BA352" s="62" t="s">
        <v>7529</v>
      </c>
      <c r="BB352" s="63" t="s">
        <v>7535</v>
      </c>
      <c r="BC352" s="64" t="s">
        <v>153</v>
      </c>
      <c r="BD352" s="65" t="s">
        <v>1406</v>
      </c>
      <c r="BE352" s="66" t="s">
        <v>7536</v>
      </c>
      <c r="BF352" s="67" t="s">
        <v>7537</v>
      </c>
      <c r="BG352" s="68" t="s">
        <v>7538</v>
      </c>
      <c r="BH352" s="69">
        <v>4</v>
      </c>
      <c r="BI352" s="70" t="s">
        <v>7525</v>
      </c>
      <c r="BJ352" s="71" t="s">
        <v>7539</v>
      </c>
      <c r="BK352" s="72" t="s">
        <v>153</v>
      </c>
      <c r="BL352" s="73" t="s">
        <v>7540</v>
      </c>
      <c r="BM352" s="74" t="s">
        <v>7541</v>
      </c>
      <c r="BN352" s="75" t="s">
        <v>153</v>
      </c>
      <c r="BO352" s="76" t="s">
        <v>7542</v>
      </c>
      <c r="BP352" s="77" t="s">
        <v>7543</v>
      </c>
      <c r="BQ352" s="78">
        <v>-1</v>
      </c>
      <c r="BR352" s="79" t="s">
        <v>153</v>
      </c>
      <c r="BS352" s="80" t="s">
        <v>153</v>
      </c>
      <c r="BT352" s="81" t="s">
        <v>153</v>
      </c>
      <c r="BU352" s="82" t="s">
        <v>153</v>
      </c>
      <c r="BV352" s="83" t="s">
        <v>251</v>
      </c>
      <c r="BW352" s="84" t="s">
        <v>153</v>
      </c>
      <c r="BX352" s="85" t="s">
        <v>153</v>
      </c>
      <c r="BY352" s="86" t="s">
        <v>252</v>
      </c>
      <c r="BZ352" s="87" t="s">
        <v>153</v>
      </c>
      <c r="CA352" s="88" t="s">
        <v>190</v>
      </c>
      <c r="CB352" s="89">
        <v>41306</v>
      </c>
      <c r="CC352" s="90">
        <v>11200</v>
      </c>
      <c r="CD352" s="91" t="s">
        <v>186</v>
      </c>
      <c r="CE352" s="92">
        <v>21960.78</v>
      </c>
      <c r="CF352" s="93" t="s">
        <v>187</v>
      </c>
      <c r="CG352" s="94" t="s">
        <v>226</v>
      </c>
      <c r="CH352" s="95" t="s">
        <v>153</v>
      </c>
      <c r="CI352" s="96" t="s">
        <v>153</v>
      </c>
      <c r="CJ352" s="97" t="s">
        <v>225</v>
      </c>
      <c r="CK352" s="98">
        <v>41306</v>
      </c>
      <c r="CL352" s="99" t="s">
        <v>153</v>
      </c>
      <c r="CM352" s="100" t="s">
        <v>153</v>
      </c>
      <c r="CN352" s="101" t="s">
        <v>190</v>
      </c>
      <c r="CO352" s="102">
        <v>0.42</v>
      </c>
      <c r="CP352" s="103">
        <v>93</v>
      </c>
      <c r="CQ352" s="104">
        <v>-0.08</v>
      </c>
      <c r="CR352" s="105">
        <v>-15.29</v>
      </c>
      <c r="CS352" s="106">
        <v>0.42</v>
      </c>
      <c r="CT352" s="107">
        <v>92</v>
      </c>
      <c r="CU352" s="108" t="s">
        <v>153</v>
      </c>
      <c r="CV352" s="109" t="s">
        <v>153</v>
      </c>
      <c r="CW352" s="110" t="s">
        <v>153</v>
      </c>
      <c r="CX352" s="111" t="s">
        <v>153</v>
      </c>
      <c r="CY352" s="112">
        <v>0.42</v>
      </c>
      <c r="CZ352" s="113">
        <v>94</v>
      </c>
      <c r="DA352" s="114" t="s">
        <v>153</v>
      </c>
      <c r="DB352" s="115" t="s">
        <v>153</v>
      </c>
      <c r="DC352" s="116">
        <v>21.13</v>
      </c>
      <c r="DD352" s="117">
        <v>96</v>
      </c>
      <c r="DE352" s="118">
        <v>-0.06</v>
      </c>
      <c r="DF352" s="119">
        <v>-0.28999999999999998</v>
      </c>
      <c r="DG352" s="120">
        <v>21.13</v>
      </c>
      <c r="DH352" s="121">
        <v>96</v>
      </c>
      <c r="DI352" s="122" t="s">
        <v>153</v>
      </c>
      <c r="DJ352" s="123" t="s">
        <v>153</v>
      </c>
      <c r="DK352" s="124" t="s">
        <v>153</v>
      </c>
      <c r="DL352" s="125" t="s">
        <v>153</v>
      </c>
      <c r="DM352" s="126">
        <v>21.13</v>
      </c>
      <c r="DN352" s="127">
        <v>95</v>
      </c>
      <c r="DO352" s="128" t="s">
        <v>153</v>
      </c>
      <c r="DP352" s="129" t="s">
        <v>153</v>
      </c>
      <c r="DQ352" s="130" t="s">
        <v>153</v>
      </c>
      <c r="DR352" s="131" t="s">
        <v>153</v>
      </c>
      <c r="DS352" s="132" t="s">
        <v>153</v>
      </c>
      <c r="DT352" s="133">
        <v>338</v>
      </c>
      <c r="DU352" s="134">
        <v>-1</v>
      </c>
      <c r="DV352" s="135">
        <v>-0.28999999999999998</v>
      </c>
      <c r="DW352" s="136" t="s">
        <v>153</v>
      </c>
      <c r="DX352" s="137" t="s">
        <v>153</v>
      </c>
      <c r="DY352" s="138" t="s">
        <v>153</v>
      </c>
      <c r="DZ352" s="139" t="s">
        <v>191</v>
      </c>
      <c r="EA352" s="140">
        <v>44368</v>
      </c>
      <c r="EB352" s="141">
        <v>21960.78</v>
      </c>
      <c r="EC352" s="142">
        <v>41306</v>
      </c>
      <c r="ED352" s="143" t="s">
        <v>226</v>
      </c>
      <c r="EE352" s="278" t="str">
        <f>HYPERLINK("https://my.pitchbook.com?c=12751-21", "View company online")</f>
        <v>View company online</v>
      </c>
    </row>
    <row r="353" spans="1:135" x14ac:dyDescent="0.45">
      <c r="A353" s="144" t="s">
        <v>7544</v>
      </c>
      <c r="B353" s="145" t="s">
        <v>7545</v>
      </c>
      <c r="C353" s="146" t="s">
        <v>153</v>
      </c>
      <c r="D353" s="147" t="s">
        <v>153</v>
      </c>
      <c r="E353" s="148" t="s">
        <v>153</v>
      </c>
      <c r="F353" s="149" t="s">
        <v>153</v>
      </c>
      <c r="G353" s="150" t="s">
        <v>7546</v>
      </c>
      <c r="H353" s="151" t="s">
        <v>153</v>
      </c>
      <c r="I353" s="152" t="s">
        <v>7544</v>
      </c>
      <c r="J353" s="153" t="s">
        <v>7547</v>
      </c>
      <c r="K353" s="154" t="s">
        <v>257</v>
      </c>
      <c r="L353" s="155" t="s">
        <v>258</v>
      </c>
      <c r="M353" s="156" t="s">
        <v>3389</v>
      </c>
      <c r="N353" s="157" t="s">
        <v>7548</v>
      </c>
      <c r="O353" s="158" t="s">
        <v>153</v>
      </c>
      <c r="P353" s="159" t="s">
        <v>7549</v>
      </c>
      <c r="Q353" s="160" t="s">
        <v>289</v>
      </c>
      <c r="R353" s="161">
        <v>90.59</v>
      </c>
      <c r="S353" s="162" t="s">
        <v>7550</v>
      </c>
      <c r="T353" s="163" t="s">
        <v>205</v>
      </c>
      <c r="U353" s="164" t="s">
        <v>1791</v>
      </c>
      <c r="V353" s="165" t="s">
        <v>7551</v>
      </c>
      <c r="W353" s="166">
        <v>82</v>
      </c>
      <c r="X353" s="167" t="s">
        <v>7552</v>
      </c>
      <c r="Y353" s="168" t="s">
        <v>153</v>
      </c>
      <c r="Z353" s="169" t="s">
        <v>153</v>
      </c>
      <c r="AA353" s="170">
        <v>1998</v>
      </c>
      <c r="AB353" s="171" t="s">
        <v>153</v>
      </c>
      <c r="AC353" s="172" t="s">
        <v>153</v>
      </c>
      <c r="AD353" s="173" t="s">
        <v>153</v>
      </c>
      <c r="AE353" s="174" t="s">
        <v>153</v>
      </c>
      <c r="AF353" s="175" t="s">
        <v>153</v>
      </c>
      <c r="AG353" s="176" t="s">
        <v>153</v>
      </c>
      <c r="AH353" s="177" t="s">
        <v>153</v>
      </c>
      <c r="AI353" s="178" t="s">
        <v>153</v>
      </c>
      <c r="AJ353" s="179" t="s">
        <v>153</v>
      </c>
      <c r="AK353" s="180" t="s">
        <v>153</v>
      </c>
      <c r="AL353" s="181" t="s">
        <v>153</v>
      </c>
      <c r="AM353" s="182" t="s">
        <v>153</v>
      </c>
      <c r="AN353" s="183" t="s">
        <v>330</v>
      </c>
      <c r="AO353" s="184" t="s">
        <v>153</v>
      </c>
      <c r="AP353" s="185" t="s">
        <v>153</v>
      </c>
      <c r="AQ353" s="186" t="s">
        <v>153</v>
      </c>
      <c r="AR353" s="187" t="s">
        <v>153</v>
      </c>
      <c r="AS353" s="188" t="s">
        <v>153</v>
      </c>
      <c r="AT353" s="189" t="s">
        <v>2248</v>
      </c>
      <c r="AU353" s="190" t="s">
        <v>7553</v>
      </c>
      <c r="AV353" s="191" t="s">
        <v>153</v>
      </c>
      <c r="AW353" s="192" t="s">
        <v>2250</v>
      </c>
      <c r="AX353" s="193" t="s">
        <v>273</v>
      </c>
      <c r="AY353" s="194" t="s">
        <v>2251</v>
      </c>
      <c r="AZ353" s="195" t="s">
        <v>215</v>
      </c>
      <c r="BA353" s="196" t="s">
        <v>7554</v>
      </c>
      <c r="BB353" s="197" t="s">
        <v>7555</v>
      </c>
      <c r="BC353" s="198" t="s">
        <v>153</v>
      </c>
      <c r="BD353" s="199" t="s">
        <v>216</v>
      </c>
      <c r="BE353" s="200" t="s">
        <v>217</v>
      </c>
      <c r="BF353" s="201" t="s">
        <v>7556</v>
      </c>
      <c r="BG353" s="202" t="s">
        <v>153</v>
      </c>
      <c r="BH353" s="203" t="s">
        <v>153</v>
      </c>
      <c r="BI353" s="204" t="s">
        <v>3394</v>
      </c>
      <c r="BJ353" s="205" t="s">
        <v>7557</v>
      </c>
      <c r="BK353" s="206" t="s">
        <v>153</v>
      </c>
      <c r="BL353" s="207" t="s">
        <v>153</v>
      </c>
      <c r="BM353" s="208" t="s">
        <v>7558</v>
      </c>
      <c r="BN353" s="209" t="s">
        <v>153</v>
      </c>
      <c r="BO353" s="210" t="s">
        <v>153</v>
      </c>
      <c r="BP353" s="211" t="s">
        <v>7559</v>
      </c>
      <c r="BQ353" s="212">
        <v>38209</v>
      </c>
      <c r="BR353" s="213">
        <v>40</v>
      </c>
      <c r="BS353" s="214" t="s">
        <v>186</v>
      </c>
      <c r="BT353" s="215" t="s">
        <v>153</v>
      </c>
      <c r="BU353" s="216" t="s">
        <v>153</v>
      </c>
      <c r="BV353" s="217" t="s">
        <v>905</v>
      </c>
      <c r="BW353" s="218" t="s">
        <v>7560</v>
      </c>
      <c r="BX353" s="219" t="s">
        <v>153</v>
      </c>
      <c r="BY353" s="220" t="s">
        <v>472</v>
      </c>
      <c r="BZ353" s="221" t="s">
        <v>153</v>
      </c>
      <c r="CA353" s="222" t="s">
        <v>190</v>
      </c>
      <c r="CB353" s="223">
        <v>40868</v>
      </c>
      <c r="CC353" s="224">
        <v>11200</v>
      </c>
      <c r="CD353" s="225" t="s">
        <v>186</v>
      </c>
      <c r="CE353" s="226">
        <v>11200</v>
      </c>
      <c r="CF353" s="227" t="s">
        <v>186</v>
      </c>
      <c r="CG353" s="228" t="s">
        <v>226</v>
      </c>
      <c r="CH353" s="229" t="s">
        <v>153</v>
      </c>
      <c r="CI353" s="230" t="s">
        <v>153</v>
      </c>
      <c r="CJ353" s="231" t="s">
        <v>225</v>
      </c>
      <c r="CK353" s="232">
        <v>40868</v>
      </c>
      <c r="CL353" s="233" t="s">
        <v>153</v>
      </c>
      <c r="CM353" s="234" t="s">
        <v>153</v>
      </c>
      <c r="CN353" s="235" t="s">
        <v>190</v>
      </c>
      <c r="CO353" s="236" t="s">
        <v>153</v>
      </c>
      <c r="CP353" s="237" t="s">
        <v>153</v>
      </c>
      <c r="CQ353" s="238" t="s">
        <v>153</v>
      </c>
      <c r="CR353" s="239" t="s">
        <v>153</v>
      </c>
      <c r="CS353" s="240" t="s">
        <v>153</v>
      </c>
      <c r="CT353" s="241" t="s">
        <v>153</v>
      </c>
      <c r="CU353" s="242" t="s">
        <v>153</v>
      </c>
      <c r="CV353" s="243" t="s">
        <v>153</v>
      </c>
      <c r="CW353" s="244" t="s">
        <v>153</v>
      </c>
      <c r="CX353" s="245" t="s">
        <v>153</v>
      </c>
      <c r="CY353" s="246" t="s">
        <v>153</v>
      </c>
      <c r="CZ353" s="247" t="s">
        <v>153</v>
      </c>
      <c r="DA353" s="248" t="s">
        <v>153</v>
      </c>
      <c r="DB353" s="249" t="s">
        <v>153</v>
      </c>
      <c r="DC353" s="250" t="s">
        <v>153</v>
      </c>
      <c r="DD353" s="251" t="s">
        <v>153</v>
      </c>
      <c r="DE353" s="252" t="s">
        <v>153</v>
      </c>
      <c r="DF353" s="253" t="s">
        <v>153</v>
      </c>
      <c r="DG353" s="254" t="s">
        <v>153</v>
      </c>
      <c r="DH353" s="255" t="s">
        <v>153</v>
      </c>
      <c r="DI353" s="256" t="s">
        <v>153</v>
      </c>
      <c r="DJ353" s="257" t="s">
        <v>153</v>
      </c>
      <c r="DK353" s="258" t="s">
        <v>153</v>
      </c>
      <c r="DL353" s="259" t="s">
        <v>153</v>
      </c>
      <c r="DM353" s="260" t="s">
        <v>153</v>
      </c>
      <c r="DN353" s="261" t="s">
        <v>153</v>
      </c>
      <c r="DO353" s="262" t="s">
        <v>153</v>
      </c>
      <c r="DP353" s="263" t="s">
        <v>153</v>
      </c>
      <c r="DQ353" s="264" t="s">
        <v>153</v>
      </c>
      <c r="DR353" s="265" t="s">
        <v>153</v>
      </c>
      <c r="DS353" s="266" t="s">
        <v>153</v>
      </c>
      <c r="DT353" s="267" t="s">
        <v>153</v>
      </c>
      <c r="DU353" s="268" t="s">
        <v>153</v>
      </c>
      <c r="DV353" s="269" t="s">
        <v>153</v>
      </c>
      <c r="DW353" s="270" t="s">
        <v>153</v>
      </c>
      <c r="DX353" s="271" t="s">
        <v>153</v>
      </c>
      <c r="DY353" s="272" t="s">
        <v>153</v>
      </c>
      <c r="DZ353" s="273" t="s">
        <v>191</v>
      </c>
      <c r="EA353" s="274">
        <v>44272</v>
      </c>
      <c r="EB353" s="275">
        <v>11200</v>
      </c>
      <c r="EC353" s="276">
        <v>40868</v>
      </c>
      <c r="ED353" s="277" t="s">
        <v>226</v>
      </c>
      <c r="EE353" s="279" t="str">
        <f>HYPERLINK("https://my.pitchbook.com?c=41584-06", "View company online")</f>
        <v>View company online</v>
      </c>
    </row>
    <row r="354" spans="1:135" x14ac:dyDescent="0.45">
      <c r="A354" s="10" t="s">
        <v>7561</v>
      </c>
      <c r="B354" s="11" t="s">
        <v>7562</v>
      </c>
      <c r="C354" s="12" t="s">
        <v>153</v>
      </c>
      <c r="D354" s="13" t="s">
        <v>153</v>
      </c>
      <c r="E354" s="14" t="s">
        <v>153</v>
      </c>
      <c r="F354" s="15" t="s">
        <v>7563</v>
      </c>
      <c r="G354" s="16" t="s">
        <v>7564</v>
      </c>
      <c r="H354" s="17" t="s">
        <v>7565</v>
      </c>
      <c r="I354" s="18" t="s">
        <v>7561</v>
      </c>
      <c r="J354" s="19" t="s">
        <v>7566</v>
      </c>
      <c r="K354" s="20" t="s">
        <v>232</v>
      </c>
      <c r="L354" s="21" t="s">
        <v>1016</v>
      </c>
      <c r="M354" s="22" t="s">
        <v>1017</v>
      </c>
      <c r="N354" s="23" t="s">
        <v>7567</v>
      </c>
      <c r="O354" s="24" t="s">
        <v>1167</v>
      </c>
      <c r="P354" s="25" t="s">
        <v>7568</v>
      </c>
      <c r="Q354" s="26" t="s">
        <v>204</v>
      </c>
      <c r="R354" s="27">
        <v>158.79</v>
      </c>
      <c r="S354" s="28" t="s">
        <v>290</v>
      </c>
      <c r="T354" s="29" t="s">
        <v>205</v>
      </c>
      <c r="U354" s="30" t="s">
        <v>292</v>
      </c>
      <c r="V354" s="31" t="s">
        <v>7569</v>
      </c>
      <c r="W354" s="32">
        <v>684</v>
      </c>
      <c r="X354" s="33" t="s">
        <v>7570</v>
      </c>
      <c r="Y354" s="34" t="s">
        <v>153</v>
      </c>
      <c r="Z354" s="35" t="s">
        <v>153</v>
      </c>
      <c r="AA354" s="36">
        <v>1848</v>
      </c>
      <c r="AB354" s="37" t="s">
        <v>153</v>
      </c>
      <c r="AC354" s="38" t="s">
        <v>153</v>
      </c>
      <c r="AD354" s="39" t="s">
        <v>153</v>
      </c>
      <c r="AE354" s="40" t="s">
        <v>153</v>
      </c>
      <c r="AF354" s="41" t="s">
        <v>153</v>
      </c>
      <c r="AG354" s="42" t="s">
        <v>153</v>
      </c>
      <c r="AH354" s="43" t="s">
        <v>153</v>
      </c>
      <c r="AI354" s="44" t="s">
        <v>153</v>
      </c>
      <c r="AJ354" s="45" t="s">
        <v>153</v>
      </c>
      <c r="AK354" s="46" t="s">
        <v>153</v>
      </c>
      <c r="AL354" s="47" t="s">
        <v>153</v>
      </c>
      <c r="AM354" s="48" t="s">
        <v>153</v>
      </c>
      <c r="AN354" s="49" t="s">
        <v>5953</v>
      </c>
      <c r="AO354" s="50" t="s">
        <v>7571</v>
      </c>
      <c r="AP354" s="51" t="s">
        <v>7572</v>
      </c>
      <c r="AQ354" s="52" t="s">
        <v>1241</v>
      </c>
      <c r="AR354" s="53" t="s">
        <v>153</v>
      </c>
      <c r="AS354" s="54" t="s">
        <v>153</v>
      </c>
      <c r="AT354" s="55" t="s">
        <v>780</v>
      </c>
      <c r="AU354" s="56" t="s">
        <v>7573</v>
      </c>
      <c r="AV354" s="57" t="s">
        <v>153</v>
      </c>
      <c r="AW354" s="58" t="s">
        <v>782</v>
      </c>
      <c r="AX354" s="59" t="s">
        <v>783</v>
      </c>
      <c r="AY354" s="60" t="s">
        <v>6087</v>
      </c>
      <c r="AZ354" s="61" t="s">
        <v>215</v>
      </c>
      <c r="BA354" s="62" t="s">
        <v>153</v>
      </c>
      <c r="BB354" s="63" t="s">
        <v>153</v>
      </c>
      <c r="BC354" s="64" t="s">
        <v>153</v>
      </c>
      <c r="BD354" s="65" t="s">
        <v>216</v>
      </c>
      <c r="BE354" s="66" t="s">
        <v>217</v>
      </c>
      <c r="BF354" s="67" t="s">
        <v>7574</v>
      </c>
      <c r="BG354" s="68" t="s">
        <v>153</v>
      </c>
      <c r="BH354" s="69" t="s">
        <v>153</v>
      </c>
      <c r="BI354" s="70" t="s">
        <v>7575</v>
      </c>
      <c r="BJ354" s="71" t="s">
        <v>7576</v>
      </c>
      <c r="BK354" s="72" t="s">
        <v>7328</v>
      </c>
      <c r="BL354" s="73" t="s">
        <v>153</v>
      </c>
      <c r="BM354" s="74" t="s">
        <v>7577</v>
      </c>
      <c r="BN354" s="75" t="s">
        <v>7578</v>
      </c>
      <c r="BO354" s="76" t="s">
        <v>7579</v>
      </c>
      <c r="BP354" s="77" t="s">
        <v>7580</v>
      </c>
      <c r="BQ354" s="78">
        <v>38644</v>
      </c>
      <c r="BR354" s="79">
        <v>172.34</v>
      </c>
      <c r="BS354" s="80" t="s">
        <v>186</v>
      </c>
      <c r="BT354" s="81">
        <v>2825.72</v>
      </c>
      <c r="BU354" s="82" t="s">
        <v>187</v>
      </c>
      <c r="BV354" s="83" t="s">
        <v>251</v>
      </c>
      <c r="BW354" s="84" t="s">
        <v>153</v>
      </c>
      <c r="BX354" s="85" t="s">
        <v>153</v>
      </c>
      <c r="BY354" s="86" t="s">
        <v>252</v>
      </c>
      <c r="BZ354" s="87" t="s">
        <v>153</v>
      </c>
      <c r="CA354" s="88" t="s">
        <v>190</v>
      </c>
      <c r="CB354" s="89">
        <v>39275</v>
      </c>
      <c r="CC354" s="90">
        <v>11195</v>
      </c>
      <c r="CD354" s="91" t="s">
        <v>186</v>
      </c>
      <c r="CE354" s="92">
        <v>11195</v>
      </c>
      <c r="CF354" s="93" t="s">
        <v>187</v>
      </c>
      <c r="CG354" s="94" t="s">
        <v>226</v>
      </c>
      <c r="CH354" s="95" t="s">
        <v>153</v>
      </c>
      <c r="CI354" s="96" t="s">
        <v>153</v>
      </c>
      <c r="CJ354" s="97" t="s">
        <v>225</v>
      </c>
      <c r="CK354" s="98">
        <v>39275</v>
      </c>
      <c r="CL354" s="99" t="s">
        <v>153</v>
      </c>
      <c r="CM354" s="100" t="s">
        <v>153</v>
      </c>
      <c r="CN354" s="101" t="s">
        <v>190</v>
      </c>
      <c r="CO354" s="102" t="s">
        <v>153</v>
      </c>
      <c r="CP354" s="103" t="s">
        <v>153</v>
      </c>
      <c r="CQ354" s="104" t="s">
        <v>153</v>
      </c>
      <c r="CR354" s="105" t="s">
        <v>153</v>
      </c>
      <c r="CS354" s="106" t="s">
        <v>153</v>
      </c>
      <c r="CT354" s="107" t="s">
        <v>153</v>
      </c>
      <c r="CU354" s="108" t="s">
        <v>153</v>
      </c>
      <c r="CV354" s="109" t="s">
        <v>153</v>
      </c>
      <c r="CW354" s="110" t="s">
        <v>153</v>
      </c>
      <c r="CX354" s="111" t="s">
        <v>153</v>
      </c>
      <c r="CY354" s="112" t="s">
        <v>153</v>
      </c>
      <c r="CZ354" s="113" t="s">
        <v>153</v>
      </c>
      <c r="DA354" s="114" t="s">
        <v>153</v>
      </c>
      <c r="DB354" s="115" t="s">
        <v>153</v>
      </c>
      <c r="DC354" s="116" t="s">
        <v>153</v>
      </c>
      <c r="DD354" s="117" t="s">
        <v>153</v>
      </c>
      <c r="DE354" s="118" t="s">
        <v>153</v>
      </c>
      <c r="DF354" s="119" t="s">
        <v>153</v>
      </c>
      <c r="DG354" s="120" t="s">
        <v>153</v>
      </c>
      <c r="DH354" s="121" t="s">
        <v>153</v>
      </c>
      <c r="DI354" s="122" t="s">
        <v>153</v>
      </c>
      <c r="DJ354" s="123" t="s">
        <v>153</v>
      </c>
      <c r="DK354" s="124" t="s">
        <v>153</v>
      </c>
      <c r="DL354" s="125" t="s">
        <v>153</v>
      </c>
      <c r="DM354" s="126" t="s">
        <v>153</v>
      </c>
      <c r="DN354" s="127" t="s">
        <v>153</v>
      </c>
      <c r="DO354" s="128" t="s">
        <v>153</v>
      </c>
      <c r="DP354" s="129" t="s">
        <v>153</v>
      </c>
      <c r="DQ354" s="130" t="s">
        <v>153</v>
      </c>
      <c r="DR354" s="131" t="s">
        <v>153</v>
      </c>
      <c r="DS354" s="132" t="s">
        <v>153</v>
      </c>
      <c r="DT354" s="133" t="s">
        <v>153</v>
      </c>
      <c r="DU354" s="134" t="s">
        <v>153</v>
      </c>
      <c r="DV354" s="135" t="s">
        <v>153</v>
      </c>
      <c r="DW354" s="136" t="s">
        <v>153</v>
      </c>
      <c r="DX354" s="137" t="s">
        <v>153</v>
      </c>
      <c r="DY354" s="138" t="s">
        <v>153</v>
      </c>
      <c r="DZ354" s="139" t="s">
        <v>191</v>
      </c>
      <c r="EA354" s="140">
        <v>44147</v>
      </c>
      <c r="EB354" s="141">
        <v>11195</v>
      </c>
      <c r="EC354" s="142">
        <v>39275</v>
      </c>
      <c r="ED354" s="143" t="s">
        <v>226</v>
      </c>
      <c r="EE354" s="278" t="str">
        <f>HYPERLINK("https://my.pitchbook.com?c=12854-98", "View company online")</f>
        <v>View company online</v>
      </c>
    </row>
    <row r="355" spans="1:135" x14ac:dyDescent="0.45">
      <c r="A355" s="144" t="s">
        <v>7581</v>
      </c>
      <c r="B355" s="145" t="s">
        <v>7582</v>
      </c>
      <c r="C355" s="146" t="s">
        <v>153</v>
      </c>
      <c r="D355" s="147" t="s">
        <v>153</v>
      </c>
      <c r="E355" s="148" t="s">
        <v>7583</v>
      </c>
      <c r="F355" s="149" t="s">
        <v>153</v>
      </c>
      <c r="G355" s="150" t="s">
        <v>153</v>
      </c>
      <c r="H355" s="151" t="s">
        <v>153</v>
      </c>
      <c r="I355" s="152" t="s">
        <v>7581</v>
      </c>
      <c r="J355" s="153" t="s">
        <v>7584</v>
      </c>
      <c r="K355" s="154" t="s">
        <v>157</v>
      </c>
      <c r="L355" s="155" t="s">
        <v>2713</v>
      </c>
      <c r="M355" s="156" t="s">
        <v>2922</v>
      </c>
      <c r="N355" s="157" t="s">
        <v>7585</v>
      </c>
      <c r="O355" s="158" t="s">
        <v>755</v>
      </c>
      <c r="P355" s="159" t="s">
        <v>7586</v>
      </c>
      <c r="Q355" s="160" t="s">
        <v>204</v>
      </c>
      <c r="R355" s="161">
        <v>1898.57</v>
      </c>
      <c r="S355" s="162" t="s">
        <v>290</v>
      </c>
      <c r="T355" s="163" t="s">
        <v>164</v>
      </c>
      <c r="U355" s="164" t="s">
        <v>369</v>
      </c>
      <c r="V355" s="165" t="s">
        <v>153</v>
      </c>
      <c r="W355" s="166">
        <v>8141</v>
      </c>
      <c r="X355" s="167" t="s">
        <v>7587</v>
      </c>
      <c r="Y355" s="168" t="s">
        <v>153</v>
      </c>
      <c r="Z355" s="169" t="s">
        <v>153</v>
      </c>
      <c r="AA355" s="170">
        <v>1962</v>
      </c>
      <c r="AB355" s="171" t="s">
        <v>7588</v>
      </c>
      <c r="AC355" s="172" t="s">
        <v>153</v>
      </c>
      <c r="AD355" s="173" t="s">
        <v>153</v>
      </c>
      <c r="AE355" s="174" t="s">
        <v>153</v>
      </c>
      <c r="AF355" s="175" t="s">
        <v>153</v>
      </c>
      <c r="AG355" s="176" t="s">
        <v>153</v>
      </c>
      <c r="AH355" s="177" t="s">
        <v>153</v>
      </c>
      <c r="AI355" s="178" t="s">
        <v>153</v>
      </c>
      <c r="AJ355" s="179" t="s">
        <v>153</v>
      </c>
      <c r="AK355" s="180" t="s">
        <v>153</v>
      </c>
      <c r="AL355" s="181" t="s">
        <v>153</v>
      </c>
      <c r="AM355" s="182" t="s">
        <v>153</v>
      </c>
      <c r="AN355" s="183" t="s">
        <v>209</v>
      </c>
      <c r="AO355" s="184" t="s">
        <v>7589</v>
      </c>
      <c r="AP355" s="185" t="s">
        <v>7590</v>
      </c>
      <c r="AQ355" s="186" t="s">
        <v>7591</v>
      </c>
      <c r="AR355" s="187" t="s">
        <v>7592</v>
      </c>
      <c r="AS355" s="188" t="s">
        <v>7593</v>
      </c>
      <c r="AT355" s="189" t="s">
        <v>3708</v>
      </c>
      <c r="AU355" s="190" t="s">
        <v>7594</v>
      </c>
      <c r="AV355" s="191" t="s">
        <v>153</v>
      </c>
      <c r="AW355" s="192" t="s">
        <v>3711</v>
      </c>
      <c r="AX355" s="193" t="s">
        <v>3712</v>
      </c>
      <c r="AY355" s="194" t="s">
        <v>7595</v>
      </c>
      <c r="AZ355" s="195" t="s">
        <v>1358</v>
      </c>
      <c r="BA355" s="196" t="s">
        <v>7593</v>
      </c>
      <c r="BB355" s="197" t="s">
        <v>7596</v>
      </c>
      <c r="BC355" s="198" t="s">
        <v>153</v>
      </c>
      <c r="BD355" s="199" t="s">
        <v>216</v>
      </c>
      <c r="BE355" s="200" t="s">
        <v>217</v>
      </c>
      <c r="BF355" s="201" t="s">
        <v>7597</v>
      </c>
      <c r="BG355" s="202" t="s">
        <v>153</v>
      </c>
      <c r="BH355" s="203" t="s">
        <v>153</v>
      </c>
      <c r="BI355" s="204" t="s">
        <v>7588</v>
      </c>
      <c r="BJ355" s="205" t="s">
        <v>7598</v>
      </c>
      <c r="BK355" s="206" t="s">
        <v>153</v>
      </c>
      <c r="BL355" s="207" t="s">
        <v>153</v>
      </c>
      <c r="BM355" s="208" t="s">
        <v>7599</v>
      </c>
      <c r="BN355" s="209" t="s">
        <v>153</v>
      </c>
      <c r="BO355" s="210" t="s">
        <v>7600</v>
      </c>
      <c r="BP355" s="211" t="s">
        <v>7601</v>
      </c>
      <c r="BQ355" s="212">
        <v>36560</v>
      </c>
      <c r="BR355" s="213">
        <v>1700</v>
      </c>
      <c r="BS355" s="214" t="s">
        <v>186</v>
      </c>
      <c r="BT355" s="215">
        <v>1700</v>
      </c>
      <c r="BU355" s="216" t="s">
        <v>186</v>
      </c>
      <c r="BV355" s="217" t="s">
        <v>188</v>
      </c>
      <c r="BW355" s="218" t="s">
        <v>6031</v>
      </c>
      <c r="BX355" s="219" t="s">
        <v>729</v>
      </c>
      <c r="BY355" s="220" t="s">
        <v>165</v>
      </c>
      <c r="BZ355" s="221" t="s">
        <v>153</v>
      </c>
      <c r="CA355" s="222" t="s">
        <v>190</v>
      </c>
      <c r="CB355" s="223">
        <v>41726</v>
      </c>
      <c r="CC355" s="224">
        <v>11155.7</v>
      </c>
      <c r="CD355" s="225" t="s">
        <v>186</v>
      </c>
      <c r="CE355" s="226">
        <v>11155.7</v>
      </c>
      <c r="CF355" s="227" t="s">
        <v>186</v>
      </c>
      <c r="CG355" s="228" t="s">
        <v>226</v>
      </c>
      <c r="CH355" s="229" t="s">
        <v>729</v>
      </c>
      <c r="CI355" s="230" t="s">
        <v>153</v>
      </c>
      <c r="CJ355" s="231" t="s">
        <v>225</v>
      </c>
      <c r="CK355" s="232">
        <v>41726</v>
      </c>
      <c r="CL355" s="233" t="s">
        <v>153</v>
      </c>
      <c r="CM355" s="234" t="s">
        <v>153</v>
      </c>
      <c r="CN355" s="235" t="s">
        <v>190</v>
      </c>
      <c r="CO355" s="236">
        <v>-0.08</v>
      </c>
      <c r="CP355" s="237">
        <v>8</v>
      </c>
      <c r="CQ355" s="238">
        <v>0.02</v>
      </c>
      <c r="CR355" s="239">
        <v>20.11</v>
      </c>
      <c r="CS355" s="240" t="s">
        <v>153</v>
      </c>
      <c r="CT355" s="241" t="s">
        <v>153</v>
      </c>
      <c r="CU355" s="242">
        <v>-0.08</v>
      </c>
      <c r="CV355" s="243">
        <v>24</v>
      </c>
      <c r="CW355" s="244" t="s">
        <v>153</v>
      </c>
      <c r="CX355" s="245" t="s">
        <v>153</v>
      </c>
      <c r="CY355" s="246" t="s">
        <v>153</v>
      </c>
      <c r="CZ355" s="247" t="s">
        <v>153</v>
      </c>
      <c r="DA355" s="248">
        <v>-0.08</v>
      </c>
      <c r="DB355" s="249">
        <v>24</v>
      </c>
      <c r="DC355" s="250">
        <v>281.23</v>
      </c>
      <c r="DD355" s="251">
        <v>100</v>
      </c>
      <c r="DE355" s="252">
        <v>1.69</v>
      </c>
      <c r="DF355" s="253">
        <v>0.61</v>
      </c>
      <c r="DG355" s="254" t="s">
        <v>153</v>
      </c>
      <c r="DH355" s="255" t="s">
        <v>153</v>
      </c>
      <c r="DI355" s="256">
        <v>281.23</v>
      </c>
      <c r="DJ355" s="257">
        <v>99</v>
      </c>
      <c r="DK355" s="258" t="s">
        <v>153</v>
      </c>
      <c r="DL355" s="259" t="s">
        <v>153</v>
      </c>
      <c r="DM355" s="260" t="s">
        <v>153</v>
      </c>
      <c r="DN355" s="261" t="s">
        <v>153</v>
      </c>
      <c r="DO355" s="262">
        <v>281.23</v>
      </c>
      <c r="DP355" s="263">
        <v>99</v>
      </c>
      <c r="DQ355" s="264" t="s">
        <v>153</v>
      </c>
      <c r="DR355" s="265" t="s">
        <v>153</v>
      </c>
      <c r="DS355" s="266" t="s">
        <v>153</v>
      </c>
      <c r="DT355" s="267" t="s">
        <v>153</v>
      </c>
      <c r="DU355" s="268" t="s">
        <v>153</v>
      </c>
      <c r="DV355" s="269" t="s">
        <v>153</v>
      </c>
      <c r="DW355" s="270">
        <v>88317</v>
      </c>
      <c r="DX355" s="271">
        <v>-36</v>
      </c>
      <c r="DY355" s="272">
        <v>-0.04</v>
      </c>
      <c r="DZ355" s="273" t="s">
        <v>191</v>
      </c>
      <c r="EA355" s="274">
        <v>44224</v>
      </c>
      <c r="EB355" s="275">
        <v>11155.7</v>
      </c>
      <c r="EC355" s="276">
        <v>41726</v>
      </c>
      <c r="ED355" s="277" t="s">
        <v>226</v>
      </c>
      <c r="EE355" s="279" t="str">
        <f>HYPERLINK("https://my.pitchbook.com?c=12097-90", "View company online")</f>
        <v>View company online</v>
      </c>
    </row>
    <row r="356" spans="1:135" x14ac:dyDescent="0.45">
      <c r="A356" s="10" t="s">
        <v>7602</v>
      </c>
      <c r="B356" s="11" t="s">
        <v>7603</v>
      </c>
      <c r="C356" s="12" t="s">
        <v>153</v>
      </c>
      <c r="D356" s="13" t="s">
        <v>153</v>
      </c>
      <c r="E356" s="14" t="s">
        <v>153</v>
      </c>
      <c r="F356" s="15" t="s">
        <v>153</v>
      </c>
      <c r="G356" s="16" t="s">
        <v>7604</v>
      </c>
      <c r="H356" s="17" t="s">
        <v>7605</v>
      </c>
      <c r="I356" s="18" t="s">
        <v>7602</v>
      </c>
      <c r="J356" s="19" t="s">
        <v>7606</v>
      </c>
      <c r="K356" s="20" t="s">
        <v>157</v>
      </c>
      <c r="L356" s="21" t="s">
        <v>421</v>
      </c>
      <c r="M356" s="22" t="s">
        <v>422</v>
      </c>
      <c r="N356" s="23" t="s">
        <v>423</v>
      </c>
      <c r="O356" s="24" t="s">
        <v>399</v>
      </c>
      <c r="P356" s="25" t="s">
        <v>7607</v>
      </c>
      <c r="Q356" s="26" t="s">
        <v>7608</v>
      </c>
      <c r="R356" s="27">
        <v>74.900000000000006</v>
      </c>
      <c r="S356" s="28" t="s">
        <v>290</v>
      </c>
      <c r="T356" s="29" t="s">
        <v>291</v>
      </c>
      <c r="U356" s="30" t="s">
        <v>237</v>
      </c>
      <c r="V356" s="31" t="s">
        <v>7609</v>
      </c>
      <c r="W356" s="32">
        <v>3750</v>
      </c>
      <c r="X356" s="33" t="s">
        <v>7610</v>
      </c>
      <c r="Y356" s="34" t="s">
        <v>3412</v>
      </c>
      <c r="Z356" s="35" t="s">
        <v>7611</v>
      </c>
      <c r="AA356" s="36">
        <v>1957</v>
      </c>
      <c r="AB356" s="37" t="s">
        <v>153</v>
      </c>
      <c r="AC356" s="38" t="s">
        <v>153</v>
      </c>
      <c r="AD356" s="39" t="s">
        <v>153</v>
      </c>
      <c r="AE356" s="40">
        <v>1987.15</v>
      </c>
      <c r="AF356" s="41">
        <v>951.32</v>
      </c>
      <c r="AG356" s="42">
        <v>107.72</v>
      </c>
      <c r="AH356" s="43">
        <v>5188.58</v>
      </c>
      <c r="AI356" s="44">
        <v>938.97</v>
      </c>
      <c r="AJ356" s="45">
        <v>545.83000000000004</v>
      </c>
      <c r="AK356" s="46">
        <v>1207.8</v>
      </c>
      <c r="AL356" s="47">
        <v>2347.56</v>
      </c>
      <c r="AM356" s="48">
        <v>4.3499999999999996</v>
      </c>
      <c r="AN356" s="49" t="s">
        <v>3265</v>
      </c>
      <c r="AO356" s="50" t="s">
        <v>7612</v>
      </c>
      <c r="AP356" s="51" t="s">
        <v>7613</v>
      </c>
      <c r="AQ356" s="52" t="s">
        <v>302</v>
      </c>
      <c r="AR356" s="53" t="s">
        <v>7614</v>
      </c>
      <c r="AS356" s="54" t="s">
        <v>7615</v>
      </c>
      <c r="AT356" s="55" t="s">
        <v>1353</v>
      </c>
      <c r="AU356" s="56" t="s">
        <v>7616</v>
      </c>
      <c r="AV356" s="57" t="s">
        <v>7617</v>
      </c>
      <c r="AW356" s="58" t="s">
        <v>1355</v>
      </c>
      <c r="AX356" s="59" t="s">
        <v>1356</v>
      </c>
      <c r="AY356" s="60" t="s">
        <v>7618</v>
      </c>
      <c r="AZ356" s="61" t="s">
        <v>1358</v>
      </c>
      <c r="BA356" s="62" t="s">
        <v>7615</v>
      </c>
      <c r="BB356" s="63" t="s">
        <v>153</v>
      </c>
      <c r="BC356" s="64" t="s">
        <v>153</v>
      </c>
      <c r="BD356" s="65" t="s">
        <v>216</v>
      </c>
      <c r="BE356" s="66" t="s">
        <v>217</v>
      </c>
      <c r="BF356" s="67" t="s">
        <v>7619</v>
      </c>
      <c r="BG356" s="68" t="s">
        <v>7620</v>
      </c>
      <c r="BH356" s="69">
        <v>2</v>
      </c>
      <c r="BI356" s="70" t="s">
        <v>153</v>
      </c>
      <c r="BJ356" s="71" t="s">
        <v>7621</v>
      </c>
      <c r="BK356" s="72" t="s">
        <v>7622</v>
      </c>
      <c r="BL356" s="73" t="s">
        <v>3431</v>
      </c>
      <c r="BM356" s="74" t="s">
        <v>7623</v>
      </c>
      <c r="BN356" s="75" t="s">
        <v>7624</v>
      </c>
      <c r="BO356" s="76" t="s">
        <v>7625</v>
      </c>
      <c r="BP356" s="77" t="s">
        <v>153</v>
      </c>
      <c r="BQ356" s="78">
        <v>34180</v>
      </c>
      <c r="BR356" s="79" t="s">
        <v>153</v>
      </c>
      <c r="BS356" s="80" t="s">
        <v>153</v>
      </c>
      <c r="BT356" s="81" t="s">
        <v>153</v>
      </c>
      <c r="BU356" s="82" t="s">
        <v>153</v>
      </c>
      <c r="BV356" s="83" t="s">
        <v>251</v>
      </c>
      <c r="BW356" s="84" t="s">
        <v>153</v>
      </c>
      <c r="BX356" s="85" t="s">
        <v>153</v>
      </c>
      <c r="BY356" s="86" t="s">
        <v>252</v>
      </c>
      <c r="BZ356" s="87" t="s">
        <v>153</v>
      </c>
      <c r="CA356" s="88" t="s">
        <v>190</v>
      </c>
      <c r="CB356" s="89">
        <v>44153</v>
      </c>
      <c r="CC356" s="90">
        <v>11100</v>
      </c>
      <c r="CD356" s="91" t="s">
        <v>187</v>
      </c>
      <c r="CE356" s="92">
        <v>11100</v>
      </c>
      <c r="CF356" s="93" t="s">
        <v>187</v>
      </c>
      <c r="CG356" s="94" t="s">
        <v>226</v>
      </c>
      <c r="CH356" s="95" t="s">
        <v>153</v>
      </c>
      <c r="CI356" s="96" t="s">
        <v>153</v>
      </c>
      <c r="CJ356" s="97" t="s">
        <v>225</v>
      </c>
      <c r="CK356" s="98">
        <v>44153</v>
      </c>
      <c r="CL356" s="99" t="s">
        <v>153</v>
      </c>
      <c r="CM356" s="100" t="s">
        <v>153</v>
      </c>
      <c r="CN356" s="101" t="s">
        <v>394</v>
      </c>
      <c r="CO356" s="102">
        <v>0.31</v>
      </c>
      <c r="CP356" s="103">
        <v>91</v>
      </c>
      <c r="CQ356" s="104">
        <v>0.01</v>
      </c>
      <c r="CR356" s="105">
        <v>2</v>
      </c>
      <c r="CS356" s="106">
        <v>1.19</v>
      </c>
      <c r="CT356" s="107">
        <v>96</v>
      </c>
      <c r="CU356" s="108">
        <v>0.05</v>
      </c>
      <c r="CV356" s="109">
        <v>81</v>
      </c>
      <c r="CW356" s="110">
        <v>2.39</v>
      </c>
      <c r="CX356" s="111">
        <v>87</v>
      </c>
      <c r="CY356" s="112">
        <v>0</v>
      </c>
      <c r="CZ356" s="113">
        <v>5</v>
      </c>
      <c r="DA356" s="114">
        <v>0.05</v>
      </c>
      <c r="DB356" s="115">
        <v>81</v>
      </c>
      <c r="DC356" s="116">
        <v>36.979999999999997</v>
      </c>
      <c r="DD356" s="117">
        <v>98</v>
      </c>
      <c r="DE356" s="118">
        <v>0.08</v>
      </c>
      <c r="DF356" s="119">
        <v>0.21</v>
      </c>
      <c r="DG356" s="120">
        <v>2.71</v>
      </c>
      <c r="DH356" s="121">
        <v>74</v>
      </c>
      <c r="DI356" s="122">
        <v>43.77</v>
      </c>
      <c r="DJ356" s="123">
        <v>95</v>
      </c>
      <c r="DK356" s="124">
        <v>4.97</v>
      </c>
      <c r="DL356" s="125">
        <v>78</v>
      </c>
      <c r="DM356" s="126">
        <v>0.44</v>
      </c>
      <c r="DN356" s="127">
        <v>30</v>
      </c>
      <c r="DO356" s="128">
        <v>43.77</v>
      </c>
      <c r="DP356" s="129">
        <v>95</v>
      </c>
      <c r="DQ356" s="130">
        <v>2949</v>
      </c>
      <c r="DR356" s="131">
        <v>3</v>
      </c>
      <c r="DS356" s="132">
        <v>0.1</v>
      </c>
      <c r="DT356" s="133">
        <v>7</v>
      </c>
      <c r="DU356" s="134">
        <v>0</v>
      </c>
      <c r="DV356" s="135">
        <v>0</v>
      </c>
      <c r="DW356" s="136">
        <v>13739</v>
      </c>
      <c r="DX356" s="137">
        <v>15</v>
      </c>
      <c r="DY356" s="138">
        <v>0.11</v>
      </c>
      <c r="DZ356" s="139" t="s">
        <v>191</v>
      </c>
      <c r="EA356" s="140">
        <v>44387</v>
      </c>
      <c r="EB356" s="141">
        <v>11100</v>
      </c>
      <c r="EC356" s="142">
        <v>44153</v>
      </c>
      <c r="ED356" s="143" t="s">
        <v>226</v>
      </c>
      <c r="EE356" s="278" t="str">
        <f>HYPERLINK("https://my.pitchbook.com?c=54843-13", "View company online")</f>
        <v>View company online</v>
      </c>
    </row>
    <row r="357" spans="1:135" x14ac:dyDescent="0.45">
      <c r="A357" s="144" t="s">
        <v>7626</v>
      </c>
      <c r="B357" s="145" t="s">
        <v>7627</v>
      </c>
      <c r="C357" s="146" t="s">
        <v>153</v>
      </c>
      <c r="D357" s="147" t="s">
        <v>153</v>
      </c>
      <c r="E357" s="148" t="s">
        <v>7628</v>
      </c>
      <c r="F357" s="149" t="s">
        <v>7629</v>
      </c>
      <c r="G357" s="150" t="s">
        <v>153</v>
      </c>
      <c r="H357" s="151" t="s">
        <v>7630</v>
      </c>
      <c r="I357" s="152" t="s">
        <v>7626</v>
      </c>
      <c r="J357" s="153" t="s">
        <v>7631</v>
      </c>
      <c r="K357" s="154" t="s">
        <v>882</v>
      </c>
      <c r="L357" s="155" t="s">
        <v>1231</v>
      </c>
      <c r="M357" s="156" t="s">
        <v>1232</v>
      </c>
      <c r="N357" s="157" t="s">
        <v>7632</v>
      </c>
      <c r="O357" s="158" t="s">
        <v>7633</v>
      </c>
      <c r="P357" s="159" t="s">
        <v>7634</v>
      </c>
      <c r="Q357" s="160" t="s">
        <v>204</v>
      </c>
      <c r="R357" s="161" t="s">
        <v>153</v>
      </c>
      <c r="S357" s="162" t="s">
        <v>163</v>
      </c>
      <c r="T357" s="163" t="s">
        <v>205</v>
      </c>
      <c r="U357" s="164" t="s">
        <v>206</v>
      </c>
      <c r="V357" s="165" t="s">
        <v>7635</v>
      </c>
      <c r="W357" s="166">
        <v>10000</v>
      </c>
      <c r="X357" s="167" t="s">
        <v>7636</v>
      </c>
      <c r="Y357" s="168" t="s">
        <v>153</v>
      </c>
      <c r="Z357" s="169" t="s">
        <v>153</v>
      </c>
      <c r="AA357" s="170" t="s">
        <v>153</v>
      </c>
      <c r="AB357" s="171" t="s">
        <v>153</v>
      </c>
      <c r="AC357" s="172" t="s">
        <v>153</v>
      </c>
      <c r="AD357" s="173" t="s">
        <v>428</v>
      </c>
      <c r="AE357" s="174" t="s">
        <v>153</v>
      </c>
      <c r="AF357" s="175" t="s">
        <v>153</v>
      </c>
      <c r="AG357" s="176" t="s">
        <v>153</v>
      </c>
      <c r="AH357" s="177" t="s">
        <v>153</v>
      </c>
      <c r="AI357" s="178" t="s">
        <v>153</v>
      </c>
      <c r="AJ357" s="179" t="s">
        <v>153</v>
      </c>
      <c r="AK357" s="180" t="s">
        <v>153</v>
      </c>
      <c r="AL357" s="181" t="s">
        <v>153</v>
      </c>
      <c r="AM357" s="182" t="s">
        <v>153</v>
      </c>
      <c r="AN357" s="183" t="s">
        <v>456</v>
      </c>
      <c r="AO357" s="184" t="s">
        <v>153</v>
      </c>
      <c r="AP357" s="185" t="s">
        <v>153</v>
      </c>
      <c r="AQ357" s="186" t="s">
        <v>153</v>
      </c>
      <c r="AR357" s="187" t="s">
        <v>153</v>
      </c>
      <c r="AS357" s="188" t="s">
        <v>153</v>
      </c>
      <c r="AT357" s="189" t="s">
        <v>6117</v>
      </c>
      <c r="AU357" s="190" t="s">
        <v>7637</v>
      </c>
      <c r="AV357" s="191" t="s">
        <v>153</v>
      </c>
      <c r="AW357" s="192" t="s">
        <v>6118</v>
      </c>
      <c r="AX357" s="193" t="s">
        <v>2727</v>
      </c>
      <c r="AY357" s="194" t="s">
        <v>7638</v>
      </c>
      <c r="AZ357" s="195" t="s">
        <v>215</v>
      </c>
      <c r="BA357" s="196" t="s">
        <v>153</v>
      </c>
      <c r="BB357" s="197" t="s">
        <v>153</v>
      </c>
      <c r="BC357" s="198" t="s">
        <v>153</v>
      </c>
      <c r="BD357" s="199" t="s">
        <v>216</v>
      </c>
      <c r="BE357" s="200" t="s">
        <v>217</v>
      </c>
      <c r="BF357" s="201" t="s">
        <v>7639</v>
      </c>
      <c r="BG357" s="202" t="s">
        <v>153</v>
      </c>
      <c r="BH357" s="203" t="s">
        <v>153</v>
      </c>
      <c r="BI357" s="204" t="s">
        <v>7640</v>
      </c>
      <c r="BJ357" s="205" t="s">
        <v>1971</v>
      </c>
      <c r="BK357" s="206" t="s">
        <v>153</v>
      </c>
      <c r="BL357" s="207" t="s">
        <v>153</v>
      </c>
      <c r="BM357" s="208" t="s">
        <v>1972</v>
      </c>
      <c r="BN357" s="209" t="s">
        <v>153</v>
      </c>
      <c r="BO357" s="210" t="s">
        <v>7641</v>
      </c>
      <c r="BP357" s="211" t="s">
        <v>153</v>
      </c>
      <c r="BQ357" s="212">
        <v>43521</v>
      </c>
      <c r="BR357" s="213">
        <v>11100</v>
      </c>
      <c r="BS357" s="214" t="s">
        <v>186</v>
      </c>
      <c r="BT357" s="215">
        <v>22155.68</v>
      </c>
      <c r="BU357" s="216" t="s">
        <v>186</v>
      </c>
      <c r="BV357" s="217" t="s">
        <v>226</v>
      </c>
      <c r="BW357" s="218" t="s">
        <v>153</v>
      </c>
      <c r="BX357" s="219" t="s">
        <v>153</v>
      </c>
      <c r="BY357" s="220" t="s">
        <v>225</v>
      </c>
      <c r="BZ357" s="221" t="s">
        <v>153</v>
      </c>
      <c r="CA357" s="222" t="s">
        <v>190</v>
      </c>
      <c r="CB357" s="223">
        <v>43521</v>
      </c>
      <c r="CC357" s="224">
        <v>11100</v>
      </c>
      <c r="CD357" s="225" t="s">
        <v>186</v>
      </c>
      <c r="CE357" s="226">
        <v>22155.68</v>
      </c>
      <c r="CF357" s="227" t="s">
        <v>186</v>
      </c>
      <c r="CG357" s="228" t="s">
        <v>226</v>
      </c>
      <c r="CH357" s="229" t="s">
        <v>153</v>
      </c>
      <c r="CI357" s="230" t="s">
        <v>153</v>
      </c>
      <c r="CJ357" s="231" t="s">
        <v>225</v>
      </c>
      <c r="CK357" s="232">
        <v>43521</v>
      </c>
      <c r="CL357" s="233" t="s">
        <v>153</v>
      </c>
      <c r="CM357" s="234" t="s">
        <v>153</v>
      </c>
      <c r="CN357" s="235" t="s">
        <v>190</v>
      </c>
      <c r="CO357" s="236" t="s">
        <v>153</v>
      </c>
      <c r="CP357" s="237" t="s">
        <v>153</v>
      </c>
      <c r="CQ357" s="238" t="s">
        <v>153</v>
      </c>
      <c r="CR357" s="239" t="s">
        <v>153</v>
      </c>
      <c r="CS357" s="240" t="s">
        <v>153</v>
      </c>
      <c r="CT357" s="241" t="s">
        <v>153</v>
      </c>
      <c r="CU357" s="242" t="s">
        <v>153</v>
      </c>
      <c r="CV357" s="243" t="s">
        <v>153</v>
      </c>
      <c r="CW357" s="244" t="s">
        <v>153</v>
      </c>
      <c r="CX357" s="245" t="s">
        <v>153</v>
      </c>
      <c r="CY357" s="246" t="s">
        <v>153</v>
      </c>
      <c r="CZ357" s="247" t="s">
        <v>153</v>
      </c>
      <c r="DA357" s="248" t="s">
        <v>153</v>
      </c>
      <c r="DB357" s="249" t="s">
        <v>153</v>
      </c>
      <c r="DC357" s="250" t="s">
        <v>153</v>
      </c>
      <c r="DD357" s="251" t="s">
        <v>153</v>
      </c>
      <c r="DE357" s="252" t="s">
        <v>153</v>
      </c>
      <c r="DF357" s="253" t="s">
        <v>153</v>
      </c>
      <c r="DG357" s="254" t="s">
        <v>153</v>
      </c>
      <c r="DH357" s="255" t="s">
        <v>153</v>
      </c>
      <c r="DI357" s="256" t="s">
        <v>153</v>
      </c>
      <c r="DJ357" s="257" t="s">
        <v>153</v>
      </c>
      <c r="DK357" s="258" t="s">
        <v>153</v>
      </c>
      <c r="DL357" s="259" t="s">
        <v>153</v>
      </c>
      <c r="DM357" s="260" t="s">
        <v>153</v>
      </c>
      <c r="DN357" s="261" t="s">
        <v>153</v>
      </c>
      <c r="DO357" s="262" t="s">
        <v>153</v>
      </c>
      <c r="DP357" s="263" t="s">
        <v>153</v>
      </c>
      <c r="DQ357" s="264" t="s">
        <v>153</v>
      </c>
      <c r="DR357" s="265" t="s">
        <v>153</v>
      </c>
      <c r="DS357" s="266" t="s">
        <v>153</v>
      </c>
      <c r="DT357" s="267" t="s">
        <v>153</v>
      </c>
      <c r="DU357" s="268" t="s">
        <v>153</v>
      </c>
      <c r="DV357" s="269" t="s">
        <v>153</v>
      </c>
      <c r="DW357" s="270" t="s">
        <v>153</v>
      </c>
      <c r="DX357" s="271" t="s">
        <v>153</v>
      </c>
      <c r="DY357" s="272" t="s">
        <v>153</v>
      </c>
      <c r="DZ357" s="273" t="s">
        <v>191</v>
      </c>
      <c r="EA357" s="274">
        <v>44099</v>
      </c>
      <c r="EB357" s="275">
        <v>22155.68</v>
      </c>
      <c r="EC357" s="276">
        <v>43521</v>
      </c>
      <c r="ED357" s="277" t="s">
        <v>226</v>
      </c>
      <c r="EE357" s="279" t="str">
        <f>HYPERLINK("https://my.pitchbook.com?c=97532-20", "View company online")</f>
        <v>View company online</v>
      </c>
    </row>
    <row r="358" spans="1:135" x14ac:dyDescent="0.45">
      <c r="A358" s="10" t="s">
        <v>7642</v>
      </c>
      <c r="B358" s="11" t="s">
        <v>7643</v>
      </c>
      <c r="C358" s="12" t="s">
        <v>153</v>
      </c>
      <c r="D358" s="13" t="s">
        <v>153</v>
      </c>
      <c r="E358" s="14" t="s">
        <v>153</v>
      </c>
      <c r="F358" s="15" t="s">
        <v>153</v>
      </c>
      <c r="G358" s="16" t="s">
        <v>7644</v>
      </c>
      <c r="H358" s="17" t="s">
        <v>153</v>
      </c>
      <c r="I358" s="18" t="s">
        <v>7642</v>
      </c>
      <c r="J358" s="19" t="s">
        <v>7645</v>
      </c>
      <c r="K358" s="20" t="s">
        <v>198</v>
      </c>
      <c r="L358" s="21" t="s">
        <v>199</v>
      </c>
      <c r="M358" s="22" t="s">
        <v>344</v>
      </c>
      <c r="N358" s="23" t="s">
        <v>1283</v>
      </c>
      <c r="O358" s="24" t="s">
        <v>399</v>
      </c>
      <c r="P358" s="25" t="s">
        <v>7646</v>
      </c>
      <c r="Q358" s="26" t="s">
        <v>204</v>
      </c>
      <c r="R358" s="27" t="s">
        <v>153</v>
      </c>
      <c r="S358" s="28" t="s">
        <v>163</v>
      </c>
      <c r="T358" s="29" t="s">
        <v>164</v>
      </c>
      <c r="U358" s="30" t="s">
        <v>887</v>
      </c>
      <c r="V358" s="31" t="s">
        <v>7647</v>
      </c>
      <c r="W358" s="32">
        <v>1001</v>
      </c>
      <c r="X358" s="33" t="s">
        <v>7648</v>
      </c>
      <c r="Y358" s="34" t="s">
        <v>153</v>
      </c>
      <c r="Z358" s="35" t="s">
        <v>153</v>
      </c>
      <c r="AA358" s="36">
        <v>1993</v>
      </c>
      <c r="AB358" s="37" t="s">
        <v>7649</v>
      </c>
      <c r="AC358" s="38" t="s">
        <v>153</v>
      </c>
      <c r="AD358" s="39" t="s">
        <v>153</v>
      </c>
      <c r="AE358" s="40" t="s">
        <v>153</v>
      </c>
      <c r="AF358" s="41" t="s">
        <v>153</v>
      </c>
      <c r="AG358" s="42" t="s">
        <v>153</v>
      </c>
      <c r="AH358" s="43" t="s">
        <v>153</v>
      </c>
      <c r="AI358" s="44" t="s">
        <v>153</v>
      </c>
      <c r="AJ358" s="45" t="s">
        <v>153</v>
      </c>
      <c r="AK358" s="46" t="s">
        <v>153</v>
      </c>
      <c r="AL358" s="47" t="s">
        <v>153</v>
      </c>
      <c r="AM358" s="48" t="s">
        <v>153</v>
      </c>
      <c r="AN358" s="49" t="s">
        <v>153</v>
      </c>
      <c r="AO358" s="50" t="s">
        <v>7650</v>
      </c>
      <c r="AP358" s="51" t="s">
        <v>7651</v>
      </c>
      <c r="AQ358" s="52" t="s">
        <v>7652</v>
      </c>
      <c r="AR358" s="53" t="s">
        <v>153</v>
      </c>
      <c r="AS358" s="54" t="s">
        <v>7653</v>
      </c>
      <c r="AT358" s="55" t="s">
        <v>348</v>
      </c>
      <c r="AU358" s="56" t="s">
        <v>7654</v>
      </c>
      <c r="AV358" s="57" t="s">
        <v>7655</v>
      </c>
      <c r="AW358" s="58" t="s">
        <v>350</v>
      </c>
      <c r="AX358" s="59" t="s">
        <v>153</v>
      </c>
      <c r="AY358" s="60" t="s">
        <v>7656</v>
      </c>
      <c r="AZ358" s="61" t="s">
        <v>352</v>
      </c>
      <c r="BA358" s="62" t="s">
        <v>7657</v>
      </c>
      <c r="BB358" s="63" t="s">
        <v>7658</v>
      </c>
      <c r="BC358" s="64" t="s">
        <v>7659</v>
      </c>
      <c r="BD358" s="65" t="s">
        <v>180</v>
      </c>
      <c r="BE358" s="66" t="s">
        <v>181</v>
      </c>
      <c r="BF358" s="67" t="s">
        <v>7660</v>
      </c>
      <c r="BG358" s="68" t="s">
        <v>153</v>
      </c>
      <c r="BH358" s="69" t="s">
        <v>153</v>
      </c>
      <c r="BI358" s="70" t="s">
        <v>7649</v>
      </c>
      <c r="BJ358" s="71" t="s">
        <v>7661</v>
      </c>
      <c r="BK358" s="72" t="s">
        <v>153</v>
      </c>
      <c r="BL358" s="73" t="s">
        <v>153</v>
      </c>
      <c r="BM358" s="74" t="s">
        <v>7662</v>
      </c>
      <c r="BN358" s="75" t="s">
        <v>153</v>
      </c>
      <c r="BO358" s="76" t="s">
        <v>153</v>
      </c>
      <c r="BP358" s="77" t="s">
        <v>153</v>
      </c>
      <c r="BQ358" s="78">
        <v>41913</v>
      </c>
      <c r="BR358" s="79">
        <v>11063.06</v>
      </c>
      <c r="BS358" s="80" t="s">
        <v>186</v>
      </c>
      <c r="BT358" s="81">
        <v>11063.06</v>
      </c>
      <c r="BU358" s="82" t="s">
        <v>186</v>
      </c>
      <c r="BV358" s="83" t="s">
        <v>226</v>
      </c>
      <c r="BW358" s="84" t="s">
        <v>153</v>
      </c>
      <c r="BX358" s="85" t="s">
        <v>153</v>
      </c>
      <c r="BY358" s="86" t="s">
        <v>225</v>
      </c>
      <c r="BZ358" s="87" t="s">
        <v>153</v>
      </c>
      <c r="CA358" s="88" t="s">
        <v>190</v>
      </c>
      <c r="CB358" s="89">
        <v>41913</v>
      </c>
      <c r="CC358" s="90">
        <v>11063.06</v>
      </c>
      <c r="CD358" s="91" t="s">
        <v>186</v>
      </c>
      <c r="CE358" s="92">
        <v>11063.06</v>
      </c>
      <c r="CF358" s="93" t="s">
        <v>186</v>
      </c>
      <c r="CG358" s="94" t="s">
        <v>226</v>
      </c>
      <c r="CH358" s="95" t="s">
        <v>153</v>
      </c>
      <c r="CI358" s="96" t="s">
        <v>153</v>
      </c>
      <c r="CJ358" s="97" t="s">
        <v>225</v>
      </c>
      <c r="CK358" s="98">
        <v>41913</v>
      </c>
      <c r="CL358" s="99" t="s">
        <v>153</v>
      </c>
      <c r="CM358" s="100" t="s">
        <v>153</v>
      </c>
      <c r="CN358" s="101" t="s">
        <v>190</v>
      </c>
      <c r="CO358" s="102">
        <v>0.47</v>
      </c>
      <c r="CP358" s="103">
        <v>93</v>
      </c>
      <c r="CQ358" s="104">
        <v>0.12</v>
      </c>
      <c r="CR358" s="105">
        <v>35.479999999999997</v>
      </c>
      <c r="CS358" s="106">
        <v>0.47</v>
      </c>
      <c r="CT358" s="107">
        <v>93</v>
      </c>
      <c r="CU358" s="108" t="s">
        <v>153</v>
      </c>
      <c r="CV358" s="109" t="s">
        <v>153</v>
      </c>
      <c r="CW358" s="110" t="s">
        <v>153</v>
      </c>
      <c r="CX358" s="111" t="s">
        <v>153</v>
      </c>
      <c r="CY358" s="112">
        <v>0.47</v>
      </c>
      <c r="CZ358" s="113">
        <v>94</v>
      </c>
      <c r="DA358" s="114" t="s">
        <v>153</v>
      </c>
      <c r="DB358" s="115" t="s">
        <v>153</v>
      </c>
      <c r="DC358" s="116">
        <v>25.75</v>
      </c>
      <c r="DD358" s="117">
        <v>97</v>
      </c>
      <c r="DE358" s="118">
        <v>0.19</v>
      </c>
      <c r="DF358" s="119">
        <v>0.73</v>
      </c>
      <c r="DG358" s="120">
        <v>25.75</v>
      </c>
      <c r="DH358" s="121">
        <v>97</v>
      </c>
      <c r="DI358" s="122" t="s">
        <v>153</v>
      </c>
      <c r="DJ358" s="123" t="s">
        <v>153</v>
      </c>
      <c r="DK358" s="124" t="s">
        <v>153</v>
      </c>
      <c r="DL358" s="125" t="s">
        <v>153</v>
      </c>
      <c r="DM358" s="126">
        <v>25.75</v>
      </c>
      <c r="DN358" s="127">
        <v>96</v>
      </c>
      <c r="DO358" s="128" t="s">
        <v>153</v>
      </c>
      <c r="DP358" s="129" t="s">
        <v>153</v>
      </c>
      <c r="DQ358" s="130" t="s">
        <v>153</v>
      </c>
      <c r="DR358" s="131" t="s">
        <v>153</v>
      </c>
      <c r="DS358" s="132" t="s">
        <v>153</v>
      </c>
      <c r="DT358" s="133">
        <v>410</v>
      </c>
      <c r="DU358" s="134">
        <v>4</v>
      </c>
      <c r="DV358" s="135">
        <v>0.99</v>
      </c>
      <c r="DW358" s="136" t="s">
        <v>153</v>
      </c>
      <c r="DX358" s="137" t="s">
        <v>153</v>
      </c>
      <c r="DY358" s="138" t="s">
        <v>153</v>
      </c>
      <c r="DZ358" s="139" t="s">
        <v>191</v>
      </c>
      <c r="EA358" s="140">
        <v>44223</v>
      </c>
      <c r="EB358" s="141">
        <v>11063.06</v>
      </c>
      <c r="EC358" s="142">
        <v>41913</v>
      </c>
      <c r="ED358" s="143" t="s">
        <v>226</v>
      </c>
      <c r="EE358" s="278" t="str">
        <f>HYPERLINK("https://my.pitchbook.com?c=115087-69", "View company online")</f>
        <v>View company online</v>
      </c>
    </row>
    <row r="359" spans="1:135" x14ac:dyDescent="0.45">
      <c r="A359" s="144" t="s">
        <v>7663</v>
      </c>
      <c r="B359" s="145" t="s">
        <v>7664</v>
      </c>
      <c r="C359" s="146" t="s">
        <v>153</v>
      </c>
      <c r="D359" s="147" t="s">
        <v>153</v>
      </c>
      <c r="E359" s="148" t="s">
        <v>153</v>
      </c>
      <c r="F359" s="149" t="s">
        <v>153</v>
      </c>
      <c r="G359" s="150" t="s">
        <v>153</v>
      </c>
      <c r="H359" s="151" t="s">
        <v>153</v>
      </c>
      <c r="I359" s="152" t="s">
        <v>7663</v>
      </c>
      <c r="J359" s="153" t="s">
        <v>7665</v>
      </c>
      <c r="K359" s="154" t="s">
        <v>882</v>
      </c>
      <c r="L359" s="155" t="s">
        <v>2888</v>
      </c>
      <c r="M359" s="156" t="s">
        <v>2889</v>
      </c>
      <c r="N359" s="157" t="s">
        <v>7666</v>
      </c>
      <c r="O359" s="158" t="s">
        <v>1234</v>
      </c>
      <c r="P359" s="159" t="s">
        <v>7667</v>
      </c>
      <c r="Q359" s="160" t="s">
        <v>204</v>
      </c>
      <c r="R359" s="161" t="s">
        <v>153</v>
      </c>
      <c r="S359" s="162" t="s">
        <v>153</v>
      </c>
      <c r="T359" s="163" t="s">
        <v>205</v>
      </c>
      <c r="U359" s="164" t="s">
        <v>206</v>
      </c>
      <c r="V359" s="165" t="s">
        <v>153</v>
      </c>
      <c r="W359" s="166" t="s">
        <v>153</v>
      </c>
      <c r="X359" s="167" t="s">
        <v>153</v>
      </c>
      <c r="Y359" s="168" t="s">
        <v>153</v>
      </c>
      <c r="Z359" s="169" t="s">
        <v>153</v>
      </c>
      <c r="AA359" s="170" t="s">
        <v>153</v>
      </c>
      <c r="AB359" s="171" t="s">
        <v>153</v>
      </c>
      <c r="AC359" s="172" t="s">
        <v>153</v>
      </c>
      <c r="AD359" s="173" t="s">
        <v>153</v>
      </c>
      <c r="AE359" s="174" t="s">
        <v>153</v>
      </c>
      <c r="AF359" s="175" t="s">
        <v>153</v>
      </c>
      <c r="AG359" s="176" t="s">
        <v>153</v>
      </c>
      <c r="AH359" s="177" t="s">
        <v>153</v>
      </c>
      <c r="AI359" s="178" t="s">
        <v>153</v>
      </c>
      <c r="AJ359" s="179" t="s">
        <v>153</v>
      </c>
      <c r="AK359" s="180" t="s">
        <v>153</v>
      </c>
      <c r="AL359" s="181" t="s">
        <v>153</v>
      </c>
      <c r="AM359" s="182" t="s">
        <v>153</v>
      </c>
      <c r="AN359" s="183" t="s">
        <v>153</v>
      </c>
      <c r="AO359" s="184" t="s">
        <v>153</v>
      </c>
      <c r="AP359" s="185" t="s">
        <v>153</v>
      </c>
      <c r="AQ359" s="186" t="s">
        <v>153</v>
      </c>
      <c r="AR359" s="187" t="s">
        <v>153</v>
      </c>
      <c r="AS359" s="188" t="s">
        <v>153</v>
      </c>
      <c r="AT359" s="189" t="s">
        <v>780</v>
      </c>
      <c r="AU359" s="190" t="s">
        <v>153</v>
      </c>
      <c r="AV359" s="191" t="s">
        <v>153</v>
      </c>
      <c r="AW359" s="192" t="s">
        <v>782</v>
      </c>
      <c r="AX359" s="193" t="s">
        <v>783</v>
      </c>
      <c r="AY359" s="194" t="s">
        <v>153</v>
      </c>
      <c r="AZ359" s="195" t="s">
        <v>215</v>
      </c>
      <c r="BA359" s="196" t="s">
        <v>153</v>
      </c>
      <c r="BB359" s="197" t="s">
        <v>153</v>
      </c>
      <c r="BC359" s="198" t="s">
        <v>153</v>
      </c>
      <c r="BD359" s="199" t="s">
        <v>216</v>
      </c>
      <c r="BE359" s="200" t="s">
        <v>217</v>
      </c>
      <c r="BF359" s="201" t="s">
        <v>7668</v>
      </c>
      <c r="BG359" s="202" t="s">
        <v>153</v>
      </c>
      <c r="BH359" s="203" t="s">
        <v>153</v>
      </c>
      <c r="BI359" s="204" t="s">
        <v>7669</v>
      </c>
      <c r="BJ359" s="205" t="s">
        <v>7670</v>
      </c>
      <c r="BK359" s="206" t="s">
        <v>153</v>
      </c>
      <c r="BL359" s="207" t="s">
        <v>153</v>
      </c>
      <c r="BM359" s="208" t="s">
        <v>7671</v>
      </c>
      <c r="BN359" s="209" t="s">
        <v>153</v>
      </c>
      <c r="BO359" s="210" t="s">
        <v>153</v>
      </c>
      <c r="BP359" s="211" t="s">
        <v>7672</v>
      </c>
      <c r="BQ359" s="212">
        <v>41887</v>
      </c>
      <c r="BR359" s="213">
        <v>11000</v>
      </c>
      <c r="BS359" s="214" t="s">
        <v>186</v>
      </c>
      <c r="BT359" s="215">
        <v>11000</v>
      </c>
      <c r="BU359" s="216" t="s">
        <v>186</v>
      </c>
      <c r="BV359" s="217" t="s">
        <v>1524</v>
      </c>
      <c r="BW359" s="218" t="s">
        <v>1525</v>
      </c>
      <c r="BX359" s="219" t="s">
        <v>1526</v>
      </c>
      <c r="BY359" s="220" t="s">
        <v>225</v>
      </c>
      <c r="BZ359" s="221" t="s">
        <v>153</v>
      </c>
      <c r="CA359" s="222" t="s">
        <v>190</v>
      </c>
      <c r="CB359" s="223">
        <v>41887</v>
      </c>
      <c r="CC359" s="224">
        <v>11000</v>
      </c>
      <c r="CD359" s="225" t="s">
        <v>186</v>
      </c>
      <c r="CE359" s="226">
        <v>11000</v>
      </c>
      <c r="CF359" s="227" t="s">
        <v>186</v>
      </c>
      <c r="CG359" s="228" t="s">
        <v>1524</v>
      </c>
      <c r="CH359" s="229" t="s">
        <v>1525</v>
      </c>
      <c r="CI359" s="230" t="s">
        <v>1526</v>
      </c>
      <c r="CJ359" s="231" t="s">
        <v>225</v>
      </c>
      <c r="CK359" s="232">
        <v>41887</v>
      </c>
      <c r="CL359" s="233" t="s">
        <v>153</v>
      </c>
      <c r="CM359" s="234" t="s">
        <v>153</v>
      </c>
      <c r="CN359" s="235" t="s">
        <v>190</v>
      </c>
      <c r="CO359" s="236" t="s">
        <v>153</v>
      </c>
      <c r="CP359" s="237" t="s">
        <v>153</v>
      </c>
      <c r="CQ359" s="238" t="s">
        <v>153</v>
      </c>
      <c r="CR359" s="239" t="s">
        <v>153</v>
      </c>
      <c r="CS359" s="240" t="s">
        <v>153</v>
      </c>
      <c r="CT359" s="241" t="s">
        <v>153</v>
      </c>
      <c r="CU359" s="242" t="s">
        <v>153</v>
      </c>
      <c r="CV359" s="243" t="s">
        <v>153</v>
      </c>
      <c r="CW359" s="244" t="s">
        <v>153</v>
      </c>
      <c r="CX359" s="245" t="s">
        <v>153</v>
      </c>
      <c r="CY359" s="246" t="s">
        <v>153</v>
      </c>
      <c r="CZ359" s="247" t="s">
        <v>153</v>
      </c>
      <c r="DA359" s="248" t="s">
        <v>153</v>
      </c>
      <c r="DB359" s="249" t="s">
        <v>153</v>
      </c>
      <c r="DC359" s="250" t="s">
        <v>153</v>
      </c>
      <c r="DD359" s="251" t="s">
        <v>153</v>
      </c>
      <c r="DE359" s="252" t="s">
        <v>153</v>
      </c>
      <c r="DF359" s="253" t="s">
        <v>153</v>
      </c>
      <c r="DG359" s="254" t="s">
        <v>153</v>
      </c>
      <c r="DH359" s="255" t="s">
        <v>153</v>
      </c>
      <c r="DI359" s="256" t="s">
        <v>153</v>
      </c>
      <c r="DJ359" s="257" t="s">
        <v>153</v>
      </c>
      <c r="DK359" s="258" t="s">
        <v>153</v>
      </c>
      <c r="DL359" s="259" t="s">
        <v>153</v>
      </c>
      <c r="DM359" s="260" t="s">
        <v>153</v>
      </c>
      <c r="DN359" s="261" t="s">
        <v>153</v>
      </c>
      <c r="DO359" s="262" t="s">
        <v>153</v>
      </c>
      <c r="DP359" s="263" t="s">
        <v>153</v>
      </c>
      <c r="DQ359" s="264" t="s">
        <v>153</v>
      </c>
      <c r="DR359" s="265" t="s">
        <v>153</v>
      </c>
      <c r="DS359" s="266" t="s">
        <v>153</v>
      </c>
      <c r="DT359" s="267" t="s">
        <v>153</v>
      </c>
      <c r="DU359" s="268" t="s">
        <v>153</v>
      </c>
      <c r="DV359" s="269" t="s">
        <v>153</v>
      </c>
      <c r="DW359" s="270" t="s">
        <v>153</v>
      </c>
      <c r="DX359" s="271" t="s">
        <v>153</v>
      </c>
      <c r="DY359" s="272" t="s">
        <v>153</v>
      </c>
      <c r="DZ359" s="273" t="s">
        <v>191</v>
      </c>
      <c r="EA359" s="274">
        <v>44377</v>
      </c>
      <c r="EB359" s="275">
        <v>11000</v>
      </c>
      <c r="EC359" s="276">
        <v>41887</v>
      </c>
      <c r="ED359" s="277" t="s">
        <v>1524</v>
      </c>
      <c r="EE359" s="279" t="str">
        <f>HYPERLINK("https://my.pitchbook.com?c=97165-09", "View company online")</f>
        <v>View company online</v>
      </c>
    </row>
    <row r="360" spans="1:135" x14ac:dyDescent="0.45">
      <c r="A360" s="10" t="s">
        <v>7673</v>
      </c>
      <c r="B360" s="11" t="s">
        <v>7674</v>
      </c>
      <c r="C360" s="12" t="s">
        <v>153</v>
      </c>
      <c r="D360" s="13" t="s">
        <v>153</v>
      </c>
      <c r="E360" s="14" t="s">
        <v>153</v>
      </c>
      <c r="F360" s="15" t="s">
        <v>7675</v>
      </c>
      <c r="G360" s="16" t="s">
        <v>7676</v>
      </c>
      <c r="H360" s="17" t="s">
        <v>7677</v>
      </c>
      <c r="I360" s="18" t="s">
        <v>7673</v>
      </c>
      <c r="J360" s="19" t="s">
        <v>7678</v>
      </c>
      <c r="K360" s="20" t="s">
        <v>232</v>
      </c>
      <c r="L360" s="21" t="s">
        <v>1016</v>
      </c>
      <c r="M360" s="22" t="s">
        <v>1639</v>
      </c>
      <c r="N360" s="23" t="s">
        <v>5728</v>
      </c>
      <c r="O360" s="24" t="s">
        <v>153</v>
      </c>
      <c r="P360" s="25" t="s">
        <v>7679</v>
      </c>
      <c r="Q360" s="26" t="s">
        <v>204</v>
      </c>
      <c r="R360" s="27" t="s">
        <v>153</v>
      </c>
      <c r="S360" s="28" t="s">
        <v>290</v>
      </c>
      <c r="T360" s="29" t="s">
        <v>164</v>
      </c>
      <c r="U360" s="30" t="s">
        <v>292</v>
      </c>
      <c r="V360" s="31" t="s">
        <v>7680</v>
      </c>
      <c r="W360" s="32">
        <v>2993</v>
      </c>
      <c r="X360" s="33" t="s">
        <v>7681</v>
      </c>
      <c r="Y360" s="34" t="s">
        <v>153</v>
      </c>
      <c r="Z360" s="35" t="s">
        <v>153</v>
      </c>
      <c r="AA360" s="36">
        <v>1816</v>
      </c>
      <c r="AB360" s="37" t="s">
        <v>7328</v>
      </c>
      <c r="AC360" s="38" t="s">
        <v>7682</v>
      </c>
      <c r="AD360" s="39" t="s">
        <v>7683</v>
      </c>
      <c r="AE360" s="40" t="s">
        <v>153</v>
      </c>
      <c r="AF360" s="41" t="s">
        <v>153</v>
      </c>
      <c r="AG360" s="42" t="s">
        <v>153</v>
      </c>
      <c r="AH360" s="43" t="s">
        <v>153</v>
      </c>
      <c r="AI360" s="44" t="s">
        <v>153</v>
      </c>
      <c r="AJ360" s="45" t="s">
        <v>153</v>
      </c>
      <c r="AK360" s="46" t="s">
        <v>153</v>
      </c>
      <c r="AL360" s="47" t="s">
        <v>153</v>
      </c>
      <c r="AM360" s="48" t="s">
        <v>153</v>
      </c>
      <c r="AN360" s="49" t="s">
        <v>5087</v>
      </c>
      <c r="AO360" s="50" t="s">
        <v>7684</v>
      </c>
      <c r="AP360" s="51" t="s">
        <v>7685</v>
      </c>
      <c r="AQ360" s="52" t="s">
        <v>968</v>
      </c>
      <c r="AR360" s="53" t="s">
        <v>7686</v>
      </c>
      <c r="AS360" s="54" t="s">
        <v>7687</v>
      </c>
      <c r="AT360" s="55" t="s">
        <v>433</v>
      </c>
      <c r="AU360" s="56" t="s">
        <v>7688</v>
      </c>
      <c r="AV360" s="57" t="s">
        <v>153</v>
      </c>
      <c r="AW360" s="58" t="s">
        <v>436</v>
      </c>
      <c r="AX360" s="59" t="s">
        <v>436</v>
      </c>
      <c r="AY360" s="60" t="s">
        <v>7689</v>
      </c>
      <c r="AZ360" s="61" t="s">
        <v>215</v>
      </c>
      <c r="BA360" s="62" t="s">
        <v>7687</v>
      </c>
      <c r="BB360" s="63" t="s">
        <v>153</v>
      </c>
      <c r="BC360" s="64" t="s">
        <v>7690</v>
      </c>
      <c r="BD360" s="65" t="s">
        <v>216</v>
      </c>
      <c r="BE360" s="66" t="s">
        <v>217</v>
      </c>
      <c r="BF360" s="67" t="s">
        <v>7691</v>
      </c>
      <c r="BG360" s="68" t="s">
        <v>7692</v>
      </c>
      <c r="BH360" s="69">
        <v>1</v>
      </c>
      <c r="BI360" s="70" t="s">
        <v>7328</v>
      </c>
      <c r="BJ360" s="71" t="s">
        <v>7693</v>
      </c>
      <c r="BK360" s="72" t="s">
        <v>7694</v>
      </c>
      <c r="BL360" s="73" t="s">
        <v>7695</v>
      </c>
      <c r="BM360" s="74" t="s">
        <v>7696</v>
      </c>
      <c r="BN360" s="75" t="s">
        <v>7697</v>
      </c>
      <c r="BO360" s="76" t="s">
        <v>7698</v>
      </c>
      <c r="BP360" s="77" t="s">
        <v>7699</v>
      </c>
      <c r="BQ360" s="78">
        <v>38783</v>
      </c>
      <c r="BR360" s="79" t="s">
        <v>153</v>
      </c>
      <c r="BS360" s="80" t="s">
        <v>153</v>
      </c>
      <c r="BT360" s="81" t="s">
        <v>153</v>
      </c>
      <c r="BU360" s="82" t="s">
        <v>153</v>
      </c>
      <c r="BV360" s="83" t="s">
        <v>748</v>
      </c>
      <c r="BW360" s="84" t="s">
        <v>153</v>
      </c>
      <c r="BX360" s="85" t="s">
        <v>153</v>
      </c>
      <c r="BY360" s="86" t="s">
        <v>225</v>
      </c>
      <c r="BZ360" s="87" t="s">
        <v>153</v>
      </c>
      <c r="CA360" s="88" t="s">
        <v>190</v>
      </c>
      <c r="CB360" s="89">
        <v>41590</v>
      </c>
      <c r="CC360" s="90">
        <v>11000</v>
      </c>
      <c r="CD360" s="91" t="s">
        <v>186</v>
      </c>
      <c r="CE360" s="92">
        <v>11000</v>
      </c>
      <c r="CF360" s="93" t="s">
        <v>187</v>
      </c>
      <c r="CG360" s="94" t="s">
        <v>226</v>
      </c>
      <c r="CH360" s="95" t="s">
        <v>153</v>
      </c>
      <c r="CI360" s="96" t="s">
        <v>153</v>
      </c>
      <c r="CJ360" s="97" t="s">
        <v>225</v>
      </c>
      <c r="CK360" s="98">
        <v>41590</v>
      </c>
      <c r="CL360" s="99" t="s">
        <v>153</v>
      </c>
      <c r="CM360" s="100" t="s">
        <v>153</v>
      </c>
      <c r="CN360" s="101" t="s">
        <v>190</v>
      </c>
      <c r="CO360" s="102">
        <v>-0.1</v>
      </c>
      <c r="CP360" s="103">
        <v>8</v>
      </c>
      <c r="CQ360" s="104">
        <v>-0.02</v>
      </c>
      <c r="CR360" s="105">
        <v>-19.670000000000002</v>
      </c>
      <c r="CS360" s="106">
        <v>-0.25</v>
      </c>
      <c r="CT360" s="107">
        <v>6</v>
      </c>
      <c r="CU360" s="108">
        <v>-0.05</v>
      </c>
      <c r="CV360" s="109">
        <v>32</v>
      </c>
      <c r="CW360" s="110">
        <v>-0.61</v>
      </c>
      <c r="CX360" s="111">
        <v>18</v>
      </c>
      <c r="CY360" s="112">
        <v>0.11</v>
      </c>
      <c r="CZ360" s="113">
        <v>91</v>
      </c>
      <c r="DA360" s="114">
        <v>-0.05</v>
      </c>
      <c r="DB360" s="115">
        <v>32</v>
      </c>
      <c r="DC360" s="116">
        <v>2103.6999999999998</v>
      </c>
      <c r="DD360" s="117">
        <v>100</v>
      </c>
      <c r="DE360" s="118">
        <v>11.3</v>
      </c>
      <c r="DF360" s="119">
        <v>0.54</v>
      </c>
      <c r="DG360" s="120">
        <v>1134.69</v>
      </c>
      <c r="DH360" s="121">
        <v>100</v>
      </c>
      <c r="DI360" s="122">
        <v>5175.8500000000004</v>
      </c>
      <c r="DJ360" s="123">
        <v>100</v>
      </c>
      <c r="DK360" s="124">
        <v>642.88</v>
      </c>
      <c r="DL360" s="125">
        <v>100</v>
      </c>
      <c r="DM360" s="126">
        <v>1626.5</v>
      </c>
      <c r="DN360" s="127">
        <v>100</v>
      </c>
      <c r="DO360" s="128">
        <v>5175.8500000000004</v>
      </c>
      <c r="DP360" s="129">
        <v>100</v>
      </c>
      <c r="DQ360" s="130">
        <v>381335</v>
      </c>
      <c r="DR360" s="131">
        <v>-386</v>
      </c>
      <c r="DS360" s="132">
        <v>-0.1</v>
      </c>
      <c r="DT360" s="133">
        <v>26008</v>
      </c>
      <c r="DU360" s="134">
        <v>41</v>
      </c>
      <c r="DV360" s="135">
        <v>0.16</v>
      </c>
      <c r="DW360" s="136">
        <v>1625125</v>
      </c>
      <c r="DX360" s="137">
        <v>381</v>
      </c>
      <c r="DY360" s="138">
        <v>0.02</v>
      </c>
      <c r="DZ360" s="139" t="s">
        <v>191</v>
      </c>
      <c r="EA360" s="140">
        <v>44301</v>
      </c>
      <c r="EB360" s="141">
        <v>11000</v>
      </c>
      <c r="EC360" s="142">
        <v>41590</v>
      </c>
      <c r="ED360" s="143" t="s">
        <v>226</v>
      </c>
      <c r="EE360" s="278" t="str">
        <f>HYPERLINK("https://my.pitchbook.com?c=13372-39", "View company online")</f>
        <v>View company online</v>
      </c>
    </row>
    <row r="361" spans="1:135" x14ac:dyDescent="0.45">
      <c r="A361" s="144" t="s">
        <v>7700</v>
      </c>
      <c r="B361" s="145" t="s">
        <v>7701</v>
      </c>
      <c r="C361" s="146" t="s">
        <v>153</v>
      </c>
      <c r="D361" s="147" t="s">
        <v>153</v>
      </c>
      <c r="E361" s="148" t="s">
        <v>153</v>
      </c>
      <c r="F361" s="149" t="s">
        <v>153</v>
      </c>
      <c r="G361" s="150" t="s">
        <v>7702</v>
      </c>
      <c r="H361" s="151" t="s">
        <v>153</v>
      </c>
      <c r="I361" s="152" t="s">
        <v>7700</v>
      </c>
      <c r="J361" s="153" t="s">
        <v>7703</v>
      </c>
      <c r="K361" s="154" t="s">
        <v>882</v>
      </c>
      <c r="L361" s="155" t="s">
        <v>883</v>
      </c>
      <c r="M361" s="156" t="s">
        <v>7704</v>
      </c>
      <c r="N361" s="157" t="s">
        <v>7705</v>
      </c>
      <c r="O361" s="158" t="s">
        <v>365</v>
      </c>
      <c r="P361" s="159" t="s">
        <v>7706</v>
      </c>
      <c r="Q361" s="160" t="s">
        <v>204</v>
      </c>
      <c r="R361" s="161" t="s">
        <v>153</v>
      </c>
      <c r="S361" s="162" t="s">
        <v>163</v>
      </c>
      <c r="T361" s="163" t="s">
        <v>205</v>
      </c>
      <c r="U361" s="164" t="s">
        <v>2534</v>
      </c>
      <c r="V361" s="165" t="s">
        <v>153</v>
      </c>
      <c r="W361" s="166">
        <v>59000</v>
      </c>
      <c r="X361" s="167" t="s">
        <v>7707</v>
      </c>
      <c r="Y361" s="168" t="s">
        <v>153</v>
      </c>
      <c r="Z361" s="169" t="s">
        <v>153</v>
      </c>
      <c r="AA361" s="170">
        <v>1977</v>
      </c>
      <c r="AB361" s="171" t="s">
        <v>153</v>
      </c>
      <c r="AC361" s="172" t="s">
        <v>153</v>
      </c>
      <c r="AD361" s="173" t="s">
        <v>153</v>
      </c>
      <c r="AE361" s="174" t="s">
        <v>153</v>
      </c>
      <c r="AF361" s="175" t="s">
        <v>153</v>
      </c>
      <c r="AG361" s="176" t="s">
        <v>153</v>
      </c>
      <c r="AH361" s="177" t="s">
        <v>153</v>
      </c>
      <c r="AI361" s="178" t="s">
        <v>153</v>
      </c>
      <c r="AJ361" s="179" t="s">
        <v>153</v>
      </c>
      <c r="AK361" s="180" t="s">
        <v>153</v>
      </c>
      <c r="AL361" s="181" t="s">
        <v>153</v>
      </c>
      <c r="AM361" s="182" t="s">
        <v>153</v>
      </c>
      <c r="AN361" s="183" t="s">
        <v>1352</v>
      </c>
      <c r="AO361" s="184" t="s">
        <v>7708</v>
      </c>
      <c r="AP361" s="185" t="s">
        <v>7709</v>
      </c>
      <c r="AQ361" s="186" t="s">
        <v>171</v>
      </c>
      <c r="AR361" s="187" t="s">
        <v>153</v>
      </c>
      <c r="AS361" s="188" t="s">
        <v>153</v>
      </c>
      <c r="AT361" s="189" t="s">
        <v>4882</v>
      </c>
      <c r="AU361" s="190" t="s">
        <v>7710</v>
      </c>
      <c r="AV361" s="191" t="s">
        <v>153</v>
      </c>
      <c r="AW361" s="192" t="s">
        <v>4884</v>
      </c>
      <c r="AX361" s="193" t="s">
        <v>308</v>
      </c>
      <c r="AY361" s="194" t="s">
        <v>4885</v>
      </c>
      <c r="AZ361" s="195" t="s">
        <v>215</v>
      </c>
      <c r="BA361" s="196" t="s">
        <v>153</v>
      </c>
      <c r="BB361" s="197" t="s">
        <v>153</v>
      </c>
      <c r="BC361" s="198" t="s">
        <v>153</v>
      </c>
      <c r="BD361" s="199" t="s">
        <v>216</v>
      </c>
      <c r="BE361" s="200" t="s">
        <v>217</v>
      </c>
      <c r="BF361" s="201" t="s">
        <v>7711</v>
      </c>
      <c r="BG361" s="202" t="s">
        <v>7712</v>
      </c>
      <c r="BH361" s="203">
        <v>1</v>
      </c>
      <c r="BI361" s="204" t="s">
        <v>7713</v>
      </c>
      <c r="BJ361" s="205" t="s">
        <v>153</v>
      </c>
      <c r="BK361" s="206" t="s">
        <v>153</v>
      </c>
      <c r="BL361" s="207" t="s">
        <v>7714</v>
      </c>
      <c r="BM361" s="208" t="s">
        <v>153</v>
      </c>
      <c r="BN361" s="209" t="s">
        <v>153</v>
      </c>
      <c r="BO361" s="210" t="s">
        <v>153</v>
      </c>
      <c r="BP361" s="211" t="s">
        <v>7715</v>
      </c>
      <c r="BQ361" s="212">
        <v>32827</v>
      </c>
      <c r="BR361" s="213" t="s">
        <v>153</v>
      </c>
      <c r="BS361" s="214" t="s">
        <v>153</v>
      </c>
      <c r="BT361" s="215" t="s">
        <v>153</v>
      </c>
      <c r="BU361" s="216" t="s">
        <v>153</v>
      </c>
      <c r="BV361" s="217" t="s">
        <v>251</v>
      </c>
      <c r="BW361" s="218" t="s">
        <v>153</v>
      </c>
      <c r="BX361" s="219" t="s">
        <v>153</v>
      </c>
      <c r="BY361" s="220" t="s">
        <v>252</v>
      </c>
      <c r="BZ361" s="221" t="s">
        <v>153</v>
      </c>
      <c r="CA361" s="222" t="s">
        <v>190</v>
      </c>
      <c r="CB361" s="223">
        <v>39356</v>
      </c>
      <c r="CC361" s="224">
        <v>11000</v>
      </c>
      <c r="CD361" s="225" t="s">
        <v>186</v>
      </c>
      <c r="CE361" s="226">
        <v>11000</v>
      </c>
      <c r="CF361" s="227" t="s">
        <v>187</v>
      </c>
      <c r="CG361" s="228" t="s">
        <v>226</v>
      </c>
      <c r="CH361" s="229" t="s">
        <v>153</v>
      </c>
      <c r="CI361" s="230" t="s">
        <v>153</v>
      </c>
      <c r="CJ361" s="231" t="s">
        <v>225</v>
      </c>
      <c r="CK361" s="232">
        <v>39356</v>
      </c>
      <c r="CL361" s="233" t="s">
        <v>153</v>
      </c>
      <c r="CM361" s="234" t="s">
        <v>153</v>
      </c>
      <c r="CN361" s="235" t="s">
        <v>190</v>
      </c>
      <c r="CO361" s="236" t="s">
        <v>153</v>
      </c>
      <c r="CP361" s="237" t="s">
        <v>153</v>
      </c>
      <c r="CQ361" s="238" t="s">
        <v>153</v>
      </c>
      <c r="CR361" s="239" t="s">
        <v>153</v>
      </c>
      <c r="CS361" s="240" t="s">
        <v>153</v>
      </c>
      <c r="CT361" s="241" t="s">
        <v>153</v>
      </c>
      <c r="CU361" s="242" t="s">
        <v>153</v>
      </c>
      <c r="CV361" s="243" t="s">
        <v>153</v>
      </c>
      <c r="CW361" s="244" t="s">
        <v>153</v>
      </c>
      <c r="CX361" s="245" t="s">
        <v>153</v>
      </c>
      <c r="CY361" s="246" t="s">
        <v>153</v>
      </c>
      <c r="CZ361" s="247" t="s">
        <v>153</v>
      </c>
      <c r="DA361" s="248" t="s">
        <v>153</v>
      </c>
      <c r="DB361" s="249" t="s">
        <v>153</v>
      </c>
      <c r="DC361" s="250" t="s">
        <v>153</v>
      </c>
      <c r="DD361" s="251" t="s">
        <v>153</v>
      </c>
      <c r="DE361" s="252" t="s">
        <v>153</v>
      </c>
      <c r="DF361" s="253" t="s">
        <v>153</v>
      </c>
      <c r="DG361" s="254" t="s">
        <v>153</v>
      </c>
      <c r="DH361" s="255" t="s">
        <v>153</v>
      </c>
      <c r="DI361" s="256" t="s">
        <v>153</v>
      </c>
      <c r="DJ361" s="257" t="s">
        <v>153</v>
      </c>
      <c r="DK361" s="258" t="s">
        <v>153</v>
      </c>
      <c r="DL361" s="259" t="s">
        <v>153</v>
      </c>
      <c r="DM361" s="260" t="s">
        <v>153</v>
      </c>
      <c r="DN361" s="261" t="s">
        <v>153</v>
      </c>
      <c r="DO361" s="262" t="s">
        <v>153</v>
      </c>
      <c r="DP361" s="263" t="s">
        <v>153</v>
      </c>
      <c r="DQ361" s="264" t="s">
        <v>153</v>
      </c>
      <c r="DR361" s="265" t="s">
        <v>153</v>
      </c>
      <c r="DS361" s="266" t="s">
        <v>153</v>
      </c>
      <c r="DT361" s="267" t="s">
        <v>153</v>
      </c>
      <c r="DU361" s="268" t="s">
        <v>153</v>
      </c>
      <c r="DV361" s="269" t="s">
        <v>153</v>
      </c>
      <c r="DW361" s="270" t="s">
        <v>153</v>
      </c>
      <c r="DX361" s="271" t="s">
        <v>153</v>
      </c>
      <c r="DY361" s="272" t="s">
        <v>153</v>
      </c>
      <c r="DZ361" s="273" t="s">
        <v>191</v>
      </c>
      <c r="EA361" s="274">
        <v>44368</v>
      </c>
      <c r="EB361" s="275">
        <v>11000</v>
      </c>
      <c r="EC361" s="276">
        <v>39356</v>
      </c>
      <c r="ED361" s="277" t="s">
        <v>226</v>
      </c>
      <c r="EE361" s="279" t="str">
        <f>HYPERLINK("https://my.pitchbook.com?c=12049-84", "View company online")</f>
        <v>View company online</v>
      </c>
    </row>
    <row r="362" spans="1:135" x14ac:dyDescent="0.45">
      <c r="A362" s="10" t="s">
        <v>7716</v>
      </c>
      <c r="B362" s="11" t="s">
        <v>7717</v>
      </c>
      <c r="C362" s="12" t="s">
        <v>153</v>
      </c>
      <c r="D362" s="13" t="s">
        <v>153</v>
      </c>
      <c r="E362" s="14" t="s">
        <v>153</v>
      </c>
      <c r="F362" s="15" t="s">
        <v>153</v>
      </c>
      <c r="G362" s="16" t="s">
        <v>7718</v>
      </c>
      <c r="H362" s="17" t="s">
        <v>153</v>
      </c>
      <c r="I362" s="18" t="s">
        <v>7716</v>
      </c>
      <c r="J362" s="19" t="s">
        <v>7719</v>
      </c>
      <c r="K362" s="20" t="s">
        <v>232</v>
      </c>
      <c r="L362" s="21" t="s">
        <v>362</v>
      </c>
      <c r="M362" s="22" t="s">
        <v>363</v>
      </c>
      <c r="N362" s="23" t="s">
        <v>7720</v>
      </c>
      <c r="O362" s="24" t="s">
        <v>153</v>
      </c>
      <c r="P362" s="25" t="s">
        <v>7721</v>
      </c>
      <c r="Q362" s="26" t="s">
        <v>204</v>
      </c>
      <c r="R362" s="27">
        <v>2600</v>
      </c>
      <c r="S362" s="28" t="s">
        <v>290</v>
      </c>
      <c r="T362" s="29" t="s">
        <v>205</v>
      </c>
      <c r="U362" s="30" t="s">
        <v>237</v>
      </c>
      <c r="V362" s="31" t="s">
        <v>7722</v>
      </c>
      <c r="W362" s="32">
        <v>132000</v>
      </c>
      <c r="X362" s="33" t="s">
        <v>7723</v>
      </c>
      <c r="Y362" s="34" t="s">
        <v>153</v>
      </c>
      <c r="Z362" s="35" t="s">
        <v>153</v>
      </c>
      <c r="AA362" s="36">
        <v>1877</v>
      </c>
      <c r="AB362" s="37" t="s">
        <v>153</v>
      </c>
      <c r="AC362" s="38" t="s">
        <v>153</v>
      </c>
      <c r="AD362" s="39" t="s">
        <v>153</v>
      </c>
      <c r="AE362" s="40" t="s">
        <v>153</v>
      </c>
      <c r="AF362" s="41" t="s">
        <v>153</v>
      </c>
      <c r="AG362" s="42" t="s">
        <v>153</v>
      </c>
      <c r="AH362" s="43" t="s">
        <v>153</v>
      </c>
      <c r="AI362" s="44" t="s">
        <v>153</v>
      </c>
      <c r="AJ362" s="45" t="s">
        <v>153</v>
      </c>
      <c r="AK362" s="46" t="s">
        <v>153</v>
      </c>
      <c r="AL362" s="47" t="s">
        <v>153</v>
      </c>
      <c r="AM362" s="48" t="s">
        <v>153</v>
      </c>
      <c r="AN362" s="49" t="s">
        <v>2458</v>
      </c>
      <c r="AO362" s="50" t="s">
        <v>7724</v>
      </c>
      <c r="AP362" s="51" t="s">
        <v>7725</v>
      </c>
      <c r="AQ362" s="52" t="s">
        <v>269</v>
      </c>
      <c r="AR362" s="53" t="s">
        <v>153</v>
      </c>
      <c r="AS362" s="54" t="s">
        <v>7726</v>
      </c>
      <c r="AT362" s="55" t="s">
        <v>649</v>
      </c>
      <c r="AU362" s="56" t="s">
        <v>7727</v>
      </c>
      <c r="AV362" s="57" t="s">
        <v>153</v>
      </c>
      <c r="AW362" s="58" t="s">
        <v>651</v>
      </c>
      <c r="AX362" s="59" t="s">
        <v>652</v>
      </c>
      <c r="AY362" s="60" t="s">
        <v>7728</v>
      </c>
      <c r="AZ362" s="61" t="s">
        <v>215</v>
      </c>
      <c r="BA362" s="62" t="s">
        <v>7726</v>
      </c>
      <c r="BB362" s="63" t="s">
        <v>153</v>
      </c>
      <c r="BC362" s="64" t="s">
        <v>153</v>
      </c>
      <c r="BD362" s="65" t="s">
        <v>216</v>
      </c>
      <c r="BE362" s="66" t="s">
        <v>217</v>
      </c>
      <c r="BF362" s="67" t="s">
        <v>7729</v>
      </c>
      <c r="BG362" s="68" t="s">
        <v>153</v>
      </c>
      <c r="BH362" s="69" t="s">
        <v>153</v>
      </c>
      <c r="BI362" s="70" t="s">
        <v>7730</v>
      </c>
      <c r="BJ362" s="71" t="s">
        <v>153</v>
      </c>
      <c r="BK362" s="72" t="s">
        <v>153</v>
      </c>
      <c r="BL362" s="73" t="s">
        <v>153</v>
      </c>
      <c r="BM362" s="74" t="s">
        <v>153</v>
      </c>
      <c r="BN362" s="75" t="s">
        <v>153</v>
      </c>
      <c r="BO362" s="76" t="s">
        <v>153</v>
      </c>
      <c r="BP362" s="77" t="s">
        <v>7731</v>
      </c>
      <c r="BQ362" s="78">
        <v>4019</v>
      </c>
      <c r="BR362" s="79" t="s">
        <v>153</v>
      </c>
      <c r="BS362" s="80" t="s">
        <v>153</v>
      </c>
      <c r="BT362" s="81" t="s">
        <v>153</v>
      </c>
      <c r="BU362" s="82" t="s">
        <v>153</v>
      </c>
      <c r="BV362" s="83" t="s">
        <v>251</v>
      </c>
      <c r="BW362" s="84" t="s">
        <v>153</v>
      </c>
      <c r="BX362" s="85" t="s">
        <v>153</v>
      </c>
      <c r="BY362" s="86" t="s">
        <v>252</v>
      </c>
      <c r="BZ362" s="87" t="s">
        <v>153</v>
      </c>
      <c r="CA362" s="88" t="s">
        <v>190</v>
      </c>
      <c r="CB362" s="89">
        <v>38594</v>
      </c>
      <c r="CC362" s="90">
        <v>11000</v>
      </c>
      <c r="CD362" s="91" t="s">
        <v>186</v>
      </c>
      <c r="CE362" s="92">
        <v>11000</v>
      </c>
      <c r="CF362" s="93" t="s">
        <v>186</v>
      </c>
      <c r="CG362" s="94" t="s">
        <v>226</v>
      </c>
      <c r="CH362" s="95" t="s">
        <v>153</v>
      </c>
      <c r="CI362" s="96" t="s">
        <v>153</v>
      </c>
      <c r="CJ362" s="97" t="s">
        <v>225</v>
      </c>
      <c r="CK362" s="98">
        <v>38594</v>
      </c>
      <c r="CL362" s="99" t="s">
        <v>153</v>
      </c>
      <c r="CM362" s="100" t="s">
        <v>153</v>
      </c>
      <c r="CN362" s="101" t="s">
        <v>190</v>
      </c>
      <c r="CO362" s="102" t="s">
        <v>153</v>
      </c>
      <c r="CP362" s="103" t="s">
        <v>153</v>
      </c>
      <c r="CQ362" s="104" t="s">
        <v>153</v>
      </c>
      <c r="CR362" s="105" t="s">
        <v>153</v>
      </c>
      <c r="CS362" s="106" t="s">
        <v>153</v>
      </c>
      <c r="CT362" s="107" t="s">
        <v>153</v>
      </c>
      <c r="CU362" s="108" t="s">
        <v>153</v>
      </c>
      <c r="CV362" s="109" t="s">
        <v>153</v>
      </c>
      <c r="CW362" s="110" t="s">
        <v>153</v>
      </c>
      <c r="CX362" s="111" t="s">
        <v>153</v>
      </c>
      <c r="CY362" s="112" t="s">
        <v>153</v>
      </c>
      <c r="CZ362" s="113" t="s">
        <v>153</v>
      </c>
      <c r="DA362" s="114" t="s">
        <v>153</v>
      </c>
      <c r="DB362" s="115" t="s">
        <v>153</v>
      </c>
      <c r="DC362" s="116" t="s">
        <v>153</v>
      </c>
      <c r="DD362" s="117" t="s">
        <v>153</v>
      </c>
      <c r="DE362" s="118" t="s">
        <v>153</v>
      </c>
      <c r="DF362" s="119" t="s">
        <v>153</v>
      </c>
      <c r="DG362" s="120" t="s">
        <v>153</v>
      </c>
      <c r="DH362" s="121" t="s">
        <v>153</v>
      </c>
      <c r="DI362" s="122" t="s">
        <v>153</v>
      </c>
      <c r="DJ362" s="123" t="s">
        <v>153</v>
      </c>
      <c r="DK362" s="124" t="s">
        <v>153</v>
      </c>
      <c r="DL362" s="125" t="s">
        <v>153</v>
      </c>
      <c r="DM362" s="126" t="s">
        <v>153</v>
      </c>
      <c r="DN362" s="127" t="s">
        <v>153</v>
      </c>
      <c r="DO362" s="128" t="s">
        <v>153</v>
      </c>
      <c r="DP362" s="129" t="s">
        <v>153</v>
      </c>
      <c r="DQ362" s="130" t="s">
        <v>153</v>
      </c>
      <c r="DR362" s="131" t="s">
        <v>153</v>
      </c>
      <c r="DS362" s="132" t="s">
        <v>153</v>
      </c>
      <c r="DT362" s="133" t="s">
        <v>153</v>
      </c>
      <c r="DU362" s="134" t="s">
        <v>153</v>
      </c>
      <c r="DV362" s="135" t="s">
        <v>153</v>
      </c>
      <c r="DW362" s="136" t="s">
        <v>153</v>
      </c>
      <c r="DX362" s="137" t="s">
        <v>153</v>
      </c>
      <c r="DY362" s="138" t="s">
        <v>153</v>
      </c>
      <c r="DZ362" s="139" t="s">
        <v>191</v>
      </c>
      <c r="EA362" s="140">
        <v>44322</v>
      </c>
      <c r="EB362" s="141">
        <v>11000</v>
      </c>
      <c r="EC362" s="142">
        <v>38594</v>
      </c>
      <c r="ED362" s="143" t="s">
        <v>226</v>
      </c>
      <c r="EE362" s="278" t="str">
        <f>HYPERLINK("https://my.pitchbook.com?c=41027-59", "View company online")</f>
        <v>View company online</v>
      </c>
    </row>
    <row r="363" spans="1:135" x14ac:dyDescent="0.45">
      <c r="A363" s="144" t="s">
        <v>7732</v>
      </c>
      <c r="B363" s="145" t="s">
        <v>7733</v>
      </c>
      <c r="C363" s="146" t="s">
        <v>153</v>
      </c>
      <c r="D363" s="147" t="s">
        <v>153</v>
      </c>
      <c r="E363" s="148" t="s">
        <v>7734</v>
      </c>
      <c r="F363" s="149" t="s">
        <v>7735</v>
      </c>
      <c r="G363" s="150" t="s">
        <v>7736</v>
      </c>
      <c r="H363" s="151" t="s">
        <v>7737</v>
      </c>
      <c r="I363" s="152" t="s">
        <v>7732</v>
      </c>
      <c r="J363" s="153" t="s">
        <v>7738</v>
      </c>
      <c r="K363" s="154" t="s">
        <v>157</v>
      </c>
      <c r="L363" s="155" t="s">
        <v>1667</v>
      </c>
      <c r="M363" s="156" t="s">
        <v>1997</v>
      </c>
      <c r="N363" s="157" t="s">
        <v>7739</v>
      </c>
      <c r="O363" s="158" t="s">
        <v>1234</v>
      </c>
      <c r="P363" s="159" t="s">
        <v>7740</v>
      </c>
      <c r="Q363" s="160" t="s">
        <v>204</v>
      </c>
      <c r="R363" s="161">
        <v>0.97</v>
      </c>
      <c r="S363" s="162" t="s">
        <v>290</v>
      </c>
      <c r="T363" s="163" t="s">
        <v>205</v>
      </c>
      <c r="U363" s="164" t="s">
        <v>2534</v>
      </c>
      <c r="V363" s="165" t="s">
        <v>7741</v>
      </c>
      <c r="W363" s="166">
        <v>37400</v>
      </c>
      <c r="X363" s="167" t="s">
        <v>7742</v>
      </c>
      <c r="Y363" s="168" t="s">
        <v>153</v>
      </c>
      <c r="Z363" s="169" t="s">
        <v>153</v>
      </c>
      <c r="AA363" s="170">
        <v>1939</v>
      </c>
      <c r="AB363" s="171" t="s">
        <v>153</v>
      </c>
      <c r="AC363" s="172" t="s">
        <v>153</v>
      </c>
      <c r="AD363" s="173" t="s">
        <v>153</v>
      </c>
      <c r="AE363" s="174" t="s">
        <v>153</v>
      </c>
      <c r="AF363" s="175" t="s">
        <v>153</v>
      </c>
      <c r="AG363" s="176" t="s">
        <v>153</v>
      </c>
      <c r="AH363" s="177" t="s">
        <v>153</v>
      </c>
      <c r="AI363" s="178" t="s">
        <v>153</v>
      </c>
      <c r="AJ363" s="179" t="s">
        <v>153</v>
      </c>
      <c r="AK363" s="180" t="s">
        <v>153</v>
      </c>
      <c r="AL363" s="181" t="s">
        <v>153</v>
      </c>
      <c r="AM363" s="182" t="s">
        <v>153</v>
      </c>
      <c r="AN363" s="183" t="s">
        <v>209</v>
      </c>
      <c r="AO363" s="184" t="s">
        <v>153</v>
      </c>
      <c r="AP363" s="185" t="s">
        <v>153</v>
      </c>
      <c r="AQ363" s="186" t="s">
        <v>153</v>
      </c>
      <c r="AR363" s="187" t="s">
        <v>153</v>
      </c>
      <c r="AS363" s="188" t="s">
        <v>153</v>
      </c>
      <c r="AT363" s="189" t="s">
        <v>2479</v>
      </c>
      <c r="AU363" s="190" t="s">
        <v>7743</v>
      </c>
      <c r="AV363" s="191" t="s">
        <v>153</v>
      </c>
      <c r="AW363" s="192" t="s">
        <v>2481</v>
      </c>
      <c r="AX363" s="193" t="s">
        <v>2482</v>
      </c>
      <c r="AY363" s="194" t="s">
        <v>7744</v>
      </c>
      <c r="AZ363" s="195" t="s">
        <v>215</v>
      </c>
      <c r="BA363" s="196" t="s">
        <v>153</v>
      </c>
      <c r="BB363" s="197" t="s">
        <v>153</v>
      </c>
      <c r="BC363" s="198" t="s">
        <v>153</v>
      </c>
      <c r="BD363" s="199" t="s">
        <v>216</v>
      </c>
      <c r="BE363" s="200" t="s">
        <v>217</v>
      </c>
      <c r="BF363" s="201" t="s">
        <v>7745</v>
      </c>
      <c r="BG363" s="202" t="s">
        <v>153</v>
      </c>
      <c r="BH363" s="203" t="s">
        <v>153</v>
      </c>
      <c r="BI363" s="204" t="s">
        <v>7746</v>
      </c>
      <c r="BJ363" s="205" t="s">
        <v>7747</v>
      </c>
      <c r="BK363" s="206" t="s">
        <v>153</v>
      </c>
      <c r="BL363" s="207" t="s">
        <v>153</v>
      </c>
      <c r="BM363" s="208" t="s">
        <v>7748</v>
      </c>
      <c r="BN363" s="209" t="s">
        <v>153</v>
      </c>
      <c r="BO363" s="210" t="s">
        <v>7749</v>
      </c>
      <c r="BP363" s="211" t="s">
        <v>7750</v>
      </c>
      <c r="BQ363" s="212">
        <v>38622</v>
      </c>
      <c r="BR363" s="213" t="s">
        <v>153</v>
      </c>
      <c r="BS363" s="214" t="s">
        <v>153</v>
      </c>
      <c r="BT363" s="215" t="s">
        <v>153</v>
      </c>
      <c r="BU363" s="216" t="s">
        <v>153</v>
      </c>
      <c r="BV363" s="217" t="s">
        <v>251</v>
      </c>
      <c r="BW363" s="218" t="s">
        <v>153</v>
      </c>
      <c r="BX363" s="219" t="s">
        <v>153</v>
      </c>
      <c r="BY363" s="220" t="s">
        <v>252</v>
      </c>
      <c r="BZ363" s="221" t="s">
        <v>153</v>
      </c>
      <c r="CA363" s="222" t="s">
        <v>190</v>
      </c>
      <c r="CB363" s="223">
        <v>41617</v>
      </c>
      <c r="CC363" s="224">
        <v>11000</v>
      </c>
      <c r="CD363" s="225" t="s">
        <v>186</v>
      </c>
      <c r="CE363" s="226">
        <v>11000</v>
      </c>
      <c r="CF363" s="227" t="s">
        <v>186</v>
      </c>
      <c r="CG363" s="228" t="s">
        <v>226</v>
      </c>
      <c r="CH363" s="229" t="s">
        <v>153</v>
      </c>
      <c r="CI363" s="230" t="s">
        <v>153</v>
      </c>
      <c r="CJ363" s="231" t="s">
        <v>225</v>
      </c>
      <c r="CK363" s="232">
        <v>41617</v>
      </c>
      <c r="CL363" s="233" t="s">
        <v>153</v>
      </c>
      <c r="CM363" s="234" t="s">
        <v>1607</v>
      </c>
      <c r="CN363" s="235" t="s">
        <v>190</v>
      </c>
      <c r="CO363" s="236" t="s">
        <v>153</v>
      </c>
      <c r="CP363" s="237" t="s">
        <v>153</v>
      </c>
      <c r="CQ363" s="238" t="s">
        <v>153</v>
      </c>
      <c r="CR363" s="239" t="s">
        <v>153</v>
      </c>
      <c r="CS363" s="240" t="s">
        <v>153</v>
      </c>
      <c r="CT363" s="241" t="s">
        <v>153</v>
      </c>
      <c r="CU363" s="242" t="s">
        <v>153</v>
      </c>
      <c r="CV363" s="243" t="s">
        <v>153</v>
      </c>
      <c r="CW363" s="244" t="s">
        <v>153</v>
      </c>
      <c r="CX363" s="245" t="s">
        <v>153</v>
      </c>
      <c r="CY363" s="246" t="s">
        <v>153</v>
      </c>
      <c r="CZ363" s="247" t="s">
        <v>153</v>
      </c>
      <c r="DA363" s="248" t="s">
        <v>153</v>
      </c>
      <c r="DB363" s="249" t="s">
        <v>153</v>
      </c>
      <c r="DC363" s="250" t="s">
        <v>153</v>
      </c>
      <c r="DD363" s="251" t="s">
        <v>153</v>
      </c>
      <c r="DE363" s="252" t="s">
        <v>153</v>
      </c>
      <c r="DF363" s="253" t="s">
        <v>153</v>
      </c>
      <c r="DG363" s="254" t="s">
        <v>153</v>
      </c>
      <c r="DH363" s="255" t="s">
        <v>153</v>
      </c>
      <c r="DI363" s="256" t="s">
        <v>153</v>
      </c>
      <c r="DJ363" s="257" t="s">
        <v>153</v>
      </c>
      <c r="DK363" s="258" t="s">
        <v>153</v>
      </c>
      <c r="DL363" s="259" t="s">
        <v>153</v>
      </c>
      <c r="DM363" s="260" t="s">
        <v>153</v>
      </c>
      <c r="DN363" s="261" t="s">
        <v>153</v>
      </c>
      <c r="DO363" s="262" t="s">
        <v>153</v>
      </c>
      <c r="DP363" s="263" t="s">
        <v>153</v>
      </c>
      <c r="DQ363" s="264" t="s">
        <v>153</v>
      </c>
      <c r="DR363" s="265" t="s">
        <v>153</v>
      </c>
      <c r="DS363" s="266" t="s">
        <v>153</v>
      </c>
      <c r="DT363" s="267" t="s">
        <v>153</v>
      </c>
      <c r="DU363" s="268" t="s">
        <v>153</v>
      </c>
      <c r="DV363" s="269" t="s">
        <v>153</v>
      </c>
      <c r="DW363" s="270" t="s">
        <v>153</v>
      </c>
      <c r="DX363" s="271" t="s">
        <v>153</v>
      </c>
      <c r="DY363" s="272" t="s">
        <v>153</v>
      </c>
      <c r="DZ363" s="273" t="s">
        <v>191</v>
      </c>
      <c r="EA363" s="274">
        <v>44337</v>
      </c>
      <c r="EB363" s="275">
        <v>11000</v>
      </c>
      <c r="EC363" s="276">
        <v>41617</v>
      </c>
      <c r="ED363" s="277" t="s">
        <v>226</v>
      </c>
      <c r="EE363" s="279" t="str">
        <f>HYPERLINK("https://my.pitchbook.com?c=11616-94", "View company online")</f>
        <v>View company online</v>
      </c>
    </row>
    <row r="364" spans="1:135" x14ac:dyDescent="0.45">
      <c r="A364" s="10" t="s">
        <v>7751</v>
      </c>
      <c r="B364" s="11" t="s">
        <v>7752</v>
      </c>
      <c r="C364" s="12" t="s">
        <v>153</v>
      </c>
      <c r="D364" s="13" t="s">
        <v>153</v>
      </c>
      <c r="E364" s="14" t="s">
        <v>7753</v>
      </c>
      <c r="F364" s="15" t="s">
        <v>153</v>
      </c>
      <c r="G364" s="16" t="s">
        <v>7754</v>
      </c>
      <c r="H364" s="17" t="s">
        <v>7755</v>
      </c>
      <c r="I364" s="18" t="s">
        <v>7751</v>
      </c>
      <c r="J364" s="19" t="s">
        <v>7756</v>
      </c>
      <c r="K364" s="20" t="s">
        <v>232</v>
      </c>
      <c r="L364" s="21" t="s">
        <v>362</v>
      </c>
      <c r="M364" s="22" t="s">
        <v>4656</v>
      </c>
      <c r="N364" s="23" t="s">
        <v>4657</v>
      </c>
      <c r="O364" s="24" t="s">
        <v>153</v>
      </c>
      <c r="P364" s="25" t="s">
        <v>7757</v>
      </c>
      <c r="Q364" s="26" t="s">
        <v>204</v>
      </c>
      <c r="R364" s="27">
        <v>1724.17</v>
      </c>
      <c r="S364" s="28" t="s">
        <v>290</v>
      </c>
      <c r="T364" s="29" t="s">
        <v>291</v>
      </c>
      <c r="U364" s="30" t="s">
        <v>2534</v>
      </c>
      <c r="V364" s="31" t="s">
        <v>153</v>
      </c>
      <c r="W364" s="32">
        <v>160</v>
      </c>
      <c r="X364" s="33" t="s">
        <v>7758</v>
      </c>
      <c r="Y364" s="34" t="s">
        <v>372</v>
      </c>
      <c r="Z364" s="35" t="s">
        <v>7759</v>
      </c>
      <c r="AA364" s="36">
        <v>2010</v>
      </c>
      <c r="AB364" s="37" t="s">
        <v>153</v>
      </c>
      <c r="AC364" s="38" t="s">
        <v>508</v>
      </c>
      <c r="AD364" s="39" t="s">
        <v>622</v>
      </c>
      <c r="AE364" s="40">
        <v>1152.99</v>
      </c>
      <c r="AF364" s="41">
        <v>1029.9100000000001</v>
      </c>
      <c r="AG364" s="42">
        <v>234.97</v>
      </c>
      <c r="AH364" s="43">
        <v>14451.11</v>
      </c>
      <c r="AI364" s="44">
        <v>955.49</v>
      </c>
      <c r="AJ364" s="45">
        <v>501.17</v>
      </c>
      <c r="AK364" s="46">
        <v>11273.19</v>
      </c>
      <c r="AL364" s="47">
        <v>5505.04</v>
      </c>
      <c r="AM364" s="48">
        <v>-5.52</v>
      </c>
      <c r="AN364" s="49" t="s">
        <v>376</v>
      </c>
      <c r="AO364" s="50" t="s">
        <v>7760</v>
      </c>
      <c r="AP364" s="51" t="s">
        <v>7761</v>
      </c>
      <c r="AQ364" s="52" t="s">
        <v>379</v>
      </c>
      <c r="AR364" s="53" t="s">
        <v>7762</v>
      </c>
      <c r="AS364" s="54" t="s">
        <v>7763</v>
      </c>
      <c r="AT364" s="55" t="s">
        <v>2479</v>
      </c>
      <c r="AU364" s="56" t="s">
        <v>7764</v>
      </c>
      <c r="AV364" s="57" t="s">
        <v>7765</v>
      </c>
      <c r="AW364" s="58" t="s">
        <v>2481</v>
      </c>
      <c r="AX364" s="59" t="s">
        <v>2482</v>
      </c>
      <c r="AY364" s="60" t="s">
        <v>7492</v>
      </c>
      <c r="AZ364" s="61" t="s">
        <v>215</v>
      </c>
      <c r="BA364" s="62" t="s">
        <v>7763</v>
      </c>
      <c r="BB364" s="63" t="s">
        <v>153</v>
      </c>
      <c r="BC364" s="64" t="s">
        <v>153</v>
      </c>
      <c r="BD364" s="65" t="s">
        <v>216</v>
      </c>
      <c r="BE364" s="66" t="s">
        <v>217</v>
      </c>
      <c r="BF364" s="67" t="s">
        <v>7766</v>
      </c>
      <c r="BG364" s="68" t="s">
        <v>7767</v>
      </c>
      <c r="BH364" s="69">
        <v>1</v>
      </c>
      <c r="BI364" s="70" t="s">
        <v>153</v>
      </c>
      <c r="BJ364" s="71" t="s">
        <v>153</v>
      </c>
      <c r="BK364" s="72" t="s">
        <v>7768</v>
      </c>
      <c r="BL364" s="73" t="s">
        <v>7769</v>
      </c>
      <c r="BM364" s="74" t="s">
        <v>153</v>
      </c>
      <c r="BN364" s="75" t="s">
        <v>7770</v>
      </c>
      <c r="BO364" s="76" t="s">
        <v>7771</v>
      </c>
      <c r="BP364" s="77" t="s">
        <v>7772</v>
      </c>
      <c r="BQ364" s="78">
        <v>40793</v>
      </c>
      <c r="BR364" s="79">
        <v>69.75</v>
      </c>
      <c r="BS364" s="80" t="s">
        <v>186</v>
      </c>
      <c r="BT364" s="81" t="s">
        <v>153</v>
      </c>
      <c r="BU364" s="82" t="s">
        <v>153</v>
      </c>
      <c r="BV364" s="83" t="s">
        <v>251</v>
      </c>
      <c r="BW364" s="84" t="s">
        <v>153</v>
      </c>
      <c r="BX364" s="85" t="s">
        <v>153</v>
      </c>
      <c r="BY364" s="86" t="s">
        <v>252</v>
      </c>
      <c r="BZ364" s="87" t="s">
        <v>153</v>
      </c>
      <c r="CA364" s="88" t="s">
        <v>190</v>
      </c>
      <c r="CB364" s="89">
        <v>44315</v>
      </c>
      <c r="CC364" s="90">
        <v>11000</v>
      </c>
      <c r="CD364" s="91" t="s">
        <v>187</v>
      </c>
      <c r="CE364" s="92">
        <v>11000</v>
      </c>
      <c r="CF364" s="93" t="s">
        <v>186</v>
      </c>
      <c r="CG364" s="94" t="s">
        <v>226</v>
      </c>
      <c r="CH364" s="95" t="s">
        <v>153</v>
      </c>
      <c r="CI364" s="96" t="s">
        <v>153</v>
      </c>
      <c r="CJ364" s="97" t="s">
        <v>225</v>
      </c>
      <c r="CK364" s="98">
        <v>44315</v>
      </c>
      <c r="CL364" s="99" t="s">
        <v>153</v>
      </c>
      <c r="CM364" s="100" t="s">
        <v>153</v>
      </c>
      <c r="CN364" s="101" t="s">
        <v>1278</v>
      </c>
      <c r="CO364" s="102">
        <v>0.04</v>
      </c>
      <c r="CP364" s="103">
        <v>88</v>
      </c>
      <c r="CQ364" s="104" t="s">
        <v>153</v>
      </c>
      <c r="CR364" s="105" t="s">
        <v>153</v>
      </c>
      <c r="CS364" s="106" t="s">
        <v>153</v>
      </c>
      <c r="CT364" s="107" t="s">
        <v>153</v>
      </c>
      <c r="CU364" s="108">
        <v>0.04</v>
      </c>
      <c r="CV364" s="109">
        <v>80</v>
      </c>
      <c r="CW364" s="110" t="s">
        <v>153</v>
      </c>
      <c r="CX364" s="111" t="s">
        <v>153</v>
      </c>
      <c r="CY364" s="112" t="s">
        <v>153</v>
      </c>
      <c r="CZ364" s="113" t="s">
        <v>153</v>
      </c>
      <c r="DA364" s="114">
        <v>0.04</v>
      </c>
      <c r="DB364" s="115">
        <v>80</v>
      </c>
      <c r="DC364" s="116">
        <v>2.36</v>
      </c>
      <c r="DD364" s="117">
        <v>72</v>
      </c>
      <c r="DE364" s="118" t="s">
        <v>153</v>
      </c>
      <c r="DF364" s="119" t="s">
        <v>153</v>
      </c>
      <c r="DG364" s="120" t="s">
        <v>153</v>
      </c>
      <c r="DH364" s="121" t="s">
        <v>153</v>
      </c>
      <c r="DI364" s="122">
        <v>2.36</v>
      </c>
      <c r="DJ364" s="123">
        <v>66</v>
      </c>
      <c r="DK364" s="124" t="s">
        <v>153</v>
      </c>
      <c r="DL364" s="125" t="s">
        <v>153</v>
      </c>
      <c r="DM364" s="126" t="s">
        <v>153</v>
      </c>
      <c r="DN364" s="127" t="s">
        <v>153</v>
      </c>
      <c r="DO364" s="128">
        <v>2.36</v>
      </c>
      <c r="DP364" s="129">
        <v>66</v>
      </c>
      <c r="DQ364" s="130" t="s">
        <v>153</v>
      </c>
      <c r="DR364" s="131" t="s">
        <v>153</v>
      </c>
      <c r="DS364" s="132" t="s">
        <v>153</v>
      </c>
      <c r="DT364" s="133">
        <v>57</v>
      </c>
      <c r="DU364" s="134">
        <v>-1</v>
      </c>
      <c r="DV364" s="135">
        <v>-1.72</v>
      </c>
      <c r="DW364" s="136">
        <v>742</v>
      </c>
      <c r="DX364" s="137">
        <v>1</v>
      </c>
      <c r="DY364" s="138">
        <v>0.13</v>
      </c>
      <c r="DZ364" s="139" t="s">
        <v>191</v>
      </c>
      <c r="EA364" s="140">
        <v>44401</v>
      </c>
      <c r="EB364" s="141">
        <v>11000</v>
      </c>
      <c r="EC364" s="142">
        <v>44315</v>
      </c>
      <c r="ED364" s="143" t="s">
        <v>226</v>
      </c>
      <c r="EE364" s="278" t="str">
        <f>HYPERLINK("https://my.pitchbook.com?c=51735-97", "View company online")</f>
        <v>View company online</v>
      </c>
    </row>
    <row r="365" spans="1:135" x14ac:dyDescent="0.45">
      <c r="A365" s="144" t="s">
        <v>7773</v>
      </c>
      <c r="B365" s="145" t="s">
        <v>7774</v>
      </c>
      <c r="C365" s="146" t="s">
        <v>153</v>
      </c>
      <c r="D365" s="147" t="s">
        <v>153</v>
      </c>
      <c r="E365" s="148" t="s">
        <v>7775</v>
      </c>
      <c r="F365" s="149" t="s">
        <v>7776</v>
      </c>
      <c r="G365" s="150" t="s">
        <v>7777</v>
      </c>
      <c r="H365" s="151" t="s">
        <v>7778</v>
      </c>
      <c r="I365" s="152" t="s">
        <v>7773</v>
      </c>
      <c r="J365" s="153" t="s">
        <v>7779</v>
      </c>
      <c r="K365" s="154" t="s">
        <v>157</v>
      </c>
      <c r="L365" s="155" t="s">
        <v>817</v>
      </c>
      <c r="M365" s="156" t="s">
        <v>863</v>
      </c>
      <c r="N365" s="157" t="s">
        <v>4410</v>
      </c>
      <c r="O365" s="158" t="s">
        <v>153</v>
      </c>
      <c r="P365" s="159" t="s">
        <v>7780</v>
      </c>
      <c r="Q365" s="160" t="s">
        <v>564</v>
      </c>
      <c r="R365" s="161">
        <v>881.32</v>
      </c>
      <c r="S365" s="162" t="s">
        <v>290</v>
      </c>
      <c r="T365" s="163" t="s">
        <v>205</v>
      </c>
      <c r="U365" s="164" t="s">
        <v>2534</v>
      </c>
      <c r="V365" s="165" t="s">
        <v>7781</v>
      </c>
      <c r="W365" s="166">
        <v>5500</v>
      </c>
      <c r="X365" s="167" t="s">
        <v>7782</v>
      </c>
      <c r="Y365" s="168" t="s">
        <v>153</v>
      </c>
      <c r="Z365" s="169" t="s">
        <v>153</v>
      </c>
      <c r="AA365" s="170">
        <v>1866</v>
      </c>
      <c r="AB365" s="171" t="s">
        <v>153</v>
      </c>
      <c r="AC365" s="172" t="s">
        <v>153</v>
      </c>
      <c r="AD365" s="173" t="s">
        <v>153</v>
      </c>
      <c r="AE365" s="174" t="s">
        <v>153</v>
      </c>
      <c r="AF365" s="175" t="s">
        <v>153</v>
      </c>
      <c r="AG365" s="176" t="s">
        <v>153</v>
      </c>
      <c r="AH365" s="177" t="s">
        <v>153</v>
      </c>
      <c r="AI365" s="178" t="s">
        <v>153</v>
      </c>
      <c r="AJ365" s="179" t="s">
        <v>153</v>
      </c>
      <c r="AK365" s="180" t="s">
        <v>153</v>
      </c>
      <c r="AL365" s="181" t="s">
        <v>153</v>
      </c>
      <c r="AM365" s="182" t="s">
        <v>153</v>
      </c>
      <c r="AN365" s="183" t="s">
        <v>648</v>
      </c>
      <c r="AO365" s="184" t="s">
        <v>153</v>
      </c>
      <c r="AP365" s="185" t="s">
        <v>153</v>
      </c>
      <c r="AQ365" s="186" t="s">
        <v>153</v>
      </c>
      <c r="AR365" s="187" t="s">
        <v>153</v>
      </c>
      <c r="AS365" s="188" t="s">
        <v>153</v>
      </c>
      <c r="AT365" s="189" t="s">
        <v>5416</v>
      </c>
      <c r="AU365" s="190" t="s">
        <v>7783</v>
      </c>
      <c r="AV365" s="191" t="s">
        <v>153</v>
      </c>
      <c r="AW365" s="192" t="s">
        <v>5418</v>
      </c>
      <c r="AX365" s="193" t="s">
        <v>273</v>
      </c>
      <c r="AY365" s="194" t="s">
        <v>5419</v>
      </c>
      <c r="AZ365" s="195" t="s">
        <v>215</v>
      </c>
      <c r="BA365" s="196" t="s">
        <v>153</v>
      </c>
      <c r="BB365" s="197" t="s">
        <v>153</v>
      </c>
      <c r="BC365" s="198" t="s">
        <v>153</v>
      </c>
      <c r="BD365" s="199" t="s">
        <v>216</v>
      </c>
      <c r="BE365" s="200" t="s">
        <v>217</v>
      </c>
      <c r="BF365" s="201" t="s">
        <v>7784</v>
      </c>
      <c r="BG365" s="202" t="s">
        <v>153</v>
      </c>
      <c r="BH365" s="203" t="s">
        <v>153</v>
      </c>
      <c r="BI365" s="204" t="s">
        <v>7785</v>
      </c>
      <c r="BJ365" s="205" t="s">
        <v>7786</v>
      </c>
      <c r="BK365" s="206" t="s">
        <v>7787</v>
      </c>
      <c r="BL365" s="207" t="s">
        <v>153</v>
      </c>
      <c r="BM365" s="208" t="s">
        <v>7788</v>
      </c>
      <c r="BN365" s="209" t="s">
        <v>153</v>
      </c>
      <c r="BO365" s="210" t="s">
        <v>7789</v>
      </c>
      <c r="BP365" s="211" t="s">
        <v>7790</v>
      </c>
      <c r="BQ365" s="212">
        <v>35864</v>
      </c>
      <c r="BR365" s="213" t="s">
        <v>153</v>
      </c>
      <c r="BS365" s="214" t="s">
        <v>153</v>
      </c>
      <c r="BT365" s="215">
        <v>1002.5</v>
      </c>
      <c r="BU365" s="216" t="s">
        <v>187</v>
      </c>
      <c r="BV365" s="217" t="s">
        <v>251</v>
      </c>
      <c r="BW365" s="218" t="s">
        <v>524</v>
      </c>
      <c r="BX365" s="219" t="s">
        <v>153</v>
      </c>
      <c r="BY365" s="220" t="s">
        <v>252</v>
      </c>
      <c r="BZ365" s="221" t="s">
        <v>153</v>
      </c>
      <c r="CA365" s="222" t="s">
        <v>190</v>
      </c>
      <c r="CB365" s="223">
        <v>43399</v>
      </c>
      <c r="CC365" s="224">
        <v>10900</v>
      </c>
      <c r="CD365" s="225" t="s">
        <v>186</v>
      </c>
      <c r="CE365" s="226">
        <v>10900</v>
      </c>
      <c r="CF365" s="227" t="s">
        <v>186</v>
      </c>
      <c r="CG365" s="228" t="s">
        <v>226</v>
      </c>
      <c r="CH365" s="229" t="s">
        <v>153</v>
      </c>
      <c r="CI365" s="230" t="s">
        <v>153</v>
      </c>
      <c r="CJ365" s="231" t="s">
        <v>225</v>
      </c>
      <c r="CK365" s="232">
        <v>43399</v>
      </c>
      <c r="CL365" s="233" t="s">
        <v>153</v>
      </c>
      <c r="CM365" s="234" t="s">
        <v>153</v>
      </c>
      <c r="CN365" s="235" t="s">
        <v>190</v>
      </c>
      <c r="CO365" s="236" t="s">
        <v>153</v>
      </c>
      <c r="CP365" s="237" t="s">
        <v>153</v>
      </c>
      <c r="CQ365" s="238" t="s">
        <v>153</v>
      </c>
      <c r="CR365" s="239" t="s">
        <v>153</v>
      </c>
      <c r="CS365" s="240" t="s">
        <v>153</v>
      </c>
      <c r="CT365" s="241" t="s">
        <v>153</v>
      </c>
      <c r="CU365" s="242" t="s">
        <v>153</v>
      </c>
      <c r="CV365" s="243" t="s">
        <v>153</v>
      </c>
      <c r="CW365" s="244" t="s">
        <v>153</v>
      </c>
      <c r="CX365" s="245" t="s">
        <v>153</v>
      </c>
      <c r="CY365" s="246" t="s">
        <v>153</v>
      </c>
      <c r="CZ365" s="247" t="s">
        <v>153</v>
      </c>
      <c r="DA365" s="248" t="s">
        <v>153</v>
      </c>
      <c r="DB365" s="249" t="s">
        <v>153</v>
      </c>
      <c r="DC365" s="250" t="s">
        <v>153</v>
      </c>
      <c r="DD365" s="251" t="s">
        <v>153</v>
      </c>
      <c r="DE365" s="252" t="s">
        <v>153</v>
      </c>
      <c r="DF365" s="253" t="s">
        <v>153</v>
      </c>
      <c r="DG365" s="254" t="s">
        <v>153</v>
      </c>
      <c r="DH365" s="255" t="s">
        <v>153</v>
      </c>
      <c r="DI365" s="256" t="s">
        <v>153</v>
      </c>
      <c r="DJ365" s="257" t="s">
        <v>153</v>
      </c>
      <c r="DK365" s="258" t="s">
        <v>153</v>
      </c>
      <c r="DL365" s="259" t="s">
        <v>153</v>
      </c>
      <c r="DM365" s="260" t="s">
        <v>153</v>
      </c>
      <c r="DN365" s="261" t="s">
        <v>153</v>
      </c>
      <c r="DO365" s="262" t="s">
        <v>153</v>
      </c>
      <c r="DP365" s="263" t="s">
        <v>153</v>
      </c>
      <c r="DQ365" s="264" t="s">
        <v>153</v>
      </c>
      <c r="DR365" s="265" t="s">
        <v>153</v>
      </c>
      <c r="DS365" s="266" t="s">
        <v>153</v>
      </c>
      <c r="DT365" s="267" t="s">
        <v>153</v>
      </c>
      <c r="DU365" s="268" t="s">
        <v>153</v>
      </c>
      <c r="DV365" s="269" t="s">
        <v>153</v>
      </c>
      <c r="DW365" s="270" t="s">
        <v>153</v>
      </c>
      <c r="DX365" s="271" t="s">
        <v>153</v>
      </c>
      <c r="DY365" s="272" t="s">
        <v>153</v>
      </c>
      <c r="DZ365" s="273" t="s">
        <v>191</v>
      </c>
      <c r="EA365" s="274">
        <v>44330</v>
      </c>
      <c r="EB365" s="275">
        <v>10900</v>
      </c>
      <c r="EC365" s="276">
        <v>43399</v>
      </c>
      <c r="ED365" s="277" t="s">
        <v>226</v>
      </c>
      <c r="EE365" s="279" t="str">
        <f>HYPERLINK("https://my.pitchbook.com?c=10254-79", "View company online")</f>
        <v>View company online</v>
      </c>
    </row>
    <row r="366" spans="1:135" x14ac:dyDescent="0.45">
      <c r="A366" s="10" t="s">
        <v>7791</v>
      </c>
      <c r="B366" s="11" t="s">
        <v>7792</v>
      </c>
      <c r="C366" s="12" t="s">
        <v>153</v>
      </c>
      <c r="D366" s="13" t="s">
        <v>153</v>
      </c>
      <c r="E366" s="14" t="s">
        <v>7793</v>
      </c>
      <c r="F366" s="15" t="s">
        <v>7794</v>
      </c>
      <c r="G366" s="16" t="s">
        <v>7795</v>
      </c>
      <c r="H366" s="17" t="s">
        <v>7796</v>
      </c>
      <c r="I366" s="18" t="s">
        <v>7791</v>
      </c>
      <c r="J366" s="19" t="s">
        <v>7797</v>
      </c>
      <c r="K366" s="20" t="s">
        <v>882</v>
      </c>
      <c r="L366" s="21" t="s">
        <v>883</v>
      </c>
      <c r="M366" s="22" t="s">
        <v>1369</v>
      </c>
      <c r="N366" s="23" t="s">
        <v>7798</v>
      </c>
      <c r="O366" s="24" t="s">
        <v>261</v>
      </c>
      <c r="P366" s="25" t="s">
        <v>7799</v>
      </c>
      <c r="Q366" s="26" t="s">
        <v>367</v>
      </c>
      <c r="R366" s="27">
        <v>11182.9</v>
      </c>
      <c r="S366" s="28" t="s">
        <v>290</v>
      </c>
      <c r="T366" s="29" t="s">
        <v>291</v>
      </c>
      <c r="U366" s="30" t="s">
        <v>565</v>
      </c>
      <c r="V366" s="31" t="s">
        <v>7800</v>
      </c>
      <c r="W366" s="32">
        <v>18734</v>
      </c>
      <c r="X366" s="33" t="s">
        <v>7801</v>
      </c>
      <c r="Y366" s="34" t="s">
        <v>6184</v>
      </c>
      <c r="Z366" s="35" t="s">
        <v>7802</v>
      </c>
      <c r="AA366" s="36">
        <v>1972</v>
      </c>
      <c r="AB366" s="37" t="s">
        <v>153</v>
      </c>
      <c r="AC366" s="38" t="s">
        <v>153</v>
      </c>
      <c r="AD366" s="39" t="s">
        <v>508</v>
      </c>
      <c r="AE366" s="40">
        <v>2278.85</v>
      </c>
      <c r="AF366" s="41">
        <v>1000.58</v>
      </c>
      <c r="AG366" s="42">
        <v>47.07</v>
      </c>
      <c r="AH366" s="43">
        <v>2484.35</v>
      </c>
      <c r="AI366" s="44">
        <v>299.98</v>
      </c>
      <c r="AJ366" s="45">
        <v>123.24</v>
      </c>
      <c r="AK366" s="46">
        <v>1935.95</v>
      </c>
      <c r="AL366" s="47">
        <v>455.6</v>
      </c>
      <c r="AM366" s="48">
        <v>5.33</v>
      </c>
      <c r="AN366" s="49" t="s">
        <v>1765</v>
      </c>
      <c r="AO366" s="50" t="s">
        <v>7803</v>
      </c>
      <c r="AP366" s="51" t="s">
        <v>7804</v>
      </c>
      <c r="AQ366" s="52" t="s">
        <v>512</v>
      </c>
      <c r="AR366" s="53" t="s">
        <v>7805</v>
      </c>
      <c r="AS366" s="54" t="s">
        <v>7806</v>
      </c>
      <c r="AT366" s="55" t="s">
        <v>7807</v>
      </c>
      <c r="AU366" s="56" t="s">
        <v>7808</v>
      </c>
      <c r="AV366" s="57" t="s">
        <v>7809</v>
      </c>
      <c r="AW366" s="58" t="s">
        <v>7810</v>
      </c>
      <c r="AX366" s="59" t="s">
        <v>5221</v>
      </c>
      <c r="AY366" s="60" t="s">
        <v>7811</v>
      </c>
      <c r="AZ366" s="61" t="s">
        <v>3046</v>
      </c>
      <c r="BA366" s="62" t="s">
        <v>7806</v>
      </c>
      <c r="BB366" s="63" t="s">
        <v>153</v>
      </c>
      <c r="BC366" s="64" t="s">
        <v>153</v>
      </c>
      <c r="BD366" s="65" t="s">
        <v>1406</v>
      </c>
      <c r="BE366" s="66" t="s">
        <v>3047</v>
      </c>
      <c r="BF366" s="67" t="s">
        <v>7812</v>
      </c>
      <c r="BG366" s="68" t="s">
        <v>5201</v>
      </c>
      <c r="BH366" s="69">
        <v>1</v>
      </c>
      <c r="BI366" s="70" t="s">
        <v>153</v>
      </c>
      <c r="BJ366" s="71" t="s">
        <v>153</v>
      </c>
      <c r="BK366" s="72" t="s">
        <v>153</v>
      </c>
      <c r="BL366" s="73" t="s">
        <v>5202</v>
      </c>
      <c r="BM366" s="74" t="s">
        <v>153</v>
      </c>
      <c r="BN366" s="75" t="s">
        <v>153</v>
      </c>
      <c r="BO366" s="76" t="s">
        <v>7813</v>
      </c>
      <c r="BP366" s="77" t="s">
        <v>7814</v>
      </c>
      <c r="BQ366" s="78">
        <v>27668</v>
      </c>
      <c r="BR366" s="79" t="s">
        <v>153</v>
      </c>
      <c r="BS366" s="80" t="s">
        <v>153</v>
      </c>
      <c r="BT366" s="81" t="s">
        <v>153</v>
      </c>
      <c r="BU366" s="82" t="s">
        <v>153</v>
      </c>
      <c r="BV366" s="83" t="s">
        <v>251</v>
      </c>
      <c r="BW366" s="84" t="s">
        <v>153</v>
      </c>
      <c r="BX366" s="85" t="s">
        <v>153</v>
      </c>
      <c r="BY366" s="86" t="s">
        <v>252</v>
      </c>
      <c r="BZ366" s="87" t="s">
        <v>153</v>
      </c>
      <c r="CA366" s="88" t="s">
        <v>190</v>
      </c>
      <c r="CB366" s="89">
        <v>44172</v>
      </c>
      <c r="CC366" s="90">
        <v>10800</v>
      </c>
      <c r="CD366" s="91" t="s">
        <v>186</v>
      </c>
      <c r="CE366" s="92" t="s">
        <v>153</v>
      </c>
      <c r="CF366" s="93" t="s">
        <v>153</v>
      </c>
      <c r="CG366" s="94" t="s">
        <v>393</v>
      </c>
      <c r="CH366" s="95" t="s">
        <v>153</v>
      </c>
      <c r="CI366" s="96" t="s">
        <v>153</v>
      </c>
      <c r="CJ366" s="97" t="s">
        <v>225</v>
      </c>
      <c r="CK366" s="98">
        <v>44172</v>
      </c>
      <c r="CL366" s="99" t="s">
        <v>153</v>
      </c>
      <c r="CM366" s="100" t="s">
        <v>153</v>
      </c>
      <c r="CN366" s="101" t="s">
        <v>190</v>
      </c>
      <c r="CO366" s="102">
        <v>0.23</v>
      </c>
      <c r="CP366" s="103">
        <v>91</v>
      </c>
      <c r="CQ366" s="104">
        <v>-0.1</v>
      </c>
      <c r="CR366" s="105">
        <v>-30.23</v>
      </c>
      <c r="CS366" s="106">
        <v>0.28000000000000003</v>
      </c>
      <c r="CT366" s="107">
        <v>91</v>
      </c>
      <c r="CU366" s="108">
        <v>-0.05</v>
      </c>
      <c r="CV366" s="109">
        <v>32</v>
      </c>
      <c r="CW366" s="110" t="s">
        <v>153</v>
      </c>
      <c r="CX366" s="111" t="s">
        <v>153</v>
      </c>
      <c r="CY366" s="112">
        <v>0.28000000000000003</v>
      </c>
      <c r="CZ366" s="113">
        <v>92</v>
      </c>
      <c r="DA366" s="114">
        <v>-0.05</v>
      </c>
      <c r="DB366" s="115">
        <v>32</v>
      </c>
      <c r="DC366" s="116">
        <v>316.33</v>
      </c>
      <c r="DD366" s="117">
        <v>100</v>
      </c>
      <c r="DE366" s="118">
        <v>0.12</v>
      </c>
      <c r="DF366" s="119">
        <v>0.04</v>
      </c>
      <c r="DG366" s="120">
        <v>71.94</v>
      </c>
      <c r="DH366" s="121">
        <v>99</v>
      </c>
      <c r="DI366" s="122">
        <v>370.72</v>
      </c>
      <c r="DJ366" s="123">
        <v>99</v>
      </c>
      <c r="DK366" s="124" t="s">
        <v>153</v>
      </c>
      <c r="DL366" s="125" t="s">
        <v>153</v>
      </c>
      <c r="DM366" s="126">
        <v>71.94</v>
      </c>
      <c r="DN366" s="127">
        <v>99</v>
      </c>
      <c r="DO366" s="128">
        <v>370.72</v>
      </c>
      <c r="DP366" s="129">
        <v>99</v>
      </c>
      <c r="DQ366" s="130" t="s">
        <v>153</v>
      </c>
      <c r="DR366" s="131" t="s">
        <v>153</v>
      </c>
      <c r="DS366" s="132" t="s">
        <v>153</v>
      </c>
      <c r="DT366" s="133">
        <v>1164</v>
      </c>
      <c r="DU366" s="134">
        <v>-22</v>
      </c>
      <c r="DV366" s="135">
        <v>-1.85</v>
      </c>
      <c r="DW366" s="136">
        <v>116407</v>
      </c>
      <c r="DX366" s="137">
        <v>-16</v>
      </c>
      <c r="DY366" s="138">
        <v>-0.01</v>
      </c>
      <c r="DZ366" s="139" t="s">
        <v>191</v>
      </c>
      <c r="EA366" s="140">
        <v>44370</v>
      </c>
      <c r="EB366" s="141" t="s">
        <v>153</v>
      </c>
      <c r="EC366" s="142" t="s">
        <v>153</v>
      </c>
      <c r="ED366" s="143" t="s">
        <v>153</v>
      </c>
      <c r="EE366" s="278" t="str">
        <f>HYPERLINK("https://my.pitchbook.com?c=62210-08", "View company online")</f>
        <v>View company online</v>
      </c>
    </row>
    <row r="367" spans="1:135" x14ac:dyDescent="0.45">
      <c r="A367" s="144" t="s">
        <v>7815</v>
      </c>
      <c r="B367" s="145" t="s">
        <v>7816</v>
      </c>
      <c r="C367" s="146" t="s">
        <v>153</v>
      </c>
      <c r="D367" s="147" t="s">
        <v>153</v>
      </c>
      <c r="E367" s="148" t="s">
        <v>7817</v>
      </c>
      <c r="F367" s="149" t="s">
        <v>7818</v>
      </c>
      <c r="G367" s="150" t="s">
        <v>7819</v>
      </c>
      <c r="H367" s="151" t="s">
        <v>974</v>
      </c>
      <c r="I367" s="152" t="s">
        <v>7815</v>
      </c>
      <c r="J367" s="153" t="s">
        <v>7820</v>
      </c>
      <c r="K367" s="154" t="s">
        <v>882</v>
      </c>
      <c r="L367" s="155" t="s">
        <v>1257</v>
      </c>
      <c r="M367" s="156" t="s">
        <v>1258</v>
      </c>
      <c r="N367" s="157" t="s">
        <v>7821</v>
      </c>
      <c r="O367" s="158" t="s">
        <v>1234</v>
      </c>
      <c r="P367" s="159" t="s">
        <v>7822</v>
      </c>
      <c r="Q367" s="160" t="s">
        <v>204</v>
      </c>
      <c r="R367" s="161" t="s">
        <v>153</v>
      </c>
      <c r="S367" s="162" t="s">
        <v>163</v>
      </c>
      <c r="T367" s="163" t="s">
        <v>205</v>
      </c>
      <c r="U367" s="164" t="s">
        <v>206</v>
      </c>
      <c r="V367" s="165" t="s">
        <v>7823</v>
      </c>
      <c r="W367" s="166" t="s">
        <v>153</v>
      </c>
      <c r="X367" s="167" t="s">
        <v>153</v>
      </c>
      <c r="Y367" s="168" t="s">
        <v>153</v>
      </c>
      <c r="Z367" s="169" t="s">
        <v>153</v>
      </c>
      <c r="AA367" s="170">
        <v>1879</v>
      </c>
      <c r="AB367" s="171" t="s">
        <v>7824</v>
      </c>
      <c r="AC367" s="172" t="s">
        <v>153</v>
      </c>
      <c r="AD367" s="173" t="s">
        <v>1929</v>
      </c>
      <c r="AE367" s="174" t="s">
        <v>153</v>
      </c>
      <c r="AF367" s="175" t="s">
        <v>153</v>
      </c>
      <c r="AG367" s="176" t="s">
        <v>153</v>
      </c>
      <c r="AH367" s="177" t="s">
        <v>153</v>
      </c>
      <c r="AI367" s="178" t="s">
        <v>153</v>
      </c>
      <c r="AJ367" s="179" t="s">
        <v>153</v>
      </c>
      <c r="AK367" s="180" t="s">
        <v>153</v>
      </c>
      <c r="AL367" s="181" t="s">
        <v>153</v>
      </c>
      <c r="AM367" s="182" t="s">
        <v>153</v>
      </c>
      <c r="AN367" s="183" t="s">
        <v>153</v>
      </c>
      <c r="AO367" s="184" t="s">
        <v>7825</v>
      </c>
      <c r="AP367" s="185" t="s">
        <v>7826</v>
      </c>
      <c r="AQ367" s="186" t="s">
        <v>7827</v>
      </c>
      <c r="AR367" s="187" t="s">
        <v>7828</v>
      </c>
      <c r="AS367" s="188" t="s">
        <v>153</v>
      </c>
      <c r="AT367" s="189" t="s">
        <v>433</v>
      </c>
      <c r="AU367" s="190" t="s">
        <v>7829</v>
      </c>
      <c r="AV367" s="191" t="s">
        <v>153</v>
      </c>
      <c r="AW367" s="192" t="s">
        <v>436</v>
      </c>
      <c r="AX367" s="193" t="s">
        <v>436</v>
      </c>
      <c r="AY367" s="194" t="s">
        <v>6674</v>
      </c>
      <c r="AZ367" s="195" t="s">
        <v>215</v>
      </c>
      <c r="BA367" s="196" t="s">
        <v>7830</v>
      </c>
      <c r="BB367" s="197" t="s">
        <v>7831</v>
      </c>
      <c r="BC367" s="198" t="s">
        <v>153</v>
      </c>
      <c r="BD367" s="199" t="s">
        <v>216</v>
      </c>
      <c r="BE367" s="200" t="s">
        <v>217</v>
      </c>
      <c r="BF367" s="201" t="s">
        <v>7832</v>
      </c>
      <c r="BG367" s="202" t="s">
        <v>153</v>
      </c>
      <c r="BH367" s="203" t="s">
        <v>153</v>
      </c>
      <c r="BI367" s="204" t="s">
        <v>7824</v>
      </c>
      <c r="BJ367" s="205" t="s">
        <v>153</v>
      </c>
      <c r="BK367" s="206" t="s">
        <v>153</v>
      </c>
      <c r="BL367" s="207" t="s">
        <v>153</v>
      </c>
      <c r="BM367" s="208" t="s">
        <v>153</v>
      </c>
      <c r="BN367" s="209" t="s">
        <v>153</v>
      </c>
      <c r="BO367" s="210" t="s">
        <v>7833</v>
      </c>
      <c r="BP367" s="211" t="s">
        <v>153</v>
      </c>
      <c r="BQ367" s="212">
        <v>36823</v>
      </c>
      <c r="BR367" s="213">
        <v>10800</v>
      </c>
      <c r="BS367" s="214" t="s">
        <v>186</v>
      </c>
      <c r="BT367" s="215">
        <v>10800</v>
      </c>
      <c r="BU367" s="216" t="s">
        <v>186</v>
      </c>
      <c r="BV367" s="217" t="s">
        <v>226</v>
      </c>
      <c r="BW367" s="218" t="s">
        <v>153</v>
      </c>
      <c r="BX367" s="219" t="s">
        <v>153</v>
      </c>
      <c r="BY367" s="220" t="s">
        <v>225</v>
      </c>
      <c r="BZ367" s="221" t="s">
        <v>153</v>
      </c>
      <c r="CA367" s="222" t="s">
        <v>190</v>
      </c>
      <c r="CB367" s="223">
        <v>36823</v>
      </c>
      <c r="CC367" s="224">
        <v>10800</v>
      </c>
      <c r="CD367" s="225" t="s">
        <v>186</v>
      </c>
      <c r="CE367" s="226">
        <v>10800</v>
      </c>
      <c r="CF367" s="227" t="s">
        <v>186</v>
      </c>
      <c r="CG367" s="228" t="s">
        <v>226</v>
      </c>
      <c r="CH367" s="229" t="s">
        <v>153</v>
      </c>
      <c r="CI367" s="230" t="s">
        <v>153</v>
      </c>
      <c r="CJ367" s="231" t="s">
        <v>225</v>
      </c>
      <c r="CK367" s="232">
        <v>36823</v>
      </c>
      <c r="CL367" s="233" t="s">
        <v>153</v>
      </c>
      <c r="CM367" s="234" t="s">
        <v>153</v>
      </c>
      <c r="CN367" s="235" t="s">
        <v>190</v>
      </c>
      <c r="CO367" s="236" t="s">
        <v>153</v>
      </c>
      <c r="CP367" s="237" t="s">
        <v>153</v>
      </c>
      <c r="CQ367" s="238" t="s">
        <v>153</v>
      </c>
      <c r="CR367" s="239" t="s">
        <v>153</v>
      </c>
      <c r="CS367" s="240" t="s">
        <v>153</v>
      </c>
      <c r="CT367" s="241" t="s">
        <v>153</v>
      </c>
      <c r="CU367" s="242" t="s">
        <v>153</v>
      </c>
      <c r="CV367" s="243" t="s">
        <v>153</v>
      </c>
      <c r="CW367" s="244" t="s">
        <v>153</v>
      </c>
      <c r="CX367" s="245" t="s">
        <v>153</v>
      </c>
      <c r="CY367" s="246" t="s">
        <v>153</v>
      </c>
      <c r="CZ367" s="247" t="s">
        <v>153</v>
      </c>
      <c r="DA367" s="248" t="s">
        <v>153</v>
      </c>
      <c r="DB367" s="249" t="s">
        <v>153</v>
      </c>
      <c r="DC367" s="250" t="s">
        <v>153</v>
      </c>
      <c r="DD367" s="251" t="s">
        <v>153</v>
      </c>
      <c r="DE367" s="252" t="s">
        <v>153</v>
      </c>
      <c r="DF367" s="253" t="s">
        <v>153</v>
      </c>
      <c r="DG367" s="254" t="s">
        <v>153</v>
      </c>
      <c r="DH367" s="255" t="s">
        <v>153</v>
      </c>
      <c r="DI367" s="256" t="s">
        <v>153</v>
      </c>
      <c r="DJ367" s="257" t="s">
        <v>153</v>
      </c>
      <c r="DK367" s="258" t="s">
        <v>153</v>
      </c>
      <c r="DL367" s="259" t="s">
        <v>153</v>
      </c>
      <c r="DM367" s="260" t="s">
        <v>153</v>
      </c>
      <c r="DN367" s="261" t="s">
        <v>153</v>
      </c>
      <c r="DO367" s="262" t="s">
        <v>153</v>
      </c>
      <c r="DP367" s="263" t="s">
        <v>153</v>
      </c>
      <c r="DQ367" s="264" t="s">
        <v>153</v>
      </c>
      <c r="DR367" s="265" t="s">
        <v>153</v>
      </c>
      <c r="DS367" s="266" t="s">
        <v>153</v>
      </c>
      <c r="DT367" s="267" t="s">
        <v>153</v>
      </c>
      <c r="DU367" s="268" t="s">
        <v>153</v>
      </c>
      <c r="DV367" s="269" t="s">
        <v>153</v>
      </c>
      <c r="DW367" s="270" t="s">
        <v>153</v>
      </c>
      <c r="DX367" s="271" t="s">
        <v>153</v>
      </c>
      <c r="DY367" s="272" t="s">
        <v>153</v>
      </c>
      <c r="DZ367" s="273" t="s">
        <v>191</v>
      </c>
      <c r="EA367" s="274">
        <v>44334</v>
      </c>
      <c r="EB367" s="275">
        <v>10800</v>
      </c>
      <c r="EC367" s="276">
        <v>36823</v>
      </c>
      <c r="ED367" s="277" t="s">
        <v>226</v>
      </c>
      <c r="EE367" s="279" t="str">
        <f>HYPERLINK("https://my.pitchbook.com?c=25316-83", "View company online")</f>
        <v>View company online</v>
      </c>
    </row>
    <row r="368" spans="1:135" x14ac:dyDescent="0.45">
      <c r="A368" s="10" t="s">
        <v>7834</v>
      </c>
      <c r="B368" s="11" t="s">
        <v>7835</v>
      </c>
      <c r="C368" s="12" t="s">
        <v>153</v>
      </c>
      <c r="D368" s="13" t="s">
        <v>153</v>
      </c>
      <c r="E368" s="14" t="s">
        <v>153</v>
      </c>
      <c r="F368" s="15" t="s">
        <v>153</v>
      </c>
      <c r="G368" s="16" t="s">
        <v>153</v>
      </c>
      <c r="H368" s="17" t="s">
        <v>153</v>
      </c>
      <c r="I368" s="18" t="s">
        <v>7834</v>
      </c>
      <c r="J368" s="19" t="s">
        <v>7836</v>
      </c>
      <c r="K368" s="20" t="s">
        <v>198</v>
      </c>
      <c r="L368" s="21" t="s">
        <v>1846</v>
      </c>
      <c r="M368" s="22" t="s">
        <v>1847</v>
      </c>
      <c r="N368" s="23" t="s">
        <v>7837</v>
      </c>
      <c r="O368" s="24" t="s">
        <v>7838</v>
      </c>
      <c r="P368" s="25" t="s">
        <v>7839</v>
      </c>
      <c r="Q368" s="26" t="s">
        <v>204</v>
      </c>
      <c r="R368" s="27" t="s">
        <v>153</v>
      </c>
      <c r="S368" s="28" t="s">
        <v>163</v>
      </c>
      <c r="T368" s="29" t="s">
        <v>205</v>
      </c>
      <c r="U368" s="30" t="s">
        <v>206</v>
      </c>
      <c r="V368" s="31" t="s">
        <v>153</v>
      </c>
      <c r="W368" s="32">
        <v>700</v>
      </c>
      <c r="X368" s="33" t="s">
        <v>7840</v>
      </c>
      <c r="Y368" s="34" t="s">
        <v>153</v>
      </c>
      <c r="Z368" s="35" t="s">
        <v>153</v>
      </c>
      <c r="AA368" s="36" t="s">
        <v>153</v>
      </c>
      <c r="AB368" s="37" t="s">
        <v>153</v>
      </c>
      <c r="AC368" s="38" t="s">
        <v>153</v>
      </c>
      <c r="AD368" s="39" t="s">
        <v>153</v>
      </c>
      <c r="AE368" s="40" t="s">
        <v>153</v>
      </c>
      <c r="AF368" s="41" t="s">
        <v>153</v>
      </c>
      <c r="AG368" s="42" t="s">
        <v>153</v>
      </c>
      <c r="AH368" s="43" t="s">
        <v>153</v>
      </c>
      <c r="AI368" s="44" t="s">
        <v>153</v>
      </c>
      <c r="AJ368" s="45" t="s">
        <v>153</v>
      </c>
      <c r="AK368" s="46" t="s">
        <v>153</v>
      </c>
      <c r="AL368" s="47" t="s">
        <v>153</v>
      </c>
      <c r="AM368" s="48" t="s">
        <v>153</v>
      </c>
      <c r="AN368" s="49" t="s">
        <v>456</v>
      </c>
      <c r="AO368" s="50" t="s">
        <v>153</v>
      </c>
      <c r="AP368" s="51" t="s">
        <v>153</v>
      </c>
      <c r="AQ368" s="52" t="s">
        <v>153</v>
      </c>
      <c r="AR368" s="53" t="s">
        <v>153</v>
      </c>
      <c r="AS368" s="54" t="s">
        <v>153</v>
      </c>
      <c r="AT368" s="55" t="s">
        <v>4307</v>
      </c>
      <c r="AU368" s="56" t="s">
        <v>7841</v>
      </c>
      <c r="AV368" s="57" t="s">
        <v>153</v>
      </c>
      <c r="AW368" s="58" t="s">
        <v>4310</v>
      </c>
      <c r="AX368" s="59" t="s">
        <v>308</v>
      </c>
      <c r="AY368" s="60" t="s">
        <v>7842</v>
      </c>
      <c r="AZ368" s="61" t="s">
        <v>215</v>
      </c>
      <c r="BA368" s="62" t="s">
        <v>153</v>
      </c>
      <c r="BB368" s="63" t="s">
        <v>153</v>
      </c>
      <c r="BC368" s="64" t="s">
        <v>153</v>
      </c>
      <c r="BD368" s="65" t="s">
        <v>216</v>
      </c>
      <c r="BE368" s="66" t="s">
        <v>217</v>
      </c>
      <c r="BF368" s="67" t="s">
        <v>7843</v>
      </c>
      <c r="BG368" s="68" t="s">
        <v>153</v>
      </c>
      <c r="BH368" s="69" t="s">
        <v>153</v>
      </c>
      <c r="BI368" s="70" t="s">
        <v>1602</v>
      </c>
      <c r="BJ368" s="71" t="s">
        <v>7844</v>
      </c>
      <c r="BK368" s="72" t="s">
        <v>153</v>
      </c>
      <c r="BL368" s="73" t="s">
        <v>153</v>
      </c>
      <c r="BM368" s="74" t="s">
        <v>7845</v>
      </c>
      <c r="BN368" s="75" t="s">
        <v>153</v>
      </c>
      <c r="BO368" s="76" t="s">
        <v>7846</v>
      </c>
      <c r="BP368" s="77" t="s">
        <v>7847</v>
      </c>
      <c r="BQ368" s="78">
        <v>43773</v>
      </c>
      <c r="BR368" s="79">
        <v>10700</v>
      </c>
      <c r="BS368" s="80" t="s">
        <v>186</v>
      </c>
      <c r="BT368" s="81">
        <v>10700</v>
      </c>
      <c r="BU368" s="82" t="s">
        <v>187</v>
      </c>
      <c r="BV368" s="83" t="s">
        <v>226</v>
      </c>
      <c r="BW368" s="84" t="s">
        <v>729</v>
      </c>
      <c r="BX368" s="85" t="s">
        <v>153</v>
      </c>
      <c r="BY368" s="86" t="s">
        <v>225</v>
      </c>
      <c r="BZ368" s="87" t="s">
        <v>153</v>
      </c>
      <c r="CA368" s="88" t="s">
        <v>190</v>
      </c>
      <c r="CB368" s="89">
        <v>43773</v>
      </c>
      <c r="CC368" s="90">
        <v>10700</v>
      </c>
      <c r="CD368" s="91" t="s">
        <v>186</v>
      </c>
      <c r="CE368" s="92">
        <v>10700</v>
      </c>
      <c r="CF368" s="93" t="s">
        <v>187</v>
      </c>
      <c r="CG368" s="94" t="s">
        <v>226</v>
      </c>
      <c r="CH368" s="95" t="s">
        <v>729</v>
      </c>
      <c r="CI368" s="96" t="s">
        <v>153</v>
      </c>
      <c r="CJ368" s="97" t="s">
        <v>225</v>
      </c>
      <c r="CK368" s="98">
        <v>43773</v>
      </c>
      <c r="CL368" s="99" t="s">
        <v>153</v>
      </c>
      <c r="CM368" s="100" t="s">
        <v>153</v>
      </c>
      <c r="CN368" s="101" t="s">
        <v>190</v>
      </c>
      <c r="CO368" s="102" t="s">
        <v>153</v>
      </c>
      <c r="CP368" s="103" t="s">
        <v>153</v>
      </c>
      <c r="CQ368" s="104" t="s">
        <v>153</v>
      </c>
      <c r="CR368" s="105" t="s">
        <v>153</v>
      </c>
      <c r="CS368" s="106" t="s">
        <v>153</v>
      </c>
      <c r="CT368" s="107" t="s">
        <v>153</v>
      </c>
      <c r="CU368" s="108" t="s">
        <v>153</v>
      </c>
      <c r="CV368" s="109" t="s">
        <v>153</v>
      </c>
      <c r="CW368" s="110" t="s">
        <v>153</v>
      </c>
      <c r="CX368" s="111" t="s">
        <v>153</v>
      </c>
      <c r="CY368" s="112" t="s">
        <v>153</v>
      </c>
      <c r="CZ368" s="113" t="s">
        <v>153</v>
      </c>
      <c r="DA368" s="114" t="s">
        <v>153</v>
      </c>
      <c r="DB368" s="115" t="s">
        <v>153</v>
      </c>
      <c r="DC368" s="116" t="s">
        <v>153</v>
      </c>
      <c r="DD368" s="117" t="s">
        <v>153</v>
      </c>
      <c r="DE368" s="118" t="s">
        <v>153</v>
      </c>
      <c r="DF368" s="119" t="s">
        <v>153</v>
      </c>
      <c r="DG368" s="120" t="s">
        <v>153</v>
      </c>
      <c r="DH368" s="121" t="s">
        <v>153</v>
      </c>
      <c r="DI368" s="122" t="s">
        <v>153</v>
      </c>
      <c r="DJ368" s="123" t="s">
        <v>153</v>
      </c>
      <c r="DK368" s="124" t="s">
        <v>153</v>
      </c>
      <c r="DL368" s="125" t="s">
        <v>153</v>
      </c>
      <c r="DM368" s="126" t="s">
        <v>153</v>
      </c>
      <c r="DN368" s="127" t="s">
        <v>153</v>
      </c>
      <c r="DO368" s="128" t="s">
        <v>153</v>
      </c>
      <c r="DP368" s="129" t="s">
        <v>153</v>
      </c>
      <c r="DQ368" s="130" t="s">
        <v>153</v>
      </c>
      <c r="DR368" s="131" t="s">
        <v>153</v>
      </c>
      <c r="DS368" s="132" t="s">
        <v>153</v>
      </c>
      <c r="DT368" s="133" t="s">
        <v>153</v>
      </c>
      <c r="DU368" s="134" t="s">
        <v>153</v>
      </c>
      <c r="DV368" s="135" t="s">
        <v>153</v>
      </c>
      <c r="DW368" s="136" t="s">
        <v>153</v>
      </c>
      <c r="DX368" s="137" t="s">
        <v>153</v>
      </c>
      <c r="DY368" s="138" t="s">
        <v>153</v>
      </c>
      <c r="DZ368" s="139" t="s">
        <v>191</v>
      </c>
      <c r="EA368" s="140">
        <v>44335</v>
      </c>
      <c r="EB368" s="141">
        <v>10700</v>
      </c>
      <c r="EC368" s="142">
        <v>43773</v>
      </c>
      <c r="ED368" s="143" t="s">
        <v>226</v>
      </c>
      <c r="EE368" s="278" t="str">
        <f>HYPERLINK("https://my.pitchbook.com?c=277804-72", "View company online")</f>
        <v>View company online</v>
      </c>
    </row>
    <row r="369" spans="1:135" x14ac:dyDescent="0.45">
      <c r="A369" s="144" t="s">
        <v>7848</v>
      </c>
      <c r="B369" s="145" t="s">
        <v>7849</v>
      </c>
      <c r="C369" s="146" t="s">
        <v>153</v>
      </c>
      <c r="D369" s="147" t="s">
        <v>153</v>
      </c>
      <c r="E369" s="148" t="s">
        <v>153</v>
      </c>
      <c r="F369" s="149" t="s">
        <v>153</v>
      </c>
      <c r="G369" s="150" t="s">
        <v>7850</v>
      </c>
      <c r="H369" s="151" t="s">
        <v>153</v>
      </c>
      <c r="I369" s="152" t="s">
        <v>7848</v>
      </c>
      <c r="J369" s="153" t="s">
        <v>7851</v>
      </c>
      <c r="K369" s="154" t="s">
        <v>882</v>
      </c>
      <c r="L369" s="155" t="s">
        <v>2888</v>
      </c>
      <c r="M369" s="156" t="s">
        <v>2889</v>
      </c>
      <c r="N369" s="157" t="s">
        <v>7852</v>
      </c>
      <c r="O369" s="158" t="s">
        <v>153</v>
      </c>
      <c r="P369" s="159" t="s">
        <v>7853</v>
      </c>
      <c r="Q369" s="160" t="s">
        <v>204</v>
      </c>
      <c r="R369" s="161" t="s">
        <v>153</v>
      </c>
      <c r="S369" s="162" t="s">
        <v>163</v>
      </c>
      <c r="T369" s="163" t="s">
        <v>205</v>
      </c>
      <c r="U369" s="164" t="s">
        <v>206</v>
      </c>
      <c r="V369" s="165" t="s">
        <v>153</v>
      </c>
      <c r="W369" s="166" t="s">
        <v>153</v>
      </c>
      <c r="X369" s="167" t="s">
        <v>153</v>
      </c>
      <c r="Y369" s="168" t="s">
        <v>153</v>
      </c>
      <c r="Z369" s="169" t="s">
        <v>153</v>
      </c>
      <c r="AA369" s="170" t="s">
        <v>153</v>
      </c>
      <c r="AB369" s="171" t="s">
        <v>153</v>
      </c>
      <c r="AC369" s="172" t="s">
        <v>153</v>
      </c>
      <c r="AD369" s="173" t="s">
        <v>153</v>
      </c>
      <c r="AE369" s="174" t="s">
        <v>153</v>
      </c>
      <c r="AF369" s="175" t="s">
        <v>153</v>
      </c>
      <c r="AG369" s="176" t="s">
        <v>153</v>
      </c>
      <c r="AH369" s="177" t="s">
        <v>153</v>
      </c>
      <c r="AI369" s="178" t="s">
        <v>153</v>
      </c>
      <c r="AJ369" s="179" t="s">
        <v>153</v>
      </c>
      <c r="AK369" s="180" t="s">
        <v>153</v>
      </c>
      <c r="AL369" s="181" t="s">
        <v>153</v>
      </c>
      <c r="AM369" s="182" t="s">
        <v>153</v>
      </c>
      <c r="AN369" s="183" t="s">
        <v>153</v>
      </c>
      <c r="AO369" s="184" t="s">
        <v>153</v>
      </c>
      <c r="AP369" s="185" t="s">
        <v>153</v>
      </c>
      <c r="AQ369" s="186" t="s">
        <v>153</v>
      </c>
      <c r="AR369" s="187" t="s">
        <v>153</v>
      </c>
      <c r="AS369" s="188" t="s">
        <v>153</v>
      </c>
      <c r="AT369" s="189" t="s">
        <v>7854</v>
      </c>
      <c r="AU369" s="190" t="s">
        <v>7855</v>
      </c>
      <c r="AV369" s="191" t="s">
        <v>7856</v>
      </c>
      <c r="AW369" s="192" t="s">
        <v>7857</v>
      </c>
      <c r="AX369" s="193" t="s">
        <v>153</v>
      </c>
      <c r="AY369" s="194" t="s">
        <v>153</v>
      </c>
      <c r="AZ369" s="195" t="s">
        <v>1519</v>
      </c>
      <c r="BA369" s="196" t="s">
        <v>153</v>
      </c>
      <c r="BB369" s="197" t="s">
        <v>153</v>
      </c>
      <c r="BC369" s="198" t="s">
        <v>153</v>
      </c>
      <c r="BD369" s="199" t="s">
        <v>1406</v>
      </c>
      <c r="BE369" s="200" t="s">
        <v>1407</v>
      </c>
      <c r="BF369" s="201" t="s">
        <v>7858</v>
      </c>
      <c r="BG369" s="202" t="s">
        <v>153</v>
      </c>
      <c r="BH369" s="203" t="s">
        <v>153</v>
      </c>
      <c r="BI369" s="204" t="s">
        <v>7859</v>
      </c>
      <c r="BJ369" s="205" t="s">
        <v>153</v>
      </c>
      <c r="BK369" s="206" t="s">
        <v>153</v>
      </c>
      <c r="BL369" s="207" t="s">
        <v>153</v>
      </c>
      <c r="BM369" s="208" t="s">
        <v>153</v>
      </c>
      <c r="BN369" s="209" t="s">
        <v>153</v>
      </c>
      <c r="BO369" s="210" t="s">
        <v>153</v>
      </c>
      <c r="BP369" s="211" t="s">
        <v>153</v>
      </c>
      <c r="BQ369" s="212">
        <v>42012</v>
      </c>
      <c r="BR369" s="213">
        <v>10625</v>
      </c>
      <c r="BS369" s="214" t="s">
        <v>186</v>
      </c>
      <c r="BT369" s="215">
        <v>10625</v>
      </c>
      <c r="BU369" s="216" t="s">
        <v>186</v>
      </c>
      <c r="BV369" s="217" t="s">
        <v>226</v>
      </c>
      <c r="BW369" s="218" t="s">
        <v>153</v>
      </c>
      <c r="BX369" s="219" t="s">
        <v>153</v>
      </c>
      <c r="BY369" s="220" t="s">
        <v>225</v>
      </c>
      <c r="BZ369" s="221" t="s">
        <v>153</v>
      </c>
      <c r="CA369" s="222" t="s">
        <v>190</v>
      </c>
      <c r="CB369" s="223">
        <v>42012</v>
      </c>
      <c r="CC369" s="224">
        <v>10625</v>
      </c>
      <c r="CD369" s="225" t="s">
        <v>186</v>
      </c>
      <c r="CE369" s="226">
        <v>10625</v>
      </c>
      <c r="CF369" s="227" t="s">
        <v>186</v>
      </c>
      <c r="CG369" s="228" t="s">
        <v>226</v>
      </c>
      <c r="CH369" s="229" t="s">
        <v>153</v>
      </c>
      <c r="CI369" s="230" t="s">
        <v>153</v>
      </c>
      <c r="CJ369" s="231" t="s">
        <v>225</v>
      </c>
      <c r="CK369" s="232">
        <v>42012</v>
      </c>
      <c r="CL369" s="233" t="s">
        <v>153</v>
      </c>
      <c r="CM369" s="234" t="s">
        <v>153</v>
      </c>
      <c r="CN369" s="235" t="s">
        <v>190</v>
      </c>
      <c r="CO369" s="236" t="s">
        <v>153</v>
      </c>
      <c r="CP369" s="237" t="s">
        <v>153</v>
      </c>
      <c r="CQ369" s="238" t="s">
        <v>153</v>
      </c>
      <c r="CR369" s="239" t="s">
        <v>153</v>
      </c>
      <c r="CS369" s="240" t="s">
        <v>153</v>
      </c>
      <c r="CT369" s="241" t="s">
        <v>153</v>
      </c>
      <c r="CU369" s="242" t="s">
        <v>153</v>
      </c>
      <c r="CV369" s="243" t="s">
        <v>153</v>
      </c>
      <c r="CW369" s="244" t="s">
        <v>153</v>
      </c>
      <c r="CX369" s="245" t="s">
        <v>153</v>
      </c>
      <c r="CY369" s="246" t="s">
        <v>153</v>
      </c>
      <c r="CZ369" s="247" t="s">
        <v>153</v>
      </c>
      <c r="DA369" s="248" t="s">
        <v>153</v>
      </c>
      <c r="DB369" s="249" t="s">
        <v>153</v>
      </c>
      <c r="DC369" s="250" t="s">
        <v>153</v>
      </c>
      <c r="DD369" s="251" t="s">
        <v>153</v>
      </c>
      <c r="DE369" s="252" t="s">
        <v>153</v>
      </c>
      <c r="DF369" s="253" t="s">
        <v>153</v>
      </c>
      <c r="DG369" s="254" t="s">
        <v>153</v>
      </c>
      <c r="DH369" s="255" t="s">
        <v>153</v>
      </c>
      <c r="DI369" s="256" t="s">
        <v>153</v>
      </c>
      <c r="DJ369" s="257" t="s">
        <v>153</v>
      </c>
      <c r="DK369" s="258" t="s">
        <v>153</v>
      </c>
      <c r="DL369" s="259" t="s">
        <v>153</v>
      </c>
      <c r="DM369" s="260" t="s">
        <v>153</v>
      </c>
      <c r="DN369" s="261" t="s">
        <v>153</v>
      </c>
      <c r="DO369" s="262" t="s">
        <v>153</v>
      </c>
      <c r="DP369" s="263" t="s">
        <v>153</v>
      </c>
      <c r="DQ369" s="264" t="s">
        <v>153</v>
      </c>
      <c r="DR369" s="265" t="s">
        <v>153</v>
      </c>
      <c r="DS369" s="266" t="s">
        <v>153</v>
      </c>
      <c r="DT369" s="267" t="s">
        <v>153</v>
      </c>
      <c r="DU369" s="268" t="s">
        <v>153</v>
      </c>
      <c r="DV369" s="269" t="s">
        <v>153</v>
      </c>
      <c r="DW369" s="270" t="s">
        <v>153</v>
      </c>
      <c r="DX369" s="271" t="s">
        <v>153</v>
      </c>
      <c r="DY369" s="272" t="s">
        <v>153</v>
      </c>
      <c r="DZ369" s="273" t="s">
        <v>191</v>
      </c>
      <c r="EA369" s="274">
        <v>43755</v>
      </c>
      <c r="EB369" s="275">
        <v>10625</v>
      </c>
      <c r="EC369" s="276">
        <v>42012</v>
      </c>
      <c r="ED369" s="277" t="s">
        <v>226</v>
      </c>
      <c r="EE369" s="279" t="str">
        <f>HYPERLINK("https://my.pitchbook.com?c=162036-37", "View company online")</f>
        <v>View company online</v>
      </c>
    </row>
    <row r="370" spans="1:135" x14ac:dyDescent="0.45">
      <c r="A370" s="10" t="s">
        <v>7860</v>
      </c>
      <c r="B370" s="11" t="s">
        <v>7861</v>
      </c>
      <c r="C370" s="12" t="s">
        <v>153</v>
      </c>
      <c r="D370" s="13" t="s">
        <v>153</v>
      </c>
      <c r="E370" s="14" t="s">
        <v>153</v>
      </c>
      <c r="F370" s="15" t="s">
        <v>153</v>
      </c>
      <c r="G370" s="16" t="s">
        <v>153</v>
      </c>
      <c r="H370" s="17" t="s">
        <v>153</v>
      </c>
      <c r="I370" s="18" t="s">
        <v>7860</v>
      </c>
      <c r="J370" s="19" t="s">
        <v>7862</v>
      </c>
      <c r="K370" s="20" t="s">
        <v>882</v>
      </c>
      <c r="L370" s="21" t="s">
        <v>2888</v>
      </c>
      <c r="M370" s="22" t="s">
        <v>2889</v>
      </c>
      <c r="N370" s="23" t="s">
        <v>7863</v>
      </c>
      <c r="O370" s="24" t="s">
        <v>153</v>
      </c>
      <c r="P370" s="25" t="s">
        <v>7864</v>
      </c>
      <c r="Q370" s="26" t="s">
        <v>204</v>
      </c>
      <c r="R370" s="27" t="s">
        <v>153</v>
      </c>
      <c r="S370" s="28" t="s">
        <v>153</v>
      </c>
      <c r="T370" s="29" t="s">
        <v>205</v>
      </c>
      <c r="U370" s="30" t="s">
        <v>206</v>
      </c>
      <c r="V370" s="31" t="s">
        <v>153</v>
      </c>
      <c r="W370" s="32" t="s">
        <v>153</v>
      </c>
      <c r="X370" s="33" t="s">
        <v>153</v>
      </c>
      <c r="Y370" s="34" t="s">
        <v>153</v>
      </c>
      <c r="Z370" s="35" t="s">
        <v>153</v>
      </c>
      <c r="AA370" s="36" t="s">
        <v>153</v>
      </c>
      <c r="AB370" s="37" t="s">
        <v>153</v>
      </c>
      <c r="AC370" s="38" t="s">
        <v>153</v>
      </c>
      <c r="AD370" s="39" t="s">
        <v>153</v>
      </c>
      <c r="AE370" s="40" t="s">
        <v>153</v>
      </c>
      <c r="AF370" s="41" t="s">
        <v>153</v>
      </c>
      <c r="AG370" s="42" t="s">
        <v>153</v>
      </c>
      <c r="AH370" s="43" t="s">
        <v>153</v>
      </c>
      <c r="AI370" s="44" t="s">
        <v>153</v>
      </c>
      <c r="AJ370" s="45" t="s">
        <v>153</v>
      </c>
      <c r="AK370" s="46" t="s">
        <v>153</v>
      </c>
      <c r="AL370" s="47" t="s">
        <v>153</v>
      </c>
      <c r="AM370" s="48" t="s">
        <v>153</v>
      </c>
      <c r="AN370" s="49" t="s">
        <v>153</v>
      </c>
      <c r="AO370" s="50" t="s">
        <v>153</v>
      </c>
      <c r="AP370" s="51" t="s">
        <v>153</v>
      </c>
      <c r="AQ370" s="52" t="s">
        <v>153</v>
      </c>
      <c r="AR370" s="53" t="s">
        <v>153</v>
      </c>
      <c r="AS370" s="54" t="s">
        <v>153</v>
      </c>
      <c r="AT370" s="55" t="s">
        <v>433</v>
      </c>
      <c r="AU370" s="56" t="s">
        <v>7865</v>
      </c>
      <c r="AV370" s="57" t="s">
        <v>7866</v>
      </c>
      <c r="AW370" s="58" t="s">
        <v>436</v>
      </c>
      <c r="AX370" s="59" t="s">
        <v>436</v>
      </c>
      <c r="AY370" s="60" t="s">
        <v>153</v>
      </c>
      <c r="AZ370" s="61" t="s">
        <v>215</v>
      </c>
      <c r="BA370" s="62" t="s">
        <v>153</v>
      </c>
      <c r="BB370" s="63" t="s">
        <v>153</v>
      </c>
      <c r="BC370" s="64" t="s">
        <v>153</v>
      </c>
      <c r="BD370" s="65" t="s">
        <v>216</v>
      </c>
      <c r="BE370" s="66" t="s">
        <v>217</v>
      </c>
      <c r="BF370" s="67" t="s">
        <v>7867</v>
      </c>
      <c r="BG370" s="68" t="s">
        <v>153</v>
      </c>
      <c r="BH370" s="69" t="s">
        <v>153</v>
      </c>
      <c r="BI370" s="70" t="s">
        <v>7293</v>
      </c>
      <c r="BJ370" s="71" t="s">
        <v>7868</v>
      </c>
      <c r="BK370" s="72" t="s">
        <v>153</v>
      </c>
      <c r="BL370" s="73" t="s">
        <v>153</v>
      </c>
      <c r="BM370" s="74" t="s">
        <v>7869</v>
      </c>
      <c r="BN370" s="75" t="s">
        <v>153</v>
      </c>
      <c r="BO370" s="76" t="s">
        <v>153</v>
      </c>
      <c r="BP370" s="77" t="s">
        <v>153</v>
      </c>
      <c r="BQ370" s="78">
        <v>42538</v>
      </c>
      <c r="BR370" s="79">
        <v>10600</v>
      </c>
      <c r="BS370" s="80" t="s">
        <v>186</v>
      </c>
      <c r="BT370" s="81">
        <v>10600</v>
      </c>
      <c r="BU370" s="82" t="s">
        <v>186</v>
      </c>
      <c r="BV370" s="83" t="s">
        <v>1524</v>
      </c>
      <c r="BW370" s="84" t="s">
        <v>1525</v>
      </c>
      <c r="BX370" s="85" t="s">
        <v>1526</v>
      </c>
      <c r="BY370" s="86" t="s">
        <v>225</v>
      </c>
      <c r="BZ370" s="87" t="s">
        <v>153</v>
      </c>
      <c r="CA370" s="88" t="s">
        <v>190</v>
      </c>
      <c r="CB370" s="89">
        <v>42538</v>
      </c>
      <c r="CC370" s="90">
        <v>10600</v>
      </c>
      <c r="CD370" s="91" t="s">
        <v>186</v>
      </c>
      <c r="CE370" s="92">
        <v>10600</v>
      </c>
      <c r="CF370" s="93" t="s">
        <v>186</v>
      </c>
      <c r="CG370" s="94" t="s">
        <v>1524</v>
      </c>
      <c r="CH370" s="95" t="s">
        <v>1525</v>
      </c>
      <c r="CI370" s="96" t="s">
        <v>1526</v>
      </c>
      <c r="CJ370" s="97" t="s">
        <v>225</v>
      </c>
      <c r="CK370" s="98">
        <v>42538</v>
      </c>
      <c r="CL370" s="99" t="s">
        <v>153</v>
      </c>
      <c r="CM370" s="100" t="s">
        <v>153</v>
      </c>
      <c r="CN370" s="101" t="s">
        <v>190</v>
      </c>
      <c r="CO370" s="102" t="s">
        <v>153</v>
      </c>
      <c r="CP370" s="103" t="s">
        <v>153</v>
      </c>
      <c r="CQ370" s="104" t="s">
        <v>153</v>
      </c>
      <c r="CR370" s="105" t="s">
        <v>153</v>
      </c>
      <c r="CS370" s="106" t="s">
        <v>153</v>
      </c>
      <c r="CT370" s="107" t="s">
        <v>153</v>
      </c>
      <c r="CU370" s="108" t="s">
        <v>153</v>
      </c>
      <c r="CV370" s="109" t="s">
        <v>153</v>
      </c>
      <c r="CW370" s="110" t="s">
        <v>153</v>
      </c>
      <c r="CX370" s="111" t="s">
        <v>153</v>
      </c>
      <c r="CY370" s="112" t="s">
        <v>153</v>
      </c>
      <c r="CZ370" s="113" t="s">
        <v>153</v>
      </c>
      <c r="DA370" s="114" t="s">
        <v>153</v>
      </c>
      <c r="DB370" s="115" t="s">
        <v>153</v>
      </c>
      <c r="DC370" s="116" t="s">
        <v>153</v>
      </c>
      <c r="DD370" s="117" t="s">
        <v>153</v>
      </c>
      <c r="DE370" s="118" t="s">
        <v>153</v>
      </c>
      <c r="DF370" s="119" t="s">
        <v>153</v>
      </c>
      <c r="DG370" s="120" t="s">
        <v>153</v>
      </c>
      <c r="DH370" s="121" t="s">
        <v>153</v>
      </c>
      <c r="DI370" s="122" t="s">
        <v>153</v>
      </c>
      <c r="DJ370" s="123" t="s">
        <v>153</v>
      </c>
      <c r="DK370" s="124" t="s">
        <v>153</v>
      </c>
      <c r="DL370" s="125" t="s">
        <v>153</v>
      </c>
      <c r="DM370" s="126" t="s">
        <v>153</v>
      </c>
      <c r="DN370" s="127" t="s">
        <v>153</v>
      </c>
      <c r="DO370" s="128" t="s">
        <v>153</v>
      </c>
      <c r="DP370" s="129" t="s">
        <v>153</v>
      </c>
      <c r="DQ370" s="130" t="s">
        <v>153</v>
      </c>
      <c r="DR370" s="131" t="s">
        <v>153</v>
      </c>
      <c r="DS370" s="132" t="s">
        <v>153</v>
      </c>
      <c r="DT370" s="133" t="s">
        <v>153</v>
      </c>
      <c r="DU370" s="134" t="s">
        <v>153</v>
      </c>
      <c r="DV370" s="135" t="s">
        <v>153</v>
      </c>
      <c r="DW370" s="136" t="s">
        <v>153</v>
      </c>
      <c r="DX370" s="137" t="s">
        <v>153</v>
      </c>
      <c r="DY370" s="138" t="s">
        <v>153</v>
      </c>
      <c r="DZ370" s="139" t="s">
        <v>191</v>
      </c>
      <c r="EA370" s="140">
        <v>44147</v>
      </c>
      <c r="EB370" s="141">
        <v>10600</v>
      </c>
      <c r="EC370" s="142">
        <v>42538</v>
      </c>
      <c r="ED370" s="143" t="s">
        <v>1524</v>
      </c>
      <c r="EE370" s="278" t="str">
        <f>HYPERLINK("https://my.pitchbook.com?c=154631-98", "View company online")</f>
        <v>View company online</v>
      </c>
    </row>
    <row r="371" spans="1:135" x14ac:dyDescent="0.45">
      <c r="A371" s="144" t="s">
        <v>7870</v>
      </c>
      <c r="B371" s="145" t="s">
        <v>7871</v>
      </c>
      <c r="C371" s="146" t="s">
        <v>153</v>
      </c>
      <c r="D371" s="147" t="s">
        <v>153</v>
      </c>
      <c r="E371" s="148" t="s">
        <v>7872</v>
      </c>
      <c r="F371" s="149" t="s">
        <v>7873</v>
      </c>
      <c r="G371" s="150" t="s">
        <v>7874</v>
      </c>
      <c r="H371" s="151" t="s">
        <v>7875</v>
      </c>
      <c r="I371" s="152" t="s">
        <v>7870</v>
      </c>
      <c r="J371" s="153" t="s">
        <v>7876</v>
      </c>
      <c r="K371" s="154" t="s">
        <v>198</v>
      </c>
      <c r="L371" s="155" t="s">
        <v>1589</v>
      </c>
      <c r="M371" s="156" t="s">
        <v>1590</v>
      </c>
      <c r="N371" s="157" t="s">
        <v>4872</v>
      </c>
      <c r="O371" s="158" t="s">
        <v>7877</v>
      </c>
      <c r="P371" s="159" t="s">
        <v>7878</v>
      </c>
      <c r="Q371" s="160" t="s">
        <v>289</v>
      </c>
      <c r="R371" s="161" t="s">
        <v>153</v>
      </c>
      <c r="S371" s="162" t="s">
        <v>290</v>
      </c>
      <c r="T371" s="163" t="s">
        <v>291</v>
      </c>
      <c r="U371" s="164" t="s">
        <v>482</v>
      </c>
      <c r="V371" s="165" t="s">
        <v>7879</v>
      </c>
      <c r="W371" s="166">
        <v>10600</v>
      </c>
      <c r="X371" s="167" t="s">
        <v>7880</v>
      </c>
      <c r="Y371" s="168" t="s">
        <v>295</v>
      </c>
      <c r="Z371" s="169" t="s">
        <v>7873</v>
      </c>
      <c r="AA371" s="170">
        <v>1976</v>
      </c>
      <c r="AB371" s="171" t="s">
        <v>153</v>
      </c>
      <c r="AC371" s="172" t="s">
        <v>153</v>
      </c>
      <c r="AD371" s="173" t="s">
        <v>1794</v>
      </c>
      <c r="AE371" s="174">
        <v>6452.86</v>
      </c>
      <c r="AF371" s="175">
        <v>3831.39</v>
      </c>
      <c r="AG371" s="176">
        <v>1856.57</v>
      </c>
      <c r="AH371" s="177">
        <v>52191.99</v>
      </c>
      <c r="AI371" s="178">
        <v>2520.2399999999998</v>
      </c>
      <c r="AJ371" s="179">
        <v>2192.61</v>
      </c>
      <c r="AK371" s="180">
        <v>49166.66</v>
      </c>
      <c r="AL371" s="181">
        <v>1101.51</v>
      </c>
      <c r="AM371" s="182">
        <v>15.12</v>
      </c>
      <c r="AN371" s="183" t="s">
        <v>3265</v>
      </c>
      <c r="AO371" s="184" t="s">
        <v>7881</v>
      </c>
      <c r="AP371" s="185" t="s">
        <v>7882</v>
      </c>
      <c r="AQ371" s="186" t="s">
        <v>2721</v>
      </c>
      <c r="AR371" s="187" t="s">
        <v>7883</v>
      </c>
      <c r="AS371" s="188" t="s">
        <v>7884</v>
      </c>
      <c r="AT371" s="189" t="s">
        <v>4882</v>
      </c>
      <c r="AU371" s="190" t="s">
        <v>7885</v>
      </c>
      <c r="AV371" s="191" t="s">
        <v>153</v>
      </c>
      <c r="AW371" s="192" t="s">
        <v>4884</v>
      </c>
      <c r="AX371" s="193" t="s">
        <v>308</v>
      </c>
      <c r="AY371" s="194" t="s">
        <v>4885</v>
      </c>
      <c r="AZ371" s="195" t="s">
        <v>215</v>
      </c>
      <c r="BA371" s="196" t="s">
        <v>7884</v>
      </c>
      <c r="BB371" s="197" t="s">
        <v>7886</v>
      </c>
      <c r="BC371" s="198" t="s">
        <v>7887</v>
      </c>
      <c r="BD371" s="199" t="s">
        <v>216</v>
      </c>
      <c r="BE371" s="200" t="s">
        <v>217</v>
      </c>
      <c r="BF371" s="201" t="s">
        <v>7888</v>
      </c>
      <c r="BG371" s="202" t="s">
        <v>153</v>
      </c>
      <c r="BH371" s="203" t="s">
        <v>153</v>
      </c>
      <c r="BI371" s="204" t="s">
        <v>153</v>
      </c>
      <c r="BJ371" s="205" t="s">
        <v>7889</v>
      </c>
      <c r="BK371" s="206" t="s">
        <v>7890</v>
      </c>
      <c r="BL371" s="207" t="s">
        <v>153</v>
      </c>
      <c r="BM371" s="208" t="s">
        <v>7891</v>
      </c>
      <c r="BN371" s="209" t="s">
        <v>7892</v>
      </c>
      <c r="BO371" s="210" t="s">
        <v>7893</v>
      </c>
      <c r="BP371" s="211" t="s">
        <v>7894</v>
      </c>
      <c r="BQ371" s="212" t="s">
        <v>153</v>
      </c>
      <c r="BR371" s="213" t="s">
        <v>153</v>
      </c>
      <c r="BS371" s="214" t="s">
        <v>153</v>
      </c>
      <c r="BT371" s="215" t="s">
        <v>153</v>
      </c>
      <c r="BU371" s="216" t="s">
        <v>153</v>
      </c>
      <c r="BV371" s="217" t="s">
        <v>471</v>
      </c>
      <c r="BW371" s="218" t="s">
        <v>153</v>
      </c>
      <c r="BX371" s="219" t="s">
        <v>153</v>
      </c>
      <c r="BY371" s="220" t="s">
        <v>472</v>
      </c>
      <c r="BZ371" s="221" t="s">
        <v>153</v>
      </c>
      <c r="CA371" s="222" t="s">
        <v>190</v>
      </c>
      <c r="CB371" s="223">
        <v>42648</v>
      </c>
      <c r="CC371" s="224">
        <v>10600</v>
      </c>
      <c r="CD371" s="225" t="s">
        <v>186</v>
      </c>
      <c r="CE371" s="226">
        <v>10600</v>
      </c>
      <c r="CF371" s="227" t="s">
        <v>186</v>
      </c>
      <c r="CG371" s="228" t="s">
        <v>226</v>
      </c>
      <c r="CH371" s="229" t="s">
        <v>153</v>
      </c>
      <c r="CI371" s="230" t="s">
        <v>153</v>
      </c>
      <c r="CJ371" s="231" t="s">
        <v>225</v>
      </c>
      <c r="CK371" s="232">
        <v>42648</v>
      </c>
      <c r="CL371" s="233" t="s">
        <v>153</v>
      </c>
      <c r="CM371" s="234" t="s">
        <v>5101</v>
      </c>
      <c r="CN371" s="235" t="s">
        <v>394</v>
      </c>
      <c r="CO371" s="236">
        <v>0.06</v>
      </c>
      <c r="CP371" s="237">
        <v>88</v>
      </c>
      <c r="CQ371" s="238">
        <v>0</v>
      </c>
      <c r="CR371" s="239">
        <v>5.43</v>
      </c>
      <c r="CS371" s="240">
        <v>-0.04</v>
      </c>
      <c r="CT371" s="241">
        <v>8</v>
      </c>
      <c r="CU371" s="242">
        <v>0.16</v>
      </c>
      <c r="CV371" s="243">
        <v>89</v>
      </c>
      <c r="CW371" s="244">
        <v>-0.42</v>
      </c>
      <c r="CX371" s="245">
        <v>19</v>
      </c>
      <c r="CY371" s="246">
        <v>0.35</v>
      </c>
      <c r="CZ371" s="247">
        <v>93</v>
      </c>
      <c r="DA371" s="248">
        <v>0.16</v>
      </c>
      <c r="DB371" s="249">
        <v>89</v>
      </c>
      <c r="DC371" s="250">
        <v>44.63</v>
      </c>
      <c r="DD371" s="251">
        <v>98</v>
      </c>
      <c r="DE371" s="252">
        <v>0.16</v>
      </c>
      <c r="DF371" s="253">
        <v>0.36</v>
      </c>
      <c r="DG371" s="254">
        <v>78.62</v>
      </c>
      <c r="DH371" s="255">
        <v>99</v>
      </c>
      <c r="DI371" s="256">
        <v>10.63</v>
      </c>
      <c r="DJ371" s="257">
        <v>87</v>
      </c>
      <c r="DK371" s="258">
        <v>41.56</v>
      </c>
      <c r="DL371" s="259">
        <v>94</v>
      </c>
      <c r="DM371" s="260">
        <v>115.69</v>
      </c>
      <c r="DN371" s="261">
        <v>100</v>
      </c>
      <c r="DO371" s="262">
        <v>10.63</v>
      </c>
      <c r="DP371" s="263">
        <v>87</v>
      </c>
      <c r="DQ371" s="264">
        <v>24600</v>
      </c>
      <c r="DR371" s="265">
        <v>158</v>
      </c>
      <c r="DS371" s="266">
        <v>0.65</v>
      </c>
      <c r="DT371" s="267">
        <v>1847</v>
      </c>
      <c r="DU371" s="268">
        <v>8</v>
      </c>
      <c r="DV371" s="269">
        <v>0.44</v>
      </c>
      <c r="DW371" s="270">
        <v>3334</v>
      </c>
      <c r="DX371" s="271">
        <v>6</v>
      </c>
      <c r="DY371" s="272">
        <v>0.18</v>
      </c>
      <c r="DZ371" s="273" t="s">
        <v>191</v>
      </c>
      <c r="EA371" s="274">
        <v>44400</v>
      </c>
      <c r="EB371" s="275">
        <v>10600</v>
      </c>
      <c r="EC371" s="276">
        <v>42648</v>
      </c>
      <c r="ED371" s="277" t="s">
        <v>226</v>
      </c>
      <c r="EE371" s="279" t="str">
        <f>HYPERLINK("https://my.pitchbook.com?c=25122-61", "View company online")</f>
        <v>View company online</v>
      </c>
    </row>
    <row r="372" spans="1:135" x14ac:dyDescent="0.45">
      <c r="A372" s="10" t="s">
        <v>7895</v>
      </c>
      <c r="B372" s="11" t="s">
        <v>7896</v>
      </c>
      <c r="C372" s="12" t="s">
        <v>153</v>
      </c>
      <c r="D372" s="13" t="s">
        <v>153</v>
      </c>
      <c r="E372" s="14" t="s">
        <v>153</v>
      </c>
      <c r="F372" s="15" t="s">
        <v>153</v>
      </c>
      <c r="G372" s="16" t="s">
        <v>153</v>
      </c>
      <c r="H372" s="17" t="s">
        <v>153</v>
      </c>
      <c r="I372" s="18" t="s">
        <v>7895</v>
      </c>
      <c r="J372" s="19" t="s">
        <v>7897</v>
      </c>
      <c r="K372" s="20" t="s">
        <v>157</v>
      </c>
      <c r="L372" s="21" t="s">
        <v>2713</v>
      </c>
      <c r="M372" s="22" t="s">
        <v>4514</v>
      </c>
      <c r="N372" s="23" t="s">
        <v>7898</v>
      </c>
      <c r="O372" s="24" t="s">
        <v>153</v>
      </c>
      <c r="P372" s="25" t="s">
        <v>7899</v>
      </c>
      <c r="Q372" s="26" t="s">
        <v>204</v>
      </c>
      <c r="R372" s="27" t="s">
        <v>153</v>
      </c>
      <c r="S372" s="28" t="s">
        <v>163</v>
      </c>
      <c r="T372" s="29" t="s">
        <v>205</v>
      </c>
      <c r="U372" s="30" t="s">
        <v>206</v>
      </c>
      <c r="V372" s="31" t="s">
        <v>153</v>
      </c>
      <c r="W372" s="32" t="s">
        <v>153</v>
      </c>
      <c r="X372" s="33" t="s">
        <v>153</v>
      </c>
      <c r="Y372" s="34" t="s">
        <v>153</v>
      </c>
      <c r="Z372" s="35" t="s">
        <v>153</v>
      </c>
      <c r="AA372" s="36" t="s">
        <v>153</v>
      </c>
      <c r="AB372" s="37" t="s">
        <v>153</v>
      </c>
      <c r="AC372" s="38" t="s">
        <v>153</v>
      </c>
      <c r="AD372" s="39" t="s">
        <v>428</v>
      </c>
      <c r="AE372" s="40" t="s">
        <v>153</v>
      </c>
      <c r="AF372" s="41" t="s">
        <v>153</v>
      </c>
      <c r="AG372" s="42" t="s">
        <v>153</v>
      </c>
      <c r="AH372" s="43" t="s">
        <v>153</v>
      </c>
      <c r="AI372" s="44" t="s">
        <v>153</v>
      </c>
      <c r="AJ372" s="45" t="s">
        <v>153</v>
      </c>
      <c r="AK372" s="46" t="s">
        <v>153</v>
      </c>
      <c r="AL372" s="47" t="s">
        <v>153</v>
      </c>
      <c r="AM372" s="48" t="s">
        <v>153</v>
      </c>
      <c r="AN372" s="49" t="s">
        <v>153</v>
      </c>
      <c r="AO372" s="50" t="s">
        <v>153</v>
      </c>
      <c r="AP372" s="51" t="s">
        <v>153</v>
      </c>
      <c r="AQ372" s="52" t="s">
        <v>153</v>
      </c>
      <c r="AR372" s="53" t="s">
        <v>153</v>
      </c>
      <c r="AS372" s="54" t="s">
        <v>153</v>
      </c>
      <c r="AT372" s="55" t="s">
        <v>153</v>
      </c>
      <c r="AU372" s="56" t="s">
        <v>153</v>
      </c>
      <c r="AV372" s="57" t="s">
        <v>153</v>
      </c>
      <c r="AW372" s="58" t="s">
        <v>153</v>
      </c>
      <c r="AX372" s="59" t="s">
        <v>153</v>
      </c>
      <c r="AY372" s="60" t="s">
        <v>153</v>
      </c>
      <c r="AZ372" s="61" t="s">
        <v>153</v>
      </c>
      <c r="BA372" s="62" t="s">
        <v>153</v>
      </c>
      <c r="BB372" s="63" t="s">
        <v>153</v>
      </c>
      <c r="BC372" s="64" t="s">
        <v>153</v>
      </c>
      <c r="BD372" s="65" t="s">
        <v>153</v>
      </c>
      <c r="BE372" s="66" t="s">
        <v>153</v>
      </c>
      <c r="BF372" s="67" t="s">
        <v>7900</v>
      </c>
      <c r="BG372" s="68" t="s">
        <v>153</v>
      </c>
      <c r="BH372" s="69" t="s">
        <v>153</v>
      </c>
      <c r="BI372" s="70" t="s">
        <v>7901</v>
      </c>
      <c r="BJ372" s="71" t="s">
        <v>7902</v>
      </c>
      <c r="BK372" s="72" t="s">
        <v>153</v>
      </c>
      <c r="BL372" s="73" t="s">
        <v>153</v>
      </c>
      <c r="BM372" s="74" t="s">
        <v>7903</v>
      </c>
      <c r="BN372" s="75" t="s">
        <v>153</v>
      </c>
      <c r="BO372" s="76" t="s">
        <v>153</v>
      </c>
      <c r="BP372" s="77" t="s">
        <v>153</v>
      </c>
      <c r="BQ372" s="78">
        <v>43899</v>
      </c>
      <c r="BR372" s="79">
        <v>10600</v>
      </c>
      <c r="BS372" s="80" t="s">
        <v>187</v>
      </c>
      <c r="BT372" s="81">
        <v>10600</v>
      </c>
      <c r="BU372" s="82" t="s">
        <v>187</v>
      </c>
      <c r="BV372" s="83" t="s">
        <v>226</v>
      </c>
      <c r="BW372" s="84" t="s">
        <v>729</v>
      </c>
      <c r="BX372" s="85" t="s">
        <v>153</v>
      </c>
      <c r="BY372" s="86" t="s">
        <v>225</v>
      </c>
      <c r="BZ372" s="87" t="s">
        <v>153</v>
      </c>
      <c r="CA372" s="88" t="s">
        <v>190</v>
      </c>
      <c r="CB372" s="89">
        <v>43899</v>
      </c>
      <c r="CC372" s="90">
        <v>10600</v>
      </c>
      <c r="CD372" s="91" t="s">
        <v>187</v>
      </c>
      <c r="CE372" s="92">
        <v>10600</v>
      </c>
      <c r="CF372" s="93" t="s">
        <v>187</v>
      </c>
      <c r="CG372" s="94" t="s">
        <v>226</v>
      </c>
      <c r="CH372" s="95" t="s">
        <v>729</v>
      </c>
      <c r="CI372" s="96" t="s">
        <v>153</v>
      </c>
      <c r="CJ372" s="97" t="s">
        <v>225</v>
      </c>
      <c r="CK372" s="98">
        <v>43899</v>
      </c>
      <c r="CL372" s="99" t="s">
        <v>153</v>
      </c>
      <c r="CM372" s="100" t="s">
        <v>153</v>
      </c>
      <c r="CN372" s="101" t="s">
        <v>190</v>
      </c>
      <c r="CO372" s="102" t="s">
        <v>153</v>
      </c>
      <c r="CP372" s="103" t="s">
        <v>153</v>
      </c>
      <c r="CQ372" s="104" t="s">
        <v>153</v>
      </c>
      <c r="CR372" s="105" t="s">
        <v>153</v>
      </c>
      <c r="CS372" s="106" t="s">
        <v>153</v>
      </c>
      <c r="CT372" s="107" t="s">
        <v>153</v>
      </c>
      <c r="CU372" s="108" t="s">
        <v>153</v>
      </c>
      <c r="CV372" s="109" t="s">
        <v>153</v>
      </c>
      <c r="CW372" s="110" t="s">
        <v>153</v>
      </c>
      <c r="CX372" s="111" t="s">
        <v>153</v>
      </c>
      <c r="CY372" s="112" t="s">
        <v>153</v>
      </c>
      <c r="CZ372" s="113" t="s">
        <v>153</v>
      </c>
      <c r="DA372" s="114" t="s">
        <v>153</v>
      </c>
      <c r="DB372" s="115" t="s">
        <v>153</v>
      </c>
      <c r="DC372" s="116" t="s">
        <v>153</v>
      </c>
      <c r="DD372" s="117" t="s">
        <v>153</v>
      </c>
      <c r="DE372" s="118" t="s">
        <v>153</v>
      </c>
      <c r="DF372" s="119" t="s">
        <v>153</v>
      </c>
      <c r="DG372" s="120" t="s">
        <v>153</v>
      </c>
      <c r="DH372" s="121" t="s">
        <v>153</v>
      </c>
      <c r="DI372" s="122" t="s">
        <v>153</v>
      </c>
      <c r="DJ372" s="123" t="s">
        <v>153</v>
      </c>
      <c r="DK372" s="124" t="s">
        <v>153</v>
      </c>
      <c r="DL372" s="125" t="s">
        <v>153</v>
      </c>
      <c r="DM372" s="126" t="s">
        <v>153</v>
      </c>
      <c r="DN372" s="127" t="s">
        <v>153</v>
      </c>
      <c r="DO372" s="128" t="s">
        <v>153</v>
      </c>
      <c r="DP372" s="129" t="s">
        <v>153</v>
      </c>
      <c r="DQ372" s="130" t="s">
        <v>153</v>
      </c>
      <c r="DR372" s="131" t="s">
        <v>153</v>
      </c>
      <c r="DS372" s="132" t="s">
        <v>153</v>
      </c>
      <c r="DT372" s="133" t="s">
        <v>153</v>
      </c>
      <c r="DU372" s="134" t="s">
        <v>153</v>
      </c>
      <c r="DV372" s="135" t="s">
        <v>153</v>
      </c>
      <c r="DW372" s="136" t="s">
        <v>153</v>
      </c>
      <c r="DX372" s="137" t="s">
        <v>153</v>
      </c>
      <c r="DY372" s="138" t="s">
        <v>153</v>
      </c>
      <c r="DZ372" s="139" t="s">
        <v>191</v>
      </c>
      <c r="EA372" s="140">
        <v>44281</v>
      </c>
      <c r="EB372" s="141">
        <v>10600</v>
      </c>
      <c r="EC372" s="142">
        <v>43899</v>
      </c>
      <c r="ED372" s="143" t="s">
        <v>226</v>
      </c>
      <c r="EE372" s="278" t="str">
        <f>HYPERLINK("https://my.pitchbook.com?c=433935-01", "View company online")</f>
        <v>View company online</v>
      </c>
    </row>
    <row r="373" spans="1:135" x14ac:dyDescent="0.45">
      <c r="A373" s="144" t="s">
        <v>7904</v>
      </c>
      <c r="B373" s="145" t="s">
        <v>7905</v>
      </c>
      <c r="C373" s="146" t="s">
        <v>153</v>
      </c>
      <c r="D373" s="147" t="s">
        <v>153</v>
      </c>
      <c r="E373" s="148" t="s">
        <v>153</v>
      </c>
      <c r="F373" s="149" t="s">
        <v>7906</v>
      </c>
      <c r="G373" s="150" t="s">
        <v>7907</v>
      </c>
      <c r="H373" s="151" t="s">
        <v>153</v>
      </c>
      <c r="I373" s="152" t="s">
        <v>7904</v>
      </c>
      <c r="J373" s="153" t="s">
        <v>7908</v>
      </c>
      <c r="K373" s="154" t="s">
        <v>157</v>
      </c>
      <c r="L373" s="155" t="s">
        <v>2713</v>
      </c>
      <c r="M373" s="156" t="s">
        <v>2714</v>
      </c>
      <c r="N373" s="157" t="s">
        <v>7909</v>
      </c>
      <c r="O373" s="158" t="s">
        <v>153</v>
      </c>
      <c r="P373" s="159" t="s">
        <v>7910</v>
      </c>
      <c r="Q373" s="160" t="s">
        <v>204</v>
      </c>
      <c r="R373" s="161" t="s">
        <v>153</v>
      </c>
      <c r="S373" s="162" t="s">
        <v>163</v>
      </c>
      <c r="T373" s="163" t="s">
        <v>164</v>
      </c>
      <c r="U373" s="164" t="s">
        <v>206</v>
      </c>
      <c r="V373" s="165" t="s">
        <v>7911</v>
      </c>
      <c r="W373" s="166">
        <v>60000</v>
      </c>
      <c r="X373" s="167" t="s">
        <v>7912</v>
      </c>
      <c r="Y373" s="168" t="s">
        <v>153</v>
      </c>
      <c r="Z373" s="169" t="s">
        <v>153</v>
      </c>
      <c r="AA373" s="170" t="s">
        <v>153</v>
      </c>
      <c r="AB373" s="171" t="s">
        <v>7901</v>
      </c>
      <c r="AC373" s="172" t="s">
        <v>153</v>
      </c>
      <c r="AD373" s="173" t="s">
        <v>153</v>
      </c>
      <c r="AE373" s="174">
        <v>6496.23</v>
      </c>
      <c r="AF373" s="175" t="s">
        <v>153</v>
      </c>
      <c r="AG373" s="176" t="s">
        <v>153</v>
      </c>
      <c r="AH373" s="177" t="s">
        <v>153</v>
      </c>
      <c r="AI373" s="178" t="s">
        <v>153</v>
      </c>
      <c r="AJ373" s="179" t="s">
        <v>153</v>
      </c>
      <c r="AK373" s="180" t="s">
        <v>153</v>
      </c>
      <c r="AL373" s="181" t="s">
        <v>153</v>
      </c>
      <c r="AM373" s="182">
        <v>20.16</v>
      </c>
      <c r="AN373" s="183" t="s">
        <v>168</v>
      </c>
      <c r="AO373" s="184" t="s">
        <v>7913</v>
      </c>
      <c r="AP373" s="185" t="s">
        <v>7914</v>
      </c>
      <c r="AQ373" s="186" t="s">
        <v>512</v>
      </c>
      <c r="AR373" s="187" t="s">
        <v>7915</v>
      </c>
      <c r="AS373" s="188" t="s">
        <v>153</v>
      </c>
      <c r="AT373" s="189" t="s">
        <v>7916</v>
      </c>
      <c r="AU373" s="190" t="s">
        <v>7917</v>
      </c>
      <c r="AV373" s="191" t="s">
        <v>7918</v>
      </c>
      <c r="AW373" s="192" t="s">
        <v>7919</v>
      </c>
      <c r="AX373" s="193" t="s">
        <v>153</v>
      </c>
      <c r="AY373" s="194" t="s">
        <v>7920</v>
      </c>
      <c r="AZ373" s="195" t="s">
        <v>7921</v>
      </c>
      <c r="BA373" s="196" t="s">
        <v>153</v>
      </c>
      <c r="BB373" s="197" t="s">
        <v>153</v>
      </c>
      <c r="BC373" s="198" t="s">
        <v>153</v>
      </c>
      <c r="BD373" s="199" t="s">
        <v>1406</v>
      </c>
      <c r="BE373" s="200" t="s">
        <v>7536</v>
      </c>
      <c r="BF373" s="201" t="s">
        <v>7922</v>
      </c>
      <c r="BG373" s="202" t="s">
        <v>153</v>
      </c>
      <c r="BH373" s="203" t="s">
        <v>153</v>
      </c>
      <c r="BI373" s="204" t="s">
        <v>7901</v>
      </c>
      <c r="BJ373" s="205" t="s">
        <v>7902</v>
      </c>
      <c r="BK373" s="206" t="s">
        <v>153</v>
      </c>
      <c r="BL373" s="207" t="s">
        <v>153</v>
      </c>
      <c r="BM373" s="208" t="s">
        <v>7903</v>
      </c>
      <c r="BN373" s="209" t="s">
        <v>153</v>
      </c>
      <c r="BO373" s="210" t="s">
        <v>153</v>
      </c>
      <c r="BP373" s="211" t="s">
        <v>7923</v>
      </c>
      <c r="BQ373" s="212">
        <v>44187</v>
      </c>
      <c r="BR373" s="213">
        <v>10600</v>
      </c>
      <c r="BS373" s="214" t="s">
        <v>186</v>
      </c>
      <c r="BT373" s="215">
        <v>10600</v>
      </c>
      <c r="BU373" s="216" t="s">
        <v>187</v>
      </c>
      <c r="BV373" s="217" t="s">
        <v>226</v>
      </c>
      <c r="BW373" s="218" t="s">
        <v>729</v>
      </c>
      <c r="BX373" s="219" t="s">
        <v>153</v>
      </c>
      <c r="BY373" s="220" t="s">
        <v>225</v>
      </c>
      <c r="BZ373" s="221" t="s">
        <v>153</v>
      </c>
      <c r="CA373" s="222" t="s">
        <v>190</v>
      </c>
      <c r="CB373" s="223">
        <v>44187</v>
      </c>
      <c r="CC373" s="224">
        <v>10600</v>
      </c>
      <c r="CD373" s="225" t="s">
        <v>186</v>
      </c>
      <c r="CE373" s="226">
        <v>10600</v>
      </c>
      <c r="CF373" s="227" t="s">
        <v>187</v>
      </c>
      <c r="CG373" s="228" t="s">
        <v>226</v>
      </c>
      <c r="CH373" s="229" t="s">
        <v>729</v>
      </c>
      <c r="CI373" s="230" t="s">
        <v>153</v>
      </c>
      <c r="CJ373" s="231" t="s">
        <v>225</v>
      </c>
      <c r="CK373" s="232">
        <v>44187</v>
      </c>
      <c r="CL373" s="233" t="s">
        <v>153</v>
      </c>
      <c r="CM373" s="234" t="s">
        <v>153</v>
      </c>
      <c r="CN373" s="235" t="s">
        <v>190</v>
      </c>
      <c r="CO373" s="236">
        <v>-13.95</v>
      </c>
      <c r="CP373" s="237">
        <v>1</v>
      </c>
      <c r="CQ373" s="238">
        <v>-3.94</v>
      </c>
      <c r="CR373" s="239">
        <v>-39.35</v>
      </c>
      <c r="CS373" s="240">
        <v>-0.25</v>
      </c>
      <c r="CT373" s="241">
        <v>6</v>
      </c>
      <c r="CU373" s="242">
        <v>-27.66</v>
      </c>
      <c r="CV373" s="243">
        <v>1</v>
      </c>
      <c r="CW373" s="244">
        <v>-1.61</v>
      </c>
      <c r="CX373" s="245">
        <v>14</v>
      </c>
      <c r="CY373" s="246">
        <v>1.1200000000000001</v>
      </c>
      <c r="CZ373" s="247">
        <v>98</v>
      </c>
      <c r="DA373" s="248">
        <v>-27.66</v>
      </c>
      <c r="DB373" s="249">
        <v>1</v>
      </c>
      <c r="DC373" s="250">
        <v>38.549999999999997</v>
      </c>
      <c r="DD373" s="251">
        <v>98</v>
      </c>
      <c r="DE373" s="252">
        <v>-1.77</v>
      </c>
      <c r="DF373" s="253">
        <v>-4.4000000000000004</v>
      </c>
      <c r="DG373" s="254">
        <v>77.099999999999994</v>
      </c>
      <c r="DH373" s="255">
        <v>99</v>
      </c>
      <c r="DI373" s="256">
        <v>0</v>
      </c>
      <c r="DJ373" s="257">
        <v>1</v>
      </c>
      <c r="DK373" s="258">
        <v>87.83</v>
      </c>
      <c r="DL373" s="259">
        <v>97</v>
      </c>
      <c r="DM373" s="260">
        <v>66.38</v>
      </c>
      <c r="DN373" s="261">
        <v>99</v>
      </c>
      <c r="DO373" s="262">
        <v>0</v>
      </c>
      <c r="DP373" s="263">
        <v>1</v>
      </c>
      <c r="DQ373" s="264">
        <v>52662</v>
      </c>
      <c r="DR373" s="265">
        <v>-2114</v>
      </c>
      <c r="DS373" s="266">
        <v>-3.86</v>
      </c>
      <c r="DT373" s="267">
        <v>1059</v>
      </c>
      <c r="DU373" s="268">
        <v>9</v>
      </c>
      <c r="DV373" s="269">
        <v>0.86</v>
      </c>
      <c r="DW373" s="270">
        <v>511</v>
      </c>
      <c r="DX373" s="271">
        <v>-1190</v>
      </c>
      <c r="DY373" s="272">
        <v>-69.959999999999994</v>
      </c>
      <c r="DZ373" s="273" t="s">
        <v>191</v>
      </c>
      <c r="EA373" s="274">
        <v>44285</v>
      </c>
      <c r="EB373" s="275">
        <v>10600</v>
      </c>
      <c r="EC373" s="276">
        <v>44187</v>
      </c>
      <c r="ED373" s="277" t="s">
        <v>226</v>
      </c>
      <c r="EE373" s="279" t="str">
        <f>HYPERLINK("https://my.pitchbook.com?c=99637-39", "View company online")</f>
        <v>View company online</v>
      </c>
    </row>
    <row r="374" spans="1:135" x14ac:dyDescent="0.45">
      <c r="A374" s="10" t="s">
        <v>7924</v>
      </c>
      <c r="B374" s="11" t="s">
        <v>7925</v>
      </c>
      <c r="C374" s="12" t="s">
        <v>153</v>
      </c>
      <c r="D374" s="13" t="s">
        <v>153</v>
      </c>
      <c r="E374" s="14" t="s">
        <v>153</v>
      </c>
      <c r="F374" s="15" t="s">
        <v>153</v>
      </c>
      <c r="G374" s="16" t="s">
        <v>153</v>
      </c>
      <c r="H374" s="17" t="s">
        <v>153</v>
      </c>
      <c r="I374" s="18" t="s">
        <v>7924</v>
      </c>
      <c r="J374" s="19" t="s">
        <v>7926</v>
      </c>
      <c r="K374" s="20" t="s">
        <v>882</v>
      </c>
      <c r="L374" s="21" t="s">
        <v>2888</v>
      </c>
      <c r="M374" s="22" t="s">
        <v>2889</v>
      </c>
      <c r="N374" s="23" t="s">
        <v>7927</v>
      </c>
      <c r="O374" s="24" t="s">
        <v>153</v>
      </c>
      <c r="P374" s="25" t="s">
        <v>7928</v>
      </c>
      <c r="Q374" s="26" t="s">
        <v>204</v>
      </c>
      <c r="R374" s="27" t="s">
        <v>153</v>
      </c>
      <c r="S374" s="28" t="s">
        <v>153</v>
      </c>
      <c r="T374" s="29" t="s">
        <v>205</v>
      </c>
      <c r="U374" s="30" t="s">
        <v>206</v>
      </c>
      <c r="V374" s="31" t="s">
        <v>153</v>
      </c>
      <c r="W374" s="32" t="s">
        <v>153</v>
      </c>
      <c r="X374" s="33" t="s">
        <v>153</v>
      </c>
      <c r="Y374" s="34" t="s">
        <v>153</v>
      </c>
      <c r="Z374" s="35" t="s">
        <v>153</v>
      </c>
      <c r="AA374" s="36" t="s">
        <v>153</v>
      </c>
      <c r="AB374" s="37" t="s">
        <v>153</v>
      </c>
      <c r="AC374" s="38" t="s">
        <v>153</v>
      </c>
      <c r="AD374" s="39" t="s">
        <v>153</v>
      </c>
      <c r="AE374" s="40" t="s">
        <v>153</v>
      </c>
      <c r="AF374" s="41" t="s">
        <v>153</v>
      </c>
      <c r="AG374" s="42" t="s">
        <v>153</v>
      </c>
      <c r="AH374" s="43" t="s">
        <v>153</v>
      </c>
      <c r="AI374" s="44" t="s">
        <v>153</v>
      </c>
      <c r="AJ374" s="45" t="s">
        <v>153</v>
      </c>
      <c r="AK374" s="46" t="s">
        <v>153</v>
      </c>
      <c r="AL374" s="47" t="s">
        <v>153</v>
      </c>
      <c r="AM374" s="48" t="s">
        <v>153</v>
      </c>
      <c r="AN374" s="49" t="s">
        <v>1442</v>
      </c>
      <c r="AO374" s="50" t="s">
        <v>153</v>
      </c>
      <c r="AP374" s="51" t="s">
        <v>153</v>
      </c>
      <c r="AQ374" s="52" t="s">
        <v>153</v>
      </c>
      <c r="AR374" s="53" t="s">
        <v>153</v>
      </c>
      <c r="AS374" s="54" t="s">
        <v>153</v>
      </c>
      <c r="AT374" s="55" t="s">
        <v>7929</v>
      </c>
      <c r="AU374" s="56" t="s">
        <v>7930</v>
      </c>
      <c r="AV374" s="57" t="s">
        <v>153</v>
      </c>
      <c r="AW374" s="58" t="s">
        <v>7931</v>
      </c>
      <c r="AX374" s="59" t="s">
        <v>4177</v>
      </c>
      <c r="AY374" s="60" t="s">
        <v>7932</v>
      </c>
      <c r="AZ374" s="61" t="s">
        <v>215</v>
      </c>
      <c r="BA374" s="62" t="s">
        <v>153</v>
      </c>
      <c r="BB374" s="63" t="s">
        <v>153</v>
      </c>
      <c r="BC374" s="64" t="s">
        <v>153</v>
      </c>
      <c r="BD374" s="65" t="s">
        <v>216</v>
      </c>
      <c r="BE374" s="66" t="s">
        <v>217</v>
      </c>
      <c r="BF374" s="67" t="s">
        <v>7933</v>
      </c>
      <c r="BG374" s="68" t="s">
        <v>153</v>
      </c>
      <c r="BH374" s="69" t="s">
        <v>153</v>
      </c>
      <c r="BI374" s="70" t="s">
        <v>7934</v>
      </c>
      <c r="BJ374" s="71" t="s">
        <v>7935</v>
      </c>
      <c r="BK374" s="72" t="s">
        <v>153</v>
      </c>
      <c r="BL374" s="73" t="s">
        <v>153</v>
      </c>
      <c r="BM374" s="74" t="s">
        <v>7936</v>
      </c>
      <c r="BN374" s="75" t="s">
        <v>153</v>
      </c>
      <c r="BO374" s="76" t="s">
        <v>153</v>
      </c>
      <c r="BP374" s="77" t="s">
        <v>7937</v>
      </c>
      <c r="BQ374" s="78" t="s">
        <v>153</v>
      </c>
      <c r="BR374" s="79" t="s">
        <v>153</v>
      </c>
      <c r="BS374" s="80" t="s">
        <v>153</v>
      </c>
      <c r="BT374" s="81" t="s">
        <v>153</v>
      </c>
      <c r="BU374" s="82" t="s">
        <v>153</v>
      </c>
      <c r="BV374" s="83" t="s">
        <v>1524</v>
      </c>
      <c r="BW374" s="84" t="s">
        <v>1525</v>
      </c>
      <c r="BX374" s="85" t="s">
        <v>1526</v>
      </c>
      <c r="BY374" s="86" t="s">
        <v>225</v>
      </c>
      <c r="BZ374" s="87" t="s">
        <v>153</v>
      </c>
      <c r="CA374" s="88" t="s">
        <v>190</v>
      </c>
      <c r="CB374" s="89">
        <v>43700</v>
      </c>
      <c r="CC374" s="90">
        <v>10600</v>
      </c>
      <c r="CD374" s="91" t="s">
        <v>186</v>
      </c>
      <c r="CE374" s="92">
        <v>10600</v>
      </c>
      <c r="CF374" s="93" t="s">
        <v>187</v>
      </c>
      <c r="CG374" s="94" t="s">
        <v>1524</v>
      </c>
      <c r="CH374" s="95" t="s">
        <v>1525</v>
      </c>
      <c r="CI374" s="96" t="s">
        <v>1526</v>
      </c>
      <c r="CJ374" s="97" t="s">
        <v>225</v>
      </c>
      <c r="CK374" s="98">
        <v>43700</v>
      </c>
      <c r="CL374" s="99" t="s">
        <v>153</v>
      </c>
      <c r="CM374" s="100" t="s">
        <v>7938</v>
      </c>
      <c r="CN374" s="101" t="s">
        <v>190</v>
      </c>
      <c r="CO374" s="102" t="s">
        <v>153</v>
      </c>
      <c r="CP374" s="103" t="s">
        <v>153</v>
      </c>
      <c r="CQ374" s="104" t="s">
        <v>153</v>
      </c>
      <c r="CR374" s="105" t="s">
        <v>153</v>
      </c>
      <c r="CS374" s="106" t="s">
        <v>153</v>
      </c>
      <c r="CT374" s="107" t="s">
        <v>153</v>
      </c>
      <c r="CU374" s="108" t="s">
        <v>153</v>
      </c>
      <c r="CV374" s="109" t="s">
        <v>153</v>
      </c>
      <c r="CW374" s="110" t="s">
        <v>153</v>
      </c>
      <c r="CX374" s="111" t="s">
        <v>153</v>
      </c>
      <c r="CY374" s="112" t="s">
        <v>153</v>
      </c>
      <c r="CZ374" s="113" t="s">
        <v>153</v>
      </c>
      <c r="DA374" s="114" t="s">
        <v>153</v>
      </c>
      <c r="DB374" s="115" t="s">
        <v>153</v>
      </c>
      <c r="DC374" s="116" t="s">
        <v>153</v>
      </c>
      <c r="DD374" s="117" t="s">
        <v>153</v>
      </c>
      <c r="DE374" s="118" t="s">
        <v>153</v>
      </c>
      <c r="DF374" s="119" t="s">
        <v>153</v>
      </c>
      <c r="DG374" s="120" t="s">
        <v>153</v>
      </c>
      <c r="DH374" s="121" t="s">
        <v>153</v>
      </c>
      <c r="DI374" s="122" t="s">
        <v>153</v>
      </c>
      <c r="DJ374" s="123" t="s">
        <v>153</v>
      </c>
      <c r="DK374" s="124" t="s">
        <v>153</v>
      </c>
      <c r="DL374" s="125" t="s">
        <v>153</v>
      </c>
      <c r="DM374" s="126" t="s">
        <v>153</v>
      </c>
      <c r="DN374" s="127" t="s">
        <v>153</v>
      </c>
      <c r="DO374" s="128" t="s">
        <v>153</v>
      </c>
      <c r="DP374" s="129" t="s">
        <v>153</v>
      </c>
      <c r="DQ374" s="130" t="s">
        <v>153</v>
      </c>
      <c r="DR374" s="131" t="s">
        <v>153</v>
      </c>
      <c r="DS374" s="132" t="s">
        <v>153</v>
      </c>
      <c r="DT374" s="133" t="s">
        <v>153</v>
      </c>
      <c r="DU374" s="134" t="s">
        <v>153</v>
      </c>
      <c r="DV374" s="135" t="s">
        <v>153</v>
      </c>
      <c r="DW374" s="136" t="s">
        <v>153</v>
      </c>
      <c r="DX374" s="137" t="s">
        <v>153</v>
      </c>
      <c r="DY374" s="138" t="s">
        <v>153</v>
      </c>
      <c r="DZ374" s="139" t="s">
        <v>191</v>
      </c>
      <c r="EA374" s="140">
        <v>44294</v>
      </c>
      <c r="EB374" s="141">
        <v>10600</v>
      </c>
      <c r="EC374" s="142">
        <v>43700</v>
      </c>
      <c r="ED374" s="143" t="s">
        <v>1524</v>
      </c>
      <c r="EE374" s="278" t="str">
        <f>HYPERLINK("https://my.pitchbook.com?c=234197-74", "View company online")</f>
        <v>View company online</v>
      </c>
    </row>
    <row r="375" spans="1:135" x14ac:dyDescent="0.45">
      <c r="A375" s="144" t="s">
        <v>7939</v>
      </c>
      <c r="B375" s="145" t="s">
        <v>7940</v>
      </c>
      <c r="C375" s="146" t="s">
        <v>153</v>
      </c>
      <c r="D375" s="147" t="s">
        <v>153</v>
      </c>
      <c r="E375" s="148" t="s">
        <v>153</v>
      </c>
      <c r="F375" s="149" t="s">
        <v>153</v>
      </c>
      <c r="G375" s="150" t="s">
        <v>7941</v>
      </c>
      <c r="H375" s="151" t="s">
        <v>153</v>
      </c>
      <c r="I375" s="152" t="s">
        <v>7939</v>
      </c>
      <c r="J375" s="153" t="s">
        <v>7942</v>
      </c>
      <c r="K375" s="154" t="s">
        <v>232</v>
      </c>
      <c r="L375" s="155" t="s">
        <v>233</v>
      </c>
      <c r="M375" s="156" t="s">
        <v>326</v>
      </c>
      <c r="N375" s="157" t="s">
        <v>5791</v>
      </c>
      <c r="O375" s="158" t="s">
        <v>153</v>
      </c>
      <c r="P375" s="159" t="s">
        <v>7943</v>
      </c>
      <c r="Q375" s="160" t="s">
        <v>204</v>
      </c>
      <c r="R375" s="161" t="s">
        <v>153</v>
      </c>
      <c r="S375" s="162" t="s">
        <v>163</v>
      </c>
      <c r="T375" s="163" t="s">
        <v>164</v>
      </c>
      <c r="U375" s="164" t="s">
        <v>237</v>
      </c>
      <c r="V375" s="165" t="s">
        <v>153</v>
      </c>
      <c r="W375" s="166">
        <v>1615</v>
      </c>
      <c r="X375" s="167" t="s">
        <v>7944</v>
      </c>
      <c r="Y375" s="168" t="s">
        <v>153</v>
      </c>
      <c r="Z375" s="169" t="s">
        <v>153</v>
      </c>
      <c r="AA375" s="170">
        <v>2005</v>
      </c>
      <c r="AB375" s="171" t="s">
        <v>7945</v>
      </c>
      <c r="AC375" s="172" t="s">
        <v>153</v>
      </c>
      <c r="AD375" s="173" t="s">
        <v>153</v>
      </c>
      <c r="AE375" s="174" t="s">
        <v>153</v>
      </c>
      <c r="AF375" s="175" t="s">
        <v>153</v>
      </c>
      <c r="AG375" s="176" t="s">
        <v>153</v>
      </c>
      <c r="AH375" s="177" t="s">
        <v>153</v>
      </c>
      <c r="AI375" s="178" t="s">
        <v>153</v>
      </c>
      <c r="AJ375" s="179" t="s">
        <v>153</v>
      </c>
      <c r="AK375" s="180" t="s">
        <v>153</v>
      </c>
      <c r="AL375" s="181" t="s">
        <v>153</v>
      </c>
      <c r="AM375" s="182" t="s">
        <v>153</v>
      </c>
      <c r="AN375" s="183" t="s">
        <v>4414</v>
      </c>
      <c r="AO375" s="184" t="s">
        <v>7946</v>
      </c>
      <c r="AP375" s="185" t="s">
        <v>7947</v>
      </c>
      <c r="AQ375" s="186" t="s">
        <v>994</v>
      </c>
      <c r="AR375" s="187" t="s">
        <v>153</v>
      </c>
      <c r="AS375" s="188" t="s">
        <v>7948</v>
      </c>
      <c r="AT375" s="189" t="s">
        <v>7074</v>
      </c>
      <c r="AU375" s="190" t="s">
        <v>7949</v>
      </c>
      <c r="AV375" s="191" t="s">
        <v>7950</v>
      </c>
      <c r="AW375" s="192" t="s">
        <v>6555</v>
      </c>
      <c r="AX375" s="193" t="s">
        <v>153</v>
      </c>
      <c r="AY375" s="194" t="s">
        <v>153</v>
      </c>
      <c r="AZ375" s="195" t="s">
        <v>6555</v>
      </c>
      <c r="BA375" s="196" t="s">
        <v>7948</v>
      </c>
      <c r="BB375" s="197" t="s">
        <v>7951</v>
      </c>
      <c r="BC375" s="198" t="s">
        <v>153</v>
      </c>
      <c r="BD375" s="199" t="s">
        <v>1406</v>
      </c>
      <c r="BE375" s="200" t="s">
        <v>1407</v>
      </c>
      <c r="BF375" s="201" t="s">
        <v>7952</v>
      </c>
      <c r="BG375" s="202" t="s">
        <v>153</v>
      </c>
      <c r="BH375" s="203" t="s">
        <v>153</v>
      </c>
      <c r="BI375" s="204" t="s">
        <v>7945</v>
      </c>
      <c r="BJ375" s="205" t="s">
        <v>7161</v>
      </c>
      <c r="BK375" s="206" t="s">
        <v>153</v>
      </c>
      <c r="BL375" s="207" t="s">
        <v>153</v>
      </c>
      <c r="BM375" s="208" t="s">
        <v>7162</v>
      </c>
      <c r="BN375" s="209" t="s">
        <v>153</v>
      </c>
      <c r="BO375" s="210" t="s">
        <v>153</v>
      </c>
      <c r="BP375" s="211" t="s">
        <v>7953</v>
      </c>
      <c r="BQ375" s="212">
        <v>42243</v>
      </c>
      <c r="BR375" s="213">
        <v>10524.6</v>
      </c>
      <c r="BS375" s="214" t="s">
        <v>186</v>
      </c>
      <c r="BT375" s="215">
        <v>14966.73</v>
      </c>
      <c r="BU375" s="216" t="s">
        <v>186</v>
      </c>
      <c r="BV375" s="217" t="s">
        <v>906</v>
      </c>
      <c r="BW375" s="218" t="s">
        <v>153</v>
      </c>
      <c r="BX375" s="219" t="s">
        <v>153</v>
      </c>
      <c r="BY375" s="220" t="s">
        <v>225</v>
      </c>
      <c r="BZ375" s="221" t="s">
        <v>153</v>
      </c>
      <c r="CA375" s="222" t="s">
        <v>190</v>
      </c>
      <c r="CB375" s="223">
        <v>42243</v>
      </c>
      <c r="CC375" s="224">
        <v>10524.6</v>
      </c>
      <c r="CD375" s="225" t="s">
        <v>186</v>
      </c>
      <c r="CE375" s="226">
        <v>14966.73</v>
      </c>
      <c r="CF375" s="227" t="s">
        <v>186</v>
      </c>
      <c r="CG375" s="228" t="s">
        <v>906</v>
      </c>
      <c r="CH375" s="229" t="s">
        <v>153</v>
      </c>
      <c r="CI375" s="230" t="s">
        <v>153</v>
      </c>
      <c r="CJ375" s="231" t="s">
        <v>225</v>
      </c>
      <c r="CK375" s="232">
        <v>42243</v>
      </c>
      <c r="CL375" s="233" t="s">
        <v>153</v>
      </c>
      <c r="CM375" s="234" t="s">
        <v>153</v>
      </c>
      <c r="CN375" s="235" t="s">
        <v>190</v>
      </c>
      <c r="CO375" s="236" t="s">
        <v>153</v>
      </c>
      <c r="CP375" s="237" t="s">
        <v>153</v>
      </c>
      <c r="CQ375" s="238" t="s">
        <v>153</v>
      </c>
      <c r="CR375" s="239" t="s">
        <v>153</v>
      </c>
      <c r="CS375" s="240" t="s">
        <v>153</v>
      </c>
      <c r="CT375" s="241" t="s">
        <v>153</v>
      </c>
      <c r="CU375" s="242" t="s">
        <v>153</v>
      </c>
      <c r="CV375" s="243" t="s">
        <v>153</v>
      </c>
      <c r="CW375" s="244" t="s">
        <v>153</v>
      </c>
      <c r="CX375" s="245" t="s">
        <v>153</v>
      </c>
      <c r="CY375" s="246" t="s">
        <v>153</v>
      </c>
      <c r="CZ375" s="247" t="s">
        <v>153</v>
      </c>
      <c r="DA375" s="248" t="s">
        <v>153</v>
      </c>
      <c r="DB375" s="249" t="s">
        <v>153</v>
      </c>
      <c r="DC375" s="250" t="s">
        <v>153</v>
      </c>
      <c r="DD375" s="251" t="s">
        <v>153</v>
      </c>
      <c r="DE375" s="252" t="s">
        <v>153</v>
      </c>
      <c r="DF375" s="253" t="s">
        <v>153</v>
      </c>
      <c r="DG375" s="254" t="s">
        <v>153</v>
      </c>
      <c r="DH375" s="255" t="s">
        <v>153</v>
      </c>
      <c r="DI375" s="256" t="s">
        <v>153</v>
      </c>
      <c r="DJ375" s="257" t="s">
        <v>153</v>
      </c>
      <c r="DK375" s="258" t="s">
        <v>153</v>
      </c>
      <c r="DL375" s="259" t="s">
        <v>153</v>
      </c>
      <c r="DM375" s="260" t="s">
        <v>153</v>
      </c>
      <c r="DN375" s="261" t="s">
        <v>153</v>
      </c>
      <c r="DO375" s="262" t="s">
        <v>153</v>
      </c>
      <c r="DP375" s="263" t="s">
        <v>153</v>
      </c>
      <c r="DQ375" s="264" t="s">
        <v>153</v>
      </c>
      <c r="DR375" s="265" t="s">
        <v>153</v>
      </c>
      <c r="DS375" s="266" t="s">
        <v>153</v>
      </c>
      <c r="DT375" s="267" t="s">
        <v>153</v>
      </c>
      <c r="DU375" s="268" t="s">
        <v>153</v>
      </c>
      <c r="DV375" s="269" t="s">
        <v>153</v>
      </c>
      <c r="DW375" s="270" t="s">
        <v>153</v>
      </c>
      <c r="DX375" s="271" t="s">
        <v>153</v>
      </c>
      <c r="DY375" s="272" t="s">
        <v>153</v>
      </c>
      <c r="DZ375" s="273" t="s">
        <v>191</v>
      </c>
      <c r="EA375" s="274">
        <v>44147</v>
      </c>
      <c r="EB375" s="275">
        <v>14966.73</v>
      </c>
      <c r="EC375" s="276">
        <v>42243</v>
      </c>
      <c r="ED375" s="277" t="s">
        <v>906</v>
      </c>
      <c r="EE375" s="279" t="str">
        <f>HYPERLINK("https://my.pitchbook.com?c=105787-81", "View company online")</f>
        <v>View company online</v>
      </c>
    </row>
    <row r="376" spans="1:135" x14ac:dyDescent="0.45">
      <c r="A376" s="10" t="s">
        <v>7954</v>
      </c>
      <c r="B376" s="11" t="s">
        <v>7955</v>
      </c>
      <c r="C376" s="12" t="s">
        <v>153</v>
      </c>
      <c r="D376" s="13" t="s">
        <v>153</v>
      </c>
      <c r="E376" s="14" t="s">
        <v>153</v>
      </c>
      <c r="F376" s="15" t="s">
        <v>153</v>
      </c>
      <c r="G376" s="16" t="s">
        <v>153</v>
      </c>
      <c r="H376" s="17" t="s">
        <v>153</v>
      </c>
      <c r="I376" s="18" t="s">
        <v>7954</v>
      </c>
      <c r="J376" s="19" t="s">
        <v>7956</v>
      </c>
      <c r="K376" s="20" t="s">
        <v>882</v>
      </c>
      <c r="L376" s="21" t="s">
        <v>2888</v>
      </c>
      <c r="M376" s="22" t="s">
        <v>2889</v>
      </c>
      <c r="N376" s="23" t="s">
        <v>7957</v>
      </c>
      <c r="O376" s="24" t="s">
        <v>796</v>
      </c>
      <c r="P376" s="25" t="s">
        <v>7958</v>
      </c>
      <c r="Q376" s="26" t="s">
        <v>204</v>
      </c>
      <c r="R376" s="27" t="s">
        <v>153</v>
      </c>
      <c r="S376" s="28" t="s">
        <v>153</v>
      </c>
      <c r="T376" s="29" t="s">
        <v>205</v>
      </c>
      <c r="U376" s="30" t="s">
        <v>206</v>
      </c>
      <c r="V376" s="31" t="s">
        <v>153</v>
      </c>
      <c r="W376" s="32" t="s">
        <v>153</v>
      </c>
      <c r="X376" s="33" t="s">
        <v>153</v>
      </c>
      <c r="Y376" s="34" t="s">
        <v>153</v>
      </c>
      <c r="Z376" s="35" t="s">
        <v>153</v>
      </c>
      <c r="AA376" s="36" t="s">
        <v>153</v>
      </c>
      <c r="AB376" s="37" t="s">
        <v>153</v>
      </c>
      <c r="AC376" s="38" t="s">
        <v>153</v>
      </c>
      <c r="AD376" s="39" t="s">
        <v>153</v>
      </c>
      <c r="AE376" s="40" t="s">
        <v>153</v>
      </c>
      <c r="AF376" s="41" t="s">
        <v>153</v>
      </c>
      <c r="AG376" s="42" t="s">
        <v>153</v>
      </c>
      <c r="AH376" s="43" t="s">
        <v>153</v>
      </c>
      <c r="AI376" s="44" t="s">
        <v>153</v>
      </c>
      <c r="AJ376" s="45" t="s">
        <v>153</v>
      </c>
      <c r="AK376" s="46" t="s">
        <v>153</v>
      </c>
      <c r="AL376" s="47" t="s">
        <v>153</v>
      </c>
      <c r="AM376" s="48" t="s">
        <v>153</v>
      </c>
      <c r="AN376" s="49" t="s">
        <v>153</v>
      </c>
      <c r="AO376" s="50" t="s">
        <v>153</v>
      </c>
      <c r="AP376" s="51" t="s">
        <v>153</v>
      </c>
      <c r="AQ376" s="52" t="s">
        <v>153</v>
      </c>
      <c r="AR376" s="53" t="s">
        <v>153</v>
      </c>
      <c r="AS376" s="54" t="s">
        <v>153</v>
      </c>
      <c r="AT376" s="55" t="s">
        <v>153</v>
      </c>
      <c r="AU376" s="56" t="s">
        <v>153</v>
      </c>
      <c r="AV376" s="57" t="s">
        <v>153</v>
      </c>
      <c r="AW376" s="58" t="s">
        <v>153</v>
      </c>
      <c r="AX376" s="59" t="s">
        <v>153</v>
      </c>
      <c r="AY376" s="60" t="s">
        <v>153</v>
      </c>
      <c r="AZ376" s="61" t="s">
        <v>215</v>
      </c>
      <c r="BA376" s="62" t="s">
        <v>153</v>
      </c>
      <c r="BB376" s="63" t="s">
        <v>153</v>
      </c>
      <c r="BC376" s="64" t="s">
        <v>153</v>
      </c>
      <c r="BD376" s="65" t="s">
        <v>216</v>
      </c>
      <c r="BE376" s="66" t="s">
        <v>217</v>
      </c>
      <c r="BF376" s="67" t="s">
        <v>7959</v>
      </c>
      <c r="BG376" s="68" t="s">
        <v>153</v>
      </c>
      <c r="BH376" s="69" t="s">
        <v>153</v>
      </c>
      <c r="BI376" s="70" t="s">
        <v>1095</v>
      </c>
      <c r="BJ376" s="71" t="s">
        <v>7960</v>
      </c>
      <c r="BK376" s="72" t="s">
        <v>153</v>
      </c>
      <c r="BL376" s="73" t="s">
        <v>153</v>
      </c>
      <c r="BM376" s="74" t="s">
        <v>7961</v>
      </c>
      <c r="BN376" s="75" t="s">
        <v>153</v>
      </c>
      <c r="BO376" s="76" t="s">
        <v>153</v>
      </c>
      <c r="BP376" s="77" t="s">
        <v>153</v>
      </c>
      <c r="BQ376" s="78">
        <v>43404</v>
      </c>
      <c r="BR376" s="79">
        <v>10500</v>
      </c>
      <c r="BS376" s="80" t="s">
        <v>186</v>
      </c>
      <c r="BT376" s="81">
        <v>10500</v>
      </c>
      <c r="BU376" s="82" t="s">
        <v>187</v>
      </c>
      <c r="BV376" s="83" t="s">
        <v>1524</v>
      </c>
      <c r="BW376" s="84" t="s">
        <v>1525</v>
      </c>
      <c r="BX376" s="85" t="s">
        <v>1526</v>
      </c>
      <c r="BY376" s="86" t="s">
        <v>225</v>
      </c>
      <c r="BZ376" s="87" t="s">
        <v>153</v>
      </c>
      <c r="CA376" s="88" t="s">
        <v>190</v>
      </c>
      <c r="CB376" s="89">
        <v>43404</v>
      </c>
      <c r="CC376" s="90">
        <v>10500</v>
      </c>
      <c r="CD376" s="91" t="s">
        <v>186</v>
      </c>
      <c r="CE376" s="92">
        <v>10500</v>
      </c>
      <c r="CF376" s="93" t="s">
        <v>187</v>
      </c>
      <c r="CG376" s="94" t="s">
        <v>1524</v>
      </c>
      <c r="CH376" s="95" t="s">
        <v>1525</v>
      </c>
      <c r="CI376" s="96" t="s">
        <v>1526</v>
      </c>
      <c r="CJ376" s="97" t="s">
        <v>225</v>
      </c>
      <c r="CK376" s="98">
        <v>43404</v>
      </c>
      <c r="CL376" s="99" t="s">
        <v>153</v>
      </c>
      <c r="CM376" s="100" t="s">
        <v>153</v>
      </c>
      <c r="CN376" s="101" t="s">
        <v>190</v>
      </c>
      <c r="CO376" s="102" t="s">
        <v>153</v>
      </c>
      <c r="CP376" s="103" t="s">
        <v>153</v>
      </c>
      <c r="CQ376" s="104" t="s">
        <v>153</v>
      </c>
      <c r="CR376" s="105" t="s">
        <v>153</v>
      </c>
      <c r="CS376" s="106" t="s">
        <v>153</v>
      </c>
      <c r="CT376" s="107" t="s">
        <v>153</v>
      </c>
      <c r="CU376" s="108" t="s">
        <v>153</v>
      </c>
      <c r="CV376" s="109" t="s">
        <v>153</v>
      </c>
      <c r="CW376" s="110" t="s">
        <v>153</v>
      </c>
      <c r="CX376" s="111" t="s">
        <v>153</v>
      </c>
      <c r="CY376" s="112" t="s">
        <v>153</v>
      </c>
      <c r="CZ376" s="113" t="s">
        <v>153</v>
      </c>
      <c r="DA376" s="114" t="s">
        <v>153</v>
      </c>
      <c r="DB376" s="115" t="s">
        <v>153</v>
      </c>
      <c r="DC376" s="116" t="s">
        <v>153</v>
      </c>
      <c r="DD376" s="117" t="s">
        <v>153</v>
      </c>
      <c r="DE376" s="118" t="s">
        <v>153</v>
      </c>
      <c r="DF376" s="119" t="s">
        <v>153</v>
      </c>
      <c r="DG376" s="120" t="s">
        <v>153</v>
      </c>
      <c r="DH376" s="121" t="s">
        <v>153</v>
      </c>
      <c r="DI376" s="122" t="s">
        <v>153</v>
      </c>
      <c r="DJ376" s="123" t="s">
        <v>153</v>
      </c>
      <c r="DK376" s="124" t="s">
        <v>153</v>
      </c>
      <c r="DL376" s="125" t="s">
        <v>153</v>
      </c>
      <c r="DM376" s="126" t="s">
        <v>153</v>
      </c>
      <c r="DN376" s="127" t="s">
        <v>153</v>
      </c>
      <c r="DO376" s="128" t="s">
        <v>153</v>
      </c>
      <c r="DP376" s="129" t="s">
        <v>153</v>
      </c>
      <c r="DQ376" s="130" t="s">
        <v>153</v>
      </c>
      <c r="DR376" s="131" t="s">
        <v>153</v>
      </c>
      <c r="DS376" s="132" t="s">
        <v>153</v>
      </c>
      <c r="DT376" s="133" t="s">
        <v>153</v>
      </c>
      <c r="DU376" s="134" t="s">
        <v>153</v>
      </c>
      <c r="DV376" s="135" t="s">
        <v>153</v>
      </c>
      <c r="DW376" s="136" t="s">
        <v>153</v>
      </c>
      <c r="DX376" s="137" t="s">
        <v>153</v>
      </c>
      <c r="DY376" s="138" t="s">
        <v>153</v>
      </c>
      <c r="DZ376" s="139" t="s">
        <v>191</v>
      </c>
      <c r="EA376" s="140">
        <v>44272</v>
      </c>
      <c r="EB376" s="141">
        <v>10500</v>
      </c>
      <c r="EC376" s="142">
        <v>43404</v>
      </c>
      <c r="ED376" s="143" t="s">
        <v>1524</v>
      </c>
      <c r="EE376" s="278" t="str">
        <f>HYPERLINK("https://my.pitchbook.com?c=435605-41", "View company online")</f>
        <v>View company online</v>
      </c>
    </row>
    <row r="377" spans="1:135" x14ac:dyDescent="0.45">
      <c r="A377" s="144" t="s">
        <v>7962</v>
      </c>
      <c r="B377" s="145" t="s">
        <v>7963</v>
      </c>
      <c r="C377" s="146" t="s">
        <v>153</v>
      </c>
      <c r="D377" s="147" t="s">
        <v>153</v>
      </c>
      <c r="E377" s="148" t="s">
        <v>153</v>
      </c>
      <c r="F377" s="149" t="s">
        <v>153</v>
      </c>
      <c r="G377" s="150" t="s">
        <v>153</v>
      </c>
      <c r="H377" s="151" t="s">
        <v>153</v>
      </c>
      <c r="I377" s="152" t="s">
        <v>7962</v>
      </c>
      <c r="J377" s="153" t="s">
        <v>7964</v>
      </c>
      <c r="K377" s="154" t="s">
        <v>792</v>
      </c>
      <c r="L377" s="155" t="s">
        <v>1516</v>
      </c>
      <c r="M377" s="156" t="s">
        <v>1516</v>
      </c>
      <c r="N377" s="157" t="s">
        <v>7965</v>
      </c>
      <c r="O377" s="158" t="s">
        <v>1119</v>
      </c>
      <c r="P377" s="159" t="s">
        <v>7966</v>
      </c>
      <c r="Q377" s="160" t="s">
        <v>204</v>
      </c>
      <c r="R377" s="161" t="s">
        <v>153</v>
      </c>
      <c r="S377" s="162" t="s">
        <v>153</v>
      </c>
      <c r="T377" s="163" t="s">
        <v>205</v>
      </c>
      <c r="U377" s="164" t="s">
        <v>206</v>
      </c>
      <c r="V377" s="165" t="s">
        <v>153</v>
      </c>
      <c r="W377" s="166" t="s">
        <v>153</v>
      </c>
      <c r="X377" s="167" t="s">
        <v>153</v>
      </c>
      <c r="Y377" s="168" t="s">
        <v>153</v>
      </c>
      <c r="Z377" s="169" t="s">
        <v>153</v>
      </c>
      <c r="AA377" s="170" t="s">
        <v>153</v>
      </c>
      <c r="AB377" s="171" t="s">
        <v>153</v>
      </c>
      <c r="AC377" s="172" t="s">
        <v>153</v>
      </c>
      <c r="AD377" s="173" t="s">
        <v>153</v>
      </c>
      <c r="AE377" s="174" t="s">
        <v>153</v>
      </c>
      <c r="AF377" s="175" t="s">
        <v>153</v>
      </c>
      <c r="AG377" s="176" t="s">
        <v>153</v>
      </c>
      <c r="AH377" s="177" t="s">
        <v>153</v>
      </c>
      <c r="AI377" s="178" t="s">
        <v>153</v>
      </c>
      <c r="AJ377" s="179" t="s">
        <v>153</v>
      </c>
      <c r="AK377" s="180" t="s">
        <v>153</v>
      </c>
      <c r="AL377" s="181" t="s">
        <v>153</v>
      </c>
      <c r="AM377" s="182" t="s">
        <v>153</v>
      </c>
      <c r="AN377" s="183" t="s">
        <v>153</v>
      </c>
      <c r="AO377" s="184" t="s">
        <v>153</v>
      </c>
      <c r="AP377" s="185" t="s">
        <v>153</v>
      </c>
      <c r="AQ377" s="186" t="s">
        <v>153</v>
      </c>
      <c r="AR377" s="187" t="s">
        <v>153</v>
      </c>
      <c r="AS377" s="188" t="s">
        <v>153</v>
      </c>
      <c r="AT377" s="189" t="s">
        <v>153</v>
      </c>
      <c r="AU377" s="190" t="s">
        <v>153</v>
      </c>
      <c r="AV377" s="191" t="s">
        <v>153</v>
      </c>
      <c r="AW377" s="192" t="s">
        <v>153</v>
      </c>
      <c r="AX377" s="193" t="s">
        <v>153</v>
      </c>
      <c r="AY377" s="194" t="s">
        <v>153</v>
      </c>
      <c r="AZ377" s="195" t="s">
        <v>215</v>
      </c>
      <c r="BA377" s="196" t="s">
        <v>153</v>
      </c>
      <c r="BB377" s="197" t="s">
        <v>153</v>
      </c>
      <c r="BC377" s="198" t="s">
        <v>153</v>
      </c>
      <c r="BD377" s="199" t="s">
        <v>216</v>
      </c>
      <c r="BE377" s="200" t="s">
        <v>217</v>
      </c>
      <c r="BF377" s="201" t="s">
        <v>7967</v>
      </c>
      <c r="BG377" s="202" t="s">
        <v>153</v>
      </c>
      <c r="BH377" s="203" t="s">
        <v>153</v>
      </c>
      <c r="BI377" s="204" t="s">
        <v>1095</v>
      </c>
      <c r="BJ377" s="205" t="s">
        <v>7960</v>
      </c>
      <c r="BK377" s="206" t="s">
        <v>7968</v>
      </c>
      <c r="BL377" s="207" t="s">
        <v>153</v>
      </c>
      <c r="BM377" s="208" t="s">
        <v>7961</v>
      </c>
      <c r="BN377" s="209" t="s">
        <v>7969</v>
      </c>
      <c r="BO377" s="210" t="s">
        <v>153</v>
      </c>
      <c r="BP377" s="211" t="s">
        <v>7970</v>
      </c>
      <c r="BQ377" s="212">
        <v>43404</v>
      </c>
      <c r="BR377" s="213">
        <v>10500</v>
      </c>
      <c r="BS377" s="214" t="s">
        <v>186</v>
      </c>
      <c r="BT377" s="215">
        <v>10500</v>
      </c>
      <c r="BU377" s="216" t="s">
        <v>187</v>
      </c>
      <c r="BV377" s="217" t="s">
        <v>1524</v>
      </c>
      <c r="BW377" s="218" t="s">
        <v>1525</v>
      </c>
      <c r="BX377" s="219" t="s">
        <v>1526</v>
      </c>
      <c r="BY377" s="220" t="s">
        <v>225</v>
      </c>
      <c r="BZ377" s="221" t="s">
        <v>153</v>
      </c>
      <c r="CA377" s="222" t="s">
        <v>190</v>
      </c>
      <c r="CB377" s="223">
        <v>43404</v>
      </c>
      <c r="CC377" s="224">
        <v>10500</v>
      </c>
      <c r="CD377" s="225" t="s">
        <v>186</v>
      </c>
      <c r="CE377" s="226">
        <v>10500</v>
      </c>
      <c r="CF377" s="227" t="s">
        <v>187</v>
      </c>
      <c r="CG377" s="228" t="s">
        <v>1524</v>
      </c>
      <c r="CH377" s="229" t="s">
        <v>1525</v>
      </c>
      <c r="CI377" s="230" t="s">
        <v>1526</v>
      </c>
      <c r="CJ377" s="231" t="s">
        <v>225</v>
      </c>
      <c r="CK377" s="232">
        <v>43404</v>
      </c>
      <c r="CL377" s="233" t="s">
        <v>153</v>
      </c>
      <c r="CM377" s="234" t="s">
        <v>153</v>
      </c>
      <c r="CN377" s="235" t="s">
        <v>190</v>
      </c>
      <c r="CO377" s="236" t="s">
        <v>153</v>
      </c>
      <c r="CP377" s="237" t="s">
        <v>153</v>
      </c>
      <c r="CQ377" s="238" t="s">
        <v>153</v>
      </c>
      <c r="CR377" s="239" t="s">
        <v>153</v>
      </c>
      <c r="CS377" s="240" t="s">
        <v>153</v>
      </c>
      <c r="CT377" s="241" t="s">
        <v>153</v>
      </c>
      <c r="CU377" s="242" t="s">
        <v>153</v>
      </c>
      <c r="CV377" s="243" t="s">
        <v>153</v>
      </c>
      <c r="CW377" s="244" t="s">
        <v>153</v>
      </c>
      <c r="CX377" s="245" t="s">
        <v>153</v>
      </c>
      <c r="CY377" s="246" t="s">
        <v>153</v>
      </c>
      <c r="CZ377" s="247" t="s">
        <v>153</v>
      </c>
      <c r="DA377" s="248" t="s">
        <v>153</v>
      </c>
      <c r="DB377" s="249" t="s">
        <v>153</v>
      </c>
      <c r="DC377" s="250" t="s">
        <v>153</v>
      </c>
      <c r="DD377" s="251" t="s">
        <v>153</v>
      </c>
      <c r="DE377" s="252" t="s">
        <v>153</v>
      </c>
      <c r="DF377" s="253" t="s">
        <v>153</v>
      </c>
      <c r="DG377" s="254" t="s">
        <v>153</v>
      </c>
      <c r="DH377" s="255" t="s">
        <v>153</v>
      </c>
      <c r="DI377" s="256" t="s">
        <v>153</v>
      </c>
      <c r="DJ377" s="257" t="s">
        <v>153</v>
      </c>
      <c r="DK377" s="258" t="s">
        <v>153</v>
      </c>
      <c r="DL377" s="259" t="s">
        <v>153</v>
      </c>
      <c r="DM377" s="260" t="s">
        <v>153</v>
      </c>
      <c r="DN377" s="261" t="s">
        <v>153</v>
      </c>
      <c r="DO377" s="262" t="s">
        <v>153</v>
      </c>
      <c r="DP377" s="263" t="s">
        <v>153</v>
      </c>
      <c r="DQ377" s="264" t="s">
        <v>153</v>
      </c>
      <c r="DR377" s="265" t="s">
        <v>153</v>
      </c>
      <c r="DS377" s="266" t="s">
        <v>153</v>
      </c>
      <c r="DT377" s="267" t="s">
        <v>153</v>
      </c>
      <c r="DU377" s="268" t="s">
        <v>153</v>
      </c>
      <c r="DV377" s="269" t="s">
        <v>153</v>
      </c>
      <c r="DW377" s="270" t="s">
        <v>153</v>
      </c>
      <c r="DX377" s="271" t="s">
        <v>153</v>
      </c>
      <c r="DY377" s="272" t="s">
        <v>153</v>
      </c>
      <c r="DZ377" s="273" t="s">
        <v>191</v>
      </c>
      <c r="EA377" s="274">
        <v>44085</v>
      </c>
      <c r="EB377" s="275">
        <v>10500</v>
      </c>
      <c r="EC377" s="276">
        <v>43404</v>
      </c>
      <c r="ED377" s="277" t="s">
        <v>1524</v>
      </c>
      <c r="EE377" s="279" t="str">
        <f>HYPERLINK("https://my.pitchbook.com?c=185744-62", "View company online")</f>
        <v>View company online</v>
      </c>
    </row>
    <row r="378" spans="1:135" x14ac:dyDescent="0.45">
      <c r="A378" s="10" t="s">
        <v>7971</v>
      </c>
      <c r="B378" s="11" t="s">
        <v>7972</v>
      </c>
      <c r="C378" s="12" t="s">
        <v>153</v>
      </c>
      <c r="D378" s="13" t="s">
        <v>153</v>
      </c>
      <c r="E378" s="14" t="s">
        <v>153</v>
      </c>
      <c r="F378" s="15" t="s">
        <v>153</v>
      </c>
      <c r="G378" s="16" t="s">
        <v>7973</v>
      </c>
      <c r="H378" s="17" t="s">
        <v>7974</v>
      </c>
      <c r="I378" s="18" t="s">
        <v>7971</v>
      </c>
      <c r="J378" s="19" t="s">
        <v>7975</v>
      </c>
      <c r="K378" s="20" t="s">
        <v>792</v>
      </c>
      <c r="L378" s="21" t="s">
        <v>793</v>
      </c>
      <c r="M378" s="22" t="s">
        <v>3119</v>
      </c>
      <c r="N378" s="23" t="s">
        <v>7976</v>
      </c>
      <c r="O378" s="24" t="s">
        <v>1119</v>
      </c>
      <c r="P378" s="25" t="s">
        <v>7977</v>
      </c>
      <c r="Q378" s="26" t="s">
        <v>204</v>
      </c>
      <c r="R378" s="27">
        <v>1199.26</v>
      </c>
      <c r="S378" s="28" t="s">
        <v>290</v>
      </c>
      <c r="T378" s="29" t="s">
        <v>205</v>
      </c>
      <c r="U378" s="30" t="s">
        <v>369</v>
      </c>
      <c r="V378" s="31" t="s">
        <v>7978</v>
      </c>
      <c r="W378" s="32">
        <v>5425</v>
      </c>
      <c r="X378" s="33" t="s">
        <v>7979</v>
      </c>
      <c r="Y378" s="34" t="s">
        <v>153</v>
      </c>
      <c r="Z378" s="35" t="s">
        <v>153</v>
      </c>
      <c r="AA378" s="36">
        <v>1908</v>
      </c>
      <c r="AB378" s="37" t="s">
        <v>153</v>
      </c>
      <c r="AC378" s="38" t="s">
        <v>153</v>
      </c>
      <c r="AD378" s="39" t="s">
        <v>153</v>
      </c>
      <c r="AE378" s="40" t="s">
        <v>153</v>
      </c>
      <c r="AF378" s="41" t="s">
        <v>153</v>
      </c>
      <c r="AG378" s="42" t="s">
        <v>153</v>
      </c>
      <c r="AH378" s="43" t="s">
        <v>153</v>
      </c>
      <c r="AI378" s="44" t="s">
        <v>153</v>
      </c>
      <c r="AJ378" s="45" t="s">
        <v>153</v>
      </c>
      <c r="AK378" s="46" t="s">
        <v>153</v>
      </c>
      <c r="AL378" s="47" t="s">
        <v>153</v>
      </c>
      <c r="AM378" s="48" t="s">
        <v>153</v>
      </c>
      <c r="AN378" s="49" t="s">
        <v>648</v>
      </c>
      <c r="AO378" s="50" t="s">
        <v>7980</v>
      </c>
      <c r="AP378" s="51" t="s">
        <v>7981</v>
      </c>
      <c r="AQ378" s="52" t="s">
        <v>7982</v>
      </c>
      <c r="AR378" s="53" t="s">
        <v>7983</v>
      </c>
      <c r="AS378" s="54" t="s">
        <v>1545</v>
      </c>
      <c r="AT378" s="55" t="s">
        <v>1546</v>
      </c>
      <c r="AU378" s="56" t="s">
        <v>1547</v>
      </c>
      <c r="AV378" s="57" t="s">
        <v>153</v>
      </c>
      <c r="AW378" s="58" t="s">
        <v>1549</v>
      </c>
      <c r="AX378" s="59" t="s">
        <v>1550</v>
      </c>
      <c r="AY378" s="60" t="s">
        <v>1551</v>
      </c>
      <c r="AZ378" s="61" t="s">
        <v>215</v>
      </c>
      <c r="BA378" s="62" t="s">
        <v>153</v>
      </c>
      <c r="BB378" s="63" t="s">
        <v>153</v>
      </c>
      <c r="BC378" s="64" t="s">
        <v>153</v>
      </c>
      <c r="BD378" s="65" t="s">
        <v>216</v>
      </c>
      <c r="BE378" s="66" t="s">
        <v>217</v>
      </c>
      <c r="BF378" s="67" t="s">
        <v>7984</v>
      </c>
      <c r="BG378" s="68" t="s">
        <v>153</v>
      </c>
      <c r="BH378" s="69" t="s">
        <v>153</v>
      </c>
      <c r="BI378" s="70" t="s">
        <v>7985</v>
      </c>
      <c r="BJ378" s="71" t="s">
        <v>7986</v>
      </c>
      <c r="BK378" s="72" t="s">
        <v>153</v>
      </c>
      <c r="BL378" s="73" t="s">
        <v>153</v>
      </c>
      <c r="BM378" s="74" t="s">
        <v>7987</v>
      </c>
      <c r="BN378" s="75" t="s">
        <v>153</v>
      </c>
      <c r="BO378" s="76" t="s">
        <v>7789</v>
      </c>
      <c r="BP378" s="77" t="s">
        <v>7988</v>
      </c>
      <c r="BQ378" s="78">
        <v>38583</v>
      </c>
      <c r="BR378" s="79">
        <v>123.63</v>
      </c>
      <c r="BS378" s="80" t="s">
        <v>186</v>
      </c>
      <c r="BT378" s="81">
        <v>274.13</v>
      </c>
      <c r="BU378" s="82" t="s">
        <v>187</v>
      </c>
      <c r="BV378" s="83" t="s">
        <v>251</v>
      </c>
      <c r="BW378" s="84" t="s">
        <v>524</v>
      </c>
      <c r="BX378" s="85" t="s">
        <v>153</v>
      </c>
      <c r="BY378" s="86" t="s">
        <v>252</v>
      </c>
      <c r="BZ378" s="87" t="s">
        <v>153</v>
      </c>
      <c r="CA378" s="88" t="s">
        <v>190</v>
      </c>
      <c r="CB378" s="89">
        <v>43325</v>
      </c>
      <c r="CC378" s="90">
        <v>10500</v>
      </c>
      <c r="CD378" s="91" t="s">
        <v>186</v>
      </c>
      <c r="CE378" s="92">
        <v>39274.36</v>
      </c>
      <c r="CF378" s="93" t="s">
        <v>187</v>
      </c>
      <c r="CG378" s="94" t="s">
        <v>5867</v>
      </c>
      <c r="CH378" s="95" t="s">
        <v>153</v>
      </c>
      <c r="CI378" s="96" t="s">
        <v>153</v>
      </c>
      <c r="CJ378" s="97" t="s">
        <v>225</v>
      </c>
      <c r="CK378" s="98">
        <v>43325</v>
      </c>
      <c r="CL378" s="99" t="s">
        <v>153</v>
      </c>
      <c r="CM378" s="100" t="s">
        <v>153</v>
      </c>
      <c r="CN378" s="101" t="s">
        <v>190</v>
      </c>
      <c r="CO378" s="102" t="s">
        <v>153</v>
      </c>
      <c r="CP378" s="103" t="s">
        <v>153</v>
      </c>
      <c r="CQ378" s="104" t="s">
        <v>153</v>
      </c>
      <c r="CR378" s="105" t="s">
        <v>153</v>
      </c>
      <c r="CS378" s="106" t="s">
        <v>153</v>
      </c>
      <c r="CT378" s="107" t="s">
        <v>153</v>
      </c>
      <c r="CU378" s="108" t="s">
        <v>153</v>
      </c>
      <c r="CV378" s="109" t="s">
        <v>153</v>
      </c>
      <c r="CW378" s="110" t="s">
        <v>153</v>
      </c>
      <c r="CX378" s="111" t="s">
        <v>153</v>
      </c>
      <c r="CY378" s="112" t="s">
        <v>153</v>
      </c>
      <c r="CZ378" s="113" t="s">
        <v>153</v>
      </c>
      <c r="DA378" s="114" t="s">
        <v>153</v>
      </c>
      <c r="DB378" s="115" t="s">
        <v>153</v>
      </c>
      <c r="DC378" s="116" t="s">
        <v>153</v>
      </c>
      <c r="DD378" s="117" t="s">
        <v>153</v>
      </c>
      <c r="DE378" s="118" t="s">
        <v>153</v>
      </c>
      <c r="DF378" s="119" t="s">
        <v>153</v>
      </c>
      <c r="DG378" s="120" t="s">
        <v>153</v>
      </c>
      <c r="DH378" s="121" t="s">
        <v>153</v>
      </c>
      <c r="DI378" s="122" t="s">
        <v>153</v>
      </c>
      <c r="DJ378" s="123" t="s">
        <v>153</v>
      </c>
      <c r="DK378" s="124" t="s">
        <v>153</v>
      </c>
      <c r="DL378" s="125" t="s">
        <v>153</v>
      </c>
      <c r="DM378" s="126" t="s">
        <v>153</v>
      </c>
      <c r="DN378" s="127" t="s">
        <v>153</v>
      </c>
      <c r="DO378" s="128" t="s">
        <v>153</v>
      </c>
      <c r="DP378" s="129" t="s">
        <v>153</v>
      </c>
      <c r="DQ378" s="130" t="s">
        <v>153</v>
      </c>
      <c r="DR378" s="131" t="s">
        <v>153</v>
      </c>
      <c r="DS378" s="132" t="s">
        <v>153</v>
      </c>
      <c r="DT378" s="133" t="s">
        <v>153</v>
      </c>
      <c r="DU378" s="134" t="s">
        <v>153</v>
      </c>
      <c r="DV378" s="135" t="s">
        <v>153</v>
      </c>
      <c r="DW378" s="136" t="s">
        <v>153</v>
      </c>
      <c r="DX378" s="137" t="s">
        <v>153</v>
      </c>
      <c r="DY378" s="138" t="s">
        <v>153</v>
      </c>
      <c r="DZ378" s="139" t="s">
        <v>191</v>
      </c>
      <c r="EA378" s="140">
        <v>44330</v>
      </c>
      <c r="EB378" s="141">
        <v>39274.36</v>
      </c>
      <c r="EC378" s="142">
        <v>43325</v>
      </c>
      <c r="ED378" s="143" t="s">
        <v>5867</v>
      </c>
      <c r="EE378" s="278" t="str">
        <f>HYPERLINK("https://my.pitchbook.com?c=41596-12", "View company online")</f>
        <v>View company online</v>
      </c>
    </row>
    <row r="379" spans="1:135" x14ac:dyDescent="0.45">
      <c r="A379" s="144" t="s">
        <v>7989</v>
      </c>
      <c r="B379" s="145" t="s">
        <v>7990</v>
      </c>
      <c r="C379" s="146" t="s">
        <v>153</v>
      </c>
      <c r="D379" s="147" t="s">
        <v>153</v>
      </c>
      <c r="E379" s="148" t="s">
        <v>7991</v>
      </c>
      <c r="F379" s="149" t="s">
        <v>7992</v>
      </c>
      <c r="G379" s="150" t="s">
        <v>7993</v>
      </c>
      <c r="H379" s="151" t="s">
        <v>7994</v>
      </c>
      <c r="I379" s="152" t="s">
        <v>7989</v>
      </c>
      <c r="J379" s="153" t="s">
        <v>7995</v>
      </c>
      <c r="K379" s="154" t="s">
        <v>157</v>
      </c>
      <c r="L379" s="155" t="s">
        <v>817</v>
      </c>
      <c r="M379" s="156" t="s">
        <v>2107</v>
      </c>
      <c r="N379" s="157" t="s">
        <v>2108</v>
      </c>
      <c r="O379" s="158" t="s">
        <v>7996</v>
      </c>
      <c r="P379" s="159" t="s">
        <v>7997</v>
      </c>
      <c r="Q379" s="160" t="s">
        <v>204</v>
      </c>
      <c r="R379" s="161" t="s">
        <v>153</v>
      </c>
      <c r="S379" s="162" t="s">
        <v>163</v>
      </c>
      <c r="T379" s="163" t="s">
        <v>164</v>
      </c>
      <c r="U379" s="164" t="s">
        <v>237</v>
      </c>
      <c r="V379" s="165" t="s">
        <v>7998</v>
      </c>
      <c r="W379" s="166">
        <v>18000</v>
      </c>
      <c r="X379" s="167" t="s">
        <v>7999</v>
      </c>
      <c r="Y379" s="168" t="s">
        <v>153</v>
      </c>
      <c r="Z379" s="169" t="s">
        <v>153</v>
      </c>
      <c r="AA379" s="170">
        <v>1894</v>
      </c>
      <c r="AB379" s="171" t="s">
        <v>7031</v>
      </c>
      <c r="AC379" s="172" t="s">
        <v>153</v>
      </c>
      <c r="AD379" s="173" t="s">
        <v>153</v>
      </c>
      <c r="AE379" s="174">
        <v>15600</v>
      </c>
      <c r="AF379" s="175" t="s">
        <v>153</v>
      </c>
      <c r="AG379" s="176" t="s">
        <v>153</v>
      </c>
      <c r="AH379" s="177" t="s">
        <v>153</v>
      </c>
      <c r="AI379" s="178" t="s">
        <v>153</v>
      </c>
      <c r="AJ379" s="179" t="s">
        <v>153</v>
      </c>
      <c r="AK379" s="180" t="s">
        <v>153</v>
      </c>
      <c r="AL379" s="181" t="s">
        <v>153</v>
      </c>
      <c r="AM379" s="182">
        <v>65.959999999999994</v>
      </c>
      <c r="AN379" s="183" t="s">
        <v>168</v>
      </c>
      <c r="AO379" s="184" t="s">
        <v>8000</v>
      </c>
      <c r="AP379" s="185" t="s">
        <v>8001</v>
      </c>
      <c r="AQ379" s="186" t="s">
        <v>8002</v>
      </c>
      <c r="AR379" s="187" t="s">
        <v>8003</v>
      </c>
      <c r="AS379" s="188" t="s">
        <v>153</v>
      </c>
      <c r="AT379" s="189" t="s">
        <v>8004</v>
      </c>
      <c r="AU379" s="190" t="s">
        <v>8005</v>
      </c>
      <c r="AV379" s="191" t="s">
        <v>153</v>
      </c>
      <c r="AW379" s="192" t="s">
        <v>8006</v>
      </c>
      <c r="AX379" s="193" t="s">
        <v>2422</v>
      </c>
      <c r="AY379" s="194" t="s">
        <v>8007</v>
      </c>
      <c r="AZ379" s="195" t="s">
        <v>215</v>
      </c>
      <c r="BA379" s="196" t="s">
        <v>153</v>
      </c>
      <c r="BB379" s="197" t="s">
        <v>153</v>
      </c>
      <c r="BC379" s="198" t="s">
        <v>153</v>
      </c>
      <c r="BD379" s="199" t="s">
        <v>216</v>
      </c>
      <c r="BE379" s="200" t="s">
        <v>217</v>
      </c>
      <c r="BF379" s="201" t="s">
        <v>8008</v>
      </c>
      <c r="BG379" s="202" t="s">
        <v>153</v>
      </c>
      <c r="BH379" s="203" t="s">
        <v>153</v>
      </c>
      <c r="BI379" s="204" t="s">
        <v>7031</v>
      </c>
      <c r="BJ379" s="205" t="s">
        <v>153</v>
      </c>
      <c r="BK379" s="206" t="s">
        <v>153</v>
      </c>
      <c r="BL379" s="207" t="s">
        <v>153</v>
      </c>
      <c r="BM379" s="208" t="s">
        <v>153</v>
      </c>
      <c r="BN379" s="209" t="s">
        <v>153</v>
      </c>
      <c r="BO379" s="210" t="s">
        <v>8009</v>
      </c>
      <c r="BP379" s="211" t="s">
        <v>8010</v>
      </c>
      <c r="BQ379" s="212">
        <v>22647</v>
      </c>
      <c r="BR379" s="213" t="s">
        <v>153</v>
      </c>
      <c r="BS379" s="214" t="s">
        <v>153</v>
      </c>
      <c r="BT379" s="215" t="s">
        <v>153</v>
      </c>
      <c r="BU379" s="216" t="s">
        <v>153</v>
      </c>
      <c r="BV379" s="217" t="s">
        <v>251</v>
      </c>
      <c r="BW379" s="218" t="s">
        <v>153</v>
      </c>
      <c r="BX379" s="219" t="s">
        <v>153</v>
      </c>
      <c r="BY379" s="220" t="s">
        <v>252</v>
      </c>
      <c r="BZ379" s="221" t="s">
        <v>153</v>
      </c>
      <c r="CA379" s="222" t="s">
        <v>190</v>
      </c>
      <c r="CB379" s="223">
        <v>37237</v>
      </c>
      <c r="CC379" s="224">
        <v>10479</v>
      </c>
      <c r="CD379" s="225" t="s">
        <v>186</v>
      </c>
      <c r="CE379" s="226">
        <v>10479</v>
      </c>
      <c r="CF379" s="227" t="s">
        <v>186</v>
      </c>
      <c r="CG379" s="228" t="s">
        <v>226</v>
      </c>
      <c r="CH379" s="229" t="s">
        <v>153</v>
      </c>
      <c r="CI379" s="230" t="s">
        <v>153</v>
      </c>
      <c r="CJ379" s="231" t="s">
        <v>225</v>
      </c>
      <c r="CK379" s="232">
        <v>37237</v>
      </c>
      <c r="CL379" s="233" t="s">
        <v>153</v>
      </c>
      <c r="CM379" s="234" t="s">
        <v>153</v>
      </c>
      <c r="CN379" s="235" t="s">
        <v>190</v>
      </c>
      <c r="CO379" s="236">
        <v>0.1</v>
      </c>
      <c r="CP379" s="237">
        <v>89</v>
      </c>
      <c r="CQ379" s="238">
        <v>-0.02</v>
      </c>
      <c r="CR379" s="239">
        <v>-16.23</v>
      </c>
      <c r="CS379" s="240">
        <v>0.26</v>
      </c>
      <c r="CT379" s="241">
        <v>91</v>
      </c>
      <c r="CU379" s="242">
        <v>0.03</v>
      </c>
      <c r="CV379" s="243">
        <v>79</v>
      </c>
      <c r="CW379" s="244">
        <v>-0.21</v>
      </c>
      <c r="CX379" s="245">
        <v>20</v>
      </c>
      <c r="CY379" s="246">
        <v>0.73</v>
      </c>
      <c r="CZ379" s="247">
        <v>96</v>
      </c>
      <c r="DA379" s="248">
        <v>0.03</v>
      </c>
      <c r="DB379" s="249">
        <v>79</v>
      </c>
      <c r="DC379" s="250">
        <v>465.7</v>
      </c>
      <c r="DD379" s="251">
        <v>100</v>
      </c>
      <c r="DE379" s="252">
        <v>1.05</v>
      </c>
      <c r="DF379" s="253">
        <v>0.23</v>
      </c>
      <c r="DG379" s="254">
        <v>717.64</v>
      </c>
      <c r="DH379" s="255">
        <v>100</v>
      </c>
      <c r="DI379" s="256">
        <v>192.98</v>
      </c>
      <c r="DJ379" s="257">
        <v>99</v>
      </c>
      <c r="DK379" s="258">
        <v>701.66</v>
      </c>
      <c r="DL379" s="259">
        <v>100</v>
      </c>
      <c r="DM379" s="260">
        <v>733.63</v>
      </c>
      <c r="DN379" s="261">
        <v>100</v>
      </c>
      <c r="DO379" s="262">
        <v>192.98</v>
      </c>
      <c r="DP379" s="263">
        <v>99</v>
      </c>
      <c r="DQ379" s="264">
        <v>415906</v>
      </c>
      <c r="DR379" s="265">
        <v>646</v>
      </c>
      <c r="DS379" s="266">
        <v>0.16</v>
      </c>
      <c r="DT379" s="267">
        <v>11712</v>
      </c>
      <c r="DU379" s="268">
        <v>67</v>
      </c>
      <c r="DV379" s="269">
        <v>0.57999999999999996</v>
      </c>
      <c r="DW379" s="270">
        <v>60601</v>
      </c>
      <c r="DX379" s="271">
        <v>4</v>
      </c>
      <c r="DY379" s="272">
        <v>0.01</v>
      </c>
      <c r="DZ379" s="273" t="s">
        <v>191</v>
      </c>
      <c r="EA379" s="274">
        <v>44397</v>
      </c>
      <c r="EB379" s="275">
        <v>10479</v>
      </c>
      <c r="EC379" s="276">
        <v>37237</v>
      </c>
      <c r="ED379" s="277" t="s">
        <v>226</v>
      </c>
      <c r="EE379" s="279" t="str">
        <f>HYPERLINK("https://my.pitchbook.com?c=50973-31", "View company online")</f>
        <v>View company online</v>
      </c>
    </row>
    <row r="380" spans="1:135" x14ac:dyDescent="0.45">
      <c r="A380" s="10" t="s">
        <v>8011</v>
      </c>
      <c r="B380" s="11" t="s">
        <v>8012</v>
      </c>
      <c r="C380" s="12" t="s">
        <v>153</v>
      </c>
      <c r="D380" s="13" t="s">
        <v>153</v>
      </c>
      <c r="E380" s="14" t="s">
        <v>153</v>
      </c>
      <c r="F380" s="15" t="s">
        <v>8013</v>
      </c>
      <c r="G380" s="16" t="s">
        <v>8014</v>
      </c>
      <c r="H380" s="17" t="s">
        <v>8015</v>
      </c>
      <c r="I380" s="18" t="s">
        <v>8011</v>
      </c>
      <c r="J380" s="19" t="s">
        <v>8016</v>
      </c>
      <c r="K380" s="20" t="s">
        <v>157</v>
      </c>
      <c r="L380" s="21" t="s">
        <v>664</v>
      </c>
      <c r="M380" s="22" t="s">
        <v>8017</v>
      </c>
      <c r="N380" s="23" t="s">
        <v>8018</v>
      </c>
      <c r="O380" s="24" t="s">
        <v>153</v>
      </c>
      <c r="P380" s="25" t="s">
        <v>8019</v>
      </c>
      <c r="Q380" s="26" t="s">
        <v>162</v>
      </c>
      <c r="R380" s="27" t="s">
        <v>153</v>
      </c>
      <c r="S380" s="28" t="s">
        <v>290</v>
      </c>
      <c r="T380" s="29" t="s">
        <v>291</v>
      </c>
      <c r="U380" s="30" t="s">
        <v>565</v>
      </c>
      <c r="V380" s="31" t="s">
        <v>8020</v>
      </c>
      <c r="W380" s="32">
        <v>150479</v>
      </c>
      <c r="X380" s="33" t="s">
        <v>8021</v>
      </c>
      <c r="Y380" s="34" t="s">
        <v>1734</v>
      </c>
      <c r="Z380" s="35" t="s">
        <v>8022</v>
      </c>
      <c r="AA380" s="36">
        <v>1947</v>
      </c>
      <c r="AB380" s="37" t="s">
        <v>153</v>
      </c>
      <c r="AC380" s="38" t="s">
        <v>570</v>
      </c>
      <c r="AD380" s="39" t="s">
        <v>622</v>
      </c>
      <c r="AE380" s="40">
        <v>50761.46</v>
      </c>
      <c r="AF380" s="41">
        <v>32669.9</v>
      </c>
      <c r="AG380" s="42">
        <v>2203.4499999999998</v>
      </c>
      <c r="AH380" s="43">
        <v>152619.10999999999</v>
      </c>
      <c r="AI380" s="44">
        <v>14255.75</v>
      </c>
      <c r="AJ380" s="45">
        <v>8761.3700000000008</v>
      </c>
      <c r="AK380" s="46">
        <v>148458.98000000001</v>
      </c>
      <c r="AL380" s="47">
        <v>20648.68</v>
      </c>
      <c r="AM380" s="48">
        <v>-16.66</v>
      </c>
      <c r="AN380" s="49" t="s">
        <v>168</v>
      </c>
      <c r="AO380" s="50" t="s">
        <v>8023</v>
      </c>
      <c r="AP380" s="51" t="s">
        <v>8024</v>
      </c>
      <c r="AQ380" s="52" t="s">
        <v>512</v>
      </c>
      <c r="AR380" s="53" t="s">
        <v>153</v>
      </c>
      <c r="AS380" s="54" t="s">
        <v>8025</v>
      </c>
      <c r="AT380" s="55" t="s">
        <v>3175</v>
      </c>
      <c r="AU380" s="56" t="s">
        <v>8026</v>
      </c>
      <c r="AV380" s="57" t="s">
        <v>153</v>
      </c>
      <c r="AW380" s="58" t="s">
        <v>3178</v>
      </c>
      <c r="AX380" s="59" t="s">
        <v>153</v>
      </c>
      <c r="AY380" s="60" t="s">
        <v>8027</v>
      </c>
      <c r="AZ380" s="61" t="s">
        <v>701</v>
      </c>
      <c r="BA380" s="62" t="s">
        <v>8028</v>
      </c>
      <c r="BB380" s="63" t="s">
        <v>8029</v>
      </c>
      <c r="BC380" s="64" t="s">
        <v>8030</v>
      </c>
      <c r="BD380" s="65" t="s">
        <v>180</v>
      </c>
      <c r="BE380" s="66" t="s">
        <v>181</v>
      </c>
      <c r="BF380" s="67" t="s">
        <v>8031</v>
      </c>
      <c r="BG380" s="68" t="s">
        <v>8032</v>
      </c>
      <c r="BH380" s="69">
        <v>1</v>
      </c>
      <c r="BI380" s="70" t="s">
        <v>153</v>
      </c>
      <c r="BJ380" s="71" t="s">
        <v>153</v>
      </c>
      <c r="BK380" s="72" t="s">
        <v>153</v>
      </c>
      <c r="BL380" s="73" t="s">
        <v>153</v>
      </c>
      <c r="BM380" s="74" t="s">
        <v>153</v>
      </c>
      <c r="BN380" s="75" t="s">
        <v>153</v>
      </c>
      <c r="BO380" s="76" t="s">
        <v>8033</v>
      </c>
      <c r="BP380" s="77" t="s">
        <v>153</v>
      </c>
      <c r="BQ380" s="78">
        <v>30682</v>
      </c>
      <c r="BR380" s="79" t="s">
        <v>153</v>
      </c>
      <c r="BS380" s="80" t="s">
        <v>153</v>
      </c>
      <c r="BT380" s="81" t="s">
        <v>153</v>
      </c>
      <c r="BU380" s="82" t="s">
        <v>153</v>
      </c>
      <c r="BV380" s="83" t="s">
        <v>188</v>
      </c>
      <c r="BW380" s="84" t="s">
        <v>153</v>
      </c>
      <c r="BX380" s="85" t="s">
        <v>153</v>
      </c>
      <c r="BY380" s="86" t="s">
        <v>165</v>
      </c>
      <c r="BZ380" s="87" t="s">
        <v>153</v>
      </c>
      <c r="CA380" s="88" t="s">
        <v>190</v>
      </c>
      <c r="CB380" s="89">
        <v>42917</v>
      </c>
      <c r="CC380" s="90">
        <v>10439.11</v>
      </c>
      <c r="CD380" s="91" t="s">
        <v>186</v>
      </c>
      <c r="CE380" s="92">
        <v>49947.91</v>
      </c>
      <c r="CF380" s="93" t="s">
        <v>187</v>
      </c>
      <c r="CG380" s="94" t="s">
        <v>5867</v>
      </c>
      <c r="CH380" s="95" t="s">
        <v>153</v>
      </c>
      <c r="CI380" s="96" t="s">
        <v>153</v>
      </c>
      <c r="CJ380" s="97" t="s">
        <v>165</v>
      </c>
      <c r="CK380" s="98">
        <v>42917</v>
      </c>
      <c r="CL380" s="99" t="s">
        <v>153</v>
      </c>
      <c r="CM380" s="100" t="s">
        <v>153</v>
      </c>
      <c r="CN380" s="101" t="s">
        <v>190</v>
      </c>
      <c r="CO380" s="102">
        <v>0.2</v>
      </c>
      <c r="CP380" s="103">
        <v>90</v>
      </c>
      <c r="CQ380" s="104">
        <v>-0.01</v>
      </c>
      <c r="CR380" s="105">
        <v>-3.16</v>
      </c>
      <c r="CS380" s="106">
        <v>0.5</v>
      </c>
      <c r="CT380" s="107">
        <v>93</v>
      </c>
      <c r="CU380" s="108">
        <v>0.09</v>
      </c>
      <c r="CV380" s="109">
        <v>85</v>
      </c>
      <c r="CW380" s="110">
        <v>0.99</v>
      </c>
      <c r="CX380" s="111">
        <v>82</v>
      </c>
      <c r="CY380" s="112">
        <v>0</v>
      </c>
      <c r="CZ380" s="113">
        <v>5</v>
      </c>
      <c r="DA380" s="114">
        <v>0.09</v>
      </c>
      <c r="DB380" s="115">
        <v>85</v>
      </c>
      <c r="DC380" s="116">
        <v>9634.2000000000007</v>
      </c>
      <c r="DD380" s="117">
        <v>100</v>
      </c>
      <c r="DE380" s="118">
        <v>62.09</v>
      </c>
      <c r="DF380" s="119">
        <v>0.65</v>
      </c>
      <c r="DG380" s="120">
        <v>1994.43</v>
      </c>
      <c r="DH380" s="121">
        <v>100</v>
      </c>
      <c r="DI380" s="122">
        <v>26907.43</v>
      </c>
      <c r="DJ380" s="123">
        <v>100</v>
      </c>
      <c r="DK380" s="124">
        <v>2330.23</v>
      </c>
      <c r="DL380" s="125">
        <v>100</v>
      </c>
      <c r="DM380" s="126">
        <v>1658.63</v>
      </c>
      <c r="DN380" s="127">
        <v>100</v>
      </c>
      <c r="DO380" s="128">
        <v>26907.43</v>
      </c>
      <c r="DP380" s="129">
        <v>100</v>
      </c>
      <c r="DQ380" s="130">
        <v>1378122</v>
      </c>
      <c r="DR380" s="131">
        <v>13586</v>
      </c>
      <c r="DS380" s="132">
        <v>1</v>
      </c>
      <c r="DT380" s="133">
        <v>26542</v>
      </c>
      <c r="DU380" s="134">
        <v>-11</v>
      </c>
      <c r="DV380" s="135">
        <v>-0.04</v>
      </c>
      <c r="DW380" s="136">
        <v>8446858</v>
      </c>
      <c r="DX380" s="137">
        <v>10502</v>
      </c>
      <c r="DY380" s="138">
        <v>0.12</v>
      </c>
      <c r="DZ380" s="139" t="s">
        <v>191</v>
      </c>
      <c r="EA380" s="140">
        <v>44368</v>
      </c>
      <c r="EB380" s="141">
        <v>49947.91</v>
      </c>
      <c r="EC380" s="142">
        <v>42917</v>
      </c>
      <c r="ED380" s="143" t="s">
        <v>5867</v>
      </c>
      <c r="EE380" s="278" t="str">
        <f>HYPERLINK("https://my.pitchbook.com?c=62052-94", "View company online")</f>
        <v>View company online</v>
      </c>
    </row>
    <row r="381" spans="1:135" x14ac:dyDescent="0.45">
      <c r="A381" s="144" t="s">
        <v>8034</v>
      </c>
      <c r="B381" s="145" t="s">
        <v>8035</v>
      </c>
      <c r="C381" s="146" t="s">
        <v>153</v>
      </c>
      <c r="D381" s="147" t="s">
        <v>153</v>
      </c>
      <c r="E381" s="148" t="s">
        <v>153</v>
      </c>
      <c r="F381" s="149" t="s">
        <v>153</v>
      </c>
      <c r="G381" s="150" t="s">
        <v>8036</v>
      </c>
      <c r="H381" s="151" t="s">
        <v>8037</v>
      </c>
      <c r="I381" s="152" t="s">
        <v>8034</v>
      </c>
      <c r="J381" s="153" t="s">
        <v>8038</v>
      </c>
      <c r="K381" s="154" t="s">
        <v>257</v>
      </c>
      <c r="L381" s="155" t="s">
        <v>258</v>
      </c>
      <c r="M381" s="156" t="s">
        <v>259</v>
      </c>
      <c r="N381" s="157" t="s">
        <v>8039</v>
      </c>
      <c r="O381" s="158" t="s">
        <v>755</v>
      </c>
      <c r="P381" s="159" t="s">
        <v>8040</v>
      </c>
      <c r="Q381" s="160" t="s">
        <v>564</v>
      </c>
      <c r="R381" s="161">
        <v>4626.26</v>
      </c>
      <c r="S381" s="162" t="s">
        <v>163</v>
      </c>
      <c r="T381" s="163" t="s">
        <v>205</v>
      </c>
      <c r="U381" s="164" t="s">
        <v>1791</v>
      </c>
      <c r="V381" s="165" t="s">
        <v>8041</v>
      </c>
      <c r="W381" s="166">
        <v>50000</v>
      </c>
      <c r="X381" s="167" t="s">
        <v>8042</v>
      </c>
      <c r="Y381" s="168" t="s">
        <v>153</v>
      </c>
      <c r="Z381" s="169" t="s">
        <v>153</v>
      </c>
      <c r="AA381" s="170">
        <v>1982</v>
      </c>
      <c r="AB381" s="171" t="s">
        <v>153</v>
      </c>
      <c r="AC381" s="172" t="s">
        <v>153</v>
      </c>
      <c r="AD381" s="173" t="s">
        <v>153</v>
      </c>
      <c r="AE381" s="174" t="s">
        <v>153</v>
      </c>
      <c r="AF381" s="175" t="s">
        <v>153</v>
      </c>
      <c r="AG381" s="176" t="s">
        <v>153</v>
      </c>
      <c r="AH381" s="177" t="s">
        <v>153</v>
      </c>
      <c r="AI381" s="178" t="s">
        <v>153</v>
      </c>
      <c r="AJ381" s="179" t="s">
        <v>153</v>
      </c>
      <c r="AK381" s="180" t="s">
        <v>153</v>
      </c>
      <c r="AL381" s="181" t="s">
        <v>153</v>
      </c>
      <c r="AM381" s="182" t="s">
        <v>153</v>
      </c>
      <c r="AN381" s="183" t="s">
        <v>3203</v>
      </c>
      <c r="AO381" s="184" t="s">
        <v>8043</v>
      </c>
      <c r="AP381" s="185" t="s">
        <v>8044</v>
      </c>
      <c r="AQ381" s="186" t="s">
        <v>8045</v>
      </c>
      <c r="AR381" s="187" t="s">
        <v>153</v>
      </c>
      <c r="AS381" s="188" t="s">
        <v>8046</v>
      </c>
      <c r="AT381" s="189" t="s">
        <v>8047</v>
      </c>
      <c r="AU381" s="190" t="s">
        <v>8048</v>
      </c>
      <c r="AV381" s="191" t="s">
        <v>8049</v>
      </c>
      <c r="AW381" s="192" t="s">
        <v>8050</v>
      </c>
      <c r="AX381" s="193" t="s">
        <v>1862</v>
      </c>
      <c r="AY381" s="194" t="s">
        <v>8051</v>
      </c>
      <c r="AZ381" s="195" t="s">
        <v>215</v>
      </c>
      <c r="BA381" s="196" t="s">
        <v>8046</v>
      </c>
      <c r="BB381" s="197" t="s">
        <v>8052</v>
      </c>
      <c r="BC381" s="198" t="s">
        <v>153</v>
      </c>
      <c r="BD381" s="199" t="s">
        <v>216</v>
      </c>
      <c r="BE381" s="200" t="s">
        <v>217</v>
      </c>
      <c r="BF381" s="201" t="s">
        <v>8053</v>
      </c>
      <c r="BG381" s="202" t="s">
        <v>153</v>
      </c>
      <c r="BH381" s="203" t="s">
        <v>153</v>
      </c>
      <c r="BI381" s="204" t="s">
        <v>8054</v>
      </c>
      <c r="BJ381" s="205" t="s">
        <v>8055</v>
      </c>
      <c r="BK381" s="206" t="s">
        <v>8056</v>
      </c>
      <c r="BL381" s="207" t="s">
        <v>153</v>
      </c>
      <c r="BM381" s="208" t="s">
        <v>8057</v>
      </c>
      <c r="BN381" s="209" t="s">
        <v>8058</v>
      </c>
      <c r="BO381" s="210" t="s">
        <v>8059</v>
      </c>
      <c r="BP381" s="211" t="s">
        <v>8060</v>
      </c>
      <c r="BQ381" s="212">
        <v>34444</v>
      </c>
      <c r="BR381" s="213" t="s">
        <v>153</v>
      </c>
      <c r="BS381" s="214" t="s">
        <v>153</v>
      </c>
      <c r="BT381" s="215" t="s">
        <v>153</v>
      </c>
      <c r="BU381" s="216" t="s">
        <v>153</v>
      </c>
      <c r="BV381" s="217" t="s">
        <v>251</v>
      </c>
      <c r="BW381" s="218" t="s">
        <v>153</v>
      </c>
      <c r="BX381" s="219" t="s">
        <v>153</v>
      </c>
      <c r="BY381" s="220" t="s">
        <v>252</v>
      </c>
      <c r="BZ381" s="221" t="s">
        <v>153</v>
      </c>
      <c r="CA381" s="222" t="s">
        <v>190</v>
      </c>
      <c r="CB381" s="223">
        <v>42646</v>
      </c>
      <c r="CC381" s="224">
        <v>10400</v>
      </c>
      <c r="CD381" s="225" t="s">
        <v>186</v>
      </c>
      <c r="CE381" s="226">
        <v>10400</v>
      </c>
      <c r="CF381" s="227" t="s">
        <v>187</v>
      </c>
      <c r="CG381" s="228" t="s">
        <v>226</v>
      </c>
      <c r="CH381" s="229" t="s">
        <v>153</v>
      </c>
      <c r="CI381" s="230" t="s">
        <v>153</v>
      </c>
      <c r="CJ381" s="231" t="s">
        <v>225</v>
      </c>
      <c r="CK381" s="232">
        <v>42646</v>
      </c>
      <c r="CL381" s="233" t="s">
        <v>153</v>
      </c>
      <c r="CM381" s="234" t="s">
        <v>153</v>
      </c>
      <c r="CN381" s="235" t="s">
        <v>190</v>
      </c>
      <c r="CO381" s="236" t="s">
        <v>153</v>
      </c>
      <c r="CP381" s="237" t="s">
        <v>153</v>
      </c>
      <c r="CQ381" s="238" t="s">
        <v>153</v>
      </c>
      <c r="CR381" s="239" t="s">
        <v>153</v>
      </c>
      <c r="CS381" s="240" t="s">
        <v>153</v>
      </c>
      <c r="CT381" s="241" t="s">
        <v>153</v>
      </c>
      <c r="CU381" s="242" t="s">
        <v>153</v>
      </c>
      <c r="CV381" s="243" t="s">
        <v>153</v>
      </c>
      <c r="CW381" s="244" t="s">
        <v>153</v>
      </c>
      <c r="CX381" s="245" t="s">
        <v>153</v>
      </c>
      <c r="CY381" s="246" t="s">
        <v>153</v>
      </c>
      <c r="CZ381" s="247" t="s">
        <v>153</v>
      </c>
      <c r="DA381" s="248" t="s">
        <v>153</v>
      </c>
      <c r="DB381" s="249" t="s">
        <v>153</v>
      </c>
      <c r="DC381" s="250" t="s">
        <v>153</v>
      </c>
      <c r="DD381" s="251" t="s">
        <v>153</v>
      </c>
      <c r="DE381" s="252" t="s">
        <v>153</v>
      </c>
      <c r="DF381" s="253" t="s">
        <v>153</v>
      </c>
      <c r="DG381" s="254" t="s">
        <v>153</v>
      </c>
      <c r="DH381" s="255" t="s">
        <v>153</v>
      </c>
      <c r="DI381" s="256" t="s">
        <v>153</v>
      </c>
      <c r="DJ381" s="257" t="s">
        <v>153</v>
      </c>
      <c r="DK381" s="258" t="s">
        <v>153</v>
      </c>
      <c r="DL381" s="259" t="s">
        <v>153</v>
      </c>
      <c r="DM381" s="260" t="s">
        <v>153</v>
      </c>
      <c r="DN381" s="261" t="s">
        <v>153</v>
      </c>
      <c r="DO381" s="262" t="s">
        <v>153</v>
      </c>
      <c r="DP381" s="263" t="s">
        <v>153</v>
      </c>
      <c r="DQ381" s="264" t="s">
        <v>153</v>
      </c>
      <c r="DR381" s="265" t="s">
        <v>153</v>
      </c>
      <c r="DS381" s="266" t="s">
        <v>153</v>
      </c>
      <c r="DT381" s="267" t="s">
        <v>153</v>
      </c>
      <c r="DU381" s="268" t="s">
        <v>153</v>
      </c>
      <c r="DV381" s="269" t="s">
        <v>153</v>
      </c>
      <c r="DW381" s="270" t="s">
        <v>153</v>
      </c>
      <c r="DX381" s="271" t="s">
        <v>153</v>
      </c>
      <c r="DY381" s="272" t="s">
        <v>153</v>
      </c>
      <c r="DZ381" s="273" t="s">
        <v>191</v>
      </c>
      <c r="EA381" s="274">
        <v>44341</v>
      </c>
      <c r="EB381" s="275">
        <v>10400</v>
      </c>
      <c r="EC381" s="276">
        <v>42646</v>
      </c>
      <c r="ED381" s="277" t="s">
        <v>226</v>
      </c>
      <c r="EE381" s="279" t="str">
        <f>HYPERLINK("https://my.pitchbook.com?c=10729-45", "View company online")</f>
        <v>View company online</v>
      </c>
    </row>
    <row r="382" spans="1:135" x14ac:dyDescent="0.45">
      <c r="A382" s="10" t="s">
        <v>8061</v>
      </c>
      <c r="B382" s="11" t="s">
        <v>8062</v>
      </c>
      <c r="C382" s="12" t="s">
        <v>153</v>
      </c>
      <c r="D382" s="13" t="s">
        <v>153</v>
      </c>
      <c r="E382" s="14" t="s">
        <v>153</v>
      </c>
      <c r="F382" s="15" t="s">
        <v>153</v>
      </c>
      <c r="G382" s="16" t="s">
        <v>8063</v>
      </c>
      <c r="H382" s="17" t="s">
        <v>153</v>
      </c>
      <c r="I382" s="18" t="s">
        <v>8061</v>
      </c>
      <c r="J382" s="19" t="s">
        <v>8064</v>
      </c>
      <c r="K382" s="20" t="s">
        <v>559</v>
      </c>
      <c r="L382" s="21" t="s">
        <v>560</v>
      </c>
      <c r="M382" s="22" t="s">
        <v>561</v>
      </c>
      <c r="N382" s="23" t="s">
        <v>8065</v>
      </c>
      <c r="O382" s="24" t="s">
        <v>261</v>
      </c>
      <c r="P382" s="25" t="s">
        <v>8066</v>
      </c>
      <c r="Q382" s="26" t="s">
        <v>204</v>
      </c>
      <c r="R382" s="27" t="s">
        <v>153</v>
      </c>
      <c r="S382" s="28" t="s">
        <v>290</v>
      </c>
      <c r="T382" s="29" t="s">
        <v>205</v>
      </c>
      <c r="U382" s="30" t="s">
        <v>237</v>
      </c>
      <c r="V382" s="31" t="s">
        <v>8067</v>
      </c>
      <c r="W382" s="32" t="s">
        <v>153</v>
      </c>
      <c r="X382" s="33" t="s">
        <v>153</v>
      </c>
      <c r="Y382" s="34" t="s">
        <v>153</v>
      </c>
      <c r="Z382" s="35" t="s">
        <v>153</v>
      </c>
      <c r="AA382" s="36">
        <v>1934</v>
      </c>
      <c r="AB382" s="37" t="s">
        <v>153</v>
      </c>
      <c r="AC382" s="38" t="s">
        <v>153</v>
      </c>
      <c r="AD382" s="39" t="s">
        <v>153</v>
      </c>
      <c r="AE382" s="40" t="s">
        <v>153</v>
      </c>
      <c r="AF382" s="41" t="s">
        <v>153</v>
      </c>
      <c r="AG382" s="42" t="s">
        <v>153</v>
      </c>
      <c r="AH382" s="43" t="s">
        <v>153</v>
      </c>
      <c r="AI382" s="44" t="s">
        <v>153</v>
      </c>
      <c r="AJ382" s="45" t="s">
        <v>153</v>
      </c>
      <c r="AK382" s="46" t="s">
        <v>153</v>
      </c>
      <c r="AL382" s="47" t="s">
        <v>153</v>
      </c>
      <c r="AM382" s="48" t="s">
        <v>153</v>
      </c>
      <c r="AN382" s="49" t="s">
        <v>153</v>
      </c>
      <c r="AO382" s="50" t="s">
        <v>153</v>
      </c>
      <c r="AP382" s="51" t="s">
        <v>153</v>
      </c>
      <c r="AQ382" s="52" t="s">
        <v>153</v>
      </c>
      <c r="AR382" s="53" t="s">
        <v>153</v>
      </c>
      <c r="AS382" s="54" t="s">
        <v>153</v>
      </c>
      <c r="AT382" s="55" t="s">
        <v>8068</v>
      </c>
      <c r="AU382" s="56" t="s">
        <v>8069</v>
      </c>
      <c r="AV382" s="57" t="s">
        <v>153</v>
      </c>
      <c r="AW382" s="58" t="s">
        <v>8070</v>
      </c>
      <c r="AX382" s="59" t="s">
        <v>153</v>
      </c>
      <c r="AY382" s="60" t="s">
        <v>8071</v>
      </c>
      <c r="AZ382" s="61" t="s">
        <v>808</v>
      </c>
      <c r="BA382" s="62" t="s">
        <v>153</v>
      </c>
      <c r="BB382" s="63" t="s">
        <v>153</v>
      </c>
      <c r="BC382" s="64" t="s">
        <v>153</v>
      </c>
      <c r="BD382" s="65" t="s">
        <v>180</v>
      </c>
      <c r="BE382" s="66" t="s">
        <v>809</v>
      </c>
      <c r="BF382" s="67" t="s">
        <v>8072</v>
      </c>
      <c r="BG382" s="68" t="s">
        <v>153</v>
      </c>
      <c r="BH382" s="69" t="s">
        <v>153</v>
      </c>
      <c r="BI382" s="70" t="s">
        <v>8073</v>
      </c>
      <c r="BJ382" s="71" t="s">
        <v>8074</v>
      </c>
      <c r="BK382" s="72" t="s">
        <v>153</v>
      </c>
      <c r="BL382" s="73" t="s">
        <v>153</v>
      </c>
      <c r="BM382" s="74" t="s">
        <v>8075</v>
      </c>
      <c r="BN382" s="75" t="s">
        <v>153</v>
      </c>
      <c r="BO382" s="76" t="s">
        <v>153</v>
      </c>
      <c r="BP382" s="77" t="s">
        <v>8076</v>
      </c>
      <c r="BQ382" s="78" t="s">
        <v>153</v>
      </c>
      <c r="BR382" s="79" t="s">
        <v>153</v>
      </c>
      <c r="BS382" s="80" t="s">
        <v>153</v>
      </c>
      <c r="BT382" s="81" t="s">
        <v>153</v>
      </c>
      <c r="BU382" s="82" t="s">
        <v>153</v>
      </c>
      <c r="BV382" s="83" t="s">
        <v>251</v>
      </c>
      <c r="BW382" s="84" t="s">
        <v>153</v>
      </c>
      <c r="BX382" s="85" t="s">
        <v>153</v>
      </c>
      <c r="BY382" s="86" t="s">
        <v>252</v>
      </c>
      <c r="BZ382" s="87" t="s">
        <v>153</v>
      </c>
      <c r="CA382" s="88" t="s">
        <v>190</v>
      </c>
      <c r="CB382" s="89">
        <v>40710</v>
      </c>
      <c r="CC382" s="90">
        <v>10393.709999999999</v>
      </c>
      <c r="CD382" s="91" t="s">
        <v>153</v>
      </c>
      <c r="CE382" s="92">
        <v>10393.709999999999</v>
      </c>
      <c r="CF382" s="93" t="s">
        <v>153</v>
      </c>
      <c r="CG382" s="94" t="s">
        <v>226</v>
      </c>
      <c r="CH382" s="95" t="s">
        <v>153</v>
      </c>
      <c r="CI382" s="96" t="s">
        <v>153</v>
      </c>
      <c r="CJ382" s="97" t="s">
        <v>225</v>
      </c>
      <c r="CK382" s="98">
        <v>40710</v>
      </c>
      <c r="CL382" s="99" t="s">
        <v>153</v>
      </c>
      <c r="CM382" s="100" t="s">
        <v>153</v>
      </c>
      <c r="CN382" s="101" t="s">
        <v>190</v>
      </c>
      <c r="CO382" s="102" t="s">
        <v>153</v>
      </c>
      <c r="CP382" s="103" t="s">
        <v>153</v>
      </c>
      <c r="CQ382" s="104" t="s">
        <v>153</v>
      </c>
      <c r="CR382" s="105" t="s">
        <v>153</v>
      </c>
      <c r="CS382" s="106" t="s">
        <v>153</v>
      </c>
      <c r="CT382" s="107" t="s">
        <v>153</v>
      </c>
      <c r="CU382" s="108" t="s">
        <v>153</v>
      </c>
      <c r="CV382" s="109" t="s">
        <v>153</v>
      </c>
      <c r="CW382" s="110" t="s">
        <v>153</v>
      </c>
      <c r="CX382" s="111" t="s">
        <v>153</v>
      </c>
      <c r="CY382" s="112" t="s">
        <v>153</v>
      </c>
      <c r="CZ382" s="113" t="s">
        <v>153</v>
      </c>
      <c r="DA382" s="114" t="s">
        <v>153</v>
      </c>
      <c r="DB382" s="115" t="s">
        <v>153</v>
      </c>
      <c r="DC382" s="116" t="s">
        <v>153</v>
      </c>
      <c r="DD382" s="117" t="s">
        <v>153</v>
      </c>
      <c r="DE382" s="118" t="s">
        <v>153</v>
      </c>
      <c r="DF382" s="119" t="s">
        <v>153</v>
      </c>
      <c r="DG382" s="120" t="s">
        <v>153</v>
      </c>
      <c r="DH382" s="121" t="s">
        <v>153</v>
      </c>
      <c r="DI382" s="122" t="s">
        <v>153</v>
      </c>
      <c r="DJ382" s="123" t="s">
        <v>153</v>
      </c>
      <c r="DK382" s="124" t="s">
        <v>153</v>
      </c>
      <c r="DL382" s="125" t="s">
        <v>153</v>
      </c>
      <c r="DM382" s="126" t="s">
        <v>153</v>
      </c>
      <c r="DN382" s="127" t="s">
        <v>153</v>
      </c>
      <c r="DO382" s="128" t="s">
        <v>153</v>
      </c>
      <c r="DP382" s="129" t="s">
        <v>153</v>
      </c>
      <c r="DQ382" s="130" t="s">
        <v>153</v>
      </c>
      <c r="DR382" s="131" t="s">
        <v>153</v>
      </c>
      <c r="DS382" s="132" t="s">
        <v>153</v>
      </c>
      <c r="DT382" s="133" t="s">
        <v>153</v>
      </c>
      <c r="DU382" s="134" t="s">
        <v>153</v>
      </c>
      <c r="DV382" s="135" t="s">
        <v>153</v>
      </c>
      <c r="DW382" s="136" t="s">
        <v>153</v>
      </c>
      <c r="DX382" s="137" t="s">
        <v>153</v>
      </c>
      <c r="DY382" s="138" t="s">
        <v>153</v>
      </c>
      <c r="DZ382" s="139" t="s">
        <v>191</v>
      </c>
      <c r="EA382" s="140">
        <v>44272</v>
      </c>
      <c r="EB382" s="141">
        <v>10393.709999999999</v>
      </c>
      <c r="EC382" s="142">
        <v>40710</v>
      </c>
      <c r="ED382" s="143" t="s">
        <v>226</v>
      </c>
      <c r="EE382" s="278" t="str">
        <f>HYPERLINK("https://my.pitchbook.com?c=99026-65", "View company online")</f>
        <v>View company online</v>
      </c>
    </row>
    <row r="383" spans="1:135" x14ac:dyDescent="0.45">
      <c r="A383" s="144" t="s">
        <v>8077</v>
      </c>
      <c r="B383" s="145" t="s">
        <v>8078</v>
      </c>
      <c r="C383" s="146" t="s">
        <v>153</v>
      </c>
      <c r="D383" s="147" t="s">
        <v>153</v>
      </c>
      <c r="E383" s="148" t="s">
        <v>8079</v>
      </c>
      <c r="F383" s="149" t="s">
        <v>8080</v>
      </c>
      <c r="G383" s="150" t="s">
        <v>8081</v>
      </c>
      <c r="H383" s="151" t="s">
        <v>153</v>
      </c>
      <c r="I383" s="152" t="s">
        <v>8077</v>
      </c>
      <c r="J383" s="153" t="s">
        <v>8082</v>
      </c>
      <c r="K383" s="154" t="s">
        <v>559</v>
      </c>
      <c r="L383" s="155" t="s">
        <v>560</v>
      </c>
      <c r="M383" s="156" t="s">
        <v>5372</v>
      </c>
      <c r="N383" s="157" t="s">
        <v>8083</v>
      </c>
      <c r="O383" s="158" t="s">
        <v>261</v>
      </c>
      <c r="P383" s="159" t="s">
        <v>8084</v>
      </c>
      <c r="Q383" s="160" t="s">
        <v>162</v>
      </c>
      <c r="R383" s="161" t="s">
        <v>153</v>
      </c>
      <c r="S383" s="162" t="s">
        <v>163</v>
      </c>
      <c r="T383" s="163" t="s">
        <v>1392</v>
      </c>
      <c r="U383" s="164" t="s">
        <v>165</v>
      </c>
      <c r="V383" s="165" t="s">
        <v>8085</v>
      </c>
      <c r="W383" s="166">
        <v>7900</v>
      </c>
      <c r="X383" s="167" t="s">
        <v>8086</v>
      </c>
      <c r="Y383" s="168" t="s">
        <v>153</v>
      </c>
      <c r="Z383" s="169" t="s">
        <v>153</v>
      </c>
      <c r="AA383" s="170">
        <v>1837</v>
      </c>
      <c r="AB383" s="171" t="s">
        <v>153</v>
      </c>
      <c r="AC383" s="172" t="s">
        <v>428</v>
      </c>
      <c r="AD383" s="173" t="s">
        <v>570</v>
      </c>
      <c r="AE383" s="174" t="s">
        <v>153</v>
      </c>
      <c r="AF383" s="175" t="s">
        <v>153</v>
      </c>
      <c r="AG383" s="176" t="s">
        <v>153</v>
      </c>
      <c r="AH383" s="177" t="s">
        <v>153</v>
      </c>
      <c r="AI383" s="178" t="s">
        <v>153</v>
      </c>
      <c r="AJ383" s="179" t="s">
        <v>153</v>
      </c>
      <c r="AK383" s="180" t="s">
        <v>153</v>
      </c>
      <c r="AL383" s="181" t="s">
        <v>153</v>
      </c>
      <c r="AM383" s="182" t="s">
        <v>153</v>
      </c>
      <c r="AN383" s="183" t="s">
        <v>456</v>
      </c>
      <c r="AO383" s="184" t="s">
        <v>8087</v>
      </c>
      <c r="AP383" s="185" t="s">
        <v>8088</v>
      </c>
      <c r="AQ383" s="186" t="s">
        <v>512</v>
      </c>
      <c r="AR383" s="187" t="s">
        <v>8089</v>
      </c>
      <c r="AS383" s="188" t="s">
        <v>8090</v>
      </c>
      <c r="AT383" s="189" t="s">
        <v>331</v>
      </c>
      <c r="AU383" s="190" t="s">
        <v>8091</v>
      </c>
      <c r="AV383" s="191" t="s">
        <v>8092</v>
      </c>
      <c r="AW383" s="192" t="s">
        <v>333</v>
      </c>
      <c r="AX383" s="193" t="s">
        <v>153</v>
      </c>
      <c r="AY383" s="194" t="s">
        <v>8093</v>
      </c>
      <c r="AZ383" s="195" t="s">
        <v>335</v>
      </c>
      <c r="BA383" s="196" t="s">
        <v>8090</v>
      </c>
      <c r="BB383" s="197" t="s">
        <v>153</v>
      </c>
      <c r="BC383" s="198" t="s">
        <v>153</v>
      </c>
      <c r="BD383" s="199" t="s">
        <v>180</v>
      </c>
      <c r="BE383" s="200" t="s">
        <v>181</v>
      </c>
      <c r="BF383" s="201" t="s">
        <v>8094</v>
      </c>
      <c r="BG383" s="202" t="s">
        <v>8095</v>
      </c>
      <c r="BH383" s="203">
        <v>3</v>
      </c>
      <c r="BI383" s="204" t="s">
        <v>153</v>
      </c>
      <c r="BJ383" s="205" t="s">
        <v>4647</v>
      </c>
      <c r="BK383" s="206" t="s">
        <v>8096</v>
      </c>
      <c r="BL383" s="207" t="s">
        <v>8097</v>
      </c>
      <c r="BM383" s="208" t="s">
        <v>4819</v>
      </c>
      <c r="BN383" s="209" t="s">
        <v>8098</v>
      </c>
      <c r="BO383" s="210" t="s">
        <v>8099</v>
      </c>
      <c r="BP383" s="211" t="s">
        <v>8100</v>
      </c>
      <c r="BQ383" s="212">
        <v>43374</v>
      </c>
      <c r="BR383" s="213">
        <v>10375.1</v>
      </c>
      <c r="BS383" s="214" t="s">
        <v>187</v>
      </c>
      <c r="BT383" s="215">
        <v>10375.1</v>
      </c>
      <c r="BU383" s="216" t="s">
        <v>187</v>
      </c>
      <c r="BV383" s="217" t="s">
        <v>188</v>
      </c>
      <c r="BW383" s="218" t="s">
        <v>729</v>
      </c>
      <c r="BX383" s="219" t="s">
        <v>153</v>
      </c>
      <c r="BY383" s="220" t="s">
        <v>165</v>
      </c>
      <c r="BZ383" s="221" t="s">
        <v>8101</v>
      </c>
      <c r="CA383" s="222" t="s">
        <v>190</v>
      </c>
      <c r="CB383" s="223">
        <v>43374</v>
      </c>
      <c r="CC383" s="224">
        <v>10375.1</v>
      </c>
      <c r="CD383" s="225" t="s">
        <v>187</v>
      </c>
      <c r="CE383" s="226">
        <v>10375.1</v>
      </c>
      <c r="CF383" s="227" t="s">
        <v>187</v>
      </c>
      <c r="CG383" s="228" t="s">
        <v>188</v>
      </c>
      <c r="CH383" s="229" t="s">
        <v>729</v>
      </c>
      <c r="CI383" s="230" t="s">
        <v>153</v>
      </c>
      <c r="CJ383" s="231" t="s">
        <v>165</v>
      </c>
      <c r="CK383" s="232">
        <v>43374</v>
      </c>
      <c r="CL383" s="233">
        <v>8509.91</v>
      </c>
      <c r="CM383" s="234" t="s">
        <v>8101</v>
      </c>
      <c r="CN383" s="235" t="s">
        <v>190</v>
      </c>
      <c r="CO383" s="236">
        <v>-0.37</v>
      </c>
      <c r="CP383" s="237">
        <v>5</v>
      </c>
      <c r="CQ383" s="238">
        <v>0</v>
      </c>
      <c r="CR383" s="239">
        <v>-0.04</v>
      </c>
      <c r="CS383" s="240">
        <v>-0.17</v>
      </c>
      <c r="CT383" s="241">
        <v>7</v>
      </c>
      <c r="CU383" s="242">
        <v>-7.0000000000000007E-2</v>
      </c>
      <c r="CV383" s="243">
        <v>27</v>
      </c>
      <c r="CW383" s="244">
        <v>-0.82</v>
      </c>
      <c r="CX383" s="245">
        <v>17</v>
      </c>
      <c r="CY383" s="246">
        <v>0.49</v>
      </c>
      <c r="CZ383" s="247">
        <v>94</v>
      </c>
      <c r="DA383" s="248">
        <v>-7.0000000000000007E-2</v>
      </c>
      <c r="DB383" s="249">
        <v>27</v>
      </c>
      <c r="DC383" s="250">
        <v>103.42</v>
      </c>
      <c r="DD383" s="251">
        <v>99</v>
      </c>
      <c r="DE383" s="252">
        <v>0.04</v>
      </c>
      <c r="DF383" s="253">
        <v>0.04</v>
      </c>
      <c r="DG383" s="254">
        <v>69.459999999999994</v>
      </c>
      <c r="DH383" s="255">
        <v>99</v>
      </c>
      <c r="DI383" s="256">
        <v>27.28</v>
      </c>
      <c r="DJ383" s="257">
        <v>93</v>
      </c>
      <c r="DK383" s="258">
        <v>32.29</v>
      </c>
      <c r="DL383" s="259">
        <v>93</v>
      </c>
      <c r="DM383" s="260">
        <v>106.63</v>
      </c>
      <c r="DN383" s="261">
        <v>99</v>
      </c>
      <c r="DO383" s="262">
        <v>27.28</v>
      </c>
      <c r="DP383" s="263">
        <v>93</v>
      </c>
      <c r="DQ383" s="264">
        <v>19094</v>
      </c>
      <c r="DR383" s="265">
        <v>196</v>
      </c>
      <c r="DS383" s="266">
        <v>1.04</v>
      </c>
      <c r="DT383" s="267">
        <v>1706</v>
      </c>
      <c r="DU383" s="268">
        <v>-2</v>
      </c>
      <c r="DV383" s="269">
        <v>-0.12</v>
      </c>
      <c r="DW383" s="270">
        <v>8566</v>
      </c>
      <c r="DX383" s="271">
        <v>1</v>
      </c>
      <c r="DY383" s="272">
        <v>0.01</v>
      </c>
      <c r="DZ383" s="273" t="s">
        <v>191</v>
      </c>
      <c r="EA383" s="274">
        <v>44391</v>
      </c>
      <c r="EB383" s="275">
        <v>10375.1</v>
      </c>
      <c r="EC383" s="276">
        <v>43374</v>
      </c>
      <c r="ED383" s="277" t="s">
        <v>188</v>
      </c>
      <c r="EE383" s="279" t="str">
        <f>HYPERLINK("https://my.pitchbook.com?c=179899-30", "View company online")</f>
        <v>View company online</v>
      </c>
    </row>
    <row r="384" spans="1:135" x14ac:dyDescent="0.45">
      <c r="A384" s="10" t="s">
        <v>8102</v>
      </c>
      <c r="B384" s="11" t="s">
        <v>8103</v>
      </c>
      <c r="C384" s="12" t="s">
        <v>153</v>
      </c>
      <c r="D384" s="13" t="s">
        <v>153</v>
      </c>
      <c r="E384" s="14" t="s">
        <v>8104</v>
      </c>
      <c r="F384" s="15" t="s">
        <v>8105</v>
      </c>
      <c r="G384" s="16" t="s">
        <v>8106</v>
      </c>
      <c r="H384" s="17" t="s">
        <v>8107</v>
      </c>
      <c r="I384" s="18" t="s">
        <v>8102</v>
      </c>
      <c r="J384" s="19" t="s">
        <v>8108</v>
      </c>
      <c r="K384" s="20" t="s">
        <v>157</v>
      </c>
      <c r="L384" s="21" t="s">
        <v>2713</v>
      </c>
      <c r="M384" s="22" t="s">
        <v>2922</v>
      </c>
      <c r="N384" s="23" t="s">
        <v>8109</v>
      </c>
      <c r="O384" s="24" t="s">
        <v>153</v>
      </c>
      <c r="P384" s="25" t="s">
        <v>8110</v>
      </c>
      <c r="Q384" s="26" t="s">
        <v>204</v>
      </c>
      <c r="R384" s="27" t="s">
        <v>153</v>
      </c>
      <c r="S384" s="28" t="s">
        <v>290</v>
      </c>
      <c r="T384" s="29" t="s">
        <v>205</v>
      </c>
      <c r="U384" s="30" t="s">
        <v>237</v>
      </c>
      <c r="V384" s="31" t="s">
        <v>8111</v>
      </c>
      <c r="W384" s="32">
        <v>154000</v>
      </c>
      <c r="X384" s="33" t="s">
        <v>8112</v>
      </c>
      <c r="Y384" s="34" t="s">
        <v>153</v>
      </c>
      <c r="Z384" s="35" t="s">
        <v>153</v>
      </c>
      <c r="AA384" s="36">
        <v>1866</v>
      </c>
      <c r="AB384" s="37" t="s">
        <v>153</v>
      </c>
      <c r="AC384" s="38" t="s">
        <v>153</v>
      </c>
      <c r="AD384" s="39" t="s">
        <v>153</v>
      </c>
      <c r="AE384" s="40" t="s">
        <v>153</v>
      </c>
      <c r="AF384" s="41" t="s">
        <v>153</v>
      </c>
      <c r="AG384" s="42" t="s">
        <v>153</v>
      </c>
      <c r="AH384" s="43" t="s">
        <v>153</v>
      </c>
      <c r="AI384" s="44" t="s">
        <v>153</v>
      </c>
      <c r="AJ384" s="45" t="s">
        <v>153</v>
      </c>
      <c r="AK384" s="46" t="s">
        <v>153</v>
      </c>
      <c r="AL384" s="47" t="s">
        <v>153</v>
      </c>
      <c r="AM384" s="48" t="s">
        <v>153</v>
      </c>
      <c r="AN384" s="49" t="s">
        <v>429</v>
      </c>
      <c r="AO384" s="50" t="s">
        <v>153</v>
      </c>
      <c r="AP384" s="51" t="s">
        <v>153</v>
      </c>
      <c r="AQ384" s="52" t="s">
        <v>153</v>
      </c>
      <c r="AR384" s="53" t="s">
        <v>153</v>
      </c>
      <c r="AS384" s="54" t="s">
        <v>153</v>
      </c>
      <c r="AT384" s="55" t="s">
        <v>2572</v>
      </c>
      <c r="AU384" s="56" t="s">
        <v>8113</v>
      </c>
      <c r="AV384" s="57" t="s">
        <v>153</v>
      </c>
      <c r="AW384" s="58" t="s">
        <v>2575</v>
      </c>
      <c r="AX384" s="59" t="s">
        <v>153</v>
      </c>
      <c r="AY384" s="60" t="s">
        <v>8114</v>
      </c>
      <c r="AZ384" s="61" t="s">
        <v>2577</v>
      </c>
      <c r="BA384" s="62" t="s">
        <v>153</v>
      </c>
      <c r="BB384" s="63" t="s">
        <v>153</v>
      </c>
      <c r="BC384" s="64" t="s">
        <v>153</v>
      </c>
      <c r="BD384" s="65" t="s">
        <v>180</v>
      </c>
      <c r="BE384" s="66" t="s">
        <v>181</v>
      </c>
      <c r="BF384" s="67" t="s">
        <v>8115</v>
      </c>
      <c r="BG384" s="68" t="s">
        <v>153</v>
      </c>
      <c r="BH384" s="69" t="s">
        <v>153</v>
      </c>
      <c r="BI384" s="70" t="s">
        <v>8116</v>
      </c>
      <c r="BJ384" s="71" t="s">
        <v>8117</v>
      </c>
      <c r="BK384" s="72" t="s">
        <v>153</v>
      </c>
      <c r="BL384" s="73" t="s">
        <v>153</v>
      </c>
      <c r="BM384" s="74" t="s">
        <v>8118</v>
      </c>
      <c r="BN384" s="75" t="s">
        <v>153</v>
      </c>
      <c r="BO384" s="76" t="s">
        <v>8119</v>
      </c>
      <c r="BP384" s="77" t="s">
        <v>8120</v>
      </c>
      <c r="BQ384" s="78">
        <v>36243</v>
      </c>
      <c r="BR384" s="79" t="s">
        <v>153</v>
      </c>
      <c r="BS384" s="80" t="s">
        <v>153</v>
      </c>
      <c r="BT384" s="81" t="s">
        <v>153</v>
      </c>
      <c r="BU384" s="82" t="s">
        <v>153</v>
      </c>
      <c r="BV384" s="83" t="s">
        <v>251</v>
      </c>
      <c r="BW384" s="84" t="s">
        <v>153</v>
      </c>
      <c r="BX384" s="85" t="s">
        <v>153</v>
      </c>
      <c r="BY384" s="86" t="s">
        <v>252</v>
      </c>
      <c r="BZ384" s="87" t="s">
        <v>153</v>
      </c>
      <c r="CA384" s="88" t="s">
        <v>190</v>
      </c>
      <c r="CB384" s="89">
        <v>42574</v>
      </c>
      <c r="CC384" s="90">
        <v>10312.15</v>
      </c>
      <c r="CD384" s="91" t="s">
        <v>186</v>
      </c>
      <c r="CE384" s="92">
        <v>16868.88</v>
      </c>
      <c r="CF384" s="93" t="s">
        <v>187</v>
      </c>
      <c r="CG384" s="94" t="s">
        <v>226</v>
      </c>
      <c r="CH384" s="95" t="s">
        <v>153</v>
      </c>
      <c r="CI384" s="96" t="s">
        <v>153</v>
      </c>
      <c r="CJ384" s="97" t="s">
        <v>225</v>
      </c>
      <c r="CK384" s="98">
        <v>42574</v>
      </c>
      <c r="CL384" s="99" t="s">
        <v>153</v>
      </c>
      <c r="CM384" s="100" t="s">
        <v>153</v>
      </c>
      <c r="CN384" s="101" t="s">
        <v>190</v>
      </c>
      <c r="CO384" s="102" t="s">
        <v>153</v>
      </c>
      <c r="CP384" s="103" t="s">
        <v>153</v>
      </c>
      <c r="CQ384" s="104" t="s">
        <v>153</v>
      </c>
      <c r="CR384" s="105" t="s">
        <v>153</v>
      </c>
      <c r="CS384" s="106" t="s">
        <v>153</v>
      </c>
      <c r="CT384" s="107" t="s">
        <v>153</v>
      </c>
      <c r="CU384" s="108" t="s">
        <v>153</v>
      </c>
      <c r="CV384" s="109" t="s">
        <v>153</v>
      </c>
      <c r="CW384" s="110" t="s">
        <v>153</v>
      </c>
      <c r="CX384" s="111" t="s">
        <v>153</v>
      </c>
      <c r="CY384" s="112" t="s">
        <v>153</v>
      </c>
      <c r="CZ384" s="113" t="s">
        <v>153</v>
      </c>
      <c r="DA384" s="114" t="s">
        <v>153</v>
      </c>
      <c r="DB384" s="115" t="s">
        <v>153</v>
      </c>
      <c r="DC384" s="116" t="s">
        <v>153</v>
      </c>
      <c r="DD384" s="117" t="s">
        <v>153</v>
      </c>
      <c r="DE384" s="118" t="s">
        <v>153</v>
      </c>
      <c r="DF384" s="119" t="s">
        <v>153</v>
      </c>
      <c r="DG384" s="120" t="s">
        <v>153</v>
      </c>
      <c r="DH384" s="121" t="s">
        <v>153</v>
      </c>
      <c r="DI384" s="122" t="s">
        <v>153</v>
      </c>
      <c r="DJ384" s="123" t="s">
        <v>153</v>
      </c>
      <c r="DK384" s="124" t="s">
        <v>153</v>
      </c>
      <c r="DL384" s="125" t="s">
        <v>153</v>
      </c>
      <c r="DM384" s="126" t="s">
        <v>153</v>
      </c>
      <c r="DN384" s="127" t="s">
        <v>153</v>
      </c>
      <c r="DO384" s="128" t="s">
        <v>153</v>
      </c>
      <c r="DP384" s="129" t="s">
        <v>153</v>
      </c>
      <c r="DQ384" s="130" t="s">
        <v>153</v>
      </c>
      <c r="DR384" s="131" t="s">
        <v>153</v>
      </c>
      <c r="DS384" s="132" t="s">
        <v>153</v>
      </c>
      <c r="DT384" s="133" t="s">
        <v>153</v>
      </c>
      <c r="DU384" s="134" t="s">
        <v>153</v>
      </c>
      <c r="DV384" s="135" t="s">
        <v>153</v>
      </c>
      <c r="DW384" s="136" t="s">
        <v>153</v>
      </c>
      <c r="DX384" s="137" t="s">
        <v>153</v>
      </c>
      <c r="DY384" s="138" t="s">
        <v>153</v>
      </c>
      <c r="DZ384" s="139" t="s">
        <v>191</v>
      </c>
      <c r="EA384" s="140">
        <v>44217</v>
      </c>
      <c r="EB384" s="141">
        <v>16868.88</v>
      </c>
      <c r="EC384" s="142">
        <v>42574</v>
      </c>
      <c r="ED384" s="143" t="s">
        <v>226</v>
      </c>
      <c r="EE384" s="278" t="str">
        <f>HYPERLINK("https://my.pitchbook.com?c=43055-74", "View company online")</f>
        <v>View company online</v>
      </c>
    </row>
    <row r="385" spans="1:135" x14ac:dyDescent="0.45">
      <c r="A385" s="144" t="s">
        <v>8121</v>
      </c>
      <c r="B385" s="145" t="s">
        <v>8122</v>
      </c>
      <c r="C385" s="146" t="s">
        <v>153</v>
      </c>
      <c r="D385" s="147" t="s">
        <v>153</v>
      </c>
      <c r="E385" s="148" t="s">
        <v>153</v>
      </c>
      <c r="F385" s="149" t="s">
        <v>153</v>
      </c>
      <c r="G385" s="150" t="s">
        <v>153</v>
      </c>
      <c r="H385" s="151" t="s">
        <v>153</v>
      </c>
      <c r="I385" s="152" t="s">
        <v>8121</v>
      </c>
      <c r="J385" s="153" t="s">
        <v>8123</v>
      </c>
      <c r="K385" s="154" t="s">
        <v>792</v>
      </c>
      <c r="L385" s="155" t="s">
        <v>1516</v>
      </c>
      <c r="M385" s="156" t="s">
        <v>1516</v>
      </c>
      <c r="N385" s="157" t="s">
        <v>8124</v>
      </c>
      <c r="O385" s="158" t="s">
        <v>796</v>
      </c>
      <c r="P385" s="159" t="s">
        <v>8125</v>
      </c>
      <c r="Q385" s="160" t="s">
        <v>204</v>
      </c>
      <c r="R385" s="161" t="s">
        <v>153</v>
      </c>
      <c r="S385" s="162" t="s">
        <v>153</v>
      </c>
      <c r="T385" s="163" t="s">
        <v>205</v>
      </c>
      <c r="U385" s="164" t="s">
        <v>206</v>
      </c>
      <c r="V385" s="165" t="s">
        <v>153</v>
      </c>
      <c r="W385" s="166" t="s">
        <v>153</v>
      </c>
      <c r="X385" s="167" t="s">
        <v>153</v>
      </c>
      <c r="Y385" s="168" t="s">
        <v>153</v>
      </c>
      <c r="Z385" s="169" t="s">
        <v>153</v>
      </c>
      <c r="AA385" s="170" t="s">
        <v>153</v>
      </c>
      <c r="AB385" s="171" t="s">
        <v>153</v>
      </c>
      <c r="AC385" s="172" t="s">
        <v>153</v>
      </c>
      <c r="AD385" s="173" t="s">
        <v>153</v>
      </c>
      <c r="AE385" s="174" t="s">
        <v>153</v>
      </c>
      <c r="AF385" s="175" t="s">
        <v>153</v>
      </c>
      <c r="AG385" s="176" t="s">
        <v>153</v>
      </c>
      <c r="AH385" s="177" t="s">
        <v>153</v>
      </c>
      <c r="AI385" s="178" t="s">
        <v>153</v>
      </c>
      <c r="AJ385" s="179" t="s">
        <v>153</v>
      </c>
      <c r="AK385" s="180" t="s">
        <v>153</v>
      </c>
      <c r="AL385" s="181" t="s">
        <v>153</v>
      </c>
      <c r="AM385" s="182" t="s">
        <v>153</v>
      </c>
      <c r="AN385" s="183" t="s">
        <v>153</v>
      </c>
      <c r="AO385" s="184" t="s">
        <v>153</v>
      </c>
      <c r="AP385" s="185" t="s">
        <v>153</v>
      </c>
      <c r="AQ385" s="186" t="s">
        <v>153</v>
      </c>
      <c r="AR385" s="187" t="s">
        <v>153</v>
      </c>
      <c r="AS385" s="188" t="s">
        <v>153</v>
      </c>
      <c r="AT385" s="189" t="s">
        <v>8126</v>
      </c>
      <c r="AU385" s="190" t="s">
        <v>8127</v>
      </c>
      <c r="AV385" s="191" t="s">
        <v>153</v>
      </c>
      <c r="AW385" s="192" t="s">
        <v>153</v>
      </c>
      <c r="AX385" s="193" t="s">
        <v>1128</v>
      </c>
      <c r="AY385" s="194" t="s">
        <v>153</v>
      </c>
      <c r="AZ385" s="195" t="s">
        <v>215</v>
      </c>
      <c r="BA385" s="196" t="s">
        <v>153</v>
      </c>
      <c r="BB385" s="197" t="s">
        <v>153</v>
      </c>
      <c r="BC385" s="198" t="s">
        <v>153</v>
      </c>
      <c r="BD385" s="199" t="s">
        <v>216</v>
      </c>
      <c r="BE385" s="200" t="s">
        <v>217</v>
      </c>
      <c r="BF385" s="201" t="s">
        <v>8128</v>
      </c>
      <c r="BG385" s="202" t="s">
        <v>153</v>
      </c>
      <c r="BH385" s="203" t="s">
        <v>153</v>
      </c>
      <c r="BI385" s="204" t="s">
        <v>1095</v>
      </c>
      <c r="BJ385" s="205" t="s">
        <v>7960</v>
      </c>
      <c r="BK385" s="206" t="s">
        <v>153</v>
      </c>
      <c r="BL385" s="207" t="s">
        <v>153</v>
      </c>
      <c r="BM385" s="208" t="s">
        <v>7961</v>
      </c>
      <c r="BN385" s="209" t="s">
        <v>153</v>
      </c>
      <c r="BO385" s="210" t="s">
        <v>153</v>
      </c>
      <c r="BP385" s="211" t="s">
        <v>153</v>
      </c>
      <c r="BQ385" s="212">
        <v>43404</v>
      </c>
      <c r="BR385" s="213">
        <v>10302</v>
      </c>
      <c r="BS385" s="214" t="s">
        <v>186</v>
      </c>
      <c r="BT385" s="215">
        <v>10302</v>
      </c>
      <c r="BU385" s="216" t="s">
        <v>187</v>
      </c>
      <c r="BV385" s="217" t="s">
        <v>1524</v>
      </c>
      <c r="BW385" s="218" t="s">
        <v>1525</v>
      </c>
      <c r="BX385" s="219" t="s">
        <v>1526</v>
      </c>
      <c r="BY385" s="220" t="s">
        <v>225</v>
      </c>
      <c r="BZ385" s="221" t="s">
        <v>153</v>
      </c>
      <c r="CA385" s="222" t="s">
        <v>190</v>
      </c>
      <c r="CB385" s="223">
        <v>43404</v>
      </c>
      <c r="CC385" s="224">
        <v>10302</v>
      </c>
      <c r="CD385" s="225" t="s">
        <v>186</v>
      </c>
      <c r="CE385" s="226">
        <v>10302</v>
      </c>
      <c r="CF385" s="227" t="s">
        <v>187</v>
      </c>
      <c r="CG385" s="228" t="s">
        <v>1524</v>
      </c>
      <c r="CH385" s="229" t="s">
        <v>1525</v>
      </c>
      <c r="CI385" s="230" t="s">
        <v>1526</v>
      </c>
      <c r="CJ385" s="231" t="s">
        <v>225</v>
      </c>
      <c r="CK385" s="232">
        <v>43404</v>
      </c>
      <c r="CL385" s="233" t="s">
        <v>153</v>
      </c>
      <c r="CM385" s="234" t="s">
        <v>153</v>
      </c>
      <c r="CN385" s="235" t="s">
        <v>190</v>
      </c>
      <c r="CO385" s="236" t="s">
        <v>153</v>
      </c>
      <c r="CP385" s="237" t="s">
        <v>153</v>
      </c>
      <c r="CQ385" s="238" t="s">
        <v>153</v>
      </c>
      <c r="CR385" s="239" t="s">
        <v>153</v>
      </c>
      <c r="CS385" s="240" t="s">
        <v>153</v>
      </c>
      <c r="CT385" s="241" t="s">
        <v>153</v>
      </c>
      <c r="CU385" s="242" t="s">
        <v>153</v>
      </c>
      <c r="CV385" s="243" t="s">
        <v>153</v>
      </c>
      <c r="CW385" s="244" t="s">
        <v>153</v>
      </c>
      <c r="CX385" s="245" t="s">
        <v>153</v>
      </c>
      <c r="CY385" s="246" t="s">
        <v>153</v>
      </c>
      <c r="CZ385" s="247" t="s">
        <v>153</v>
      </c>
      <c r="DA385" s="248" t="s">
        <v>153</v>
      </c>
      <c r="DB385" s="249" t="s">
        <v>153</v>
      </c>
      <c r="DC385" s="250" t="s">
        <v>153</v>
      </c>
      <c r="DD385" s="251" t="s">
        <v>153</v>
      </c>
      <c r="DE385" s="252" t="s">
        <v>153</v>
      </c>
      <c r="DF385" s="253" t="s">
        <v>153</v>
      </c>
      <c r="DG385" s="254" t="s">
        <v>153</v>
      </c>
      <c r="DH385" s="255" t="s">
        <v>153</v>
      </c>
      <c r="DI385" s="256" t="s">
        <v>153</v>
      </c>
      <c r="DJ385" s="257" t="s">
        <v>153</v>
      </c>
      <c r="DK385" s="258" t="s">
        <v>153</v>
      </c>
      <c r="DL385" s="259" t="s">
        <v>153</v>
      </c>
      <c r="DM385" s="260" t="s">
        <v>153</v>
      </c>
      <c r="DN385" s="261" t="s">
        <v>153</v>
      </c>
      <c r="DO385" s="262" t="s">
        <v>153</v>
      </c>
      <c r="DP385" s="263" t="s">
        <v>153</v>
      </c>
      <c r="DQ385" s="264" t="s">
        <v>153</v>
      </c>
      <c r="DR385" s="265" t="s">
        <v>153</v>
      </c>
      <c r="DS385" s="266" t="s">
        <v>153</v>
      </c>
      <c r="DT385" s="267" t="s">
        <v>153</v>
      </c>
      <c r="DU385" s="268" t="s">
        <v>153</v>
      </c>
      <c r="DV385" s="269" t="s">
        <v>153</v>
      </c>
      <c r="DW385" s="270" t="s">
        <v>153</v>
      </c>
      <c r="DX385" s="271" t="s">
        <v>153</v>
      </c>
      <c r="DY385" s="272" t="s">
        <v>153</v>
      </c>
      <c r="DZ385" s="273" t="s">
        <v>191</v>
      </c>
      <c r="EA385" s="274">
        <v>44049</v>
      </c>
      <c r="EB385" s="275">
        <v>10302</v>
      </c>
      <c r="EC385" s="276">
        <v>43404</v>
      </c>
      <c r="ED385" s="277" t="s">
        <v>1524</v>
      </c>
      <c r="EE385" s="279" t="str">
        <f>HYPERLINK("https://my.pitchbook.com?c=226292-50", "View company online")</f>
        <v>View company online</v>
      </c>
    </row>
    <row r="386" spans="1:135" x14ac:dyDescent="0.45">
      <c r="A386" s="10" t="s">
        <v>8129</v>
      </c>
      <c r="B386" s="11" t="s">
        <v>8130</v>
      </c>
      <c r="C386" s="12" t="s">
        <v>153</v>
      </c>
      <c r="D386" s="13" t="s">
        <v>153</v>
      </c>
      <c r="E386" s="14" t="s">
        <v>8131</v>
      </c>
      <c r="F386" s="15" t="s">
        <v>8132</v>
      </c>
      <c r="G386" s="16" t="s">
        <v>8133</v>
      </c>
      <c r="H386" s="17" t="s">
        <v>153</v>
      </c>
      <c r="I386" s="18" t="s">
        <v>8129</v>
      </c>
      <c r="J386" s="19" t="s">
        <v>8134</v>
      </c>
      <c r="K386" s="20" t="s">
        <v>792</v>
      </c>
      <c r="L386" s="21" t="s">
        <v>841</v>
      </c>
      <c r="M386" s="22" t="s">
        <v>842</v>
      </c>
      <c r="N386" s="23" t="s">
        <v>843</v>
      </c>
      <c r="O386" s="24" t="s">
        <v>796</v>
      </c>
      <c r="P386" s="25" t="s">
        <v>8135</v>
      </c>
      <c r="Q386" s="26" t="s">
        <v>204</v>
      </c>
      <c r="R386" s="27">
        <v>8.7899999999999991</v>
      </c>
      <c r="S386" s="28" t="s">
        <v>163</v>
      </c>
      <c r="T386" s="29" t="s">
        <v>205</v>
      </c>
      <c r="U386" s="30" t="s">
        <v>369</v>
      </c>
      <c r="V386" s="31" t="s">
        <v>8136</v>
      </c>
      <c r="W386" s="32">
        <v>862</v>
      </c>
      <c r="X386" s="33" t="s">
        <v>8137</v>
      </c>
      <c r="Y386" s="34" t="s">
        <v>153</v>
      </c>
      <c r="Z386" s="35" t="s">
        <v>153</v>
      </c>
      <c r="AA386" s="36">
        <v>1997</v>
      </c>
      <c r="AB386" s="37" t="s">
        <v>153</v>
      </c>
      <c r="AC386" s="38" t="s">
        <v>153</v>
      </c>
      <c r="AD386" s="39" t="s">
        <v>153</v>
      </c>
      <c r="AE386" s="40" t="s">
        <v>153</v>
      </c>
      <c r="AF386" s="41" t="s">
        <v>153</v>
      </c>
      <c r="AG386" s="42" t="s">
        <v>153</v>
      </c>
      <c r="AH386" s="43" t="s">
        <v>153</v>
      </c>
      <c r="AI386" s="44" t="s">
        <v>153</v>
      </c>
      <c r="AJ386" s="45" t="s">
        <v>153</v>
      </c>
      <c r="AK386" s="46" t="s">
        <v>153</v>
      </c>
      <c r="AL386" s="47" t="s">
        <v>153</v>
      </c>
      <c r="AM386" s="48" t="s">
        <v>153</v>
      </c>
      <c r="AN386" s="49" t="s">
        <v>330</v>
      </c>
      <c r="AO386" s="50" t="s">
        <v>153</v>
      </c>
      <c r="AP386" s="51" t="s">
        <v>153</v>
      </c>
      <c r="AQ386" s="52" t="s">
        <v>153</v>
      </c>
      <c r="AR386" s="53" t="s">
        <v>153</v>
      </c>
      <c r="AS386" s="54" t="s">
        <v>153</v>
      </c>
      <c r="AT386" s="55" t="s">
        <v>1124</v>
      </c>
      <c r="AU386" s="56" t="s">
        <v>8138</v>
      </c>
      <c r="AV386" s="57" t="s">
        <v>153</v>
      </c>
      <c r="AW386" s="58" t="s">
        <v>1127</v>
      </c>
      <c r="AX386" s="59" t="s">
        <v>1128</v>
      </c>
      <c r="AY386" s="60" t="s">
        <v>1129</v>
      </c>
      <c r="AZ386" s="61" t="s">
        <v>215</v>
      </c>
      <c r="BA386" s="62" t="s">
        <v>153</v>
      </c>
      <c r="BB386" s="63" t="s">
        <v>153</v>
      </c>
      <c r="BC386" s="64" t="s">
        <v>153</v>
      </c>
      <c r="BD386" s="65" t="s">
        <v>216</v>
      </c>
      <c r="BE386" s="66" t="s">
        <v>217</v>
      </c>
      <c r="BF386" s="67" t="s">
        <v>8139</v>
      </c>
      <c r="BG386" s="68" t="s">
        <v>153</v>
      </c>
      <c r="BH386" s="69" t="s">
        <v>153</v>
      </c>
      <c r="BI386" s="70" t="s">
        <v>1095</v>
      </c>
      <c r="BJ386" s="71" t="s">
        <v>8140</v>
      </c>
      <c r="BK386" s="72" t="s">
        <v>153</v>
      </c>
      <c r="BL386" s="73" t="s">
        <v>153</v>
      </c>
      <c r="BM386" s="74" t="s">
        <v>8141</v>
      </c>
      <c r="BN386" s="75" t="s">
        <v>153</v>
      </c>
      <c r="BO386" s="76" t="s">
        <v>8142</v>
      </c>
      <c r="BP386" s="77" t="s">
        <v>8143</v>
      </c>
      <c r="BQ386" s="78">
        <v>36350</v>
      </c>
      <c r="BR386" s="79">
        <v>8.7899999999999991</v>
      </c>
      <c r="BS386" s="80" t="s">
        <v>186</v>
      </c>
      <c r="BT386" s="81">
        <v>53.66</v>
      </c>
      <c r="BU386" s="82" t="s">
        <v>187</v>
      </c>
      <c r="BV386" s="83" t="s">
        <v>251</v>
      </c>
      <c r="BW386" s="84" t="s">
        <v>153</v>
      </c>
      <c r="BX386" s="85" t="s">
        <v>153</v>
      </c>
      <c r="BY386" s="86" t="s">
        <v>252</v>
      </c>
      <c r="BZ386" s="87" t="s">
        <v>153</v>
      </c>
      <c r="CA386" s="88" t="s">
        <v>190</v>
      </c>
      <c r="CB386" s="89">
        <v>43404</v>
      </c>
      <c r="CC386" s="90">
        <v>10302</v>
      </c>
      <c r="CD386" s="91" t="s">
        <v>186</v>
      </c>
      <c r="CE386" s="92">
        <v>10302</v>
      </c>
      <c r="CF386" s="93" t="s">
        <v>187</v>
      </c>
      <c r="CG386" s="94" t="s">
        <v>226</v>
      </c>
      <c r="CH386" s="95" t="s">
        <v>729</v>
      </c>
      <c r="CI386" s="96" t="s">
        <v>153</v>
      </c>
      <c r="CJ386" s="97" t="s">
        <v>225</v>
      </c>
      <c r="CK386" s="98">
        <v>43404</v>
      </c>
      <c r="CL386" s="99" t="s">
        <v>153</v>
      </c>
      <c r="CM386" s="100" t="s">
        <v>153</v>
      </c>
      <c r="CN386" s="101" t="s">
        <v>190</v>
      </c>
      <c r="CO386" s="102" t="s">
        <v>153</v>
      </c>
      <c r="CP386" s="103" t="s">
        <v>153</v>
      </c>
      <c r="CQ386" s="104" t="s">
        <v>153</v>
      </c>
      <c r="CR386" s="105" t="s">
        <v>153</v>
      </c>
      <c r="CS386" s="106" t="s">
        <v>153</v>
      </c>
      <c r="CT386" s="107" t="s">
        <v>153</v>
      </c>
      <c r="CU386" s="108" t="s">
        <v>153</v>
      </c>
      <c r="CV386" s="109" t="s">
        <v>153</v>
      </c>
      <c r="CW386" s="110" t="s">
        <v>153</v>
      </c>
      <c r="CX386" s="111" t="s">
        <v>153</v>
      </c>
      <c r="CY386" s="112" t="s">
        <v>153</v>
      </c>
      <c r="CZ386" s="113" t="s">
        <v>153</v>
      </c>
      <c r="DA386" s="114" t="s">
        <v>153</v>
      </c>
      <c r="DB386" s="115" t="s">
        <v>153</v>
      </c>
      <c r="DC386" s="116" t="s">
        <v>153</v>
      </c>
      <c r="DD386" s="117" t="s">
        <v>153</v>
      </c>
      <c r="DE386" s="118" t="s">
        <v>153</v>
      </c>
      <c r="DF386" s="119" t="s">
        <v>153</v>
      </c>
      <c r="DG386" s="120" t="s">
        <v>153</v>
      </c>
      <c r="DH386" s="121" t="s">
        <v>153</v>
      </c>
      <c r="DI386" s="122" t="s">
        <v>153</v>
      </c>
      <c r="DJ386" s="123" t="s">
        <v>153</v>
      </c>
      <c r="DK386" s="124" t="s">
        <v>153</v>
      </c>
      <c r="DL386" s="125" t="s">
        <v>153</v>
      </c>
      <c r="DM386" s="126" t="s">
        <v>153</v>
      </c>
      <c r="DN386" s="127" t="s">
        <v>153</v>
      </c>
      <c r="DO386" s="128" t="s">
        <v>153</v>
      </c>
      <c r="DP386" s="129" t="s">
        <v>153</v>
      </c>
      <c r="DQ386" s="130" t="s">
        <v>153</v>
      </c>
      <c r="DR386" s="131" t="s">
        <v>153</v>
      </c>
      <c r="DS386" s="132" t="s">
        <v>153</v>
      </c>
      <c r="DT386" s="133" t="s">
        <v>153</v>
      </c>
      <c r="DU386" s="134" t="s">
        <v>153</v>
      </c>
      <c r="DV386" s="135" t="s">
        <v>153</v>
      </c>
      <c r="DW386" s="136" t="s">
        <v>153</v>
      </c>
      <c r="DX386" s="137" t="s">
        <v>153</v>
      </c>
      <c r="DY386" s="138" t="s">
        <v>153</v>
      </c>
      <c r="DZ386" s="139" t="s">
        <v>191</v>
      </c>
      <c r="EA386" s="140">
        <v>44335</v>
      </c>
      <c r="EB386" s="141">
        <v>10302</v>
      </c>
      <c r="EC386" s="142">
        <v>43404</v>
      </c>
      <c r="ED386" s="143" t="s">
        <v>226</v>
      </c>
      <c r="EE386" s="278" t="str">
        <f>HYPERLINK("https://my.pitchbook.com?c=12899-26", "View company online")</f>
        <v>View company online</v>
      </c>
    </row>
    <row r="387" spans="1:135" x14ac:dyDescent="0.45">
      <c r="A387" s="144" t="s">
        <v>8144</v>
      </c>
      <c r="B387" s="145" t="s">
        <v>8145</v>
      </c>
      <c r="C387" s="146" t="s">
        <v>153</v>
      </c>
      <c r="D387" s="147" t="s">
        <v>153</v>
      </c>
      <c r="E387" s="148" t="s">
        <v>153</v>
      </c>
      <c r="F387" s="149" t="s">
        <v>8146</v>
      </c>
      <c r="G387" s="150" t="s">
        <v>8147</v>
      </c>
      <c r="H387" s="151" t="s">
        <v>153</v>
      </c>
      <c r="I387" s="152" t="s">
        <v>8144</v>
      </c>
      <c r="J387" s="153" t="s">
        <v>8148</v>
      </c>
      <c r="K387" s="154" t="s">
        <v>232</v>
      </c>
      <c r="L387" s="155" t="s">
        <v>2162</v>
      </c>
      <c r="M387" s="156" t="s">
        <v>4087</v>
      </c>
      <c r="N387" s="157" t="s">
        <v>7287</v>
      </c>
      <c r="O387" s="158" t="s">
        <v>153</v>
      </c>
      <c r="P387" s="159" t="s">
        <v>8149</v>
      </c>
      <c r="Q387" s="160" t="s">
        <v>204</v>
      </c>
      <c r="R387" s="161" t="s">
        <v>153</v>
      </c>
      <c r="S387" s="162" t="s">
        <v>163</v>
      </c>
      <c r="T387" s="163" t="s">
        <v>205</v>
      </c>
      <c r="U387" s="164" t="s">
        <v>206</v>
      </c>
      <c r="V387" s="165" t="s">
        <v>153</v>
      </c>
      <c r="W387" s="166" t="s">
        <v>153</v>
      </c>
      <c r="X387" s="167" t="s">
        <v>153</v>
      </c>
      <c r="Y387" s="168" t="s">
        <v>153</v>
      </c>
      <c r="Z387" s="169" t="s">
        <v>153</v>
      </c>
      <c r="AA387" s="170">
        <v>2004</v>
      </c>
      <c r="AB387" s="171" t="s">
        <v>153</v>
      </c>
      <c r="AC387" s="172" t="s">
        <v>153</v>
      </c>
      <c r="AD387" s="173" t="s">
        <v>153</v>
      </c>
      <c r="AE387" s="174" t="s">
        <v>153</v>
      </c>
      <c r="AF387" s="175" t="s">
        <v>153</v>
      </c>
      <c r="AG387" s="176" t="s">
        <v>153</v>
      </c>
      <c r="AH387" s="177" t="s">
        <v>153</v>
      </c>
      <c r="AI387" s="178" t="s">
        <v>153</v>
      </c>
      <c r="AJ387" s="179" t="s">
        <v>153</v>
      </c>
      <c r="AK387" s="180" t="s">
        <v>153</v>
      </c>
      <c r="AL387" s="181" t="s">
        <v>153</v>
      </c>
      <c r="AM387" s="182" t="s">
        <v>153</v>
      </c>
      <c r="AN387" s="183" t="s">
        <v>153</v>
      </c>
      <c r="AO387" s="184" t="s">
        <v>153</v>
      </c>
      <c r="AP387" s="185" t="s">
        <v>153</v>
      </c>
      <c r="AQ387" s="186" t="s">
        <v>153</v>
      </c>
      <c r="AR387" s="187" t="s">
        <v>153</v>
      </c>
      <c r="AS387" s="188" t="s">
        <v>153</v>
      </c>
      <c r="AT387" s="189" t="s">
        <v>1071</v>
      </c>
      <c r="AU387" s="190" t="s">
        <v>153</v>
      </c>
      <c r="AV387" s="191" t="s">
        <v>153</v>
      </c>
      <c r="AW387" s="192" t="s">
        <v>1074</v>
      </c>
      <c r="AX387" s="193" t="s">
        <v>177</v>
      </c>
      <c r="AY387" s="194" t="s">
        <v>153</v>
      </c>
      <c r="AZ387" s="195" t="s">
        <v>179</v>
      </c>
      <c r="BA387" s="196" t="s">
        <v>153</v>
      </c>
      <c r="BB387" s="197" t="s">
        <v>153</v>
      </c>
      <c r="BC387" s="198" t="s">
        <v>153</v>
      </c>
      <c r="BD387" s="199" t="s">
        <v>180</v>
      </c>
      <c r="BE387" s="200" t="s">
        <v>181</v>
      </c>
      <c r="BF387" s="201" t="s">
        <v>8150</v>
      </c>
      <c r="BG387" s="202" t="s">
        <v>8151</v>
      </c>
      <c r="BH387" s="203">
        <v>1</v>
      </c>
      <c r="BI387" s="204" t="s">
        <v>8152</v>
      </c>
      <c r="BJ387" s="205" t="s">
        <v>153</v>
      </c>
      <c r="BK387" s="206" t="s">
        <v>153</v>
      </c>
      <c r="BL387" s="207" t="s">
        <v>153</v>
      </c>
      <c r="BM387" s="208" t="s">
        <v>153</v>
      </c>
      <c r="BN387" s="209" t="s">
        <v>153</v>
      </c>
      <c r="BO387" s="210" t="s">
        <v>153</v>
      </c>
      <c r="BP387" s="211" t="s">
        <v>153</v>
      </c>
      <c r="BQ387" s="212">
        <v>38596</v>
      </c>
      <c r="BR387" s="213" t="s">
        <v>153</v>
      </c>
      <c r="BS387" s="214" t="s">
        <v>153</v>
      </c>
      <c r="BT387" s="215" t="s">
        <v>153</v>
      </c>
      <c r="BU387" s="216" t="s">
        <v>153</v>
      </c>
      <c r="BV387" s="217" t="s">
        <v>748</v>
      </c>
      <c r="BW387" s="218" t="s">
        <v>153</v>
      </c>
      <c r="BX387" s="219" t="s">
        <v>153</v>
      </c>
      <c r="BY387" s="220" t="s">
        <v>225</v>
      </c>
      <c r="BZ387" s="221" t="s">
        <v>153</v>
      </c>
      <c r="CA387" s="222" t="s">
        <v>190</v>
      </c>
      <c r="CB387" s="223">
        <v>39569</v>
      </c>
      <c r="CC387" s="224">
        <v>10300</v>
      </c>
      <c r="CD387" s="225" t="s">
        <v>186</v>
      </c>
      <c r="CE387" s="226">
        <v>10300</v>
      </c>
      <c r="CF387" s="227" t="s">
        <v>187</v>
      </c>
      <c r="CG387" s="228" t="s">
        <v>226</v>
      </c>
      <c r="CH387" s="229" t="s">
        <v>153</v>
      </c>
      <c r="CI387" s="230" t="s">
        <v>153</v>
      </c>
      <c r="CJ387" s="231" t="s">
        <v>225</v>
      </c>
      <c r="CK387" s="232">
        <v>39569</v>
      </c>
      <c r="CL387" s="233" t="s">
        <v>153</v>
      </c>
      <c r="CM387" s="234" t="s">
        <v>153</v>
      </c>
      <c r="CN387" s="235" t="s">
        <v>190</v>
      </c>
      <c r="CO387" s="236" t="s">
        <v>153</v>
      </c>
      <c r="CP387" s="237" t="s">
        <v>153</v>
      </c>
      <c r="CQ387" s="238" t="s">
        <v>153</v>
      </c>
      <c r="CR387" s="239" t="s">
        <v>153</v>
      </c>
      <c r="CS387" s="240" t="s">
        <v>153</v>
      </c>
      <c r="CT387" s="241" t="s">
        <v>153</v>
      </c>
      <c r="CU387" s="242" t="s">
        <v>153</v>
      </c>
      <c r="CV387" s="243" t="s">
        <v>153</v>
      </c>
      <c r="CW387" s="244" t="s">
        <v>153</v>
      </c>
      <c r="CX387" s="245" t="s">
        <v>153</v>
      </c>
      <c r="CY387" s="246" t="s">
        <v>153</v>
      </c>
      <c r="CZ387" s="247" t="s">
        <v>153</v>
      </c>
      <c r="DA387" s="248" t="s">
        <v>153</v>
      </c>
      <c r="DB387" s="249" t="s">
        <v>153</v>
      </c>
      <c r="DC387" s="250" t="s">
        <v>153</v>
      </c>
      <c r="DD387" s="251" t="s">
        <v>153</v>
      </c>
      <c r="DE387" s="252" t="s">
        <v>153</v>
      </c>
      <c r="DF387" s="253" t="s">
        <v>153</v>
      </c>
      <c r="DG387" s="254" t="s">
        <v>153</v>
      </c>
      <c r="DH387" s="255" t="s">
        <v>153</v>
      </c>
      <c r="DI387" s="256" t="s">
        <v>153</v>
      </c>
      <c r="DJ387" s="257" t="s">
        <v>153</v>
      </c>
      <c r="DK387" s="258" t="s">
        <v>153</v>
      </c>
      <c r="DL387" s="259" t="s">
        <v>153</v>
      </c>
      <c r="DM387" s="260" t="s">
        <v>153</v>
      </c>
      <c r="DN387" s="261" t="s">
        <v>153</v>
      </c>
      <c r="DO387" s="262" t="s">
        <v>153</v>
      </c>
      <c r="DP387" s="263" t="s">
        <v>153</v>
      </c>
      <c r="DQ387" s="264" t="s">
        <v>153</v>
      </c>
      <c r="DR387" s="265" t="s">
        <v>153</v>
      </c>
      <c r="DS387" s="266" t="s">
        <v>153</v>
      </c>
      <c r="DT387" s="267" t="s">
        <v>153</v>
      </c>
      <c r="DU387" s="268" t="s">
        <v>153</v>
      </c>
      <c r="DV387" s="269" t="s">
        <v>153</v>
      </c>
      <c r="DW387" s="270" t="s">
        <v>153</v>
      </c>
      <c r="DX387" s="271" t="s">
        <v>153</v>
      </c>
      <c r="DY387" s="272" t="s">
        <v>153</v>
      </c>
      <c r="DZ387" s="273" t="s">
        <v>191</v>
      </c>
      <c r="EA387" s="274">
        <v>44335</v>
      </c>
      <c r="EB387" s="275">
        <v>10300</v>
      </c>
      <c r="EC387" s="276">
        <v>39569</v>
      </c>
      <c r="ED387" s="277" t="s">
        <v>226</v>
      </c>
      <c r="EE387" s="279" t="str">
        <f>HYPERLINK("https://my.pitchbook.com?c=466505-11", "View company online")</f>
        <v>View company online</v>
      </c>
    </row>
    <row r="388" spans="1:135" x14ac:dyDescent="0.45">
      <c r="A388" s="10" t="s">
        <v>8153</v>
      </c>
      <c r="B388" s="11" t="s">
        <v>8154</v>
      </c>
      <c r="C388" s="12" t="s">
        <v>153</v>
      </c>
      <c r="D388" s="13" t="s">
        <v>153</v>
      </c>
      <c r="E388" s="14" t="s">
        <v>8155</v>
      </c>
      <c r="F388" s="15" t="s">
        <v>8156</v>
      </c>
      <c r="G388" s="16" t="s">
        <v>8157</v>
      </c>
      <c r="H388" s="17" t="s">
        <v>8158</v>
      </c>
      <c r="I388" s="18" t="s">
        <v>8153</v>
      </c>
      <c r="J388" s="19" t="s">
        <v>8159</v>
      </c>
      <c r="K388" s="20" t="s">
        <v>232</v>
      </c>
      <c r="L388" s="21" t="s">
        <v>233</v>
      </c>
      <c r="M388" s="22" t="s">
        <v>234</v>
      </c>
      <c r="N388" s="23" t="s">
        <v>8160</v>
      </c>
      <c r="O388" s="24" t="s">
        <v>153</v>
      </c>
      <c r="P388" s="25" t="s">
        <v>8161</v>
      </c>
      <c r="Q388" s="26" t="s">
        <v>367</v>
      </c>
      <c r="R388" s="27">
        <v>49.18</v>
      </c>
      <c r="S388" s="28" t="s">
        <v>290</v>
      </c>
      <c r="T388" s="29" t="s">
        <v>291</v>
      </c>
      <c r="U388" s="30" t="s">
        <v>369</v>
      </c>
      <c r="V388" s="31" t="s">
        <v>8162</v>
      </c>
      <c r="W388" s="32">
        <v>1457</v>
      </c>
      <c r="X388" s="33" t="s">
        <v>8163</v>
      </c>
      <c r="Y388" s="34" t="s">
        <v>372</v>
      </c>
      <c r="Z388" s="35" t="s">
        <v>8164</v>
      </c>
      <c r="AA388" s="36">
        <v>1888</v>
      </c>
      <c r="AB388" s="37" t="s">
        <v>153</v>
      </c>
      <c r="AC388" s="38" t="s">
        <v>428</v>
      </c>
      <c r="AD388" s="39" t="s">
        <v>8165</v>
      </c>
      <c r="AE388" s="40">
        <v>995.53</v>
      </c>
      <c r="AF388" s="41" t="s">
        <v>153</v>
      </c>
      <c r="AG388" s="42">
        <v>358.32</v>
      </c>
      <c r="AH388" s="43" t="s">
        <v>153</v>
      </c>
      <c r="AI388" s="44" t="s">
        <v>153</v>
      </c>
      <c r="AJ388" s="45" t="s">
        <v>153</v>
      </c>
      <c r="AK388" s="46">
        <v>4191.5600000000004</v>
      </c>
      <c r="AL388" s="47">
        <v>23177.32</v>
      </c>
      <c r="AM388" s="48">
        <v>-1.64</v>
      </c>
      <c r="AN388" s="49" t="s">
        <v>299</v>
      </c>
      <c r="AO388" s="50" t="s">
        <v>8166</v>
      </c>
      <c r="AP388" s="51" t="s">
        <v>8167</v>
      </c>
      <c r="AQ388" s="52" t="s">
        <v>8168</v>
      </c>
      <c r="AR388" s="53" t="s">
        <v>8169</v>
      </c>
      <c r="AS388" s="54" t="s">
        <v>8170</v>
      </c>
      <c r="AT388" s="55" t="s">
        <v>8171</v>
      </c>
      <c r="AU388" s="56" t="s">
        <v>8172</v>
      </c>
      <c r="AV388" s="57" t="s">
        <v>8173</v>
      </c>
      <c r="AW388" s="58" t="s">
        <v>8174</v>
      </c>
      <c r="AX388" s="59" t="s">
        <v>436</v>
      </c>
      <c r="AY388" s="60" t="s">
        <v>8175</v>
      </c>
      <c r="AZ388" s="61" t="s">
        <v>215</v>
      </c>
      <c r="BA388" s="62" t="s">
        <v>8176</v>
      </c>
      <c r="BB388" s="63" t="s">
        <v>153</v>
      </c>
      <c r="BC388" s="64" t="s">
        <v>153</v>
      </c>
      <c r="BD388" s="65" t="s">
        <v>216</v>
      </c>
      <c r="BE388" s="66" t="s">
        <v>217</v>
      </c>
      <c r="BF388" s="67" t="s">
        <v>8177</v>
      </c>
      <c r="BG388" s="68" t="s">
        <v>8178</v>
      </c>
      <c r="BH388" s="69">
        <v>2</v>
      </c>
      <c r="BI388" s="70" t="s">
        <v>153</v>
      </c>
      <c r="BJ388" s="71" t="s">
        <v>8179</v>
      </c>
      <c r="BK388" s="72" t="s">
        <v>8180</v>
      </c>
      <c r="BL388" s="73" t="s">
        <v>8181</v>
      </c>
      <c r="BM388" s="74" t="s">
        <v>8182</v>
      </c>
      <c r="BN388" s="75" t="s">
        <v>8183</v>
      </c>
      <c r="BO388" s="76" t="s">
        <v>153</v>
      </c>
      <c r="BP388" s="77" t="s">
        <v>8184</v>
      </c>
      <c r="BQ388" s="78">
        <v>26787</v>
      </c>
      <c r="BR388" s="79" t="s">
        <v>153</v>
      </c>
      <c r="BS388" s="80" t="s">
        <v>153</v>
      </c>
      <c r="BT388" s="81" t="s">
        <v>153</v>
      </c>
      <c r="BU388" s="82" t="s">
        <v>153</v>
      </c>
      <c r="BV388" s="83" t="s">
        <v>251</v>
      </c>
      <c r="BW388" s="84" t="s">
        <v>153</v>
      </c>
      <c r="BX388" s="85" t="s">
        <v>153</v>
      </c>
      <c r="BY388" s="86" t="s">
        <v>252</v>
      </c>
      <c r="BZ388" s="87" t="s">
        <v>153</v>
      </c>
      <c r="CA388" s="88" t="s">
        <v>190</v>
      </c>
      <c r="CB388" s="89">
        <v>44305</v>
      </c>
      <c r="CC388" s="90">
        <v>10300</v>
      </c>
      <c r="CD388" s="91" t="s">
        <v>186</v>
      </c>
      <c r="CE388" s="92">
        <v>10300</v>
      </c>
      <c r="CF388" s="93" t="s">
        <v>153</v>
      </c>
      <c r="CG388" s="94" t="s">
        <v>226</v>
      </c>
      <c r="CH388" s="95" t="s">
        <v>153</v>
      </c>
      <c r="CI388" s="96" t="s">
        <v>153</v>
      </c>
      <c r="CJ388" s="97" t="s">
        <v>225</v>
      </c>
      <c r="CK388" s="98">
        <v>44305</v>
      </c>
      <c r="CL388" s="99" t="s">
        <v>153</v>
      </c>
      <c r="CM388" s="100" t="s">
        <v>153</v>
      </c>
      <c r="CN388" s="101" t="s">
        <v>1278</v>
      </c>
      <c r="CO388" s="102">
        <v>0.35</v>
      </c>
      <c r="CP388" s="103">
        <v>92</v>
      </c>
      <c r="CQ388" s="104">
        <v>-0.02</v>
      </c>
      <c r="CR388" s="105">
        <v>-5.33</v>
      </c>
      <c r="CS388" s="106">
        <v>0.14000000000000001</v>
      </c>
      <c r="CT388" s="107">
        <v>90</v>
      </c>
      <c r="CU388" s="108">
        <v>0.63</v>
      </c>
      <c r="CV388" s="109">
        <v>97</v>
      </c>
      <c r="CW388" s="110">
        <v>0.24</v>
      </c>
      <c r="CX388" s="111">
        <v>78</v>
      </c>
      <c r="CY388" s="112">
        <v>0.05</v>
      </c>
      <c r="CZ388" s="113">
        <v>90</v>
      </c>
      <c r="DA388" s="114">
        <v>0.63</v>
      </c>
      <c r="DB388" s="115">
        <v>97</v>
      </c>
      <c r="DC388" s="116">
        <v>73.150000000000006</v>
      </c>
      <c r="DD388" s="117">
        <v>99</v>
      </c>
      <c r="DE388" s="118">
        <v>0.27</v>
      </c>
      <c r="DF388" s="119">
        <v>0.37</v>
      </c>
      <c r="DG388" s="120">
        <v>61.97</v>
      </c>
      <c r="DH388" s="121">
        <v>99</v>
      </c>
      <c r="DI388" s="122">
        <v>1.31</v>
      </c>
      <c r="DJ388" s="123">
        <v>55</v>
      </c>
      <c r="DK388" s="124">
        <v>76.81</v>
      </c>
      <c r="DL388" s="125">
        <v>96</v>
      </c>
      <c r="DM388" s="126">
        <v>47.13</v>
      </c>
      <c r="DN388" s="127">
        <v>98</v>
      </c>
      <c r="DO388" s="128">
        <v>1.31</v>
      </c>
      <c r="DP388" s="129">
        <v>55</v>
      </c>
      <c r="DQ388" s="130">
        <v>45426</v>
      </c>
      <c r="DR388" s="131">
        <v>440</v>
      </c>
      <c r="DS388" s="132">
        <v>0.98</v>
      </c>
      <c r="DT388" s="133">
        <v>755</v>
      </c>
      <c r="DU388" s="134">
        <v>-3</v>
      </c>
      <c r="DV388" s="135">
        <v>-0.4</v>
      </c>
      <c r="DW388" s="136">
        <v>410</v>
      </c>
      <c r="DX388" s="137">
        <v>3</v>
      </c>
      <c r="DY388" s="138">
        <v>0.74</v>
      </c>
      <c r="DZ388" s="139" t="s">
        <v>191</v>
      </c>
      <c r="EA388" s="140">
        <v>44403</v>
      </c>
      <c r="EB388" s="141">
        <v>10300</v>
      </c>
      <c r="EC388" s="142">
        <v>44305</v>
      </c>
      <c r="ED388" s="143" t="s">
        <v>226</v>
      </c>
      <c r="EE388" s="278" t="str">
        <f>HYPERLINK("https://my.pitchbook.com?c=41146-39", "View company online")</f>
        <v>View company online</v>
      </c>
    </row>
    <row r="389" spans="1:135" x14ac:dyDescent="0.45">
      <c r="A389" s="144" t="s">
        <v>8185</v>
      </c>
      <c r="B389" s="145" t="s">
        <v>8186</v>
      </c>
      <c r="C389" s="146" t="s">
        <v>153</v>
      </c>
      <c r="D389" s="147" t="s">
        <v>153</v>
      </c>
      <c r="E389" s="148" t="s">
        <v>153</v>
      </c>
      <c r="F389" s="149" t="s">
        <v>153</v>
      </c>
      <c r="G389" s="150" t="s">
        <v>8187</v>
      </c>
      <c r="H389" s="151" t="s">
        <v>8188</v>
      </c>
      <c r="I389" s="152" t="s">
        <v>8185</v>
      </c>
      <c r="J389" s="153" t="s">
        <v>8189</v>
      </c>
      <c r="K389" s="154" t="s">
        <v>157</v>
      </c>
      <c r="L389" s="155" t="s">
        <v>421</v>
      </c>
      <c r="M389" s="156" t="s">
        <v>422</v>
      </c>
      <c r="N389" s="157" t="s">
        <v>3773</v>
      </c>
      <c r="O389" s="158" t="s">
        <v>399</v>
      </c>
      <c r="P389" s="159" t="s">
        <v>8190</v>
      </c>
      <c r="Q389" s="160" t="s">
        <v>204</v>
      </c>
      <c r="R389" s="161" t="s">
        <v>153</v>
      </c>
      <c r="S389" s="162" t="s">
        <v>163</v>
      </c>
      <c r="T389" s="163" t="s">
        <v>164</v>
      </c>
      <c r="U389" s="164" t="s">
        <v>206</v>
      </c>
      <c r="V389" s="165" t="s">
        <v>8191</v>
      </c>
      <c r="W389" s="166" t="s">
        <v>153</v>
      </c>
      <c r="X389" s="167" t="s">
        <v>153</v>
      </c>
      <c r="Y389" s="168" t="s">
        <v>153</v>
      </c>
      <c r="Z389" s="169" t="s">
        <v>153</v>
      </c>
      <c r="AA389" s="170">
        <v>1977</v>
      </c>
      <c r="AB389" s="171" t="s">
        <v>153</v>
      </c>
      <c r="AC389" s="172" t="s">
        <v>153</v>
      </c>
      <c r="AD389" s="173" t="s">
        <v>153</v>
      </c>
      <c r="AE389" s="174" t="s">
        <v>153</v>
      </c>
      <c r="AF389" s="175" t="s">
        <v>153</v>
      </c>
      <c r="AG389" s="176" t="s">
        <v>153</v>
      </c>
      <c r="AH389" s="177" t="s">
        <v>153</v>
      </c>
      <c r="AI389" s="178" t="s">
        <v>153</v>
      </c>
      <c r="AJ389" s="179" t="s">
        <v>153</v>
      </c>
      <c r="AK389" s="180" t="s">
        <v>153</v>
      </c>
      <c r="AL389" s="181" t="s">
        <v>153</v>
      </c>
      <c r="AM389" s="182" t="s">
        <v>153</v>
      </c>
      <c r="AN389" s="183" t="s">
        <v>153</v>
      </c>
      <c r="AO389" s="184" t="s">
        <v>153</v>
      </c>
      <c r="AP389" s="185" t="s">
        <v>153</v>
      </c>
      <c r="AQ389" s="186" t="s">
        <v>153</v>
      </c>
      <c r="AR389" s="187" t="s">
        <v>153</v>
      </c>
      <c r="AS389" s="188" t="s">
        <v>153</v>
      </c>
      <c r="AT389" s="189" t="s">
        <v>433</v>
      </c>
      <c r="AU389" s="190" t="s">
        <v>8192</v>
      </c>
      <c r="AV389" s="191" t="s">
        <v>153</v>
      </c>
      <c r="AW389" s="192" t="s">
        <v>436</v>
      </c>
      <c r="AX389" s="193" t="s">
        <v>436</v>
      </c>
      <c r="AY389" s="194" t="s">
        <v>8193</v>
      </c>
      <c r="AZ389" s="195" t="s">
        <v>215</v>
      </c>
      <c r="BA389" s="196" t="s">
        <v>153</v>
      </c>
      <c r="BB389" s="197" t="s">
        <v>153</v>
      </c>
      <c r="BC389" s="198" t="s">
        <v>153</v>
      </c>
      <c r="BD389" s="199" t="s">
        <v>216</v>
      </c>
      <c r="BE389" s="200" t="s">
        <v>217</v>
      </c>
      <c r="BF389" s="201" t="s">
        <v>8194</v>
      </c>
      <c r="BG389" s="202" t="s">
        <v>153</v>
      </c>
      <c r="BH389" s="203" t="s">
        <v>153</v>
      </c>
      <c r="BI389" s="204" t="s">
        <v>1509</v>
      </c>
      <c r="BJ389" s="205" t="s">
        <v>8195</v>
      </c>
      <c r="BK389" s="206" t="s">
        <v>153</v>
      </c>
      <c r="BL389" s="207" t="s">
        <v>153</v>
      </c>
      <c r="BM389" s="208" t="s">
        <v>8196</v>
      </c>
      <c r="BN389" s="209" t="s">
        <v>153</v>
      </c>
      <c r="BO389" s="210" t="s">
        <v>8197</v>
      </c>
      <c r="BP389" s="211" t="s">
        <v>8198</v>
      </c>
      <c r="BQ389" s="212">
        <v>37242</v>
      </c>
      <c r="BR389" s="213">
        <v>10300</v>
      </c>
      <c r="BS389" s="214" t="s">
        <v>186</v>
      </c>
      <c r="BT389" s="215">
        <v>10300</v>
      </c>
      <c r="BU389" s="216" t="s">
        <v>186</v>
      </c>
      <c r="BV389" s="217" t="s">
        <v>226</v>
      </c>
      <c r="BW389" s="218" t="s">
        <v>729</v>
      </c>
      <c r="BX389" s="219" t="s">
        <v>153</v>
      </c>
      <c r="BY389" s="220" t="s">
        <v>225</v>
      </c>
      <c r="BZ389" s="221" t="s">
        <v>153</v>
      </c>
      <c r="CA389" s="222" t="s">
        <v>190</v>
      </c>
      <c r="CB389" s="223">
        <v>37242</v>
      </c>
      <c r="CC389" s="224">
        <v>10300</v>
      </c>
      <c r="CD389" s="225" t="s">
        <v>186</v>
      </c>
      <c r="CE389" s="226">
        <v>10300</v>
      </c>
      <c r="CF389" s="227" t="s">
        <v>186</v>
      </c>
      <c r="CG389" s="228" t="s">
        <v>226</v>
      </c>
      <c r="CH389" s="229" t="s">
        <v>729</v>
      </c>
      <c r="CI389" s="230" t="s">
        <v>153</v>
      </c>
      <c r="CJ389" s="231" t="s">
        <v>225</v>
      </c>
      <c r="CK389" s="232">
        <v>37242</v>
      </c>
      <c r="CL389" s="233" t="s">
        <v>153</v>
      </c>
      <c r="CM389" s="234" t="s">
        <v>153</v>
      </c>
      <c r="CN389" s="235" t="s">
        <v>190</v>
      </c>
      <c r="CO389" s="236">
        <v>-0.91</v>
      </c>
      <c r="CP389" s="237">
        <v>4</v>
      </c>
      <c r="CQ389" s="238">
        <v>-0.02</v>
      </c>
      <c r="CR389" s="239">
        <v>-1.85</v>
      </c>
      <c r="CS389" s="240">
        <v>-1.73</v>
      </c>
      <c r="CT389" s="241">
        <v>3</v>
      </c>
      <c r="CU389" s="242">
        <v>-0.1</v>
      </c>
      <c r="CV389" s="243">
        <v>19</v>
      </c>
      <c r="CW389" s="244">
        <v>-3.78</v>
      </c>
      <c r="CX389" s="245">
        <v>7</v>
      </c>
      <c r="CY389" s="246">
        <v>0.32</v>
      </c>
      <c r="CZ389" s="247">
        <v>93</v>
      </c>
      <c r="DA389" s="248">
        <v>-0.1</v>
      </c>
      <c r="DB389" s="249">
        <v>19</v>
      </c>
      <c r="DC389" s="250">
        <v>656.11</v>
      </c>
      <c r="DD389" s="251">
        <v>100</v>
      </c>
      <c r="DE389" s="252">
        <v>2.37</v>
      </c>
      <c r="DF389" s="253">
        <v>0.36</v>
      </c>
      <c r="DG389" s="254">
        <v>494.19</v>
      </c>
      <c r="DH389" s="255">
        <v>100</v>
      </c>
      <c r="DI389" s="256">
        <v>818.04</v>
      </c>
      <c r="DJ389" s="257">
        <v>100</v>
      </c>
      <c r="DK389" s="258">
        <v>253.25</v>
      </c>
      <c r="DL389" s="259">
        <v>99</v>
      </c>
      <c r="DM389" s="260">
        <v>735.13</v>
      </c>
      <c r="DN389" s="261">
        <v>100</v>
      </c>
      <c r="DO389" s="262">
        <v>818.04</v>
      </c>
      <c r="DP389" s="263">
        <v>100</v>
      </c>
      <c r="DQ389" s="264">
        <v>151465</v>
      </c>
      <c r="DR389" s="265">
        <v>-4726</v>
      </c>
      <c r="DS389" s="266">
        <v>-3.03</v>
      </c>
      <c r="DT389" s="267">
        <v>11767</v>
      </c>
      <c r="DU389" s="268">
        <v>-16</v>
      </c>
      <c r="DV389" s="269">
        <v>-0.14000000000000001</v>
      </c>
      <c r="DW389" s="270">
        <v>256958</v>
      </c>
      <c r="DX389" s="271">
        <v>-242</v>
      </c>
      <c r="DY389" s="272">
        <v>-0.09</v>
      </c>
      <c r="DZ389" s="273" t="s">
        <v>191</v>
      </c>
      <c r="EA389" s="274">
        <v>44208</v>
      </c>
      <c r="EB389" s="275">
        <v>10300</v>
      </c>
      <c r="EC389" s="276">
        <v>37242</v>
      </c>
      <c r="ED389" s="277" t="s">
        <v>226</v>
      </c>
      <c r="EE389" s="279" t="str">
        <f>HYPERLINK("https://my.pitchbook.com?c=88678-09", "View company online")</f>
        <v>View company online</v>
      </c>
    </row>
    <row r="390" spans="1:135" x14ac:dyDescent="0.45">
      <c r="A390" s="10" t="s">
        <v>8199</v>
      </c>
      <c r="B390" s="11" t="s">
        <v>8200</v>
      </c>
      <c r="C390" s="12" t="s">
        <v>153</v>
      </c>
      <c r="D390" s="13" t="s">
        <v>153</v>
      </c>
      <c r="E390" s="14" t="s">
        <v>153</v>
      </c>
      <c r="F390" s="15" t="s">
        <v>153</v>
      </c>
      <c r="G390" s="16" t="s">
        <v>8201</v>
      </c>
      <c r="H390" s="17" t="s">
        <v>153</v>
      </c>
      <c r="I390" s="18" t="s">
        <v>8199</v>
      </c>
      <c r="J390" s="19" t="s">
        <v>8202</v>
      </c>
      <c r="K390" s="20" t="s">
        <v>882</v>
      </c>
      <c r="L390" s="21" t="s">
        <v>1257</v>
      </c>
      <c r="M390" s="22" t="s">
        <v>2561</v>
      </c>
      <c r="N390" s="23" t="s">
        <v>3014</v>
      </c>
      <c r="O390" s="24" t="s">
        <v>153</v>
      </c>
      <c r="P390" s="25" t="s">
        <v>8203</v>
      </c>
      <c r="Q390" s="26" t="s">
        <v>204</v>
      </c>
      <c r="R390" s="27" t="s">
        <v>153</v>
      </c>
      <c r="S390" s="28" t="s">
        <v>163</v>
      </c>
      <c r="T390" s="29" t="s">
        <v>164</v>
      </c>
      <c r="U390" s="30" t="s">
        <v>206</v>
      </c>
      <c r="V390" s="31" t="s">
        <v>8204</v>
      </c>
      <c r="W390" s="32" t="s">
        <v>153</v>
      </c>
      <c r="X390" s="33" t="s">
        <v>153</v>
      </c>
      <c r="Y390" s="34" t="s">
        <v>153</v>
      </c>
      <c r="Z390" s="35" t="s">
        <v>153</v>
      </c>
      <c r="AA390" s="36">
        <v>1980</v>
      </c>
      <c r="AB390" s="37" t="s">
        <v>8205</v>
      </c>
      <c r="AC390" s="38" t="s">
        <v>153</v>
      </c>
      <c r="AD390" s="39" t="s">
        <v>153</v>
      </c>
      <c r="AE390" s="40" t="s">
        <v>153</v>
      </c>
      <c r="AF390" s="41" t="s">
        <v>153</v>
      </c>
      <c r="AG390" s="42" t="s">
        <v>153</v>
      </c>
      <c r="AH390" s="43" t="s">
        <v>153</v>
      </c>
      <c r="AI390" s="44" t="s">
        <v>153</v>
      </c>
      <c r="AJ390" s="45" t="s">
        <v>153</v>
      </c>
      <c r="AK390" s="46" t="s">
        <v>153</v>
      </c>
      <c r="AL390" s="47" t="s">
        <v>153</v>
      </c>
      <c r="AM390" s="48" t="s">
        <v>153</v>
      </c>
      <c r="AN390" s="49" t="s">
        <v>153</v>
      </c>
      <c r="AO390" s="50" t="s">
        <v>8206</v>
      </c>
      <c r="AP390" s="51" t="s">
        <v>8207</v>
      </c>
      <c r="AQ390" s="52" t="s">
        <v>2928</v>
      </c>
      <c r="AR390" s="53" t="s">
        <v>8208</v>
      </c>
      <c r="AS390" s="54" t="s">
        <v>8209</v>
      </c>
      <c r="AT390" s="55" t="s">
        <v>8210</v>
      </c>
      <c r="AU390" s="56" t="s">
        <v>8211</v>
      </c>
      <c r="AV390" s="57" t="s">
        <v>8212</v>
      </c>
      <c r="AW390" s="58" t="s">
        <v>8213</v>
      </c>
      <c r="AX390" s="59" t="s">
        <v>153</v>
      </c>
      <c r="AY390" s="60" t="s">
        <v>153</v>
      </c>
      <c r="AZ390" s="61" t="s">
        <v>8214</v>
      </c>
      <c r="BA390" s="62" t="s">
        <v>8209</v>
      </c>
      <c r="BB390" s="63" t="s">
        <v>8215</v>
      </c>
      <c r="BC390" s="64" t="s">
        <v>8216</v>
      </c>
      <c r="BD390" s="65" t="s">
        <v>216</v>
      </c>
      <c r="BE390" s="66" t="s">
        <v>3004</v>
      </c>
      <c r="BF390" s="67" t="s">
        <v>8217</v>
      </c>
      <c r="BG390" s="68" t="s">
        <v>153</v>
      </c>
      <c r="BH390" s="69" t="s">
        <v>153</v>
      </c>
      <c r="BI390" s="70" t="s">
        <v>8205</v>
      </c>
      <c r="BJ390" s="71" t="s">
        <v>153</v>
      </c>
      <c r="BK390" s="72" t="s">
        <v>153</v>
      </c>
      <c r="BL390" s="73" t="s">
        <v>153</v>
      </c>
      <c r="BM390" s="74" t="s">
        <v>153</v>
      </c>
      <c r="BN390" s="75" t="s">
        <v>153</v>
      </c>
      <c r="BO390" s="76" t="s">
        <v>153</v>
      </c>
      <c r="BP390" s="77" t="s">
        <v>153</v>
      </c>
      <c r="BQ390" s="78">
        <v>41577</v>
      </c>
      <c r="BR390" s="79">
        <v>10250</v>
      </c>
      <c r="BS390" s="80" t="s">
        <v>187</v>
      </c>
      <c r="BT390" s="81">
        <v>11263</v>
      </c>
      <c r="BU390" s="82" t="s">
        <v>187</v>
      </c>
      <c r="BV390" s="83" t="s">
        <v>226</v>
      </c>
      <c r="BW390" s="84" t="s">
        <v>153</v>
      </c>
      <c r="BX390" s="85" t="s">
        <v>153</v>
      </c>
      <c r="BY390" s="86" t="s">
        <v>225</v>
      </c>
      <c r="BZ390" s="87" t="s">
        <v>153</v>
      </c>
      <c r="CA390" s="88" t="s">
        <v>190</v>
      </c>
      <c r="CB390" s="89">
        <v>41577</v>
      </c>
      <c r="CC390" s="90">
        <v>10250</v>
      </c>
      <c r="CD390" s="91" t="s">
        <v>187</v>
      </c>
      <c r="CE390" s="92">
        <v>11263</v>
      </c>
      <c r="CF390" s="93" t="s">
        <v>187</v>
      </c>
      <c r="CG390" s="94" t="s">
        <v>226</v>
      </c>
      <c r="CH390" s="95" t="s">
        <v>153</v>
      </c>
      <c r="CI390" s="96" t="s">
        <v>153</v>
      </c>
      <c r="CJ390" s="97" t="s">
        <v>225</v>
      </c>
      <c r="CK390" s="98">
        <v>41577</v>
      </c>
      <c r="CL390" s="99" t="s">
        <v>153</v>
      </c>
      <c r="CM390" s="100" t="s">
        <v>153</v>
      </c>
      <c r="CN390" s="101" t="s">
        <v>190</v>
      </c>
      <c r="CO390" s="102">
        <v>0</v>
      </c>
      <c r="CP390" s="103">
        <v>11</v>
      </c>
      <c r="CQ390" s="104">
        <v>0</v>
      </c>
      <c r="CR390" s="105">
        <v>0</v>
      </c>
      <c r="CS390" s="106">
        <v>0</v>
      </c>
      <c r="CT390" s="107">
        <v>8</v>
      </c>
      <c r="CU390" s="108" t="s">
        <v>153</v>
      </c>
      <c r="CV390" s="109" t="s">
        <v>153</v>
      </c>
      <c r="CW390" s="110" t="s">
        <v>153</v>
      </c>
      <c r="CX390" s="111" t="s">
        <v>153</v>
      </c>
      <c r="CY390" s="112">
        <v>0</v>
      </c>
      <c r="CZ390" s="113">
        <v>5</v>
      </c>
      <c r="DA390" s="114" t="s">
        <v>153</v>
      </c>
      <c r="DB390" s="115" t="s">
        <v>153</v>
      </c>
      <c r="DC390" s="116">
        <v>2.19</v>
      </c>
      <c r="DD390" s="117">
        <v>70</v>
      </c>
      <c r="DE390" s="118">
        <v>-0.06</v>
      </c>
      <c r="DF390" s="119">
        <v>-2.78</v>
      </c>
      <c r="DG390" s="120">
        <v>2.19</v>
      </c>
      <c r="DH390" s="121">
        <v>70</v>
      </c>
      <c r="DI390" s="122" t="s">
        <v>153</v>
      </c>
      <c r="DJ390" s="123" t="s">
        <v>153</v>
      </c>
      <c r="DK390" s="124" t="s">
        <v>153</v>
      </c>
      <c r="DL390" s="125" t="s">
        <v>153</v>
      </c>
      <c r="DM390" s="126">
        <v>2.19</v>
      </c>
      <c r="DN390" s="127">
        <v>68</v>
      </c>
      <c r="DO390" s="128" t="s">
        <v>153</v>
      </c>
      <c r="DP390" s="129" t="s">
        <v>153</v>
      </c>
      <c r="DQ390" s="130" t="s">
        <v>153</v>
      </c>
      <c r="DR390" s="131" t="s">
        <v>153</v>
      </c>
      <c r="DS390" s="132" t="s">
        <v>153</v>
      </c>
      <c r="DT390" s="133">
        <v>35</v>
      </c>
      <c r="DU390" s="134">
        <v>-1</v>
      </c>
      <c r="DV390" s="135">
        <v>-2.78</v>
      </c>
      <c r="DW390" s="136" t="s">
        <v>153</v>
      </c>
      <c r="DX390" s="137" t="s">
        <v>153</v>
      </c>
      <c r="DY390" s="138" t="s">
        <v>153</v>
      </c>
      <c r="DZ390" s="139" t="s">
        <v>191</v>
      </c>
      <c r="EA390" s="140">
        <v>43755</v>
      </c>
      <c r="EB390" s="141">
        <v>11263</v>
      </c>
      <c r="EC390" s="142">
        <v>41577</v>
      </c>
      <c r="ED390" s="143" t="s">
        <v>226</v>
      </c>
      <c r="EE390" s="278" t="str">
        <f>HYPERLINK("https://my.pitchbook.com?c=160987-78", "View company online")</f>
        <v>View company online</v>
      </c>
    </row>
    <row r="391" spans="1:135" x14ac:dyDescent="0.45">
      <c r="A391" s="144" t="s">
        <v>8218</v>
      </c>
      <c r="B391" s="145" t="s">
        <v>8219</v>
      </c>
      <c r="C391" s="146" t="s">
        <v>153</v>
      </c>
      <c r="D391" s="147" t="s">
        <v>153</v>
      </c>
      <c r="E391" s="148" t="s">
        <v>153</v>
      </c>
      <c r="F391" s="149" t="s">
        <v>153</v>
      </c>
      <c r="G391" s="150" t="s">
        <v>153</v>
      </c>
      <c r="H391" s="151" t="s">
        <v>153</v>
      </c>
      <c r="I391" s="152" t="s">
        <v>8218</v>
      </c>
      <c r="J391" s="153" t="s">
        <v>8220</v>
      </c>
      <c r="K391" s="154" t="s">
        <v>882</v>
      </c>
      <c r="L391" s="155" t="s">
        <v>2888</v>
      </c>
      <c r="M391" s="156" t="s">
        <v>2889</v>
      </c>
      <c r="N391" s="157" t="s">
        <v>2890</v>
      </c>
      <c r="O391" s="158" t="s">
        <v>153</v>
      </c>
      <c r="P391" s="159" t="s">
        <v>8221</v>
      </c>
      <c r="Q391" s="160" t="s">
        <v>204</v>
      </c>
      <c r="R391" s="161" t="s">
        <v>153</v>
      </c>
      <c r="S391" s="162" t="s">
        <v>153</v>
      </c>
      <c r="T391" s="163" t="s">
        <v>205</v>
      </c>
      <c r="U391" s="164" t="s">
        <v>206</v>
      </c>
      <c r="V391" s="165" t="s">
        <v>153</v>
      </c>
      <c r="W391" s="166" t="s">
        <v>153</v>
      </c>
      <c r="X391" s="167" t="s">
        <v>153</v>
      </c>
      <c r="Y391" s="168" t="s">
        <v>153</v>
      </c>
      <c r="Z391" s="169" t="s">
        <v>153</v>
      </c>
      <c r="AA391" s="170" t="s">
        <v>153</v>
      </c>
      <c r="AB391" s="171" t="s">
        <v>153</v>
      </c>
      <c r="AC391" s="172" t="s">
        <v>153</v>
      </c>
      <c r="AD391" s="173" t="s">
        <v>153</v>
      </c>
      <c r="AE391" s="174" t="s">
        <v>153</v>
      </c>
      <c r="AF391" s="175" t="s">
        <v>153</v>
      </c>
      <c r="AG391" s="176" t="s">
        <v>153</v>
      </c>
      <c r="AH391" s="177" t="s">
        <v>153</v>
      </c>
      <c r="AI391" s="178" t="s">
        <v>153</v>
      </c>
      <c r="AJ391" s="179" t="s">
        <v>153</v>
      </c>
      <c r="AK391" s="180" t="s">
        <v>153</v>
      </c>
      <c r="AL391" s="181" t="s">
        <v>153</v>
      </c>
      <c r="AM391" s="182" t="s">
        <v>153</v>
      </c>
      <c r="AN391" s="183" t="s">
        <v>153</v>
      </c>
      <c r="AO391" s="184" t="s">
        <v>153</v>
      </c>
      <c r="AP391" s="185" t="s">
        <v>153</v>
      </c>
      <c r="AQ391" s="186" t="s">
        <v>153</v>
      </c>
      <c r="AR391" s="187" t="s">
        <v>153</v>
      </c>
      <c r="AS391" s="188" t="s">
        <v>153</v>
      </c>
      <c r="AT391" s="189" t="s">
        <v>3755</v>
      </c>
      <c r="AU391" s="190" t="s">
        <v>153</v>
      </c>
      <c r="AV391" s="191" t="s">
        <v>153</v>
      </c>
      <c r="AW391" s="192" t="s">
        <v>3758</v>
      </c>
      <c r="AX391" s="193" t="s">
        <v>153</v>
      </c>
      <c r="AY391" s="194" t="s">
        <v>153</v>
      </c>
      <c r="AZ391" s="195" t="s">
        <v>3761</v>
      </c>
      <c r="BA391" s="196" t="s">
        <v>153</v>
      </c>
      <c r="BB391" s="197" t="s">
        <v>153</v>
      </c>
      <c r="BC391" s="198" t="s">
        <v>153</v>
      </c>
      <c r="BD391" s="199" t="s">
        <v>1406</v>
      </c>
      <c r="BE391" s="200" t="s">
        <v>1407</v>
      </c>
      <c r="BF391" s="201" t="s">
        <v>8222</v>
      </c>
      <c r="BG391" s="202" t="s">
        <v>153</v>
      </c>
      <c r="BH391" s="203" t="s">
        <v>153</v>
      </c>
      <c r="BI391" s="204" t="s">
        <v>8223</v>
      </c>
      <c r="BJ391" s="205" t="s">
        <v>153</v>
      </c>
      <c r="BK391" s="206" t="s">
        <v>153</v>
      </c>
      <c r="BL391" s="207" t="s">
        <v>153</v>
      </c>
      <c r="BM391" s="208" t="s">
        <v>153</v>
      </c>
      <c r="BN391" s="209" t="s">
        <v>153</v>
      </c>
      <c r="BO391" s="210" t="s">
        <v>153</v>
      </c>
      <c r="BP391" s="211" t="s">
        <v>153</v>
      </c>
      <c r="BQ391" s="212">
        <v>41902</v>
      </c>
      <c r="BR391" s="213">
        <v>10208.23</v>
      </c>
      <c r="BS391" s="214" t="s">
        <v>186</v>
      </c>
      <c r="BT391" s="215">
        <v>10208.23</v>
      </c>
      <c r="BU391" s="216" t="s">
        <v>186</v>
      </c>
      <c r="BV391" s="217" t="s">
        <v>1524</v>
      </c>
      <c r="BW391" s="218" t="s">
        <v>1525</v>
      </c>
      <c r="BX391" s="219" t="s">
        <v>153</v>
      </c>
      <c r="BY391" s="220" t="s">
        <v>225</v>
      </c>
      <c r="BZ391" s="221" t="s">
        <v>153</v>
      </c>
      <c r="CA391" s="222" t="s">
        <v>190</v>
      </c>
      <c r="CB391" s="223">
        <v>41902</v>
      </c>
      <c r="CC391" s="224">
        <v>10208.23</v>
      </c>
      <c r="CD391" s="225" t="s">
        <v>186</v>
      </c>
      <c r="CE391" s="226">
        <v>10208.23</v>
      </c>
      <c r="CF391" s="227" t="s">
        <v>186</v>
      </c>
      <c r="CG391" s="228" t="s">
        <v>1524</v>
      </c>
      <c r="CH391" s="229" t="s">
        <v>1525</v>
      </c>
      <c r="CI391" s="230" t="s">
        <v>153</v>
      </c>
      <c r="CJ391" s="231" t="s">
        <v>225</v>
      </c>
      <c r="CK391" s="232">
        <v>41902</v>
      </c>
      <c r="CL391" s="233" t="s">
        <v>153</v>
      </c>
      <c r="CM391" s="234" t="s">
        <v>153</v>
      </c>
      <c r="CN391" s="235" t="s">
        <v>190</v>
      </c>
      <c r="CO391" s="236" t="s">
        <v>153</v>
      </c>
      <c r="CP391" s="237" t="s">
        <v>153</v>
      </c>
      <c r="CQ391" s="238" t="s">
        <v>153</v>
      </c>
      <c r="CR391" s="239" t="s">
        <v>153</v>
      </c>
      <c r="CS391" s="240" t="s">
        <v>153</v>
      </c>
      <c r="CT391" s="241" t="s">
        <v>153</v>
      </c>
      <c r="CU391" s="242" t="s">
        <v>153</v>
      </c>
      <c r="CV391" s="243" t="s">
        <v>153</v>
      </c>
      <c r="CW391" s="244" t="s">
        <v>153</v>
      </c>
      <c r="CX391" s="245" t="s">
        <v>153</v>
      </c>
      <c r="CY391" s="246" t="s">
        <v>153</v>
      </c>
      <c r="CZ391" s="247" t="s">
        <v>153</v>
      </c>
      <c r="DA391" s="248" t="s">
        <v>153</v>
      </c>
      <c r="DB391" s="249" t="s">
        <v>153</v>
      </c>
      <c r="DC391" s="250" t="s">
        <v>153</v>
      </c>
      <c r="DD391" s="251" t="s">
        <v>153</v>
      </c>
      <c r="DE391" s="252" t="s">
        <v>153</v>
      </c>
      <c r="DF391" s="253" t="s">
        <v>153</v>
      </c>
      <c r="DG391" s="254" t="s">
        <v>153</v>
      </c>
      <c r="DH391" s="255" t="s">
        <v>153</v>
      </c>
      <c r="DI391" s="256" t="s">
        <v>153</v>
      </c>
      <c r="DJ391" s="257" t="s">
        <v>153</v>
      </c>
      <c r="DK391" s="258" t="s">
        <v>153</v>
      </c>
      <c r="DL391" s="259" t="s">
        <v>153</v>
      </c>
      <c r="DM391" s="260" t="s">
        <v>153</v>
      </c>
      <c r="DN391" s="261" t="s">
        <v>153</v>
      </c>
      <c r="DO391" s="262" t="s">
        <v>153</v>
      </c>
      <c r="DP391" s="263" t="s">
        <v>153</v>
      </c>
      <c r="DQ391" s="264" t="s">
        <v>153</v>
      </c>
      <c r="DR391" s="265" t="s">
        <v>153</v>
      </c>
      <c r="DS391" s="266" t="s">
        <v>153</v>
      </c>
      <c r="DT391" s="267" t="s">
        <v>153</v>
      </c>
      <c r="DU391" s="268" t="s">
        <v>153</v>
      </c>
      <c r="DV391" s="269" t="s">
        <v>153</v>
      </c>
      <c r="DW391" s="270" t="s">
        <v>153</v>
      </c>
      <c r="DX391" s="271" t="s">
        <v>153</v>
      </c>
      <c r="DY391" s="272" t="s">
        <v>153</v>
      </c>
      <c r="DZ391" s="273" t="s">
        <v>191</v>
      </c>
      <c r="EA391" s="274">
        <v>43351</v>
      </c>
      <c r="EB391" s="275">
        <v>10208.23</v>
      </c>
      <c r="EC391" s="276">
        <v>41902</v>
      </c>
      <c r="ED391" s="277" t="s">
        <v>1524</v>
      </c>
      <c r="EE391" s="279" t="str">
        <f>HYPERLINK("https://my.pitchbook.com?c=228057-67", "View company online")</f>
        <v>View company online</v>
      </c>
    </row>
    <row r="392" spans="1:135" x14ac:dyDescent="0.45">
      <c r="A392" s="10" t="s">
        <v>8224</v>
      </c>
      <c r="B392" s="11" t="s">
        <v>8225</v>
      </c>
      <c r="C392" s="12" t="s">
        <v>153</v>
      </c>
      <c r="D392" s="13" t="s">
        <v>153</v>
      </c>
      <c r="E392" s="14" t="s">
        <v>153</v>
      </c>
      <c r="F392" s="15" t="s">
        <v>8226</v>
      </c>
      <c r="G392" s="16" t="s">
        <v>8227</v>
      </c>
      <c r="H392" s="17" t="s">
        <v>153</v>
      </c>
      <c r="I392" s="18" t="s">
        <v>8224</v>
      </c>
      <c r="J392" s="19" t="s">
        <v>8228</v>
      </c>
      <c r="K392" s="20" t="s">
        <v>882</v>
      </c>
      <c r="L392" s="21" t="s">
        <v>1257</v>
      </c>
      <c r="M392" s="22" t="s">
        <v>2561</v>
      </c>
      <c r="N392" s="23" t="s">
        <v>3014</v>
      </c>
      <c r="O392" s="24" t="s">
        <v>153</v>
      </c>
      <c r="P392" s="25" t="s">
        <v>8229</v>
      </c>
      <c r="Q392" s="26" t="s">
        <v>367</v>
      </c>
      <c r="R392" s="27">
        <v>100.49</v>
      </c>
      <c r="S392" s="28" t="s">
        <v>368</v>
      </c>
      <c r="T392" s="29" t="s">
        <v>291</v>
      </c>
      <c r="U392" s="30" t="s">
        <v>565</v>
      </c>
      <c r="V392" s="31" t="s">
        <v>8230</v>
      </c>
      <c r="W392" s="32">
        <v>24447</v>
      </c>
      <c r="X392" s="33" t="s">
        <v>8231</v>
      </c>
      <c r="Y392" s="34" t="s">
        <v>1734</v>
      </c>
      <c r="Z392" s="35" t="s">
        <v>8232</v>
      </c>
      <c r="AA392" s="36">
        <v>1945</v>
      </c>
      <c r="AB392" s="37" t="s">
        <v>153</v>
      </c>
      <c r="AC392" s="38" t="s">
        <v>153</v>
      </c>
      <c r="AD392" s="39" t="s">
        <v>153</v>
      </c>
      <c r="AE392" s="40">
        <v>2435.9899999999998</v>
      </c>
      <c r="AF392" s="41">
        <v>143.63</v>
      </c>
      <c r="AG392" s="42">
        <v>-1332.56</v>
      </c>
      <c r="AH392" s="43">
        <v>21076.16</v>
      </c>
      <c r="AI392" s="44">
        <v>-981.47</v>
      </c>
      <c r="AJ392" s="45">
        <v>-1729.25</v>
      </c>
      <c r="AK392" s="46">
        <v>12276.91</v>
      </c>
      <c r="AL392" s="47">
        <v>8948.01</v>
      </c>
      <c r="AM392" s="48">
        <v>-54.53</v>
      </c>
      <c r="AN392" s="49" t="s">
        <v>168</v>
      </c>
      <c r="AO392" s="50" t="s">
        <v>8233</v>
      </c>
      <c r="AP392" s="51" t="s">
        <v>8234</v>
      </c>
      <c r="AQ392" s="52" t="s">
        <v>8235</v>
      </c>
      <c r="AR392" s="53" t="s">
        <v>8236</v>
      </c>
      <c r="AS392" s="54" t="s">
        <v>8237</v>
      </c>
      <c r="AT392" s="55" t="s">
        <v>8238</v>
      </c>
      <c r="AU392" s="56" t="s">
        <v>8239</v>
      </c>
      <c r="AV392" s="57" t="s">
        <v>153</v>
      </c>
      <c r="AW392" s="58" t="s">
        <v>8240</v>
      </c>
      <c r="AX392" s="59" t="s">
        <v>153</v>
      </c>
      <c r="AY392" s="60" t="s">
        <v>8241</v>
      </c>
      <c r="AZ392" s="61" t="s">
        <v>701</v>
      </c>
      <c r="BA392" s="62" t="s">
        <v>8237</v>
      </c>
      <c r="BB392" s="63" t="s">
        <v>153</v>
      </c>
      <c r="BC392" s="64" t="s">
        <v>153</v>
      </c>
      <c r="BD392" s="65" t="s">
        <v>180</v>
      </c>
      <c r="BE392" s="66" t="s">
        <v>181</v>
      </c>
      <c r="BF392" s="67" t="s">
        <v>8242</v>
      </c>
      <c r="BG392" s="68" t="s">
        <v>8243</v>
      </c>
      <c r="BH392" s="69">
        <v>4</v>
      </c>
      <c r="BI392" s="70" t="s">
        <v>153</v>
      </c>
      <c r="BJ392" s="71" t="s">
        <v>153</v>
      </c>
      <c r="BK392" s="72" t="s">
        <v>153</v>
      </c>
      <c r="BL392" s="73" t="s">
        <v>8244</v>
      </c>
      <c r="BM392" s="74" t="s">
        <v>153</v>
      </c>
      <c r="BN392" s="75" t="s">
        <v>153</v>
      </c>
      <c r="BO392" s="76" t="s">
        <v>8245</v>
      </c>
      <c r="BP392" s="77" t="s">
        <v>8246</v>
      </c>
      <c r="BQ392" s="78">
        <v>38883</v>
      </c>
      <c r="BR392" s="79">
        <v>1428.63</v>
      </c>
      <c r="BS392" s="80" t="s">
        <v>186</v>
      </c>
      <c r="BT392" s="81" t="s">
        <v>153</v>
      </c>
      <c r="BU392" s="82" t="s">
        <v>153</v>
      </c>
      <c r="BV392" s="83" t="s">
        <v>251</v>
      </c>
      <c r="BW392" s="84" t="s">
        <v>153</v>
      </c>
      <c r="BX392" s="85" t="s">
        <v>153</v>
      </c>
      <c r="BY392" s="86" t="s">
        <v>252</v>
      </c>
      <c r="BZ392" s="87" t="s">
        <v>153</v>
      </c>
      <c r="CA392" s="88" t="s">
        <v>190</v>
      </c>
      <c r="CB392" s="89">
        <v>43081</v>
      </c>
      <c r="CC392" s="90">
        <v>10200</v>
      </c>
      <c r="CD392" s="91" t="s">
        <v>187</v>
      </c>
      <c r="CE392" s="92">
        <v>20158.099999999999</v>
      </c>
      <c r="CF392" s="93" t="s">
        <v>187</v>
      </c>
      <c r="CG392" s="94" t="s">
        <v>188</v>
      </c>
      <c r="CH392" s="95" t="s">
        <v>153</v>
      </c>
      <c r="CI392" s="96" t="s">
        <v>153</v>
      </c>
      <c r="CJ392" s="97" t="s">
        <v>165</v>
      </c>
      <c r="CK392" s="98">
        <v>43081</v>
      </c>
      <c r="CL392" s="99" t="s">
        <v>153</v>
      </c>
      <c r="CM392" s="100" t="s">
        <v>153</v>
      </c>
      <c r="CN392" s="101" t="s">
        <v>394</v>
      </c>
      <c r="CO392" s="102">
        <v>2.4</v>
      </c>
      <c r="CP392" s="103">
        <v>99</v>
      </c>
      <c r="CQ392" s="104">
        <v>0.15</v>
      </c>
      <c r="CR392" s="105">
        <v>6.6</v>
      </c>
      <c r="CS392" s="106">
        <v>6.71</v>
      </c>
      <c r="CT392" s="107">
        <v>100</v>
      </c>
      <c r="CU392" s="108">
        <v>0.06</v>
      </c>
      <c r="CV392" s="109">
        <v>82</v>
      </c>
      <c r="CW392" s="110">
        <v>6.71</v>
      </c>
      <c r="CX392" s="111">
        <v>96</v>
      </c>
      <c r="CY392" s="112" t="s">
        <v>153</v>
      </c>
      <c r="CZ392" s="113" t="s">
        <v>153</v>
      </c>
      <c r="DA392" s="114">
        <v>0.06</v>
      </c>
      <c r="DB392" s="115">
        <v>82</v>
      </c>
      <c r="DC392" s="116">
        <v>189.21</v>
      </c>
      <c r="DD392" s="117">
        <v>100</v>
      </c>
      <c r="DE392" s="118">
        <v>0.42</v>
      </c>
      <c r="DF392" s="119">
        <v>0.22</v>
      </c>
      <c r="DG392" s="120">
        <v>365.44</v>
      </c>
      <c r="DH392" s="121">
        <v>100</v>
      </c>
      <c r="DI392" s="122">
        <v>200.73</v>
      </c>
      <c r="DJ392" s="123">
        <v>99</v>
      </c>
      <c r="DK392" s="124">
        <v>365.44</v>
      </c>
      <c r="DL392" s="125">
        <v>99</v>
      </c>
      <c r="DM392" s="126" t="s">
        <v>153</v>
      </c>
      <c r="DN392" s="127" t="s">
        <v>153</v>
      </c>
      <c r="DO392" s="128">
        <v>200.73</v>
      </c>
      <c r="DP392" s="129">
        <v>99</v>
      </c>
      <c r="DQ392" s="130">
        <v>214698</v>
      </c>
      <c r="DR392" s="131">
        <v>7368</v>
      </c>
      <c r="DS392" s="132">
        <v>3.55</v>
      </c>
      <c r="DT392" s="133" t="s">
        <v>153</v>
      </c>
      <c r="DU392" s="134" t="s">
        <v>153</v>
      </c>
      <c r="DV392" s="135" t="s">
        <v>153</v>
      </c>
      <c r="DW392" s="136">
        <v>62950</v>
      </c>
      <c r="DX392" s="137">
        <v>203</v>
      </c>
      <c r="DY392" s="138">
        <v>0.32</v>
      </c>
      <c r="DZ392" s="139" t="s">
        <v>191</v>
      </c>
      <c r="EA392" s="140">
        <v>44391</v>
      </c>
      <c r="EB392" s="141">
        <v>20158.099999999999</v>
      </c>
      <c r="EC392" s="142">
        <v>43081</v>
      </c>
      <c r="ED392" s="143" t="s">
        <v>188</v>
      </c>
      <c r="EE392" s="278" t="str">
        <f>HYPERLINK("https://my.pitchbook.com?c=53844-49", "View company online")</f>
        <v>View company online</v>
      </c>
    </row>
    <row r="393" spans="1:135" x14ac:dyDescent="0.45">
      <c r="A393" s="144" t="s">
        <v>8247</v>
      </c>
      <c r="B393" s="145" t="s">
        <v>8248</v>
      </c>
      <c r="C393" s="146" t="s">
        <v>153</v>
      </c>
      <c r="D393" s="147" t="s">
        <v>153</v>
      </c>
      <c r="E393" s="148" t="s">
        <v>153</v>
      </c>
      <c r="F393" s="149" t="s">
        <v>8249</v>
      </c>
      <c r="G393" s="150" t="s">
        <v>8250</v>
      </c>
      <c r="H393" s="151" t="s">
        <v>8251</v>
      </c>
      <c r="I393" s="152" t="s">
        <v>8247</v>
      </c>
      <c r="J393" s="153" t="s">
        <v>8252</v>
      </c>
      <c r="K393" s="154" t="s">
        <v>792</v>
      </c>
      <c r="L393" s="155" t="s">
        <v>793</v>
      </c>
      <c r="M393" s="156" t="s">
        <v>3119</v>
      </c>
      <c r="N393" s="157" t="s">
        <v>8253</v>
      </c>
      <c r="O393" s="158" t="s">
        <v>1119</v>
      </c>
      <c r="P393" s="159" t="s">
        <v>8254</v>
      </c>
      <c r="Q393" s="160" t="s">
        <v>204</v>
      </c>
      <c r="R393" s="161" t="s">
        <v>153</v>
      </c>
      <c r="S393" s="162" t="s">
        <v>290</v>
      </c>
      <c r="T393" s="163" t="s">
        <v>205</v>
      </c>
      <c r="U393" s="164" t="s">
        <v>237</v>
      </c>
      <c r="V393" s="165" t="s">
        <v>8255</v>
      </c>
      <c r="W393" s="166">
        <v>1782</v>
      </c>
      <c r="X393" s="167" t="s">
        <v>8256</v>
      </c>
      <c r="Y393" s="168" t="s">
        <v>153</v>
      </c>
      <c r="Z393" s="169" t="s">
        <v>153</v>
      </c>
      <c r="AA393" s="170" t="s">
        <v>153</v>
      </c>
      <c r="AB393" s="171" t="s">
        <v>6293</v>
      </c>
      <c r="AC393" s="172" t="s">
        <v>153</v>
      </c>
      <c r="AD393" s="173" t="s">
        <v>153</v>
      </c>
      <c r="AE393" s="174" t="s">
        <v>153</v>
      </c>
      <c r="AF393" s="175" t="s">
        <v>153</v>
      </c>
      <c r="AG393" s="176" t="s">
        <v>153</v>
      </c>
      <c r="AH393" s="177" t="s">
        <v>153</v>
      </c>
      <c r="AI393" s="178" t="s">
        <v>153</v>
      </c>
      <c r="AJ393" s="179" t="s">
        <v>153</v>
      </c>
      <c r="AK393" s="180" t="s">
        <v>153</v>
      </c>
      <c r="AL393" s="181" t="s">
        <v>153</v>
      </c>
      <c r="AM393" s="182" t="s">
        <v>153</v>
      </c>
      <c r="AN393" s="183" t="s">
        <v>2112</v>
      </c>
      <c r="AO393" s="184" t="s">
        <v>8257</v>
      </c>
      <c r="AP393" s="185" t="s">
        <v>8258</v>
      </c>
      <c r="AQ393" s="186" t="s">
        <v>968</v>
      </c>
      <c r="AR393" s="187" t="s">
        <v>8259</v>
      </c>
      <c r="AS393" s="188" t="s">
        <v>153</v>
      </c>
      <c r="AT393" s="189" t="s">
        <v>1124</v>
      </c>
      <c r="AU393" s="190" t="s">
        <v>6289</v>
      </c>
      <c r="AV393" s="191" t="s">
        <v>6290</v>
      </c>
      <c r="AW393" s="192" t="s">
        <v>1127</v>
      </c>
      <c r="AX393" s="193" t="s">
        <v>1128</v>
      </c>
      <c r="AY393" s="194" t="s">
        <v>2229</v>
      </c>
      <c r="AZ393" s="195" t="s">
        <v>215</v>
      </c>
      <c r="BA393" s="196" t="s">
        <v>153</v>
      </c>
      <c r="BB393" s="197" t="s">
        <v>153</v>
      </c>
      <c r="BC393" s="198" t="s">
        <v>153</v>
      </c>
      <c r="BD393" s="199" t="s">
        <v>216</v>
      </c>
      <c r="BE393" s="200" t="s">
        <v>217</v>
      </c>
      <c r="BF393" s="201" t="s">
        <v>8260</v>
      </c>
      <c r="BG393" s="202" t="s">
        <v>153</v>
      </c>
      <c r="BH393" s="203" t="s">
        <v>153</v>
      </c>
      <c r="BI393" s="204" t="s">
        <v>6293</v>
      </c>
      <c r="BJ393" s="205" t="s">
        <v>6294</v>
      </c>
      <c r="BK393" s="206" t="s">
        <v>153</v>
      </c>
      <c r="BL393" s="207" t="s">
        <v>153</v>
      </c>
      <c r="BM393" s="208" t="s">
        <v>6295</v>
      </c>
      <c r="BN393" s="209" t="s">
        <v>153</v>
      </c>
      <c r="BO393" s="210" t="s">
        <v>153</v>
      </c>
      <c r="BP393" s="211" t="s">
        <v>8261</v>
      </c>
      <c r="BQ393" s="212">
        <v>42186</v>
      </c>
      <c r="BR393" s="213" t="s">
        <v>153</v>
      </c>
      <c r="BS393" s="214" t="s">
        <v>153</v>
      </c>
      <c r="BT393" s="215" t="s">
        <v>153</v>
      </c>
      <c r="BU393" s="216" t="s">
        <v>153</v>
      </c>
      <c r="BV393" s="217" t="s">
        <v>251</v>
      </c>
      <c r="BW393" s="218" t="s">
        <v>524</v>
      </c>
      <c r="BX393" s="219" t="s">
        <v>153</v>
      </c>
      <c r="BY393" s="220" t="s">
        <v>252</v>
      </c>
      <c r="BZ393" s="221" t="s">
        <v>153</v>
      </c>
      <c r="CA393" s="222" t="s">
        <v>190</v>
      </c>
      <c r="CB393" s="223">
        <v>42552</v>
      </c>
      <c r="CC393" s="224">
        <v>10200</v>
      </c>
      <c r="CD393" s="225" t="s">
        <v>186</v>
      </c>
      <c r="CE393" s="226">
        <v>10200</v>
      </c>
      <c r="CF393" s="227" t="s">
        <v>186</v>
      </c>
      <c r="CG393" s="228" t="s">
        <v>226</v>
      </c>
      <c r="CH393" s="229" t="s">
        <v>153</v>
      </c>
      <c r="CI393" s="230" t="s">
        <v>153</v>
      </c>
      <c r="CJ393" s="231" t="s">
        <v>225</v>
      </c>
      <c r="CK393" s="232">
        <v>42552</v>
      </c>
      <c r="CL393" s="233" t="s">
        <v>153</v>
      </c>
      <c r="CM393" s="234" t="s">
        <v>153</v>
      </c>
      <c r="CN393" s="235" t="s">
        <v>190</v>
      </c>
      <c r="CO393" s="236" t="s">
        <v>153</v>
      </c>
      <c r="CP393" s="237" t="s">
        <v>153</v>
      </c>
      <c r="CQ393" s="238" t="s">
        <v>153</v>
      </c>
      <c r="CR393" s="239" t="s">
        <v>153</v>
      </c>
      <c r="CS393" s="240" t="s">
        <v>153</v>
      </c>
      <c r="CT393" s="241" t="s">
        <v>153</v>
      </c>
      <c r="CU393" s="242" t="s">
        <v>153</v>
      </c>
      <c r="CV393" s="243" t="s">
        <v>153</v>
      </c>
      <c r="CW393" s="244" t="s">
        <v>153</v>
      </c>
      <c r="CX393" s="245" t="s">
        <v>153</v>
      </c>
      <c r="CY393" s="246" t="s">
        <v>153</v>
      </c>
      <c r="CZ393" s="247" t="s">
        <v>153</v>
      </c>
      <c r="DA393" s="248" t="s">
        <v>153</v>
      </c>
      <c r="DB393" s="249" t="s">
        <v>153</v>
      </c>
      <c r="DC393" s="250" t="s">
        <v>153</v>
      </c>
      <c r="DD393" s="251" t="s">
        <v>153</v>
      </c>
      <c r="DE393" s="252" t="s">
        <v>153</v>
      </c>
      <c r="DF393" s="253" t="s">
        <v>153</v>
      </c>
      <c r="DG393" s="254" t="s">
        <v>153</v>
      </c>
      <c r="DH393" s="255" t="s">
        <v>153</v>
      </c>
      <c r="DI393" s="256" t="s">
        <v>153</v>
      </c>
      <c r="DJ393" s="257" t="s">
        <v>153</v>
      </c>
      <c r="DK393" s="258" t="s">
        <v>153</v>
      </c>
      <c r="DL393" s="259" t="s">
        <v>153</v>
      </c>
      <c r="DM393" s="260" t="s">
        <v>153</v>
      </c>
      <c r="DN393" s="261" t="s">
        <v>153</v>
      </c>
      <c r="DO393" s="262" t="s">
        <v>153</v>
      </c>
      <c r="DP393" s="263" t="s">
        <v>153</v>
      </c>
      <c r="DQ393" s="264" t="s">
        <v>153</v>
      </c>
      <c r="DR393" s="265" t="s">
        <v>153</v>
      </c>
      <c r="DS393" s="266" t="s">
        <v>153</v>
      </c>
      <c r="DT393" s="267" t="s">
        <v>153</v>
      </c>
      <c r="DU393" s="268" t="s">
        <v>153</v>
      </c>
      <c r="DV393" s="269" t="s">
        <v>153</v>
      </c>
      <c r="DW393" s="270" t="s">
        <v>153</v>
      </c>
      <c r="DX393" s="271" t="s">
        <v>153</v>
      </c>
      <c r="DY393" s="272" t="s">
        <v>153</v>
      </c>
      <c r="DZ393" s="273" t="s">
        <v>191</v>
      </c>
      <c r="EA393" s="274">
        <v>44217</v>
      </c>
      <c r="EB393" s="275">
        <v>10200</v>
      </c>
      <c r="EC393" s="276">
        <v>42552</v>
      </c>
      <c r="ED393" s="277" t="s">
        <v>226</v>
      </c>
      <c r="EE393" s="279" t="str">
        <f>HYPERLINK("https://my.pitchbook.com?c=118465-66", "View company online")</f>
        <v>View company online</v>
      </c>
    </row>
    <row r="394" spans="1:135" x14ac:dyDescent="0.45">
      <c r="A394" s="10" t="s">
        <v>8262</v>
      </c>
      <c r="B394" s="11" t="s">
        <v>8263</v>
      </c>
      <c r="C394" s="12" t="s">
        <v>153</v>
      </c>
      <c r="D394" s="13" t="s">
        <v>153</v>
      </c>
      <c r="E394" s="14" t="s">
        <v>8264</v>
      </c>
      <c r="F394" s="15" t="s">
        <v>153</v>
      </c>
      <c r="G394" s="16" t="s">
        <v>8265</v>
      </c>
      <c r="H394" s="17" t="s">
        <v>8266</v>
      </c>
      <c r="I394" s="18" t="s">
        <v>8262</v>
      </c>
      <c r="J394" s="19" t="s">
        <v>8267</v>
      </c>
      <c r="K394" s="20" t="s">
        <v>198</v>
      </c>
      <c r="L394" s="21" t="s">
        <v>984</v>
      </c>
      <c r="M394" s="22" t="s">
        <v>3544</v>
      </c>
      <c r="N394" s="23" t="s">
        <v>8268</v>
      </c>
      <c r="O394" s="24" t="s">
        <v>8269</v>
      </c>
      <c r="P394" s="25" t="s">
        <v>8270</v>
      </c>
      <c r="Q394" s="26" t="s">
        <v>162</v>
      </c>
      <c r="R394" s="27">
        <v>590.13</v>
      </c>
      <c r="S394" s="28" t="s">
        <v>290</v>
      </c>
      <c r="T394" s="29" t="s">
        <v>1392</v>
      </c>
      <c r="U394" s="30" t="s">
        <v>452</v>
      </c>
      <c r="V394" s="31" t="s">
        <v>8271</v>
      </c>
      <c r="W394" s="32">
        <v>6691</v>
      </c>
      <c r="X394" s="33" t="s">
        <v>8272</v>
      </c>
      <c r="Y394" s="34" t="s">
        <v>153</v>
      </c>
      <c r="Z394" s="35" t="s">
        <v>153</v>
      </c>
      <c r="AA394" s="36">
        <v>1998</v>
      </c>
      <c r="AB394" s="37" t="s">
        <v>153</v>
      </c>
      <c r="AC394" s="38" t="s">
        <v>153</v>
      </c>
      <c r="AD394" s="39" t="s">
        <v>508</v>
      </c>
      <c r="AE394" s="40">
        <v>1158.48</v>
      </c>
      <c r="AF394" s="41">
        <v>657.21</v>
      </c>
      <c r="AG394" s="42">
        <v>46.31</v>
      </c>
      <c r="AH394" s="43">
        <v>9581.4599999999991</v>
      </c>
      <c r="AI394" s="44">
        <v>256.11</v>
      </c>
      <c r="AJ394" s="45">
        <v>103.75</v>
      </c>
      <c r="AK394" s="46" t="s">
        <v>153</v>
      </c>
      <c r="AL394" s="47">
        <v>726.67</v>
      </c>
      <c r="AM394" s="48">
        <v>17.239999999999998</v>
      </c>
      <c r="AN394" s="49" t="s">
        <v>168</v>
      </c>
      <c r="AO394" s="50" t="s">
        <v>8273</v>
      </c>
      <c r="AP394" s="51" t="s">
        <v>8274</v>
      </c>
      <c r="AQ394" s="52" t="s">
        <v>8275</v>
      </c>
      <c r="AR394" s="53" t="s">
        <v>8276</v>
      </c>
      <c r="AS394" s="54" t="s">
        <v>8277</v>
      </c>
      <c r="AT394" s="55" t="s">
        <v>8278</v>
      </c>
      <c r="AU394" s="56" t="s">
        <v>8279</v>
      </c>
      <c r="AV394" s="57" t="s">
        <v>153</v>
      </c>
      <c r="AW394" s="58" t="s">
        <v>8280</v>
      </c>
      <c r="AX394" s="59" t="s">
        <v>1128</v>
      </c>
      <c r="AY394" s="60" t="s">
        <v>8281</v>
      </c>
      <c r="AZ394" s="61" t="s">
        <v>215</v>
      </c>
      <c r="BA394" s="62" t="s">
        <v>8277</v>
      </c>
      <c r="BB394" s="63" t="s">
        <v>8282</v>
      </c>
      <c r="BC394" s="64" t="s">
        <v>153</v>
      </c>
      <c r="BD394" s="65" t="s">
        <v>216</v>
      </c>
      <c r="BE394" s="66" t="s">
        <v>217</v>
      </c>
      <c r="BF394" s="67" t="s">
        <v>8283</v>
      </c>
      <c r="BG394" s="68" t="s">
        <v>8284</v>
      </c>
      <c r="BH394" s="69">
        <v>1</v>
      </c>
      <c r="BI394" s="70" t="s">
        <v>153</v>
      </c>
      <c r="BJ394" s="71" t="s">
        <v>8285</v>
      </c>
      <c r="BK394" s="72" t="s">
        <v>153</v>
      </c>
      <c r="BL394" s="73" t="s">
        <v>8286</v>
      </c>
      <c r="BM394" s="74" t="s">
        <v>8287</v>
      </c>
      <c r="BN394" s="75" t="s">
        <v>153</v>
      </c>
      <c r="BO394" s="76" t="s">
        <v>8288</v>
      </c>
      <c r="BP394" s="77" t="s">
        <v>8289</v>
      </c>
      <c r="BQ394" s="78">
        <v>36623</v>
      </c>
      <c r="BR394" s="79">
        <v>24</v>
      </c>
      <c r="BS394" s="80" t="s">
        <v>186</v>
      </c>
      <c r="BT394" s="81" t="s">
        <v>153</v>
      </c>
      <c r="BU394" s="82" t="s">
        <v>153</v>
      </c>
      <c r="BV394" s="83" t="s">
        <v>471</v>
      </c>
      <c r="BW394" s="84" t="s">
        <v>1811</v>
      </c>
      <c r="BX394" s="85" t="s">
        <v>153</v>
      </c>
      <c r="BY394" s="86" t="s">
        <v>472</v>
      </c>
      <c r="BZ394" s="87" t="s">
        <v>153</v>
      </c>
      <c r="CA394" s="88" t="s">
        <v>190</v>
      </c>
      <c r="CB394" s="89">
        <v>44308</v>
      </c>
      <c r="CC394" s="90">
        <v>10200</v>
      </c>
      <c r="CD394" s="91" t="s">
        <v>186</v>
      </c>
      <c r="CE394" s="92">
        <v>10200</v>
      </c>
      <c r="CF394" s="93" t="s">
        <v>186</v>
      </c>
      <c r="CG394" s="94" t="s">
        <v>188</v>
      </c>
      <c r="CH394" s="95" t="s">
        <v>930</v>
      </c>
      <c r="CI394" s="96" t="s">
        <v>153</v>
      </c>
      <c r="CJ394" s="97" t="s">
        <v>165</v>
      </c>
      <c r="CK394" s="98">
        <v>44308</v>
      </c>
      <c r="CL394" s="99">
        <v>3750</v>
      </c>
      <c r="CM394" s="100" t="s">
        <v>8290</v>
      </c>
      <c r="CN394" s="101" t="s">
        <v>190</v>
      </c>
      <c r="CO394" s="102">
        <v>-0.13</v>
      </c>
      <c r="CP394" s="103">
        <v>7</v>
      </c>
      <c r="CQ394" s="104">
        <v>-0.02</v>
      </c>
      <c r="CR394" s="105">
        <v>-13.91</v>
      </c>
      <c r="CS394" s="106">
        <v>0.3</v>
      </c>
      <c r="CT394" s="107">
        <v>91</v>
      </c>
      <c r="CU394" s="108">
        <v>0</v>
      </c>
      <c r="CV394" s="109">
        <v>41</v>
      </c>
      <c r="CW394" s="110" t="s">
        <v>153</v>
      </c>
      <c r="CX394" s="111" t="s">
        <v>153</v>
      </c>
      <c r="CY394" s="112">
        <v>0.3</v>
      </c>
      <c r="CZ394" s="113">
        <v>93</v>
      </c>
      <c r="DA394" s="114">
        <v>0</v>
      </c>
      <c r="DB394" s="115">
        <v>41</v>
      </c>
      <c r="DC394" s="116">
        <v>208.94</v>
      </c>
      <c r="DD394" s="117">
        <v>100</v>
      </c>
      <c r="DE394" s="118">
        <v>-0.61</v>
      </c>
      <c r="DF394" s="119">
        <v>-0.28999999999999998</v>
      </c>
      <c r="DG394" s="120">
        <v>628.38</v>
      </c>
      <c r="DH394" s="121">
        <v>100</v>
      </c>
      <c r="DI394" s="122">
        <v>26.19</v>
      </c>
      <c r="DJ394" s="123">
        <v>93</v>
      </c>
      <c r="DK394" s="124" t="s">
        <v>153</v>
      </c>
      <c r="DL394" s="125" t="s">
        <v>153</v>
      </c>
      <c r="DM394" s="126">
        <v>628.38</v>
      </c>
      <c r="DN394" s="127">
        <v>100</v>
      </c>
      <c r="DO394" s="128">
        <v>26.19</v>
      </c>
      <c r="DP394" s="129">
        <v>93</v>
      </c>
      <c r="DQ394" s="130" t="s">
        <v>153</v>
      </c>
      <c r="DR394" s="131" t="s">
        <v>153</v>
      </c>
      <c r="DS394" s="132" t="s">
        <v>153</v>
      </c>
      <c r="DT394" s="133">
        <v>10071</v>
      </c>
      <c r="DU394" s="134">
        <v>-10</v>
      </c>
      <c r="DV394" s="135">
        <v>-0.1</v>
      </c>
      <c r="DW394" s="136">
        <v>8220</v>
      </c>
      <c r="DX394" s="137">
        <v>12</v>
      </c>
      <c r="DY394" s="138">
        <v>0.15</v>
      </c>
      <c r="DZ394" s="139" t="s">
        <v>191</v>
      </c>
      <c r="EA394" s="140">
        <v>44402</v>
      </c>
      <c r="EB394" s="141">
        <v>10200</v>
      </c>
      <c r="EC394" s="142">
        <v>44308</v>
      </c>
      <c r="ED394" s="143" t="s">
        <v>188</v>
      </c>
      <c r="EE394" s="278" t="str">
        <f>HYPERLINK("https://my.pitchbook.com?c=12106-36", "View company online")</f>
        <v>View company online</v>
      </c>
    </row>
    <row r="395" spans="1:135" x14ac:dyDescent="0.45">
      <c r="A395" s="144" t="s">
        <v>8291</v>
      </c>
      <c r="B395" s="145" t="s">
        <v>8292</v>
      </c>
      <c r="C395" s="146" t="s">
        <v>153</v>
      </c>
      <c r="D395" s="147" t="s">
        <v>153</v>
      </c>
      <c r="E395" s="148" t="s">
        <v>153</v>
      </c>
      <c r="F395" s="149" t="s">
        <v>153</v>
      </c>
      <c r="G395" s="150" t="s">
        <v>8293</v>
      </c>
      <c r="H395" s="151" t="s">
        <v>8294</v>
      </c>
      <c r="I395" s="152" t="s">
        <v>8291</v>
      </c>
      <c r="J395" s="153" t="s">
        <v>8295</v>
      </c>
      <c r="K395" s="154" t="s">
        <v>257</v>
      </c>
      <c r="L395" s="155" t="s">
        <v>258</v>
      </c>
      <c r="M395" s="156" t="s">
        <v>3389</v>
      </c>
      <c r="N395" s="157" t="s">
        <v>3390</v>
      </c>
      <c r="O395" s="158" t="s">
        <v>450</v>
      </c>
      <c r="P395" s="159" t="s">
        <v>8296</v>
      </c>
      <c r="Q395" s="160" t="s">
        <v>289</v>
      </c>
      <c r="R395" s="161">
        <v>552.25</v>
      </c>
      <c r="S395" s="162" t="s">
        <v>8297</v>
      </c>
      <c r="T395" s="163" t="s">
        <v>205</v>
      </c>
      <c r="U395" s="164" t="s">
        <v>472</v>
      </c>
      <c r="V395" s="165" t="s">
        <v>8298</v>
      </c>
      <c r="W395" s="166">
        <v>147</v>
      </c>
      <c r="X395" s="167" t="s">
        <v>8299</v>
      </c>
      <c r="Y395" s="168" t="s">
        <v>153</v>
      </c>
      <c r="Z395" s="169" t="s">
        <v>153</v>
      </c>
      <c r="AA395" s="170">
        <v>2008</v>
      </c>
      <c r="AB395" s="171" t="s">
        <v>153</v>
      </c>
      <c r="AC395" s="172" t="s">
        <v>153</v>
      </c>
      <c r="AD395" s="173" t="s">
        <v>153</v>
      </c>
      <c r="AE395" s="174" t="s">
        <v>153</v>
      </c>
      <c r="AF395" s="175" t="s">
        <v>153</v>
      </c>
      <c r="AG395" s="176" t="s">
        <v>153</v>
      </c>
      <c r="AH395" s="177" t="s">
        <v>153</v>
      </c>
      <c r="AI395" s="178" t="s">
        <v>153</v>
      </c>
      <c r="AJ395" s="179" t="s">
        <v>153</v>
      </c>
      <c r="AK395" s="180" t="s">
        <v>153</v>
      </c>
      <c r="AL395" s="181" t="s">
        <v>153</v>
      </c>
      <c r="AM395" s="182" t="s">
        <v>153</v>
      </c>
      <c r="AN395" s="183" t="s">
        <v>2112</v>
      </c>
      <c r="AO395" s="184" t="s">
        <v>8300</v>
      </c>
      <c r="AP395" s="185" t="s">
        <v>8301</v>
      </c>
      <c r="AQ395" s="186" t="s">
        <v>2291</v>
      </c>
      <c r="AR395" s="187" t="s">
        <v>8302</v>
      </c>
      <c r="AS395" s="188" t="s">
        <v>8303</v>
      </c>
      <c r="AT395" s="189" t="s">
        <v>1149</v>
      </c>
      <c r="AU395" s="190" t="s">
        <v>8304</v>
      </c>
      <c r="AV395" s="191" t="s">
        <v>153</v>
      </c>
      <c r="AW395" s="192" t="s">
        <v>1151</v>
      </c>
      <c r="AX395" s="193" t="s">
        <v>308</v>
      </c>
      <c r="AY395" s="194" t="s">
        <v>1152</v>
      </c>
      <c r="AZ395" s="195" t="s">
        <v>215</v>
      </c>
      <c r="BA395" s="196" t="s">
        <v>8303</v>
      </c>
      <c r="BB395" s="197" t="s">
        <v>8303</v>
      </c>
      <c r="BC395" s="198" t="s">
        <v>8305</v>
      </c>
      <c r="BD395" s="199" t="s">
        <v>216</v>
      </c>
      <c r="BE395" s="200" t="s">
        <v>217</v>
      </c>
      <c r="BF395" s="201" t="s">
        <v>8306</v>
      </c>
      <c r="BG395" s="202" t="s">
        <v>153</v>
      </c>
      <c r="BH395" s="203" t="s">
        <v>153</v>
      </c>
      <c r="BI395" s="204" t="s">
        <v>621</v>
      </c>
      <c r="BJ395" s="205" t="s">
        <v>8307</v>
      </c>
      <c r="BK395" s="206" t="s">
        <v>153</v>
      </c>
      <c r="BL395" s="207" t="s">
        <v>153</v>
      </c>
      <c r="BM395" s="208" t="s">
        <v>8308</v>
      </c>
      <c r="BN395" s="209" t="s">
        <v>153</v>
      </c>
      <c r="BO395" s="210" t="s">
        <v>8309</v>
      </c>
      <c r="BP395" s="211" t="s">
        <v>8310</v>
      </c>
      <c r="BQ395" s="212" t="s">
        <v>153</v>
      </c>
      <c r="BR395" s="213">
        <v>6</v>
      </c>
      <c r="BS395" s="214" t="s">
        <v>186</v>
      </c>
      <c r="BT395" s="215">
        <v>7.48</v>
      </c>
      <c r="BU395" s="216" t="s">
        <v>186</v>
      </c>
      <c r="BV395" s="217" t="s">
        <v>471</v>
      </c>
      <c r="BW395" s="218" t="s">
        <v>1811</v>
      </c>
      <c r="BX395" s="219" t="s">
        <v>153</v>
      </c>
      <c r="BY395" s="220" t="s">
        <v>472</v>
      </c>
      <c r="BZ395" s="221" t="s">
        <v>153</v>
      </c>
      <c r="CA395" s="222" t="s">
        <v>190</v>
      </c>
      <c r="CB395" s="223">
        <v>42522</v>
      </c>
      <c r="CC395" s="224">
        <v>10200</v>
      </c>
      <c r="CD395" s="225" t="s">
        <v>186</v>
      </c>
      <c r="CE395" s="226">
        <v>10200</v>
      </c>
      <c r="CF395" s="227" t="s">
        <v>187</v>
      </c>
      <c r="CG395" s="228" t="s">
        <v>226</v>
      </c>
      <c r="CH395" s="229" t="s">
        <v>153</v>
      </c>
      <c r="CI395" s="230" t="s">
        <v>153</v>
      </c>
      <c r="CJ395" s="231" t="s">
        <v>225</v>
      </c>
      <c r="CK395" s="232">
        <v>42522</v>
      </c>
      <c r="CL395" s="233" t="s">
        <v>153</v>
      </c>
      <c r="CM395" s="234" t="s">
        <v>153</v>
      </c>
      <c r="CN395" s="235" t="s">
        <v>190</v>
      </c>
      <c r="CO395" s="236" t="s">
        <v>153</v>
      </c>
      <c r="CP395" s="237" t="s">
        <v>153</v>
      </c>
      <c r="CQ395" s="238" t="s">
        <v>153</v>
      </c>
      <c r="CR395" s="239" t="s">
        <v>153</v>
      </c>
      <c r="CS395" s="240" t="s">
        <v>153</v>
      </c>
      <c r="CT395" s="241" t="s">
        <v>153</v>
      </c>
      <c r="CU395" s="242" t="s">
        <v>153</v>
      </c>
      <c r="CV395" s="243" t="s">
        <v>153</v>
      </c>
      <c r="CW395" s="244" t="s">
        <v>153</v>
      </c>
      <c r="CX395" s="245" t="s">
        <v>153</v>
      </c>
      <c r="CY395" s="246" t="s">
        <v>153</v>
      </c>
      <c r="CZ395" s="247" t="s">
        <v>153</v>
      </c>
      <c r="DA395" s="248" t="s">
        <v>153</v>
      </c>
      <c r="DB395" s="249" t="s">
        <v>153</v>
      </c>
      <c r="DC395" s="250" t="s">
        <v>153</v>
      </c>
      <c r="DD395" s="251" t="s">
        <v>153</v>
      </c>
      <c r="DE395" s="252" t="s">
        <v>153</v>
      </c>
      <c r="DF395" s="253" t="s">
        <v>153</v>
      </c>
      <c r="DG395" s="254" t="s">
        <v>153</v>
      </c>
      <c r="DH395" s="255" t="s">
        <v>153</v>
      </c>
      <c r="DI395" s="256" t="s">
        <v>153</v>
      </c>
      <c r="DJ395" s="257" t="s">
        <v>153</v>
      </c>
      <c r="DK395" s="258" t="s">
        <v>153</v>
      </c>
      <c r="DL395" s="259" t="s">
        <v>153</v>
      </c>
      <c r="DM395" s="260" t="s">
        <v>153</v>
      </c>
      <c r="DN395" s="261" t="s">
        <v>153</v>
      </c>
      <c r="DO395" s="262" t="s">
        <v>153</v>
      </c>
      <c r="DP395" s="263" t="s">
        <v>153</v>
      </c>
      <c r="DQ395" s="264" t="s">
        <v>153</v>
      </c>
      <c r="DR395" s="265" t="s">
        <v>153</v>
      </c>
      <c r="DS395" s="266" t="s">
        <v>153</v>
      </c>
      <c r="DT395" s="267" t="s">
        <v>153</v>
      </c>
      <c r="DU395" s="268" t="s">
        <v>153</v>
      </c>
      <c r="DV395" s="269" t="s">
        <v>153</v>
      </c>
      <c r="DW395" s="270" t="s">
        <v>153</v>
      </c>
      <c r="DX395" s="271" t="s">
        <v>153</v>
      </c>
      <c r="DY395" s="272" t="s">
        <v>153</v>
      </c>
      <c r="DZ395" s="273" t="s">
        <v>191</v>
      </c>
      <c r="EA395" s="274">
        <v>44147</v>
      </c>
      <c r="EB395" s="275">
        <v>10200</v>
      </c>
      <c r="EC395" s="276">
        <v>42522</v>
      </c>
      <c r="ED395" s="277" t="s">
        <v>226</v>
      </c>
      <c r="EE395" s="279" t="str">
        <f>HYPERLINK("https://my.pitchbook.com?c=54439-66", "View company online")</f>
        <v>View company online</v>
      </c>
    </row>
    <row r="396" spans="1:135" x14ac:dyDescent="0.45">
      <c r="A396" s="10" t="s">
        <v>8311</v>
      </c>
      <c r="B396" s="11" t="s">
        <v>8312</v>
      </c>
      <c r="C396" s="12" t="s">
        <v>153</v>
      </c>
      <c r="D396" s="13" t="s">
        <v>153</v>
      </c>
      <c r="E396" s="14" t="s">
        <v>8313</v>
      </c>
      <c r="F396" s="15" t="s">
        <v>8314</v>
      </c>
      <c r="G396" s="16" t="s">
        <v>8315</v>
      </c>
      <c r="H396" s="17" t="s">
        <v>8316</v>
      </c>
      <c r="I396" s="18" t="s">
        <v>8311</v>
      </c>
      <c r="J396" s="19" t="s">
        <v>8317</v>
      </c>
      <c r="K396" s="20" t="s">
        <v>232</v>
      </c>
      <c r="L396" s="21" t="s">
        <v>2162</v>
      </c>
      <c r="M396" s="22" t="s">
        <v>2773</v>
      </c>
      <c r="N396" s="23" t="s">
        <v>8318</v>
      </c>
      <c r="O396" s="24" t="s">
        <v>153</v>
      </c>
      <c r="P396" s="25" t="s">
        <v>8319</v>
      </c>
      <c r="Q396" s="26" t="s">
        <v>367</v>
      </c>
      <c r="R396" s="27" t="s">
        <v>153</v>
      </c>
      <c r="S396" s="28" t="s">
        <v>290</v>
      </c>
      <c r="T396" s="29" t="s">
        <v>291</v>
      </c>
      <c r="U396" s="30" t="s">
        <v>237</v>
      </c>
      <c r="V396" s="31" t="s">
        <v>8320</v>
      </c>
      <c r="W396" s="32">
        <v>12960</v>
      </c>
      <c r="X396" s="33" t="s">
        <v>8321</v>
      </c>
      <c r="Y396" s="34" t="s">
        <v>153</v>
      </c>
      <c r="Z396" s="35" t="s">
        <v>153</v>
      </c>
      <c r="AA396" s="36">
        <v>1996</v>
      </c>
      <c r="AB396" s="37" t="s">
        <v>153</v>
      </c>
      <c r="AC396" s="38" t="s">
        <v>153</v>
      </c>
      <c r="AD396" s="39" t="s">
        <v>153</v>
      </c>
      <c r="AE396" s="40">
        <v>8336</v>
      </c>
      <c r="AF396" s="41" t="s">
        <v>153</v>
      </c>
      <c r="AG396" s="42">
        <v>442.25</v>
      </c>
      <c r="AH396" s="43">
        <v>9872.16</v>
      </c>
      <c r="AI396" s="44">
        <v>889.62</v>
      </c>
      <c r="AJ396" s="45">
        <v>710.16</v>
      </c>
      <c r="AK396" s="46" t="s">
        <v>153</v>
      </c>
      <c r="AL396" s="47">
        <v>38.159999999999997</v>
      </c>
      <c r="AM396" s="48">
        <v>-5.36</v>
      </c>
      <c r="AN396" s="49" t="s">
        <v>168</v>
      </c>
      <c r="AO396" s="50" t="s">
        <v>8322</v>
      </c>
      <c r="AP396" s="51" t="s">
        <v>8323</v>
      </c>
      <c r="AQ396" s="52" t="s">
        <v>8324</v>
      </c>
      <c r="AR396" s="53" t="s">
        <v>8325</v>
      </c>
      <c r="AS396" s="54" t="s">
        <v>8326</v>
      </c>
      <c r="AT396" s="55" t="s">
        <v>1071</v>
      </c>
      <c r="AU396" s="56" t="s">
        <v>8327</v>
      </c>
      <c r="AV396" s="57" t="s">
        <v>153</v>
      </c>
      <c r="AW396" s="58" t="s">
        <v>1074</v>
      </c>
      <c r="AX396" s="59" t="s">
        <v>177</v>
      </c>
      <c r="AY396" s="60" t="s">
        <v>8328</v>
      </c>
      <c r="AZ396" s="61" t="s">
        <v>179</v>
      </c>
      <c r="BA396" s="62" t="s">
        <v>8326</v>
      </c>
      <c r="BB396" s="63" t="s">
        <v>153</v>
      </c>
      <c r="BC396" s="64" t="s">
        <v>153</v>
      </c>
      <c r="BD396" s="65" t="s">
        <v>180</v>
      </c>
      <c r="BE396" s="66" t="s">
        <v>181</v>
      </c>
      <c r="BF396" s="67" t="s">
        <v>8329</v>
      </c>
      <c r="BG396" s="68" t="s">
        <v>8330</v>
      </c>
      <c r="BH396" s="69">
        <v>2</v>
      </c>
      <c r="BI396" s="70" t="s">
        <v>153</v>
      </c>
      <c r="BJ396" s="71" t="s">
        <v>153</v>
      </c>
      <c r="BK396" s="72" t="s">
        <v>8331</v>
      </c>
      <c r="BL396" s="73" t="s">
        <v>8332</v>
      </c>
      <c r="BM396" s="74" t="s">
        <v>153</v>
      </c>
      <c r="BN396" s="75" t="s">
        <v>8333</v>
      </c>
      <c r="BO396" s="76" t="s">
        <v>8334</v>
      </c>
      <c r="BP396" s="77" t="s">
        <v>8335</v>
      </c>
      <c r="BQ396" s="78">
        <v>35065</v>
      </c>
      <c r="BR396" s="79" t="s">
        <v>153</v>
      </c>
      <c r="BS396" s="80" t="s">
        <v>153</v>
      </c>
      <c r="BT396" s="81" t="s">
        <v>153</v>
      </c>
      <c r="BU396" s="82" t="s">
        <v>153</v>
      </c>
      <c r="BV396" s="83" t="s">
        <v>589</v>
      </c>
      <c r="BW396" s="84" t="s">
        <v>153</v>
      </c>
      <c r="BX396" s="85" t="s">
        <v>153</v>
      </c>
      <c r="BY396" s="86" t="s">
        <v>225</v>
      </c>
      <c r="BZ396" s="87" t="s">
        <v>153</v>
      </c>
      <c r="CA396" s="88" t="s">
        <v>190</v>
      </c>
      <c r="CB396" s="89">
        <v>44348</v>
      </c>
      <c r="CC396" s="90">
        <v>10140.14</v>
      </c>
      <c r="CD396" s="91" t="s">
        <v>186</v>
      </c>
      <c r="CE396" s="92">
        <v>10140.14</v>
      </c>
      <c r="CF396" s="93" t="s">
        <v>187</v>
      </c>
      <c r="CG396" s="94" t="s">
        <v>226</v>
      </c>
      <c r="CH396" s="95" t="s">
        <v>153</v>
      </c>
      <c r="CI396" s="96" t="s">
        <v>153</v>
      </c>
      <c r="CJ396" s="97" t="s">
        <v>225</v>
      </c>
      <c r="CK396" s="98">
        <v>44348</v>
      </c>
      <c r="CL396" s="99" t="s">
        <v>153</v>
      </c>
      <c r="CM396" s="100" t="s">
        <v>153</v>
      </c>
      <c r="CN396" s="101" t="s">
        <v>190</v>
      </c>
      <c r="CO396" s="102">
        <v>0.12</v>
      </c>
      <c r="CP396" s="103">
        <v>89</v>
      </c>
      <c r="CQ396" s="104">
        <v>-0.01</v>
      </c>
      <c r="CR396" s="105">
        <v>-7.46</v>
      </c>
      <c r="CS396" s="106">
        <v>0.23</v>
      </c>
      <c r="CT396" s="107">
        <v>91</v>
      </c>
      <c r="CU396" s="108">
        <v>0.01</v>
      </c>
      <c r="CV396" s="109">
        <v>77</v>
      </c>
      <c r="CW396" s="110">
        <v>-0.03</v>
      </c>
      <c r="CX396" s="111">
        <v>21</v>
      </c>
      <c r="CY396" s="112">
        <v>0.5</v>
      </c>
      <c r="CZ396" s="113">
        <v>94</v>
      </c>
      <c r="DA396" s="114">
        <v>0.01</v>
      </c>
      <c r="DB396" s="115">
        <v>77</v>
      </c>
      <c r="DC396" s="116">
        <v>57.48</v>
      </c>
      <c r="DD396" s="117">
        <v>99</v>
      </c>
      <c r="DE396" s="118">
        <v>0.18</v>
      </c>
      <c r="DF396" s="119">
        <v>0.31</v>
      </c>
      <c r="DG396" s="120">
        <v>66.87</v>
      </c>
      <c r="DH396" s="121">
        <v>99</v>
      </c>
      <c r="DI396" s="122">
        <v>48.1</v>
      </c>
      <c r="DJ396" s="123">
        <v>96</v>
      </c>
      <c r="DK396" s="124">
        <v>19.739999999999998</v>
      </c>
      <c r="DL396" s="125">
        <v>91</v>
      </c>
      <c r="DM396" s="126">
        <v>114</v>
      </c>
      <c r="DN396" s="127">
        <v>99</v>
      </c>
      <c r="DO396" s="128">
        <v>48.1</v>
      </c>
      <c r="DP396" s="129">
        <v>96</v>
      </c>
      <c r="DQ396" s="130">
        <v>11859</v>
      </c>
      <c r="DR396" s="131">
        <v>-563</v>
      </c>
      <c r="DS396" s="132">
        <v>-4.53</v>
      </c>
      <c r="DT396" s="133">
        <v>1824</v>
      </c>
      <c r="DU396" s="134">
        <v>0</v>
      </c>
      <c r="DV396" s="135">
        <v>0</v>
      </c>
      <c r="DW396" s="136">
        <v>15096</v>
      </c>
      <c r="DX396" s="137">
        <v>18</v>
      </c>
      <c r="DY396" s="138">
        <v>0.12</v>
      </c>
      <c r="DZ396" s="139" t="s">
        <v>191</v>
      </c>
      <c r="EA396" s="140">
        <v>44396</v>
      </c>
      <c r="EB396" s="141">
        <v>10140.14</v>
      </c>
      <c r="EC396" s="142">
        <v>44348</v>
      </c>
      <c r="ED396" s="143" t="s">
        <v>226</v>
      </c>
      <c r="EE396" s="278" t="str">
        <f>HYPERLINK("https://my.pitchbook.com?c=58737-16", "View company online")</f>
        <v>View company online</v>
      </c>
    </row>
    <row r="397" spans="1:135" x14ac:dyDescent="0.45">
      <c r="A397" s="144" t="s">
        <v>8336</v>
      </c>
      <c r="B397" s="145" t="s">
        <v>8337</v>
      </c>
      <c r="C397" s="146" t="s">
        <v>153</v>
      </c>
      <c r="D397" s="147" t="s">
        <v>153</v>
      </c>
      <c r="E397" s="148" t="s">
        <v>153</v>
      </c>
      <c r="F397" s="149" t="s">
        <v>153</v>
      </c>
      <c r="G397" s="150" t="s">
        <v>153</v>
      </c>
      <c r="H397" s="151" t="s">
        <v>153</v>
      </c>
      <c r="I397" s="152" t="s">
        <v>8336</v>
      </c>
      <c r="J397" s="153" t="s">
        <v>8338</v>
      </c>
      <c r="K397" s="154" t="s">
        <v>792</v>
      </c>
      <c r="L397" s="155" t="s">
        <v>841</v>
      </c>
      <c r="M397" s="156" t="s">
        <v>913</v>
      </c>
      <c r="N397" s="157" t="s">
        <v>8339</v>
      </c>
      <c r="O397" s="158" t="s">
        <v>1119</v>
      </c>
      <c r="P397" s="159" t="s">
        <v>8340</v>
      </c>
      <c r="Q397" s="160" t="s">
        <v>204</v>
      </c>
      <c r="R397" s="161" t="s">
        <v>153</v>
      </c>
      <c r="S397" s="162" t="s">
        <v>163</v>
      </c>
      <c r="T397" s="163" t="s">
        <v>205</v>
      </c>
      <c r="U397" s="164" t="s">
        <v>206</v>
      </c>
      <c r="V397" s="165" t="s">
        <v>153</v>
      </c>
      <c r="W397" s="166">
        <v>65000</v>
      </c>
      <c r="X397" s="167" t="s">
        <v>8341</v>
      </c>
      <c r="Y397" s="168" t="s">
        <v>153</v>
      </c>
      <c r="Z397" s="169" t="s">
        <v>153</v>
      </c>
      <c r="AA397" s="170" t="s">
        <v>153</v>
      </c>
      <c r="AB397" s="171" t="s">
        <v>153</v>
      </c>
      <c r="AC397" s="172" t="s">
        <v>153</v>
      </c>
      <c r="AD397" s="173" t="s">
        <v>153</v>
      </c>
      <c r="AE397" s="174" t="s">
        <v>153</v>
      </c>
      <c r="AF397" s="175" t="s">
        <v>153</v>
      </c>
      <c r="AG397" s="176" t="s">
        <v>153</v>
      </c>
      <c r="AH397" s="177" t="s">
        <v>153</v>
      </c>
      <c r="AI397" s="178" t="s">
        <v>153</v>
      </c>
      <c r="AJ397" s="179" t="s">
        <v>153</v>
      </c>
      <c r="AK397" s="180" t="s">
        <v>153</v>
      </c>
      <c r="AL397" s="181" t="s">
        <v>153</v>
      </c>
      <c r="AM397" s="182" t="s">
        <v>153</v>
      </c>
      <c r="AN397" s="183" t="s">
        <v>209</v>
      </c>
      <c r="AO397" s="184" t="s">
        <v>153</v>
      </c>
      <c r="AP397" s="185" t="s">
        <v>153</v>
      </c>
      <c r="AQ397" s="186" t="s">
        <v>153</v>
      </c>
      <c r="AR397" s="187" t="s">
        <v>153</v>
      </c>
      <c r="AS397" s="188" t="s">
        <v>153</v>
      </c>
      <c r="AT397" s="189" t="s">
        <v>8342</v>
      </c>
      <c r="AU397" s="190" t="s">
        <v>8343</v>
      </c>
      <c r="AV397" s="191" t="s">
        <v>153</v>
      </c>
      <c r="AW397" s="192" t="s">
        <v>8344</v>
      </c>
      <c r="AX397" s="193" t="s">
        <v>153</v>
      </c>
      <c r="AY397" s="194" t="s">
        <v>8345</v>
      </c>
      <c r="AZ397" s="195" t="s">
        <v>1426</v>
      </c>
      <c r="BA397" s="196" t="s">
        <v>8346</v>
      </c>
      <c r="BB397" s="197" t="s">
        <v>153</v>
      </c>
      <c r="BC397" s="198" t="s">
        <v>153</v>
      </c>
      <c r="BD397" s="199" t="s">
        <v>180</v>
      </c>
      <c r="BE397" s="200" t="s">
        <v>181</v>
      </c>
      <c r="BF397" s="201" t="s">
        <v>8347</v>
      </c>
      <c r="BG397" s="202" t="s">
        <v>153</v>
      </c>
      <c r="BH397" s="203" t="s">
        <v>153</v>
      </c>
      <c r="BI397" s="204" t="s">
        <v>1971</v>
      </c>
      <c r="BJ397" s="205" t="s">
        <v>8348</v>
      </c>
      <c r="BK397" s="206" t="s">
        <v>8349</v>
      </c>
      <c r="BL397" s="207" t="s">
        <v>153</v>
      </c>
      <c r="BM397" s="208" t="s">
        <v>8350</v>
      </c>
      <c r="BN397" s="209" t="s">
        <v>8351</v>
      </c>
      <c r="BO397" s="210" t="s">
        <v>153</v>
      </c>
      <c r="BP397" s="211" t="s">
        <v>8352</v>
      </c>
      <c r="BQ397" s="212">
        <v>42310</v>
      </c>
      <c r="BR397" s="213">
        <v>10135</v>
      </c>
      <c r="BS397" s="214" t="s">
        <v>186</v>
      </c>
      <c r="BT397" s="215">
        <v>10135</v>
      </c>
      <c r="BU397" s="216" t="s">
        <v>186</v>
      </c>
      <c r="BV397" s="217" t="s">
        <v>226</v>
      </c>
      <c r="BW397" s="218" t="s">
        <v>729</v>
      </c>
      <c r="BX397" s="219" t="s">
        <v>153</v>
      </c>
      <c r="BY397" s="220" t="s">
        <v>225</v>
      </c>
      <c r="BZ397" s="221" t="s">
        <v>153</v>
      </c>
      <c r="CA397" s="222" t="s">
        <v>190</v>
      </c>
      <c r="CB397" s="223">
        <v>42310</v>
      </c>
      <c r="CC397" s="224">
        <v>10135</v>
      </c>
      <c r="CD397" s="225" t="s">
        <v>186</v>
      </c>
      <c r="CE397" s="226">
        <v>10135</v>
      </c>
      <c r="CF397" s="227" t="s">
        <v>186</v>
      </c>
      <c r="CG397" s="228" t="s">
        <v>226</v>
      </c>
      <c r="CH397" s="229" t="s">
        <v>729</v>
      </c>
      <c r="CI397" s="230" t="s">
        <v>153</v>
      </c>
      <c r="CJ397" s="231" t="s">
        <v>225</v>
      </c>
      <c r="CK397" s="232">
        <v>42310</v>
      </c>
      <c r="CL397" s="233" t="s">
        <v>153</v>
      </c>
      <c r="CM397" s="234" t="s">
        <v>153</v>
      </c>
      <c r="CN397" s="235" t="s">
        <v>190</v>
      </c>
      <c r="CO397" s="236" t="s">
        <v>153</v>
      </c>
      <c r="CP397" s="237" t="s">
        <v>153</v>
      </c>
      <c r="CQ397" s="238" t="s">
        <v>153</v>
      </c>
      <c r="CR397" s="239" t="s">
        <v>153</v>
      </c>
      <c r="CS397" s="240" t="s">
        <v>153</v>
      </c>
      <c r="CT397" s="241" t="s">
        <v>153</v>
      </c>
      <c r="CU397" s="242" t="s">
        <v>153</v>
      </c>
      <c r="CV397" s="243" t="s">
        <v>153</v>
      </c>
      <c r="CW397" s="244" t="s">
        <v>153</v>
      </c>
      <c r="CX397" s="245" t="s">
        <v>153</v>
      </c>
      <c r="CY397" s="246" t="s">
        <v>153</v>
      </c>
      <c r="CZ397" s="247" t="s">
        <v>153</v>
      </c>
      <c r="DA397" s="248" t="s">
        <v>153</v>
      </c>
      <c r="DB397" s="249" t="s">
        <v>153</v>
      </c>
      <c r="DC397" s="250" t="s">
        <v>153</v>
      </c>
      <c r="DD397" s="251" t="s">
        <v>153</v>
      </c>
      <c r="DE397" s="252" t="s">
        <v>153</v>
      </c>
      <c r="DF397" s="253" t="s">
        <v>153</v>
      </c>
      <c r="DG397" s="254" t="s">
        <v>153</v>
      </c>
      <c r="DH397" s="255" t="s">
        <v>153</v>
      </c>
      <c r="DI397" s="256" t="s">
        <v>153</v>
      </c>
      <c r="DJ397" s="257" t="s">
        <v>153</v>
      </c>
      <c r="DK397" s="258" t="s">
        <v>153</v>
      </c>
      <c r="DL397" s="259" t="s">
        <v>153</v>
      </c>
      <c r="DM397" s="260" t="s">
        <v>153</v>
      </c>
      <c r="DN397" s="261" t="s">
        <v>153</v>
      </c>
      <c r="DO397" s="262" t="s">
        <v>153</v>
      </c>
      <c r="DP397" s="263" t="s">
        <v>153</v>
      </c>
      <c r="DQ397" s="264" t="s">
        <v>153</v>
      </c>
      <c r="DR397" s="265" t="s">
        <v>153</v>
      </c>
      <c r="DS397" s="266" t="s">
        <v>153</v>
      </c>
      <c r="DT397" s="267" t="s">
        <v>153</v>
      </c>
      <c r="DU397" s="268" t="s">
        <v>153</v>
      </c>
      <c r="DV397" s="269" t="s">
        <v>153</v>
      </c>
      <c r="DW397" s="270" t="s">
        <v>153</v>
      </c>
      <c r="DX397" s="271" t="s">
        <v>153</v>
      </c>
      <c r="DY397" s="272" t="s">
        <v>153</v>
      </c>
      <c r="DZ397" s="273" t="s">
        <v>191</v>
      </c>
      <c r="EA397" s="274">
        <v>44328</v>
      </c>
      <c r="EB397" s="275">
        <v>10135</v>
      </c>
      <c r="EC397" s="276">
        <v>42310</v>
      </c>
      <c r="ED397" s="277" t="s">
        <v>226</v>
      </c>
      <c r="EE397" s="279" t="str">
        <f>HYPERLINK("https://my.pitchbook.com?c=62847-19", "View company online")</f>
        <v>View company online</v>
      </c>
    </row>
    <row r="398" spans="1:135" x14ac:dyDescent="0.45">
      <c r="A398" s="10" t="s">
        <v>8353</v>
      </c>
      <c r="B398" s="11" t="s">
        <v>8354</v>
      </c>
      <c r="C398" s="12" t="s">
        <v>153</v>
      </c>
      <c r="D398" s="13" t="s">
        <v>153</v>
      </c>
      <c r="E398" s="14" t="s">
        <v>8355</v>
      </c>
      <c r="F398" s="15" t="s">
        <v>153</v>
      </c>
      <c r="G398" s="16" t="s">
        <v>8356</v>
      </c>
      <c r="H398" s="17" t="s">
        <v>637</v>
      </c>
      <c r="I398" s="18" t="s">
        <v>8353</v>
      </c>
      <c r="J398" s="19" t="s">
        <v>8357</v>
      </c>
      <c r="K398" s="20" t="s">
        <v>559</v>
      </c>
      <c r="L398" s="21" t="s">
        <v>560</v>
      </c>
      <c r="M398" s="22" t="s">
        <v>561</v>
      </c>
      <c r="N398" s="23" t="s">
        <v>8358</v>
      </c>
      <c r="O398" s="24" t="s">
        <v>7996</v>
      </c>
      <c r="P398" s="25" t="s">
        <v>8359</v>
      </c>
      <c r="Q398" s="26" t="s">
        <v>367</v>
      </c>
      <c r="R398" s="27" t="s">
        <v>153</v>
      </c>
      <c r="S398" s="28" t="s">
        <v>290</v>
      </c>
      <c r="T398" s="29" t="s">
        <v>8360</v>
      </c>
      <c r="U398" s="30" t="s">
        <v>2534</v>
      </c>
      <c r="V398" s="31" t="s">
        <v>8361</v>
      </c>
      <c r="W398" s="32">
        <v>48000</v>
      </c>
      <c r="X398" s="33" t="s">
        <v>8362</v>
      </c>
      <c r="Y398" s="34" t="s">
        <v>153</v>
      </c>
      <c r="Z398" s="35" t="s">
        <v>153</v>
      </c>
      <c r="AA398" s="36">
        <v>2000</v>
      </c>
      <c r="AB398" s="37" t="s">
        <v>8363</v>
      </c>
      <c r="AC398" s="38" t="s">
        <v>428</v>
      </c>
      <c r="AD398" s="39" t="s">
        <v>4965</v>
      </c>
      <c r="AE398" s="40">
        <v>14000</v>
      </c>
      <c r="AF398" s="41" t="s">
        <v>153</v>
      </c>
      <c r="AG398" s="42" t="s">
        <v>153</v>
      </c>
      <c r="AH398" s="43" t="s">
        <v>153</v>
      </c>
      <c r="AI398" s="44" t="s">
        <v>153</v>
      </c>
      <c r="AJ398" s="45" t="s">
        <v>153</v>
      </c>
      <c r="AK398" s="46" t="s">
        <v>153</v>
      </c>
      <c r="AL398" s="47" t="s">
        <v>153</v>
      </c>
      <c r="AM398" s="48">
        <v>3.08</v>
      </c>
      <c r="AN398" s="49" t="s">
        <v>168</v>
      </c>
      <c r="AO398" s="50" t="s">
        <v>8364</v>
      </c>
      <c r="AP398" s="51" t="s">
        <v>8365</v>
      </c>
      <c r="AQ398" s="52" t="s">
        <v>512</v>
      </c>
      <c r="AR398" s="53" t="s">
        <v>8366</v>
      </c>
      <c r="AS398" s="54" t="s">
        <v>8367</v>
      </c>
      <c r="AT398" s="55" t="s">
        <v>5856</v>
      </c>
      <c r="AU398" s="56" t="s">
        <v>8368</v>
      </c>
      <c r="AV398" s="57" t="s">
        <v>153</v>
      </c>
      <c r="AW398" s="58" t="s">
        <v>5859</v>
      </c>
      <c r="AX398" s="59" t="s">
        <v>153</v>
      </c>
      <c r="AY398" s="60" t="s">
        <v>8369</v>
      </c>
      <c r="AZ398" s="61" t="s">
        <v>1426</v>
      </c>
      <c r="BA398" s="62" t="s">
        <v>8367</v>
      </c>
      <c r="BB398" s="63" t="s">
        <v>8370</v>
      </c>
      <c r="BC398" s="64" t="s">
        <v>153</v>
      </c>
      <c r="BD398" s="65" t="s">
        <v>180</v>
      </c>
      <c r="BE398" s="66" t="s">
        <v>181</v>
      </c>
      <c r="BF398" s="67" t="s">
        <v>8371</v>
      </c>
      <c r="BG398" s="68" t="s">
        <v>153</v>
      </c>
      <c r="BH398" s="69" t="s">
        <v>153</v>
      </c>
      <c r="BI398" s="70" t="s">
        <v>8363</v>
      </c>
      <c r="BJ398" s="71" t="s">
        <v>8372</v>
      </c>
      <c r="BK398" s="72" t="s">
        <v>8373</v>
      </c>
      <c r="BL398" s="73" t="s">
        <v>153</v>
      </c>
      <c r="BM398" s="74" t="s">
        <v>8374</v>
      </c>
      <c r="BN398" s="75" t="s">
        <v>8375</v>
      </c>
      <c r="BO398" s="76" t="s">
        <v>8376</v>
      </c>
      <c r="BP398" s="77" t="s">
        <v>8377</v>
      </c>
      <c r="BQ398" s="78">
        <v>36843</v>
      </c>
      <c r="BR398" s="79">
        <v>15304.34</v>
      </c>
      <c r="BS398" s="80" t="s">
        <v>186</v>
      </c>
      <c r="BT398" s="81">
        <v>15304.34</v>
      </c>
      <c r="BU398" s="82" t="s">
        <v>186</v>
      </c>
      <c r="BV398" s="83" t="s">
        <v>224</v>
      </c>
      <c r="BW398" s="84" t="s">
        <v>153</v>
      </c>
      <c r="BX398" s="85" t="s">
        <v>153</v>
      </c>
      <c r="BY398" s="86" t="s">
        <v>321</v>
      </c>
      <c r="BZ398" s="87" t="s">
        <v>153</v>
      </c>
      <c r="CA398" s="88" t="s">
        <v>190</v>
      </c>
      <c r="CB398" s="89">
        <v>44380</v>
      </c>
      <c r="CC398" s="90">
        <v>10100.35</v>
      </c>
      <c r="CD398" s="91" t="s">
        <v>187</v>
      </c>
      <c r="CE398" s="92" t="s">
        <v>153</v>
      </c>
      <c r="CF398" s="93" t="s">
        <v>153</v>
      </c>
      <c r="CG398" s="94" t="s">
        <v>251</v>
      </c>
      <c r="CH398" s="95" t="s">
        <v>153</v>
      </c>
      <c r="CI398" s="96" t="s">
        <v>153</v>
      </c>
      <c r="CJ398" s="97" t="s">
        <v>252</v>
      </c>
      <c r="CK398" s="98">
        <v>44380</v>
      </c>
      <c r="CL398" s="99" t="s">
        <v>153</v>
      </c>
      <c r="CM398" s="100" t="s">
        <v>153</v>
      </c>
      <c r="CN398" s="101" t="s">
        <v>1278</v>
      </c>
      <c r="CO398" s="102">
        <v>0.17</v>
      </c>
      <c r="CP398" s="103">
        <v>90</v>
      </c>
      <c r="CQ398" s="104">
        <v>-0.02</v>
      </c>
      <c r="CR398" s="105">
        <v>-10.57</v>
      </c>
      <c r="CS398" s="106">
        <v>0.62</v>
      </c>
      <c r="CT398" s="107">
        <v>93</v>
      </c>
      <c r="CU398" s="108">
        <v>-0.03</v>
      </c>
      <c r="CV398" s="109">
        <v>36</v>
      </c>
      <c r="CW398" s="110">
        <v>1.19</v>
      </c>
      <c r="CX398" s="111">
        <v>83</v>
      </c>
      <c r="CY398" s="112">
        <v>0.06</v>
      </c>
      <c r="CZ398" s="113">
        <v>90</v>
      </c>
      <c r="DA398" s="114">
        <v>-0.03</v>
      </c>
      <c r="DB398" s="115">
        <v>36</v>
      </c>
      <c r="DC398" s="116">
        <v>681.85</v>
      </c>
      <c r="DD398" s="117">
        <v>100</v>
      </c>
      <c r="DE398" s="118">
        <v>0.7</v>
      </c>
      <c r="DF398" s="119">
        <v>0.1</v>
      </c>
      <c r="DG398" s="120">
        <v>225.08</v>
      </c>
      <c r="DH398" s="121">
        <v>100</v>
      </c>
      <c r="DI398" s="122">
        <v>523.19000000000005</v>
      </c>
      <c r="DJ398" s="123">
        <v>100</v>
      </c>
      <c r="DK398" s="124">
        <v>57.16</v>
      </c>
      <c r="DL398" s="125">
        <v>96</v>
      </c>
      <c r="DM398" s="126">
        <v>393</v>
      </c>
      <c r="DN398" s="127">
        <v>100</v>
      </c>
      <c r="DO398" s="128">
        <v>523.19000000000005</v>
      </c>
      <c r="DP398" s="129">
        <v>100</v>
      </c>
      <c r="DQ398" s="130">
        <v>33771</v>
      </c>
      <c r="DR398" s="131">
        <v>452</v>
      </c>
      <c r="DS398" s="132">
        <v>1.36</v>
      </c>
      <c r="DT398" s="133">
        <v>6304</v>
      </c>
      <c r="DU398" s="134">
        <v>-26</v>
      </c>
      <c r="DV398" s="135">
        <v>-0.41</v>
      </c>
      <c r="DW398" s="136">
        <v>164271</v>
      </c>
      <c r="DX398" s="137">
        <v>36</v>
      </c>
      <c r="DY398" s="138">
        <v>0.02</v>
      </c>
      <c r="DZ398" s="139" t="s">
        <v>191</v>
      </c>
      <c r="EA398" s="140">
        <v>44400</v>
      </c>
      <c r="EB398" s="141">
        <v>800</v>
      </c>
      <c r="EC398" s="142">
        <v>42914</v>
      </c>
      <c r="ED398" s="143" t="s">
        <v>226</v>
      </c>
      <c r="EE398" s="278" t="str">
        <f>HYPERLINK("https://my.pitchbook.com?c=40402-63", "View company online")</f>
        <v>View company online</v>
      </c>
    </row>
    <row r="399" spans="1:135" x14ac:dyDescent="0.45">
      <c r="A399" s="144" t="s">
        <v>8378</v>
      </c>
      <c r="B399" s="145" t="s">
        <v>8379</v>
      </c>
      <c r="C399" s="146" t="s">
        <v>153</v>
      </c>
      <c r="D399" s="147" t="s">
        <v>153</v>
      </c>
      <c r="E399" s="148" t="s">
        <v>153</v>
      </c>
      <c r="F399" s="149" t="s">
        <v>8380</v>
      </c>
      <c r="G399" s="150" t="s">
        <v>8381</v>
      </c>
      <c r="H399" s="151" t="s">
        <v>153</v>
      </c>
      <c r="I399" s="152" t="s">
        <v>8378</v>
      </c>
      <c r="J399" s="153" t="s">
        <v>8382</v>
      </c>
      <c r="K399" s="154" t="s">
        <v>792</v>
      </c>
      <c r="L399" s="155" t="s">
        <v>1516</v>
      </c>
      <c r="M399" s="156" t="s">
        <v>1516</v>
      </c>
      <c r="N399" s="157" t="s">
        <v>8383</v>
      </c>
      <c r="O399" s="158" t="s">
        <v>153</v>
      </c>
      <c r="P399" s="159" t="s">
        <v>8384</v>
      </c>
      <c r="Q399" s="160" t="s">
        <v>162</v>
      </c>
      <c r="R399" s="161">
        <v>600</v>
      </c>
      <c r="S399" s="162" t="s">
        <v>153</v>
      </c>
      <c r="T399" s="163" t="s">
        <v>1392</v>
      </c>
      <c r="U399" s="164" t="s">
        <v>165</v>
      </c>
      <c r="V399" s="165" t="s">
        <v>153</v>
      </c>
      <c r="W399" s="166" t="s">
        <v>153</v>
      </c>
      <c r="X399" s="167" t="s">
        <v>153</v>
      </c>
      <c r="Y399" s="168" t="s">
        <v>153</v>
      </c>
      <c r="Z399" s="169" t="s">
        <v>153</v>
      </c>
      <c r="AA399" s="170">
        <v>2012</v>
      </c>
      <c r="AB399" s="171" t="s">
        <v>8385</v>
      </c>
      <c r="AC399" s="172" t="s">
        <v>153</v>
      </c>
      <c r="AD399" s="173" t="s">
        <v>153</v>
      </c>
      <c r="AE399" s="174" t="s">
        <v>153</v>
      </c>
      <c r="AF399" s="175" t="s">
        <v>153</v>
      </c>
      <c r="AG399" s="176" t="s">
        <v>153</v>
      </c>
      <c r="AH399" s="177" t="s">
        <v>153</v>
      </c>
      <c r="AI399" s="178" t="s">
        <v>153</v>
      </c>
      <c r="AJ399" s="179" t="s">
        <v>153</v>
      </c>
      <c r="AK399" s="180" t="s">
        <v>153</v>
      </c>
      <c r="AL399" s="181" t="s">
        <v>153</v>
      </c>
      <c r="AM399" s="182" t="s">
        <v>153</v>
      </c>
      <c r="AN399" s="183" t="s">
        <v>153</v>
      </c>
      <c r="AO399" s="184" t="s">
        <v>153</v>
      </c>
      <c r="AP399" s="185" t="s">
        <v>153</v>
      </c>
      <c r="AQ399" s="186" t="s">
        <v>153</v>
      </c>
      <c r="AR399" s="187" t="s">
        <v>153</v>
      </c>
      <c r="AS399" s="188" t="s">
        <v>153</v>
      </c>
      <c r="AT399" s="189" t="s">
        <v>244</v>
      </c>
      <c r="AU399" s="190" t="s">
        <v>153</v>
      </c>
      <c r="AV399" s="191" t="s">
        <v>153</v>
      </c>
      <c r="AW399" s="192" t="s">
        <v>246</v>
      </c>
      <c r="AX399" s="193" t="s">
        <v>153</v>
      </c>
      <c r="AY399" s="194" t="s">
        <v>153</v>
      </c>
      <c r="AZ399" s="195" t="s">
        <v>247</v>
      </c>
      <c r="BA399" s="196" t="s">
        <v>153</v>
      </c>
      <c r="BB399" s="197" t="s">
        <v>153</v>
      </c>
      <c r="BC399" s="198" t="s">
        <v>153</v>
      </c>
      <c r="BD399" s="199" t="s">
        <v>248</v>
      </c>
      <c r="BE399" s="200" t="s">
        <v>248</v>
      </c>
      <c r="BF399" s="201" t="s">
        <v>8386</v>
      </c>
      <c r="BG399" s="202" t="s">
        <v>8387</v>
      </c>
      <c r="BH399" s="203">
        <v>9</v>
      </c>
      <c r="BI399" s="204" t="s">
        <v>153</v>
      </c>
      <c r="BJ399" s="205" t="s">
        <v>153</v>
      </c>
      <c r="BK399" s="206" t="s">
        <v>8388</v>
      </c>
      <c r="BL399" s="207" t="s">
        <v>8389</v>
      </c>
      <c r="BM399" s="208" t="s">
        <v>153</v>
      </c>
      <c r="BN399" s="209" t="s">
        <v>8390</v>
      </c>
      <c r="BO399" s="210" t="s">
        <v>153</v>
      </c>
      <c r="BP399" s="211" t="s">
        <v>8391</v>
      </c>
      <c r="BQ399" s="212">
        <v>43643</v>
      </c>
      <c r="BR399" s="213">
        <v>4000</v>
      </c>
      <c r="BS399" s="214" t="s">
        <v>186</v>
      </c>
      <c r="BT399" s="215">
        <v>10000</v>
      </c>
      <c r="BU399" s="216" t="s">
        <v>186</v>
      </c>
      <c r="BV399" s="217" t="s">
        <v>906</v>
      </c>
      <c r="BW399" s="218" t="s">
        <v>153</v>
      </c>
      <c r="BX399" s="219" t="s">
        <v>153</v>
      </c>
      <c r="BY399" s="220" t="s">
        <v>165</v>
      </c>
      <c r="BZ399" s="221" t="s">
        <v>153</v>
      </c>
      <c r="CA399" s="222" t="s">
        <v>190</v>
      </c>
      <c r="CB399" s="223">
        <v>44027</v>
      </c>
      <c r="CC399" s="224">
        <v>10100</v>
      </c>
      <c r="CD399" s="225" t="s">
        <v>187</v>
      </c>
      <c r="CE399" s="226">
        <v>20700</v>
      </c>
      <c r="CF399" s="227" t="s">
        <v>186</v>
      </c>
      <c r="CG399" s="228" t="s">
        <v>906</v>
      </c>
      <c r="CH399" s="229" t="s">
        <v>153</v>
      </c>
      <c r="CI399" s="230" t="s">
        <v>153</v>
      </c>
      <c r="CJ399" s="231" t="s">
        <v>165</v>
      </c>
      <c r="CK399" s="232">
        <v>44027</v>
      </c>
      <c r="CL399" s="233" t="s">
        <v>153</v>
      </c>
      <c r="CM399" s="234" t="s">
        <v>153</v>
      </c>
      <c r="CN399" s="235" t="s">
        <v>190</v>
      </c>
      <c r="CO399" s="236" t="s">
        <v>153</v>
      </c>
      <c r="CP399" s="237" t="s">
        <v>153</v>
      </c>
      <c r="CQ399" s="238" t="s">
        <v>153</v>
      </c>
      <c r="CR399" s="239" t="s">
        <v>153</v>
      </c>
      <c r="CS399" s="240" t="s">
        <v>153</v>
      </c>
      <c r="CT399" s="241" t="s">
        <v>153</v>
      </c>
      <c r="CU399" s="242" t="s">
        <v>153</v>
      </c>
      <c r="CV399" s="243" t="s">
        <v>153</v>
      </c>
      <c r="CW399" s="244" t="s">
        <v>153</v>
      </c>
      <c r="CX399" s="245" t="s">
        <v>153</v>
      </c>
      <c r="CY399" s="246" t="s">
        <v>153</v>
      </c>
      <c r="CZ399" s="247" t="s">
        <v>153</v>
      </c>
      <c r="DA399" s="248" t="s">
        <v>153</v>
      </c>
      <c r="DB399" s="249" t="s">
        <v>153</v>
      </c>
      <c r="DC399" s="250" t="s">
        <v>153</v>
      </c>
      <c r="DD399" s="251" t="s">
        <v>153</v>
      </c>
      <c r="DE399" s="252" t="s">
        <v>153</v>
      </c>
      <c r="DF399" s="253" t="s">
        <v>153</v>
      </c>
      <c r="DG399" s="254" t="s">
        <v>153</v>
      </c>
      <c r="DH399" s="255" t="s">
        <v>153</v>
      </c>
      <c r="DI399" s="256" t="s">
        <v>153</v>
      </c>
      <c r="DJ399" s="257" t="s">
        <v>153</v>
      </c>
      <c r="DK399" s="258" t="s">
        <v>153</v>
      </c>
      <c r="DL399" s="259" t="s">
        <v>153</v>
      </c>
      <c r="DM399" s="260" t="s">
        <v>153</v>
      </c>
      <c r="DN399" s="261" t="s">
        <v>153</v>
      </c>
      <c r="DO399" s="262" t="s">
        <v>153</v>
      </c>
      <c r="DP399" s="263" t="s">
        <v>153</v>
      </c>
      <c r="DQ399" s="264" t="s">
        <v>153</v>
      </c>
      <c r="DR399" s="265" t="s">
        <v>153</v>
      </c>
      <c r="DS399" s="266" t="s">
        <v>153</v>
      </c>
      <c r="DT399" s="267" t="s">
        <v>153</v>
      </c>
      <c r="DU399" s="268" t="s">
        <v>153</v>
      </c>
      <c r="DV399" s="269" t="s">
        <v>153</v>
      </c>
      <c r="DW399" s="270" t="s">
        <v>153</v>
      </c>
      <c r="DX399" s="271" t="s">
        <v>153</v>
      </c>
      <c r="DY399" s="272" t="s">
        <v>153</v>
      </c>
      <c r="DZ399" s="273" t="s">
        <v>191</v>
      </c>
      <c r="EA399" s="274">
        <v>44354</v>
      </c>
      <c r="EB399" s="275">
        <v>20700</v>
      </c>
      <c r="EC399" s="276">
        <v>44027</v>
      </c>
      <c r="ED399" s="277" t="s">
        <v>906</v>
      </c>
      <c r="EE399" s="279" t="str">
        <f>HYPERLINK("https://my.pitchbook.com?c=265535-38", "View company online")</f>
        <v>View company online</v>
      </c>
    </row>
    <row r="400" spans="1:135" x14ac:dyDescent="0.45">
      <c r="A400" s="10" t="s">
        <v>8392</v>
      </c>
      <c r="B400" s="11" t="s">
        <v>8393</v>
      </c>
      <c r="C400" s="12" t="s">
        <v>153</v>
      </c>
      <c r="D400" s="13" t="s">
        <v>153</v>
      </c>
      <c r="E400" s="14" t="s">
        <v>153</v>
      </c>
      <c r="F400" s="15" t="s">
        <v>153</v>
      </c>
      <c r="G400" s="16" t="s">
        <v>8394</v>
      </c>
      <c r="H400" s="17" t="s">
        <v>8395</v>
      </c>
      <c r="I400" s="18" t="s">
        <v>8392</v>
      </c>
      <c r="J400" s="19" t="s">
        <v>8396</v>
      </c>
      <c r="K400" s="20" t="s">
        <v>198</v>
      </c>
      <c r="L400" s="21" t="s">
        <v>984</v>
      </c>
      <c r="M400" s="22" t="s">
        <v>8397</v>
      </c>
      <c r="N400" s="23" t="s">
        <v>8398</v>
      </c>
      <c r="O400" s="24" t="s">
        <v>8399</v>
      </c>
      <c r="P400" s="25" t="s">
        <v>8400</v>
      </c>
      <c r="Q400" s="26" t="s">
        <v>289</v>
      </c>
      <c r="R400" s="27">
        <v>389.43</v>
      </c>
      <c r="S400" s="28" t="s">
        <v>368</v>
      </c>
      <c r="T400" s="29" t="s">
        <v>291</v>
      </c>
      <c r="U400" s="30" t="s">
        <v>1791</v>
      </c>
      <c r="V400" s="31" t="s">
        <v>8401</v>
      </c>
      <c r="W400" s="32">
        <v>3658</v>
      </c>
      <c r="X400" s="33" t="s">
        <v>8402</v>
      </c>
      <c r="Y400" s="34" t="s">
        <v>295</v>
      </c>
      <c r="Z400" s="35" t="s">
        <v>8403</v>
      </c>
      <c r="AA400" s="36">
        <v>2002</v>
      </c>
      <c r="AB400" s="37" t="s">
        <v>153</v>
      </c>
      <c r="AC400" s="38" t="s">
        <v>537</v>
      </c>
      <c r="AD400" s="39" t="s">
        <v>1929</v>
      </c>
      <c r="AE400" s="40">
        <v>1088.07</v>
      </c>
      <c r="AF400" s="41">
        <v>808.02</v>
      </c>
      <c r="AG400" s="42">
        <v>-134.88999999999999</v>
      </c>
      <c r="AH400" s="43">
        <v>7299.99</v>
      </c>
      <c r="AI400" s="44">
        <v>-84.49</v>
      </c>
      <c r="AJ400" s="45">
        <v>-99.2</v>
      </c>
      <c r="AK400" s="46">
        <v>10053.540000000001</v>
      </c>
      <c r="AL400" s="47">
        <v>234.56</v>
      </c>
      <c r="AM400" s="48">
        <v>16.37</v>
      </c>
      <c r="AN400" s="49" t="s">
        <v>376</v>
      </c>
      <c r="AO400" s="50" t="s">
        <v>8404</v>
      </c>
      <c r="AP400" s="51" t="s">
        <v>8405</v>
      </c>
      <c r="AQ400" s="52" t="s">
        <v>8406</v>
      </c>
      <c r="AR400" s="53" t="s">
        <v>153</v>
      </c>
      <c r="AS400" s="54" t="s">
        <v>8407</v>
      </c>
      <c r="AT400" s="55" t="s">
        <v>2378</v>
      </c>
      <c r="AU400" s="56" t="s">
        <v>8408</v>
      </c>
      <c r="AV400" s="57" t="s">
        <v>153</v>
      </c>
      <c r="AW400" s="58" t="s">
        <v>2380</v>
      </c>
      <c r="AX400" s="59" t="s">
        <v>308</v>
      </c>
      <c r="AY400" s="60" t="s">
        <v>2381</v>
      </c>
      <c r="AZ400" s="61" t="s">
        <v>215</v>
      </c>
      <c r="BA400" s="62" t="s">
        <v>8407</v>
      </c>
      <c r="BB400" s="63" t="s">
        <v>8409</v>
      </c>
      <c r="BC400" s="64" t="s">
        <v>153</v>
      </c>
      <c r="BD400" s="65" t="s">
        <v>216</v>
      </c>
      <c r="BE400" s="66" t="s">
        <v>217</v>
      </c>
      <c r="BF400" s="67" t="s">
        <v>8410</v>
      </c>
      <c r="BG400" s="68" t="s">
        <v>153</v>
      </c>
      <c r="BH400" s="69" t="s">
        <v>153</v>
      </c>
      <c r="BI400" s="70" t="s">
        <v>153</v>
      </c>
      <c r="BJ400" s="71" t="s">
        <v>8411</v>
      </c>
      <c r="BK400" s="72" t="s">
        <v>8284</v>
      </c>
      <c r="BL400" s="73" t="s">
        <v>153</v>
      </c>
      <c r="BM400" s="74" t="s">
        <v>8412</v>
      </c>
      <c r="BN400" s="75" t="s">
        <v>8286</v>
      </c>
      <c r="BO400" s="76" t="s">
        <v>8413</v>
      </c>
      <c r="BP400" s="77" t="s">
        <v>8414</v>
      </c>
      <c r="BQ400" s="78">
        <v>37823</v>
      </c>
      <c r="BR400" s="79">
        <v>7.4</v>
      </c>
      <c r="BS400" s="80" t="s">
        <v>186</v>
      </c>
      <c r="BT400" s="81">
        <v>15</v>
      </c>
      <c r="BU400" s="82" t="s">
        <v>186</v>
      </c>
      <c r="BV400" s="83" t="s">
        <v>471</v>
      </c>
      <c r="BW400" s="84" t="s">
        <v>1811</v>
      </c>
      <c r="BX400" s="85" t="s">
        <v>153</v>
      </c>
      <c r="BY400" s="86" t="s">
        <v>472</v>
      </c>
      <c r="BZ400" s="87" t="s">
        <v>153</v>
      </c>
      <c r="CA400" s="88" t="s">
        <v>190</v>
      </c>
      <c r="CB400" s="89">
        <v>44312</v>
      </c>
      <c r="CC400" s="90">
        <v>10100</v>
      </c>
      <c r="CD400" s="91" t="s">
        <v>187</v>
      </c>
      <c r="CE400" s="92">
        <v>12300</v>
      </c>
      <c r="CF400" s="93" t="s">
        <v>186</v>
      </c>
      <c r="CG400" s="94" t="s">
        <v>188</v>
      </c>
      <c r="CH400" s="95" t="s">
        <v>930</v>
      </c>
      <c r="CI400" s="96" t="s">
        <v>153</v>
      </c>
      <c r="CJ400" s="97" t="s">
        <v>165</v>
      </c>
      <c r="CK400" s="98">
        <v>44312</v>
      </c>
      <c r="CL400" s="99" t="s">
        <v>153</v>
      </c>
      <c r="CM400" s="100" t="s">
        <v>1607</v>
      </c>
      <c r="CN400" s="101" t="s">
        <v>1278</v>
      </c>
      <c r="CO400" s="102">
        <v>0.32</v>
      </c>
      <c r="CP400" s="103">
        <v>92</v>
      </c>
      <c r="CQ400" s="104">
        <v>-0.03</v>
      </c>
      <c r="CR400" s="105">
        <v>-9.1199999999999992</v>
      </c>
      <c r="CS400" s="106">
        <v>0.91</v>
      </c>
      <c r="CT400" s="107">
        <v>95</v>
      </c>
      <c r="CU400" s="108">
        <v>0.05</v>
      </c>
      <c r="CV400" s="109">
        <v>81</v>
      </c>
      <c r="CW400" s="110">
        <v>1.63</v>
      </c>
      <c r="CX400" s="111">
        <v>84</v>
      </c>
      <c r="CY400" s="112">
        <v>0.2</v>
      </c>
      <c r="CZ400" s="113">
        <v>92</v>
      </c>
      <c r="DA400" s="114">
        <v>0.05</v>
      </c>
      <c r="DB400" s="115">
        <v>81</v>
      </c>
      <c r="DC400" s="116">
        <v>249.68</v>
      </c>
      <c r="DD400" s="117">
        <v>100</v>
      </c>
      <c r="DE400" s="118">
        <v>-1.1100000000000001</v>
      </c>
      <c r="DF400" s="119">
        <v>-0.44</v>
      </c>
      <c r="DG400" s="120">
        <v>661.91</v>
      </c>
      <c r="DH400" s="121">
        <v>100</v>
      </c>
      <c r="DI400" s="122">
        <v>86.98</v>
      </c>
      <c r="DJ400" s="123">
        <v>97</v>
      </c>
      <c r="DK400" s="124">
        <v>205.25</v>
      </c>
      <c r="DL400" s="125">
        <v>98</v>
      </c>
      <c r="DM400" s="126">
        <v>1118.56</v>
      </c>
      <c r="DN400" s="127">
        <v>100</v>
      </c>
      <c r="DO400" s="128">
        <v>86.98</v>
      </c>
      <c r="DP400" s="129">
        <v>97</v>
      </c>
      <c r="DQ400" s="130">
        <v>121451</v>
      </c>
      <c r="DR400" s="131">
        <v>964</v>
      </c>
      <c r="DS400" s="132">
        <v>0.8</v>
      </c>
      <c r="DT400" s="133">
        <v>17948</v>
      </c>
      <c r="DU400" s="134">
        <v>-135</v>
      </c>
      <c r="DV400" s="135">
        <v>-0.75</v>
      </c>
      <c r="DW400" s="136">
        <v>27296</v>
      </c>
      <c r="DX400" s="137">
        <v>38</v>
      </c>
      <c r="DY400" s="138">
        <v>0.14000000000000001</v>
      </c>
      <c r="DZ400" s="139" t="s">
        <v>191</v>
      </c>
      <c r="EA400" s="140">
        <v>44403</v>
      </c>
      <c r="EB400" s="141">
        <v>12300</v>
      </c>
      <c r="EC400" s="142">
        <v>44312</v>
      </c>
      <c r="ED400" s="143" t="s">
        <v>188</v>
      </c>
      <c r="EE400" s="278" t="str">
        <f>HYPERLINK("https://my.pitchbook.com?c=52813-45", "View company online")</f>
        <v>View company online</v>
      </c>
    </row>
    <row r="401" spans="1:135" x14ac:dyDescent="0.45">
      <c r="A401" s="144" t="s">
        <v>8415</v>
      </c>
      <c r="B401" s="145" t="s">
        <v>8416</v>
      </c>
      <c r="C401" s="146" t="s">
        <v>153</v>
      </c>
      <c r="D401" s="147" t="s">
        <v>153</v>
      </c>
      <c r="E401" s="148" t="s">
        <v>153</v>
      </c>
      <c r="F401" s="149" t="s">
        <v>8417</v>
      </c>
      <c r="G401" s="150" t="s">
        <v>8418</v>
      </c>
      <c r="H401" s="151" t="s">
        <v>8419</v>
      </c>
      <c r="I401" s="152" t="s">
        <v>8415</v>
      </c>
      <c r="J401" s="153" t="s">
        <v>8420</v>
      </c>
      <c r="K401" s="154" t="s">
        <v>157</v>
      </c>
      <c r="L401" s="155" t="s">
        <v>4190</v>
      </c>
      <c r="M401" s="156" t="s">
        <v>8421</v>
      </c>
      <c r="N401" s="157" t="s">
        <v>8422</v>
      </c>
      <c r="O401" s="158" t="s">
        <v>399</v>
      </c>
      <c r="P401" s="159" t="s">
        <v>8423</v>
      </c>
      <c r="Q401" s="160" t="s">
        <v>564</v>
      </c>
      <c r="R401" s="161">
        <v>625.73</v>
      </c>
      <c r="S401" s="162" t="s">
        <v>290</v>
      </c>
      <c r="T401" s="163" t="s">
        <v>164</v>
      </c>
      <c r="U401" s="164" t="s">
        <v>452</v>
      </c>
      <c r="V401" s="165" t="s">
        <v>8424</v>
      </c>
      <c r="W401" s="166">
        <v>7000</v>
      </c>
      <c r="X401" s="167" t="s">
        <v>8425</v>
      </c>
      <c r="Y401" s="168" t="s">
        <v>153</v>
      </c>
      <c r="Z401" s="169" t="s">
        <v>153</v>
      </c>
      <c r="AA401" s="170">
        <v>1999</v>
      </c>
      <c r="AB401" s="171" t="s">
        <v>8426</v>
      </c>
      <c r="AC401" s="172" t="s">
        <v>428</v>
      </c>
      <c r="AD401" s="173" t="s">
        <v>570</v>
      </c>
      <c r="AE401" s="174" t="s">
        <v>153</v>
      </c>
      <c r="AF401" s="175" t="s">
        <v>153</v>
      </c>
      <c r="AG401" s="176" t="s">
        <v>153</v>
      </c>
      <c r="AH401" s="177" t="s">
        <v>153</v>
      </c>
      <c r="AI401" s="178" t="s">
        <v>153</v>
      </c>
      <c r="AJ401" s="179" t="s">
        <v>153</v>
      </c>
      <c r="AK401" s="180" t="s">
        <v>153</v>
      </c>
      <c r="AL401" s="181" t="s">
        <v>153</v>
      </c>
      <c r="AM401" s="182" t="s">
        <v>153</v>
      </c>
      <c r="AN401" s="183" t="s">
        <v>5666</v>
      </c>
      <c r="AO401" s="184" t="s">
        <v>153</v>
      </c>
      <c r="AP401" s="185" t="s">
        <v>153</v>
      </c>
      <c r="AQ401" s="186" t="s">
        <v>153</v>
      </c>
      <c r="AR401" s="187" t="s">
        <v>153</v>
      </c>
      <c r="AS401" s="188" t="s">
        <v>153</v>
      </c>
      <c r="AT401" s="189" t="s">
        <v>1071</v>
      </c>
      <c r="AU401" s="190" t="s">
        <v>8427</v>
      </c>
      <c r="AV401" s="191" t="s">
        <v>8428</v>
      </c>
      <c r="AW401" s="192" t="s">
        <v>1074</v>
      </c>
      <c r="AX401" s="193" t="s">
        <v>177</v>
      </c>
      <c r="AY401" s="194" t="s">
        <v>8429</v>
      </c>
      <c r="AZ401" s="195" t="s">
        <v>179</v>
      </c>
      <c r="BA401" s="196" t="s">
        <v>8430</v>
      </c>
      <c r="BB401" s="197" t="s">
        <v>153</v>
      </c>
      <c r="BC401" s="198" t="s">
        <v>153</v>
      </c>
      <c r="BD401" s="199" t="s">
        <v>180</v>
      </c>
      <c r="BE401" s="200" t="s">
        <v>181</v>
      </c>
      <c r="BF401" s="201" t="s">
        <v>8431</v>
      </c>
      <c r="BG401" s="202" t="s">
        <v>153</v>
      </c>
      <c r="BH401" s="203" t="s">
        <v>153</v>
      </c>
      <c r="BI401" s="204" t="s">
        <v>8426</v>
      </c>
      <c r="BJ401" s="205" t="s">
        <v>8432</v>
      </c>
      <c r="BK401" s="206" t="s">
        <v>153</v>
      </c>
      <c r="BL401" s="207" t="s">
        <v>153</v>
      </c>
      <c r="BM401" s="208" t="s">
        <v>8433</v>
      </c>
      <c r="BN401" s="209" t="s">
        <v>153</v>
      </c>
      <c r="BO401" s="210" t="s">
        <v>8434</v>
      </c>
      <c r="BP401" s="211" t="s">
        <v>8435</v>
      </c>
      <c r="BQ401" s="212">
        <v>36526</v>
      </c>
      <c r="BR401" s="213" t="s">
        <v>153</v>
      </c>
      <c r="BS401" s="214" t="s">
        <v>153</v>
      </c>
      <c r="BT401" s="215" t="s">
        <v>153</v>
      </c>
      <c r="BU401" s="216" t="s">
        <v>153</v>
      </c>
      <c r="BV401" s="217" t="s">
        <v>471</v>
      </c>
      <c r="BW401" s="218" t="s">
        <v>153</v>
      </c>
      <c r="BX401" s="219" t="s">
        <v>153</v>
      </c>
      <c r="BY401" s="220" t="s">
        <v>472</v>
      </c>
      <c r="BZ401" s="221" t="s">
        <v>153</v>
      </c>
      <c r="CA401" s="222" t="s">
        <v>190</v>
      </c>
      <c r="CB401" s="223">
        <v>42401</v>
      </c>
      <c r="CC401" s="224">
        <v>10066.61</v>
      </c>
      <c r="CD401" s="225" t="s">
        <v>186</v>
      </c>
      <c r="CE401" s="226">
        <v>10066.61</v>
      </c>
      <c r="CF401" s="227" t="s">
        <v>186</v>
      </c>
      <c r="CG401" s="228" t="s">
        <v>226</v>
      </c>
      <c r="CH401" s="229" t="s">
        <v>153</v>
      </c>
      <c r="CI401" s="230" t="s">
        <v>153</v>
      </c>
      <c r="CJ401" s="231" t="s">
        <v>225</v>
      </c>
      <c r="CK401" s="232">
        <v>42401</v>
      </c>
      <c r="CL401" s="233" t="s">
        <v>153</v>
      </c>
      <c r="CM401" s="234" t="s">
        <v>153</v>
      </c>
      <c r="CN401" s="235" t="s">
        <v>190</v>
      </c>
      <c r="CO401" s="236" t="s">
        <v>153</v>
      </c>
      <c r="CP401" s="237" t="s">
        <v>153</v>
      </c>
      <c r="CQ401" s="238" t="s">
        <v>153</v>
      </c>
      <c r="CR401" s="239" t="s">
        <v>153</v>
      </c>
      <c r="CS401" s="240" t="s">
        <v>153</v>
      </c>
      <c r="CT401" s="241" t="s">
        <v>153</v>
      </c>
      <c r="CU401" s="242" t="s">
        <v>153</v>
      </c>
      <c r="CV401" s="243" t="s">
        <v>153</v>
      </c>
      <c r="CW401" s="244" t="s">
        <v>153</v>
      </c>
      <c r="CX401" s="245" t="s">
        <v>153</v>
      </c>
      <c r="CY401" s="246" t="s">
        <v>153</v>
      </c>
      <c r="CZ401" s="247" t="s">
        <v>153</v>
      </c>
      <c r="DA401" s="248" t="s">
        <v>153</v>
      </c>
      <c r="DB401" s="249" t="s">
        <v>153</v>
      </c>
      <c r="DC401" s="250" t="s">
        <v>153</v>
      </c>
      <c r="DD401" s="251" t="s">
        <v>153</v>
      </c>
      <c r="DE401" s="252" t="s">
        <v>153</v>
      </c>
      <c r="DF401" s="253" t="s">
        <v>153</v>
      </c>
      <c r="DG401" s="254" t="s">
        <v>153</v>
      </c>
      <c r="DH401" s="255" t="s">
        <v>153</v>
      </c>
      <c r="DI401" s="256" t="s">
        <v>153</v>
      </c>
      <c r="DJ401" s="257" t="s">
        <v>153</v>
      </c>
      <c r="DK401" s="258" t="s">
        <v>153</v>
      </c>
      <c r="DL401" s="259" t="s">
        <v>153</v>
      </c>
      <c r="DM401" s="260" t="s">
        <v>153</v>
      </c>
      <c r="DN401" s="261" t="s">
        <v>153</v>
      </c>
      <c r="DO401" s="262" t="s">
        <v>153</v>
      </c>
      <c r="DP401" s="263" t="s">
        <v>153</v>
      </c>
      <c r="DQ401" s="264" t="s">
        <v>153</v>
      </c>
      <c r="DR401" s="265" t="s">
        <v>153</v>
      </c>
      <c r="DS401" s="266" t="s">
        <v>153</v>
      </c>
      <c r="DT401" s="267" t="s">
        <v>153</v>
      </c>
      <c r="DU401" s="268" t="s">
        <v>153</v>
      </c>
      <c r="DV401" s="269" t="s">
        <v>153</v>
      </c>
      <c r="DW401" s="270" t="s">
        <v>153</v>
      </c>
      <c r="DX401" s="271" t="s">
        <v>153</v>
      </c>
      <c r="DY401" s="272" t="s">
        <v>153</v>
      </c>
      <c r="DZ401" s="273" t="s">
        <v>191</v>
      </c>
      <c r="EA401" s="274">
        <v>44341</v>
      </c>
      <c r="EB401" s="275">
        <v>10066.61</v>
      </c>
      <c r="EC401" s="276">
        <v>42401</v>
      </c>
      <c r="ED401" s="277" t="s">
        <v>226</v>
      </c>
      <c r="EE401" s="279" t="str">
        <f>HYPERLINK("https://my.pitchbook.com?c=51504-76", "View company online")</f>
        <v>View company online</v>
      </c>
    </row>
    <row r="402" spans="1:135" x14ac:dyDescent="0.45">
      <c r="A402" s="10" t="s">
        <v>8436</v>
      </c>
      <c r="B402" s="11" t="s">
        <v>8437</v>
      </c>
      <c r="C402" s="12" t="s">
        <v>153</v>
      </c>
      <c r="D402" s="13" t="s">
        <v>153</v>
      </c>
      <c r="E402" s="14" t="s">
        <v>153</v>
      </c>
      <c r="F402" s="15" t="s">
        <v>153</v>
      </c>
      <c r="G402" s="16" t="s">
        <v>8438</v>
      </c>
      <c r="H402" s="17" t="s">
        <v>153</v>
      </c>
      <c r="I402" s="18" t="s">
        <v>8436</v>
      </c>
      <c r="J402" s="19" t="s">
        <v>8439</v>
      </c>
      <c r="K402" s="20" t="s">
        <v>792</v>
      </c>
      <c r="L402" s="21" t="s">
        <v>3864</v>
      </c>
      <c r="M402" s="22" t="s">
        <v>3865</v>
      </c>
      <c r="N402" s="23" t="s">
        <v>8440</v>
      </c>
      <c r="O402" s="24" t="s">
        <v>1119</v>
      </c>
      <c r="P402" s="25" t="s">
        <v>8441</v>
      </c>
      <c r="Q402" s="26" t="s">
        <v>204</v>
      </c>
      <c r="R402" s="27" t="s">
        <v>153</v>
      </c>
      <c r="S402" s="28" t="s">
        <v>290</v>
      </c>
      <c r="T402" s="29" t="s">
        <v>205</v>
      </c>
      <c r="U402" s="30" t="s">
        <v>237</v>
      </c>
      <c r="V402" s="31" t="s">
        <v>153</v>
      </c>
      <c r="W402" s="32">
        <v>3924</v>
      </c>
      <c r="X402" s="33" t="s">
        <v>8442</v>
      </c>
      <c r="Y402" s="34" t="s">
        <v>153</v>
      </c>
      <c r="Z402" s="35" t="s">
        <v>153</v>
      </c>
      <c r="AA402" s="36">
        <v>2000</v>
      </c>
      <c r="AB402" s="37" t="s">
        <v>153</v>
      </c>
      <c r="AC402" s="38" t="s">
        <v>153</v>
      </c>
      <c r="AD402" s="39" t="s">
        <v>153</v>
      </c>
      <c r="AE402" s="40" t="s">
        <v>153</v>
      </c>
      <c r="AF402" s="41" t="s">
        <v>153</v>
      </c>
      <c r="AG402" s="42" t="s">
        <v>153</v>
      </c>
      <c r="AH402" s="43" t="s">
        <v>153</v>
      </c>
      <c r="AI402" s="44" t="s">
        <v>153</v>
      </c>
      <c r="AJ402" s="45" t="s">
        <v>153</v>
      </c>
      <c r="AK402" s="46" t="s">
        <v>153</v>
      </c>
      <c r="AL402" s="47" t="s">
        <v>153</v>
      </c>
      <c r="AM402" s="48" t="s">
        <v>153</v>
      </c>
      <c r="AN402" s="49" t="s">
        <v>330</v>
      </c>
      <c r="AO402" s="50" t="s">
        <v>153</v>
      </c>
      <c r="AP402" s="51" t="s">
        <v>153</v>
      </c>
      <c r="AQ402" s="52" t="s">
        <v>153</v>
      </c>
      <c r="AR402" s="53" t="s">
        <v>153</v>
      </c>
      <c r="AS402" s="54" t="s">
        <v>153</v>
      </c>
      <c r="AT402" s="55" t="s">
        <v>1071</v>
      </c>
      <c r="AU402" s="56" t="s">
        <v>8443</v>
      </c>
      <c r="AV402" s="57" t="s">
        <v>8444</v>
      </c>
      <c r="AW402" s="58" t="s">
        <v>1074</v>
      </c>
      <c r="AX402" s="59" t="s">
        <v>177</v>
      </c>
      <c r="AY402" s="60" t="s">
        <v>8445</v>
      </c>
      <c r="AZ402" s="61" t="s">
        <v>179</v>
      </c>
      <c r="BA402" s="62" t="s">
        <v>153</v>
      </c>
      <c r="BB402" s="63" t="s">
        <v>153</v>
      </c>
      <c r="BC402" s="64" t="s">
        <v>153</v>
      </c>
      <c r="BD402" s="65" t="s">
        <v>180</v>
      </c>
      <c r="BE402" s="66" t="s">
        <v>181</v>
      </c>
      <c r="BF402" s="67" t="s">
        <v>8446</v>
      </c>
      <c r="BG402" s="68" t="s">
        <v>153</v>
      </c>
      <c r="BH402" s="69" t="s">
        <v>153</v>
      </c>
      <c r="BI402" s="70" t="s">
        <v>8447</v>
      </c>
      <c r="BJ402" s="71" t="s">
        <v>8448</v>
      </c>
      <c r="BK402" s="72" t="s">
        <v>153</v>
      </c>
      <c r="BL402" s="73" t="s">
        <v>153</v>
      </c>
      <c r="BM402" s="74" t="s">
        <v>8449</v>
      </c>
      <c r="BN402" s="75" t="s">
        <v>153</v>
      </c>
      <c r="BO402" s="76" t="s">
        <v>8450</v>
      </c>
      <c r="BP402" s="77" t="s">
        <v>8451</v>
      </c>
      <c r="BQ402" s="78">
        <v>36801</v>
      </c>
      <c r="BR402" s="79" t="s">
        <v>153</v>
      </c>
      <c r="BS402" s="80" t="s">
        <v>153</v>
      </c>
      <c r="BT402" s="81" t="s">
        <v>153</v>
      </c>
      <c r="BU402" s="82" t="s">
        <v>153</v>
      </c>
      <c r="BV402" s="83" t="s">
        <v>251</v>
      </c>
      <c r="BW402" s="84" t="s">
        <v>524</v>
      </c>
      <c r="BX402" s="85" t="s">
        <v>153</v>
      </c>
      <c r="BY402" s="86" t="s">
        <v>252</v>
      </c>
      <c r="BZ402" s="87" t="s">
        <v>153</v>
      </c>
      <c r="CA402" s="88" t="s">
        <v>190</v>
      </c>
      <c r="CB402" s="89">
        <v>41089</v>
      </c>
      <c r="CC402" s="90">
        <v>10020.52</v>
      </c>
      <c r="CD402" s="91" t="s">
        <v>186</v>
      </c>
      <c r="CE402" s="92">
        <v>33114.730000000003</v>
      </c>
      <c r="CF402" s="93" t="s">
        <v>186</v>
      </c>
      <c r="CG402" s="94" t="s">
        <v>225</v>
      </c>
      <c r="CH402" s="95" t="s">
        <v>225</v>
      </c>
      <c r="CI402" s="96" t="s">
        <v>153</v>
      </c>
      <c r="CJ402" s="97" t="s">
        <v>225</v>
      </c>
      <c r="CK402" s="98">
        <v>41089</v>
      </c>
      <c r="CL402" s="99" t="s">
        <v>153</v>
      </c>
      <c r="CM402" s="100" t="s">
        <v>153</v>
      </c>
      <c r="CN402" s="101" t="s">
        <v>190</v>
      </c>
      <c r="CO402" s="102" t="s">
        <v>153</v>
      </c>
      <c r="CP402" s="103" t="s">
        <v>153</v>
      </c>
      <c r="CQ402" s="104" t="s">
        <v>153</v>
      </c>
      <c r="CR402" s="105" t="s">
        <v>153</v>
      </c>
      <c r="CS402" s="106" t="s">
        <v>153</v>
      </c>
      <c r="CT402" s="107" t="s">
        <v>153</v>
      </c>
      <c r="CU402" s="108" t="s">
        <v>153</v>
      </c>
      <c r="CV402" s="109" t="s">
        <v>153</v>
      </c>
      <c r="CW402" s="110" t="s">
        <v>153</v>
      </c>
      <c r="CX402" s="111" t="s">
        <v>153</v>
      </c>
      <c r="CY402" s="112" t="s">
        <v>153</v>
      </c>
      <c r="CZ402" s="113" t="s">
        <v>153</v>
      </c>
      <c r="DA402" s="114" t="s">
        <v>153</v>
      </c>
      <c r="DB402" s="115" t="s">
        <v>153</v>
      </c>
      <c r="DC402" s="116" t="s">
        <v>153</v>
      </c>
      <c r="DD402" s="117" t="s">
        <v>153</v>
      </c>
      <c r="DE402" s="118" t="s">
        <v>153</v>
      </c>
      <c r="DF402" s="119" t="s">
        <v>153</v>
      </c>
      <c r="DG402" s="120" t="s">
        <v>153</v>
      </c>
      <c r="DH402" s="121" t="s">
        <v>153</v>
      </c>
      <c r="DI402" s="122" t="s">
        <v>153</v>
      </c>
      <c r="DJ402" s="123" t="s">
        <v>153</v>
      </c>
      <c r="DK402" s="124" t="s">
        <v>153</v>
      </c>
      <c r="DL402" s="125" t="s">
        <v>153</v>
      </c>
      <c r="DM402" s="126" t="s">
        <v>153</v>
      </c>
      <c r="DN402" s="127" t="s">
        <v>153</v>
      </c>
      <c r="DO402" s="128" t="s">
        <v>153</v>
      </c>
      <c r="DP402" s="129" t="s">
        <v>153</v>
      </c>
      <c r="DQ402" s="130" t="s">
        <v>153</v>
      </c>
      <c r="DR402" s="131" t="s">
        <v>153</v>
      </c>
      <c r="DS402" s="132" t="s">
        <v>153</v>
      </c>
      <c r="DT402" s="133" t="s">
        <v>153</v>
      </c>
      <c r="DU402" s="134" t="s">
        <v>153</v>
      </c>
      <c r="DV402" s="135" t="s">
        <v>153</v>
      </c>
      <c r="DW402" s="136" t="s">
        <v>153</v>
      </c>
      <c r="DX402" s="137" t="s">
        <v>153</v>
      </c>
      <c r="DY402" s="138" t="s">
        <v>153</v>
      </c>
      <c r="DZ402" s="139" t="s">
        <v>191</v>
      </c>
      <c r="EA402" s="140">
        <v>44217</v>
      </c>
      <c r="EB402" s="141">
        <v>33114.730000000003</v>
      </c>
      <c r="EC402" s="142">
        <v>41089</v>
      </c>
      <c r="ED402" s="143" t="s">
        <v>225</v>
      </c>
      <c r="EE402" s="278" t="str">
        <f>HYPERLINK("https://my.pitchbook.com?c=10358-65", "View company online")</f>
        <v>View company online</v>
      </c>
    </row>
    <row r="403" spans="1:135" x14ac:dyDescent="0.45">
      <c r="A403" s="144" t="s">
        <v>8452</v>
      </c>
      <c r="B403" s="145" t="s">
        <v>8453</v>
      </c>
      <c r="C403" s="146" t="s">
        <v>153</v>
      </c>
      <c r="D403" s="147" t="s">
        <v>153</v>
      </c>
      <c r="E403" s="148" t="s">
        <v>8454</v>
      </c>
      <c r="F403" s="149" t="s">
        <v>8455</v>
      </c>
      <c r="G403" s="150" t="s">
        <v>8456</v>
      </c>
      <c r="H403" s="151" t="s">
        <v>8457</v>
      </c>
      <c r="I403" s="152" t="s">
        <v>8452</v>
      </c>
      <c r="J403" s="153" t="s">
        <v>8458</v>
      </c>
      <c r="K403" s="154" t="s">
        <v>257</v>
      </c>
      <c r="L403" s="155" t="s">
        <v>258</v>
      </c>
      <c r="M403" s="156" t="s">
        <v>259</v>
      </c>
      <c r="N403" s="157" t="s">
        <v>3345</v>
      </c>
      <c r="O403" s="158" t="s">
        <v>1139</v>
      </c>
      <c r="P403" s="159" t="s">
        <v>8459</v>
      </c>
      <c r="Q403" s="160" t="s">
        <v>204</v>
      </c>
      <c r="R403" s="161">
        <v>895.07</v>
      </c>
      <c r="S403" s="162" t="s">
        <v>290</v>
      </c>
      <c r="T403" s="163" t="s">
        <v>291</v>
      </c>
      <c r="U403" s="164" t="s">
        <v>237</v>
      </c>
      <c r="V403" s="165" t="s">
        <v>8460</v>
      </c>
      <c r="W403" s="166">
        <v>7555</v>
      </c>
      <c r="X403" s="167" t="s">
        <v>8461</v>
      </c>
      <c r="Y403" s="168" t="s">
        <v>2843</v>
      </c>
      <c r="Z403" s="169" t="s">
        <v>8462</v>
      </c>
      <c r="AA403" s="170">
        <v>1925</v>
      </c>
      <c r="AB403" s="171" t="s">
        <v>153</v>
      </c>
      <c r="AC403" s="172" t="s">
        <v>4965</v>
      </c>
      <c r="AD403" s="173" t="s">
        <v>1067</v>
      </c>
      <c r="AE403" s="174">
        <v>7321.23</v>
      </c>
      <c r="AF403" s="175">
        <v>4798.3100000000004</v>
      </c>
      <c r="AG403" s="176">
        <v>1986.16</v>
      </c>
      <c r="AH403" s="177">
        <v>63221.74</v>
      </c>
      <c r="AI403" s="178">
        <v>2746.85</v>
      </c>
      <c r="AJ403" s="179">
        <v>2746.85</v>
      </c>
      <c r="AK403" s="180">
        <v>61588.83</v>
      </c>
      <c r="AL403" s="181">
        <v>-3112.58</v>
      </c>
      <c r="AM403" s="182">
        <v>9.14</v>
      </c>
      <c r="AN403" s="183" t="s">
        <v>376</v>
      </c>
      <c r="AO403" s="184" t="s">
        <v>8463</v>
      </c>
      <c r="AP403" s="185" t="s">
        <v>8464</v>
      </c>
      <c r="AQ403" s="186" t="s">
        <v>1376</v>
      </c>
      <c r="AR403" s="187" t="s">
        <v>8465</v>
      </c>
      <c r="AS403" s="188" t="s">
        <v>8466</v>
      </c>
      <c r="AT403" s="189" t="s">
        <v>1399</v>
      </c>
      <c r="AU403" s="190" t="s">
        <v>8467</v>
      </c>
      <c r="AV403" s="191" t="s">
        <v>8468</v>
      </c>
      <c r="AW403" s="192" t="s">
        <v>1402</v>
      </c>
      <c r="AX403" s="193" t="s">
        <v>153</v>
      </c>
      <c r="AY403" s="194" t="s">
        <v>8469</v>
      </c>
      <c r="AZ403" s="195" t="s">
        <v>1404</v>
      </c>
      <c r="BA403" s="196" t="s">
        <v>8466</v>
      </c>
      <c r="BB403" s="197" t="s">
        <v>8470</v>
      </c>
      <c r="BC403" s="198" t="s">
        <v>153</v>
      </c>
      <c r="BD403" s="199" t="s">
        <v>1406</v>
      </c>
      <c r="BE403" s="200" t="s">
        <v>1407</v>
      </c>
      <c r="BF403" s="201" t="s">
        <v>8471</v>
      </c>
      <c r="BG403" s="202" t="s">
        <v>153</v>
      </c>
      <c r="BH403" s="203" t="s">
        <v>153</v>
      </c>
      <c r="BI403" s="204" t="s">
        <v>1143</v>
      </c>
      <c r="BJ403" s="205" t="s">
        <v>153</v>
      </c>
      <c r="BK403" s="206" t="s">
        <v>153</v>
      </c>
      <c r="BL403" s="207" t="s">
        <v>153</v>
      </c>
      <c r="BM403" s="208" t="s">
        <v>153</v>
      </c>
      <c r="BN403" s="209" t="s">
        <v>153</v>
      </c>
      <c r="BO403" s="210" t="s">
        <v>8472</v>
      </c>
      <c r="BP403" s="211" t="s">
        <v>8473</v>
      </c>
      <c r="BQ403" s="212">
        <v>20517</v>
      </c>
      <c r="BR403" s="213" t="s">
        <v>153</v>
      </c>
      <c r="BS403" s="214" t="s">
        <v>153</v>
      </c>
      <c r="BT403" s="215" t="s">
        <v>153</v>
      </c>
      <c r="BU403" s="216" t="s">
        <v>153</v>
      </c>
      <c r="BV403" s="217" t="s">
        <v>251</v>
      </c>
      <c r="BW403" s="218" t="s">
        <v>153</v>
      </c>
      <c r="BX403" s="219" t="s">
        <v>153</v>
      </c>
      <c r="BY403" s="220" t="s">
        <v>252</v>
      </c>
      <c r="BZ403" s="221" t="s">
        <v>153</v>
      </c>
      <c r="CA403" s="222" t="s">
        <v>190</v>
      </c>
      <c r="CB403" s="223">
        <v>41876</v>
      </c>
      <c r="CC403" s="224">
        <v>10000</v>
      </c>
      <c r="CD403" s="225" t="s">
        <v>186</v>
      </c>
      <c r="CE403" s="226">
        <v>26144</v>
      </c>
      <c r="CF403" s="227" t="s">
        <v>186</v>
      </c>
      <c r="CG403" s="228" t="s">
        <v>906</v>
      </c>
      <c r="CH403" s="229" t="s">
        <v>153</v>
      </c>
      <c r="CI403" s="230" t="s">
        <v>153</v>
      </c>
      <c r="CJ403" s="231" t="s">
        <v>225</v>
      </c>
      <c r="CK403" s="232">
        <v>41876</v>
      </c>
      <c r="CL403" s="233" t="s">
        <v>153</v>
      </c>
      <c r="CM403" s="234" t="s">
        <v>153</v>
      </c>
      <c r="CN403" s="235" t="s">
        <v>394</v>
      </c>
      <c r="CO403" s="236">
        <v>2.0499999999999998</v>
      </c>
      <c r="CP403" s="237">
        <v>98</v>
      </c>
      <c r="CQ403" s="238">
        <v>0.01</v>
      </c>
      <c r="CR403" s="239">
        <v>0.68</v>
      </c>
      <c r="CS403" s="240">
        <v>3.45</v>
      </c>
      <c r="CT403" s="241">
        <v>99</v>
      </c>
      <c r="CU403" s="242">
        <v>0.64</v>
      </c>
      <c r="CV403" s="243">
        <v>97</v>
      </c>
      <c r="CW403" s="244">
        <v>6.37</v>
      </c>
      <c r="CX403" s="245">
        <v>96</v>
      </c>
      <c r="CY403" s="246">
        <v>0.53</v>
      </c>
      <c r="CZ403" s="247">
        <v>95</v>
      </c>
      <c r="DA403" s="248">
        <v>0.64</v>
      </c>
      <c r="DB403" s="249">
        <v>97</v>
      </c>
      <c r="DC403" s="250">
        <v>74.459999999999994</v>
      </c>
      <c r="DD403" s="251">
        <v>99</v>
      </c>
      <c r="DE403" s="252">
        <v>0.28999999999999998</v>
      </c>
      <c r="DF403" s="253">
        <v>0.39</v>
      </c>
      <c r="DG403" s="254">
        <v>133.97999999999999</v>
      </c>
      <c r="DH403" s="255">
        <v>100</v>
      </c>
      <c r="DI403" s="256">
        <v>14.94</v>
      </c>
      <c r="DJ403" s="257">
        <v>90</v>
      </c>
      <c r="DK403" s="258">
        <v>138.46</v>
      </c>
      <c r="DL403" s="259">
        <v>98</v>
      </c>
      <c r="DM403" s="260">
        <v>129.5</v>
      </c>
      <c r="DN403" s="261">
        <v>100</v>
      </c>
      <c r="DO403" s="262">
        <v>14.94</v>
      </c>
      <c r="DP403" s="263">
        <v>90</v>
      </c>
      <c r="DQ403" s="264">
        <v>81363</v>
      </c>
      <c r="DR403" s="265">
        <v>2732</v>
      </c>
      <c r="DS403" s="266">
        <v>3.47</v>
      </c>
      <c r="DT403" s="267">
        <v>2067</v>
      </c>
      <c r="DU403" s="268">
        <v>14</v>
      </c>
      <c r="DV403" s="269">
        <v>0.68</v>
      </c>
      <c r="DW403" s="270">
        <v>4681</v>
      </c>
      <c r="DX403" s="271">
        <v>31</v>
      </c>
      <c r="DY403" s="272">
        <v>0.67</v>
      </c>
      <c r="DZ403" s="273" t="s">
        <v>191</v>
      </c>
      <c r="EA403" s="274">
        <v>44343</v>
      </c>
      <c r="EB403" s="275">
        <v>26144</v>
      </c>
      <c r="EC403" s="276">
        <v>41876</v>
      </c>
      <c r="ED403" s="277" t="s">
        <v>906</v>
      </c>
      <c r="EE403" s="279" t="str">
        <f>HYPERLINK("https://my.pitchbook.com?c=59620-96", "View company online")</f>
        <v>View company online</v>
      </c>
    </row>
    <row r="404" spans="1:135" x14ac:dyDescent="0.45">
      <c r="A404" s="10" t="s">
        <v>8474</v>
      </c>
      <c r="B404" s="11" t="s">
        <v>8475</v>
      </c>
      <c r="C404" s="12" t="s">
        <v>153</v>
      </c>
      <c r="D404" s="13" t="s">
        <v>153</v>
      </c>
      <c r="E404" s="14" t="s">
        <v>153</v>
      </c>
      <c r="F404" s="15" t="s">
        <v>8476</v>
      </c>
      <c r="G404" s="16" t="s">
        <v>8477</v>
      </c>
      <c r="H404" s="17" t="s">
        <v>8478</v>
      </c>
      <c r="I404" s="18" t="s">
        <v>8474</v>
      </c>
      <c r="J404" s="19" t="s">
        <v>8479</v>
      </c>
      <c r="K404" s="20" t="s">
        <v>198</v>
      </c>
      <c r="L404" s="21" t="s">
        <v>1589</v>
      </c>
      <c r="M404" s="22" t="s">
        <v>1590</v>
      </c>
      <c r="N404" s="23" t="s">
        <v>4872</v>
      </c>
      <c r="O404" s="24" t="s">
        <v>1592</v>
      </c>
      <c r="P404" s="25" t="s">
        <v>8480</v>
      </c>
      <c r="Q404" s="26" t="s">
        <v>289</v>
      </c>
      <c r="R404" s="27">
        <v>73</v>
      </c>
      <c r="S404" s="28" t="s">
        <v>290</v>
      </c>
      <c r="T404" s="29" t="s">
        <v>164</v>
      </c>
      <c r="U404" s="30" t="s">
        <v>941</v>
      </c>
      <c r="V404" s="31" t="s">
        <v>8481</v>
      </c>
      <c r="W404" s="32">
        <v>5871</v>
      </c>
      <c r="X404" s="33" t="s">
        <v>8482</v>
      </c>
      <c r="Y404" s="34" t="s">
        <v>153</v>
      </c>
      <c r="Z404" s="35" t="s">
        <v>153</v>
      </c>
      <c r="AA404" s="36">
        <v>1982</v>
      </c>
      <c r="AB404" s="37" t="s">
        <v>8483</v>
      </c>
      <c r="AC404" s="38" t="s">
        <v>153</v>
      </c>
      <c r="AD404" s="39" t="s">
        <v>428</v>
      </c>
      <c r="AE404" s="40" t="s">
        <v>153</v>
      </c>
      <c r="AF404" s="41" t="s">
        <v>153</v>
      </c>
      <c r="AG404" s="42" t="s">
        <v>153</v>
      </c>
      <c r="AH404" s="43" t="s">
        <v>153</v>
      </c>
      <c r="AI404" s="44" t="s">
        <v>153</v>
      </c>
      <c r="AJ404" s="45" t="s">
        <v>153</v>
      </c>
      <c r="AK404" s="46" t="s">
        <v>153</v>
      </c>
      <c r="AL404" s="47" t="s">
        <v>153</v>
      </c>
      <c r="AM404" s="48" t="s">
        <v>153</v>
      </c>
      <c r="AN404" s="49" t="s">
        <v>456</v>
      </c>
      <c r="AO404" s="50" t="s">
        <v>8484</v>
      </c>
      <c r="AP404" s="51" t="s">
        <v>8485</v>
      </c>
      <c r="AQ404" s="52" t="s">
        <v>3268</v>
      </c>
      <c r="AR404" s="53" t="s">
        <v>8486</v>
      </c>
      <c r="AS404" s="54" t="s">
        <v>8487</v>
      </c>
      <c r="AT404" s="55" t="s">
        <v>1379</v>
      </c>
      <c r="AU404" s="56" t="s">
        <v>8488</v>
      </c>
      <c r="AV404" s="57" t="s">
        <v>153</v>
      </c>
      <c r="AW404" s="58" t="s">
        <v>1380</v>
      </c>
      <c r="AX404" s="59" t="s">
        <v>308</v>
      </c>
      <c r="AY404" s="60" t="s">
        <v>3272</v>
      </c>
      <c r="AZ404" s="61" t="s">
        <v>215</v>
      </c>
      <c r="BA404" s="62" t="s">
        <v>8487</v>
      </c>
      <c r="BB404" s="63" t="s">
        <v>153</v>
      </c>
      <c r="BC404" s="64" t="s">
        <v>8489</v>
      </c>
      <c r="BD404" s="65" t="s">
        <v>216</v>
      </c>
      <c r="BE404" s="66" t="s">
        <v>217</v>
      </c>
      <c r="BF404" s="67" t="s">
        <v>8490</v>
      </c>
      <c r="BG404" s="68" t="s">
        <v>153</v>
      </c>
      <c r="BH404" s="69" t="s">
        <v>153</v>
      </c>
      <c r="BI404" s="70" t="s">
        <v>8483</v>
      </c>
      <c r="BJ404" s="71" t="s">
        <v>8491</v>
      </c>
      <c r="BK404" s="72" t="s">
        <v>153</v>
      </c>
      <c r="BL404" s="73" t="s">
        <v>153</v>
      </c>
      <c r="BM404" s="74" t="s">
        <v>8492</v>
      </c>
      <c r="BN404" s="75" t="s">
        <v>153</v>
      </c>
      <c r="BO404" s="76" t="s">
        <v>8493</v>
      </c>
      <c r="BP404" s="77" t="s">
        <v>8494</v>
      </c>
      <c r="BQ404" s="78" t="s">
        <v>153</v>
      </c>
      <c r="BR404" s="79" t="s">
        <v>153</v>
      </c>
      <c r="BS404" s="80" t="s">
        <v>153</v>
      </c>
      <c r="BT404" s="81" t="s">
        <v>153</v>
      </c>
      <c r="BU404" s="82" t="s">
        <v>153</v>
      </c>
      <c r="BV404" s="83" t="s">
        <v>471</v>
      </c>
      <c r="BW404" s="84" t="s">
        <v>153</v>
      </c>
      <c r="BX404" s="85" t="s">
        <v>153</v>
      </c>
      <c r="BY404" s="86" t="s">
        <v>472</v>
      </c>
      <c r="BZ404" s="87" t="s">
        <v>153</v>
      </c>
      <c r="CA404" s="88" t="s">
        <v>190</v>
      </c>
      <c r="CB404" s="89">
        <v>43937</v>
      </c>
      <c r="CC404" s="90">
        <v>10000</v>
      </c>
      <c r="CD404" s="91" t="s">
        <v>186</v>
      </c>
      <c r="CE404" s="92">
        <v>10000</v>
      </c>
      <c r="CF404" s="93" t="s">
        <v>187</v>
      </c>
      <c r="CG404" s="94" t="s">
        <v>226</v>
      </c>
      <c r="CH404" s="95" t="s">
        <v>153</v>
      </c>
      <c r="CI404" s="96" t="s">
        <v>153</v>
      </c>
      <c r="CJ404" s="97" t="s">
        <v>225</v>
      </c>
      <c r="CK404" s="98">
        <v>43937</v>
      </c>
      <c r="CL404" s="99" t="s">
        <v>153</v>
      </c>
      <c r="CM404" s="100" t="s">
        <v>153</v>
      </c>
      <c r="CN404" s="101" t="s">
        <v>190</v>
      </c>
      <c r="CO404" s="102" t="s">
        <v>153</v>
      </c>
      <c r="CP404" s="103" t="s">
        <v>153</v>
      </c>
      <c r="CQ404" s="104" t="s">
        <v>153</v>
      </c>
      <c r="CR404" s="105" t="s">
        <v>153</v>
      </c>
      <c r="CS404" s="106" t="s">
        <v>153</v>
      </c>
      <c r="CT404" s="107" t="s">
        <v>153</v>
      </c>
      <c r="CU404" s="108" t="s">
        <v>153</v>
      </c>
      <c r="CV404" s="109" t="s">
        <v>153</v>
      </c>
      <c r="CW404" s="110" t="s">
        <v>153</v>
      </c>
      <c r="CX404" s="111" t="s">
        <v>153</v>
      </c>
      <c r="CY404" s="112" t="s">
        <v>153</v>
      </c>
      <c r="CZ404" s="113" t="s">
        <v>153</v>
      </c>
      <c r="DA404" s="114" t="s">
        <v>153</v>
      </c>
      <c r="DB404" s="115" t="s">
        <v>153</v>
      </c>
      <c r="DC404" s="116" t="s">
        <v>153</v>
      </c>
      <c r="DD404" s="117" t="s">
        <v>153</v>
      </c>
      <c r="DE404" s="118" t="s">
        <v>153</v>
      </c>
      <c r="DF404" s="119" t="s">
        <v>153</v>
      </c>
      <c r="DG404" s="120" t="s">
        <v>153</v>
      </c>
      <c r="DH404" s="121" t="s">
        <v>153</v>
      </c>
      <c r="DI404" s="122" t="s">
        <v>153</v>
      </c>
      <c r="DJ404" s="123" t="s">
        <v>153</v>
      </c>
      <c r="DK404" s="124" t="s">
        <v>153</v>
      </c>
      <c r="DL404" s="125" t="s">
        <v>153</v>
      </c>
      <c r="DM404" s="126" t="s">
        <v>153</v>
      </c>
      <c r="DN404" s="127" t="s">
        <v>153</v>
      </c>
      <c r="DO404" s="128" t="s">
        <v>153</v>
      </c>
      <c r="DP404" s="129" t="s">
        <v>153</v>
      </c>
      <c r="DQ404" s="130" t="s">
        <v>153</v>
      </c>
      <c r="DR404" s="131" t="s">
        <v>153</v>
      </c>
      <c r="DS404" s="132" t="s">
        <v>153</v>
      </c>
      <c r="DT404" s="133" t="s">
        <v>153</v>
      </c>
      <c r="DU404" s="134" t="s">
        <v>153</v>
      </c>
      <c r="DV404" s="135" t="s">
        <v>153</v>
      </c>
      <c r="DW404" s="136" t="s">
        <v>153</v>
      </c>
      <c r="DX404" s="137" t="s">
        <v>153</v>
      </c>
      <c r="DY404" s="138" t="s">
        <v>153</v>
      </c>
      <c r="DZ404" s="139" t="s">
        <v>191</v>
      </c>
      <c r="EA404" s="140">
        <v>44349</v>
      </c>
      <c r="EB404" s="141">
        <v>10000</v>
      </c>
      <c r="EC404" s="142">
        <v>43937</v>
      </c>
      <c r="ED404" s="143" t="s">
        <v>226</v>
      </c>
      <c r="EE404" s="278" t="str">
        <f>HYPERLINK("https://my.pitchbook.com?c=10637-83", "View company online")</f>
        <v>View company online</v>
      </c>
    </row>
    <row r="405" spans="1:135" x14ac:dyDescent="0.45">
      <c r="A405" s="144" t="s">
        <v>8495</v>
      </c>
      <c r="B405" s="145" t="s">
        <v>8496</v>
      </c>
      <c r="C405" s="146" t="s">
        <v>153</v>
      </c>
      <c r="D405" s="147" t="s">
        <v>153</v>
      </c>
      <c r="E405" s="148" t="s">
        <v>8497</v>
      </c>
      <c r="F405" s="149" t="s">
        <v>153</v>
      </c>
      <c r="G405" s="150" t="s">
        <v>8498</v>
      </c>
      <c r="H405" s="151" t="s">
        <v>8499</v>
      </c>
      <c r="I405" s="152" t="s">
        <v>8495</v>
      </c>
      <c r="J405" s="153" t="s">
        <v>8500</v>
      </c>
      <c r="K405" s="154" t="s">
        <v>198</v>
      </c>
      <c r="L405" s="155" t="s">
        <v>984</v>
      </c>
      <c r="M405" s="156" t="s">
        <v>2281</v>
      </c>
      <c r="N405" s="157" t="s">
        <v>8501</v>
      </c>
      <c r="O405" s="158" t="s">
        <v>8502</v>
      </c>
      <c r="P405" s="159" t="s">
        <v>8503</v>
      </c>
      <c r="Q405" s="160" t="s">
        <v>8504</v>
      </c>
      <c r="R405" s="161">
        <v>593.92999999999995</v>
      </c>
      <c r="S405" s="162" t="s">
        <v>163</v>
      </c>
      <c r="T405" s="163" t="s">
        <v>1392</v>
      </c>
      <c r="U405" s="164" t="s">
        <v>887</v>
      </c>
      <c r="V405" s="165" t="s">
        <v>8505</v>
      </c>
      <c r="W405" s="166">
        <v>350</v>
      </c>
      <c r="X405" s="167" t="s">
        <v>8506</v>
      </c>
      <c r="Y405" s="168" t="s">
        <v>153</v>
      </c>
      <c r="Z405" s="169" t="s">
        <v>153</v>
      </c>
      <c r="AA405" s="170">
        <v>2012</v>
      </c>
      <c r="AB405" s="171" t="s">
        <v>153</v>
      </c>
      <c r="AC405" s="172" t="s">
        <v>153</v>
      </c>
      <c r="AD405" s="173" t="s">
        <v>570</v>
      </c>
      <c r="AE405" s="174">
        <v>130</v>
      </c>
      <c r="AF405" s="175" t="s">
        <v>153</v>
      </c>
      <c r="AG405" s="176" t="s">
        <v>153</v>
      </c>
      <c r="AH405" s="177" t="s">
        <v>153</v>
      </c>
      <c r="AI405" s="178" t="s">
        <v>153</v>
      </c>
      <c r="AJ405" s="179" t="s">
        <v>153</v>
      </c>
      <c r="AK405" s="180" t="s">
        <v>153</v>
      </c>
      <c r="AL405" s="181" t="s">
        <v>153</v>
      </c>
      <c r="AM405" s="182">
        <v>188.89</v>
      </c>
      <c r="AN405" s="183" t="s">
        <v>1765</v>
      </c>
      <c r="AO405" s="184" t="s">
        <v>8507</v>
      </c>
      <c r="AP405" s="185" t="s">
        <v>8508</v>
      </c>
      <c r="AQ405" s="186" t="s">
        <v>2291</v>
      </c>
      <c r="AR405" s="187" t="s">
        <v>8509</v>
      </c>
      <c r="AS405" s="188" t="s">
        <v>8510</v>
      </c>
      <c r="AT405" s="189" t="s">
        <v>997</v>
      </c>
      <c r="AU405" s="190" t="s">
        <v>8511</v>
      </c>
      <c r="AV405" s="191" t="s">
        <v>8512</v>
      </c>
      <c r="AW405" s="192" t="s">
        <v>999</v>
      </c>
      <c r="AX405" s="193" t="s">
        <v>308</v>
      </c>
      <c r="AY405" s="194" t="s">
        <v>1000</v>
      </c>
      <c r="AZ405" s="195" t="s">
        <v>215</v>
      </c>
      <c r="BA405" s="196" t="s">
        <v>8510</v>
      </c>
      <c r="BB405" s="197" t="s">
        <v>153</v>
      </c>
      <c r="BC405" s="198" t="s">
        <v>153</v>
      </c>
      <c r="BD405" s="199" t="s">
        <v>216</v>
      </c>
      <c r="BE405" s="200" t="s">
        <v>217</v>
      </c>
      <c r="BF405" s="201" t="s">
        <v>8513</v>
      </c>
      <c r="BG405" s="202" t="s">
        <v>8514</v>
      </c>
      <c r="BH405" s="203">
        <v>32</v>
      </c>
      <c r="BI405" s="204" t="s">
        <v>153</v>
      </c>
      <c r="BJ405" s="205" t="s">
        <v>153</v>
      </c>
      <c r="BK405" s="206" t="s">
        <v>153</v>
      </c>
      <c r="BL405" s="207" t="s">
        <v>8515</v>
      </c>
      <c r="BM405" s="208" t="s">
        <v>153</v>
      </c>
      <c r="BN405" s="209" t="s">
        <v>153</v>
      </c>
      <c r="BO405" s="210" t="s">
        <v>8516</v>
      </c>
      <c r="BP405" s="211" t="s">
        <v>8517</v>
      </c>
      <c r="BQ405" s="212">
        <v>42719</v>
      </c>
      <c r="BR405" s="213">
        <v>8.75</v>
      </c>
      <c r="BS405" s="214" t="s">
        <v>186</v>
      </c>
      <c r="BT405" s="215">
        <v>21.88</v>
      </c>
      <c r="BU405" s="216" t="s">
        <v>186</v>
      </c>
      <c r="BV405" s="217" t="s">
        <v>471</v>
      </c>
      <c r="BW405" s="218" t="s">
        <v>1811</v>
      </c>
      <c r="BX405" s="219" t="s">
        <v>153</v>
      </c>
      <c r="BY405" s="220" t="s">
        <v>472</v>
      </c>
      <c r="BZ405" s="221" t="s">
        <v>153</v>
      </c>
      <c r="CA405" s="222" t="s">
        <v>190</v>
      </c>
      <c r="CB405" s="223">
        <v>44306</v>
      </c>
      <c r="CC405" s="224">
        <v>10000</v>
      </c>
      <c r="CD405" s="225" t="s">
        <v>187</v>
      </c>
      <c r="CE405" s="226">
        <v>10000</v>
      </c>
      <c r="CF405" s="227" t="s">
        <v>186</v>
      </c>
      <c r="CG405" s="228" t="s">
        <v>226</v>
      </c>
      <c r="CH405" s="229" t="s">
        <v>153</v>
      </c>
      <c r="CI405" s="230" t="s">
        <v>153</v>
      </c>
      <c r="CJ405" s="231" t="s">
        <v>225</v>
      </c>
      <c r="CK405" s="232">
        <v>44306</v>
      </c>
      <c r="CL405" s="233" t="s">
        <v>153</v>
      </c>
      <c r="CM405" s="234" t="s">
        <v>153</v>
      </c>
      <c r="CN405" s="235" t="s">
        <v>394</v>
      </c>
      <c r="CO405" s="236">
        <v>0.85</v>
      </c>
      <c r="CP405" s="237">
        <v>95</v>
      </c>
      <c r="CQ405" s="238">
        <v>-0.05</v>
      </c>
      <c r="CR405" s="239">
        <v>-5.96</v>
      </c>
      <c r="CS405" s="240">
        <v>1.06</v>
      </c>
      <c r="CT405" s="241">
        <v>95</v>
      </c>
      <c r="CU405" s="242">
        <v>0.57999999999999996</v>
      </c>
      <c r="CV405" s="243">
        <v>97</v>
      </c>
      <c r="CW405" s="244">
        <v>0.78</v>
      </c>
      <c r="CX405" s="245">
        <v>81</v>
      </c>
      <c r="CY405" s="246">
        <v>1.34</v>
      </c>
      <c r="CZ405" s="247">
        <v>99</v>
      </c>
      <c r="DA405" s="248">
        <v>0.57999999999999996</v>
      </c>
      <c r="DB405" s="249">
        <v>97</v>
      </c>
      <c r="DC405" s="250">
        <v>32973.919999999998</v>
      </c>
      <c r="DD405" s="251">
        <v>100</v>
      </c>
      <c r="DE405" s="252">
        <v>125.21</v>
      </c>
      <c r="DF405" s="253">
        <v>0.38</v>
      </c>
      <c r="DG405" s="254">
        <v>36540.67</v>
      </c>
      <c r="DH405" s="255">
        <v>100</v>
      </c>
      <c r="DI405" s="256">
        <v>10201.43</v>
      </c>
      <c r="DJ405" s="257">
        <v>100</v>
      </c>
      <c r="DK405" s="258">
        <v>73024.91</v>
      </c>
      <c r="DL405" s="259">
        <v>100</v>
      </c>
      <c r="DM405" s="260">
        <v>56.44</v>
      </c>
      <c r="DN405" s="261">
        <v>98</v>
      </c>
      <c r="DO405" s="262">
        <v>10201.43</v>
      </c>
      <c r="DP405" s="263">
        <v>100</v>
      </c>
      <c r="DQ405" s="264">
        <v>43232566</v>
      </c>
      <c r="DR405" s="265">
        <v>261082</v>
      </c>
      <c r="DS405" s="266">
        <v>0.61</v>
      </c>
      <c r="DT405" s="267">
        <v>900</v>
      </c>
      <c r="DU405" s="268">
        <v>5</v>
      </c>
      <c r="DV405" s="269">
        <v>0.56000000000000005</v>
      </c>
      <c r="DW405" s="270">
        <v>3201063</v>
      </c>
      <c r="DX405" s="271">
        <v>10932</v>
      </c>
      <c r="DY405" s="272">
        <v>0.34</v>
      </c>
      <c r="DZ405" s="273" t="s">
        <v>191</v>
      </c>
      <c r="EA405" s="274">
        <v>44389</v>
      </c>
      <c r="EB405" s="275">
        <v>10000</v>
      </c>
      <c r="EC405" s="276">
        <v>44306</v>
      </c>
      <c r="ED405" s="277" t="s">
        <v>226</v>
      </c>
      <c r="EE405" s="279" t="str">
        <f>HYPERLINK("https://my.pitchbook.com?c=54805-51", "View company online")</f>
        <v>View company online</v>
      </c>
    </row>
    <row r="406" spans="1:135" x14ac:dyDescent="0.45">
      <c r="A406" s="10" t="s">
        <v>8518</v>
      </c>
      <c r="B406" s="11" t="s">
        <v>8519</v>
      </c>
      <c r="C406" s="12" t="s">
        <v>153</v>
      </c>
      <c r="D406" s="13" t="s">
        <v>153</v>
      </c>
      <c r="E406" s="14" t="s">
        <v>153</v>
      </c>
      <c r="F406" s="15" t="s">
        <v>8520</v>
      </c>
      <c r="G406" s="16" t="s">
        <v>8521</v>
      </c>
      <c r="H406" s="17" t="s">
        <v>153</v>
      </c>
      <c r="I406" s="18" t="s">
        <v>8518</v>
      </c>
      <c r="J406" s="19" t="s">
        <v>8522</v>
      </c>
      <c r="K406" s="20" t="s">
        <v>198</v>
      </c>
      <c r="L406" s="21" t="s">
        <v>1846</v>
      </c>
      <c r="M406" s="22" t="s">
        <v>6687</v>
      </c>
      <c r="N406" s="23" t="s">
        <v>8523</v>
      </c>
      <c r="O406" s="24" t="s">
        <v>8524</v>
      </c>
      <c r="P406" s="25" t="s">
        <v>8525</v>
      </c>
      <c r="Q406" s="26" t="s">
        <v>367</v>
      </c>
      <c r="R406" s="27">
        <v>2.4700000000000002</v>
      </c>
      <c r="S406" s="28" t="s">
        <v>368</v>
      </c>
      <c r="T406" s="29" t="s">
        <v>291</v>
      </c>
      <c r="U406" s="30" t="s">
        <v>369</v>
      </c>
      <c r="V406" s="31" t="s">
        <v>8526</v>
      </c>
      <c r="W406" s="32">
        <v>134000</v>
      </c>
      <c r="X406" s="33" t="s">
        <v>8527</v>
      </c>
      <c r="Y406" s="34" t="s">
        <v>372</v>
      </c>
      <c r="Z406" s="35" t="s">
        <v>8520</v>
      </c>
      <c r="AA406" s="36">
        <v>1959</v>
      </c>
      <c r="AB406" s="37" t="s">
        <v>153</v>
      </c>
      <c r="AC406" s="38" t="s">
        <v>153</v>
      </c>
      <c r="AD406" s="39" t="s">
        <v>622</v>
      </c>
      <c r="AE406" s="40">
        <v>17729</v>
      </c>
      <c r="AF406" s="41">
        <v>3643</v>
      </c>
      <c r="AG406" s="42">
        <v>-149</v>
      </c>
      <c r="AH406" s="43">
        <v>12181.61</v>
      </c>
      <c r="AI406" s="44">
        <v>2905</v>
      </c>
      <c r="AJ406" s="45">
        <v>917</v>
      </c>
      <c r="AK406" s="46">
        <v>10056.870000000001</v>
      </c>
      <c r="AL406" s="47">
        <v>4000</v>
      </c>
      <c r="AM406" s="48">
        <v>-9.44</v>
      </c>
      <c r="AN406" s="49" t="s">
        <v>1765</v>
      </c>
      <c r="AO406" s="50" t="s">
        <v>8528</v>
      </c>
      <c r="AP406" s="51" t="s">
        <v>8529</v>
      </c>
      <c r="AQ406" s="52" t="s">
        <v>1267</v>
      </c>
      <c r="AR406" s="53" t="s">
        <v>8530</v>
      </c>
      <c r="AS406" s="54" t="s">
        <v>8531</v>
      </c>
      <c r="AT406" s="55" t="s">
        <v>8532</v>
      </c>
      <c r="AU406" s="56" t="s">
        <v>8533</v>
      </c>
      <c r="AV406" s="57" t="s">
        <v>153</v>
      </c>
      <c r="AW406" s="58" t="s">
        <v>8534</v>
      </c>
      <c r="AX406" s="59" t="s">
        <v>2093</v>
      </c>
      <c r="AY406" s="60" t="s">
        <v>8535</v>
      </c>
      <c r="AZ406" s="61" t="s">
        <v>215</v>
      </c>
      <c r="BA406" s="62" t="s">
        <v>8531</v>
      </c>
      <c r="BB406" s="63" t="s">
        <v>153</v>
      </c>
      <c r="BC406" s="64" t="s">
        <v>8536</v>
      </c>
      <c r="BD406" s="65" t="s">
        <v>216</v>
      </c>
      <c r="BE406" s="66" t="s">
        <v>217</v>
      </c>
      <c r="BF406" s="67" t="s">
        <v>8537</v>
      </c>
      <c r="BG406" s="68" t="s">
        <v>8538</v>
      </c>
      <c r="BH406" s="69">
        <v>2</v>
      </c>
      <c r="BI406" s="70" t="s">
        <v>153</v>
      </c>
      <c r="BJ406" s="71" t="s">
        <v>8539</v>
      </c>
      <c r="BK406" s="72" t="s">
        <v>153</v>
      </c>
      <c r="BL406" s="73" t="s">
        <v>8540</v>
      </c>
      <c r="BM406" s="74" t="s">
        <v>8541</v>
      </c>
      <c r="BN406" s="75" t="s">
        <v>153</v>
      </c>
      <c r="BO406" s="76" t="s">
        <v>8542</v>
      </c>
      <c r="BP406" s="77" t="s">
        <v>8543</v>
      </c>
      <c r="BQ406" s="78">
        <v>42828</v>
      </c>
      <c r="BR406" s="79" t="s">
        <v>153</v>
      </c>
      <c r="BS406" s="80" t="s">
        <v>153</v>
      </c>
      <c r="BT406" s="81" t="s">
        <v>153</v>
      </c>
      <c r="BU406" s="82" t="s">
        <v>153</v>
      </c>
      <c r="BV406" s="83" t="s">
        <v>748</v>
      </c>
      <c r="BW406" s="84" t="s">
        <v>153</v>
      </c>
      <c r="BX406" s="85" t="s">
        <v>153</v>
      </c>
      <c r="BY406" s="86" t="s">
        <v>225</v>
      </c>
      <c r="BZ406" s="87" t="s">
        <v>153</v>
      </c>
      <c r="CA406" s="88" t="s">
        <v>190</v>
      </c>
      <c r="CB406" s="89">
        <v>44229</v>
      </c>
      <c r="CC406" s="90">
        <v>10000</v>
      </c>
      <c r="CD406" s="91" t="s">
        <v>186</v>
      </c>
      <c r="CE406" s="92">
        <v>10000</v>
      </c>
      <c r="CF406" s="93" t="s">
        <v>187</v>
      </c>
      <c r="CG406" s="94" t="s">
        <v>226</v>
      </c>
      <c r="CH406" s="95" t="s">
        <v>153</v>
      </c>
      <c r="CI406" s="96" t="s">
        <v>153</v>
      </c>
      <c r="CJ406" s="97" t="s">
        <v>225</v>
      </c>
      <c r="CK406" s="98">
        <v>44229</v>
      </c>
      <c r="CL406" s="99" t="s">
        <v>153</v>
      </c>
      <c r="CM406" s="100" t="s">
        <v>153</v>
      </c>
      <c r="CN406" s="101" t="s">
        <v>394</v>
      </c>
      <c r="CO406" s="102">
        <v>-2.5</v>
      </c>
      <c r="CP406" s="103">
        <v>1</v>
      </c>
      <c r="CQ406" s="104">
        <v>-0.18</v>
      </c>
      <c r="CR406" s="105">
        <v>-7.64</v>
      </c>
      <c r="CS406" s="106">
        <v>-7.48</v>
      </c>
      <c r="CT406" s="107">
        <v>1</v>
      </c>
      <c r="CU406" s="108">
        <v>0.04</v>
      </c>
      <c r="CV406" s="109">
        <v>80</v>
      </c>
      <c r="CW406" s="110">
        <v>-11.49</v>
      </c>
      <c r="CX406" s="111">
        <v>1</v>
      </c>
      <c r="CY406" s="112">
        <v>-3.48</v>
      </c>
      <c r="CZ406" s="113">
        <v>1</v>
      </c>
      <c r="DA406" s="114">
        <v>0.04</v>
      </c>
      <c r="DB406" s="115">
        <v>80</v>
      </c>
      <c r="DC406" s="116">
        <v>1336.3</v>
      </c>
      <c r="DD406" s="117">
        <v>100</v>
      </c>
      <c r="DE406" s="118">
        <v>-6.5</v>
      </c>
      <c r="DF406" s="119">
        <v>-0.48</v>
      </c>
      <c r="DG406" s="120">
        <v>280.08</v>
      </c>
      <c r="DH406" s="121">
        <v>100</v>
      </c>
      <c r="DI406" s="122">
        <v>107.2</v>
      </c>
      <c r="DJ406" s="123">
        <v>98</v>
      </c>
      <c r="DK406" s="124">
        <v>47.04</v>
      </c>
      <c r="DL406" s="125">
        <v>95</v>
      </c>
      <c r="DM406" s="126">
        <v>513.13</v>
      </c>
      <c r="DN406" s="127">
        <v>100</v>
      </c>
      <c r="DO406" s="128">
        <v>107.2</v>
      </c>
      <c r="DP406" s="129">
        <v>98</v>
      </c>
      <c r="DQ406" s="130">
        <v>30911</v>
      </c>
      <c r="DR406" s="131">
        <v>-11055</v>
      </c>
      <c r="DS406" s="132">
        <v>-26.34</v>
      </c>
      <c r="DT406" s="133">
        <v>8479</v>
      </c>
      <c r="DU406" s="134">
        <v>-699</v>
      </c>
      <c r="DV406" s="135">
        <v>-7.62</v>
      </c>
      <c r="DW406" s="136">
        <v>33657</v>
      </c>
      <c r="DX406" s="137">
        <v>25</v>
      </c>
      <c r="DY406" s="138">
        <v>7.0000000000000007E-2</v>
      </c>
      <c r="DZ406" s="139" t="s">
        <v>191</v>
      </c>
      <c r="EA406" s="140">
        <v>44402</v>
      </c>
      <c r="EB406" s="141">
        <v>10000</v>
      </c>
      <c r="EC406" s="142">
        <v>44229</v>
      </c>
      <c r="ED406" s="143" t="s">
        <v>226</v>
      </c>
      <c r="EE406" s="278" t="str">
        <f>HYPERLINK("https://my.pitchbook.com?c=170863-39", "View company online")</f>
        <v>View company online</v>
      </c>
    </row>
    <row r="407" spans="1:135" x14ac:dyDescent="0.45">
      <c r="A407" s="144" t="s">
        <v>8544</v>
      </c>
      <c r="B407" s="145" t="s">
        <v>8545</v>
      </c>
      <c r="C407" s="146" t="s">
        <v>153</v>
      </c>
      <c r="D407" s="147" t="s">
        <v>153</v>
      </c>
      <c r="E407" s="148" t="s">
        <v>153</v>
      </c>
      <c r="F407" s="149" t="s">
        <v>153</v>
      </c>
      <c r="G407" s="150" t="s">
        <v>8546</v>
      </c>
      <c r="H407" s="151" t="s">
        <v>8547</v>
      </c>
      <c r="I407" s="152" t="s">
        <v>8544</v>
      </c>
      <c r="J407" s="153" t="s">
        <v>8548</v>
      </c>
      <c r="K407" s="154" t="s">
        <v>157</v>
      </c>
      <c r="L407" s="155" t="s">
        <v>817</v>
      </c>
      <c r="M407" s="156" t="s">
        <v>863</v>
      </c>
      <c r="N407" s="157" t="s">
        <v>2494</v>
      </c>
      <c r="O407" s="158" t="s">
        <v>6151</v>
      </c>
      <c r="P407" s="159" t="s">
        <v>8549</v>
      </c>
      <c r="Q407" s="160" t="s">
        <v>367</v>
      </c>
      <c r="R407" s="161">
        <v>1.46</v>
      </c>
      <c r="S407" s="162" t="s">
        <v>290</v>
      </c>
      <c r="T407" s="163" t="s">
        <v>291</v>
      </c>
      <c r="U407" s="164" t="s">
        <v>565</v>
      </c>
      <c r="V407" s="165" t="s">
        <v>8550</v>
      </c>
      <c r="W407" s="166">
        <v>35000</v>
      </c>
      <c r="X407" s="167" t="s">
        <v>8551</v>
      </c>
      <c r="Y407" s="168" t="s">
        <v>372</v>
      </c>
      <c r="Z407" s="169" t="s">
        <v>8552</v>
      </c>
      <c r="AA407" s="170">
        <v>1928</v>
      </c>
      <c r="AB407" s="171" t="s">
        <v>153</v>
      </c>
      <c r="AC407" s="172" t="s">
        <v>537</v>
      </c>
      <c r="AD407" s="173" t="s">
        <v>8553</v>
      </c>
      <c r="AE407" s="174">
        <v>18127</v>
      </c>
      <c r="AF407" s="175">
        <v>6448.3</v>
      </c>
      <c r="AG407" s="176">
        <v>2339.8000000000002</v>
      </c>
      <c r="AH407" s="177">
        <v>50333.19</v>
      </c>
      <c r="AI407" s="178">
        <v>3879</v>
      </c>
      <c r="AJ407" s="179">
        <v>3277.7</v>
      </c>
      <c r="AK407" s="180">
        <v>36068.300000000003</v>
      </c>
      <c r="AL407" s="181">
        <v>11141.2</v>
      </c>
      <c r="AM407" s="182">
        <v>2.84</v>
      </c>
      <c r="AN407" s="183" t="s">
        <v>1765</v>
      </c>
      <c r="AO407" s="184" t="s">
        <v>8554</v>
      </c>
      <c r="AP407" s="185" t="s">
        <v>8555</v>
      </c>
      <c r="AQ407" s="186" t="s">
        <v>1598</v>
      </c>
      <c r="AR407" s="187" t="s">
        <v>8556</v>
      </c>
      <c r="AS407" s="188" t="s">
        <v>8557</v>
      </c>
      <c r="AT407" s="189" t="s">
        <v>8558</v>
      </c>
      <c r="AU407" s="190" t="s">
        <v>8559</v>
      </c>
      <c r="AV407" s="191" t="s">
        <v>153</v>
      </c>
      <c r="AW407" s="192" t="s">
        <v>8560</v>
      </c>
      <c r="AX407" s="193" t="s">
        <v>2760</v>
      </c>
      <c r="AY407" s="194" t="s">
        <v>8561</v>
      </c>
      <c r="AZ407" s="195" t="s">
        <v>215</v>
      </c>
      <c r="BA407" s="196" t="s">
        <v>8557</v>
      </c>
      <c r="BB407" s="197" t="s">
        <v>153</v>
      </c>
      <c r="BC407" s="198" t="s">
        <v>153</v>
      </c>
      <c r="BD407" s="199" t="s">
        <v>216</v>
      </c>
      <c r="BE407" s="200" t="s">
        <v>217</v>
      </c>
      <c r="BF407" s="201" t="s">
        <v>8562</v>
      </c>
      <c r="BG407" s="202" t="s">
        <v>153</v>
      </c>
      <c r="BH407" s="203" t="s">
        <v>153</v>
      </c>
      <c r="BI407" s="204" t="s">
        <v>153</v>
      </c>
      <c r="BJ407" s="205" t="s">
        <v>8563</v>
      </c>
      <c r="BK407" s="206" t="s">
        <v>153</v>
      </c>
      <c r="BL407" s="207" t="s">
        <v>153</v>
      </c>
      <c r="BM407" s="208" t="s">
        <v>8564</v>
      </c>
      <c r="BN407" s="209" t="s">
        <v>153</v>
      </c>
      <c r="BO407" s="210" t="s">
        <v>8565</v>
      </c>
      <c r="BP407" s="211" t="s">
        <v>153</v>
      </c>
      <c r="BQ407" s="212">
        <v>28503</v>
      </c>
      <c r="BR407" s="213" t="s">
        <v>153</v>
      </c>
      <c r="BS407" s="214" t="s">
        <v>153</v>
      </c>
      <c r="BT407" s="215" t="s">
        <v>153</v>
      </c>
      <c r="BU407" s="216" t="s">
        <v>153</v>
      </c>
      <c r="BV407" s="217" t="s">
        <v>251</v>
      </c>
      <c r="BW407" s="218" t="s">
        <v>153</v>
      </c>
      <c r="BX407" s="219" t="s">
        <v>153</v>
      </c>
      <c r="BY407" s="220" t="s">
        <v>252</v>
      </c>
      <c r="BZ407" s="221" t="s">
        <v>153</v>
      </c>
      <c r="CA407" s="222" t="s">
        <v>190</v>
      </c>
      <c r="CB407" s="223">
        <v>42717</v>
      </c>
      <c r="CC407" s="224">
        <v>10000</v>
      </c>
      <c r="CD407" s="225" t="s">
        <v>187</v>
      </c>
      <c r="CE407" s="226">
        <v>10000</v>
      </c>
      <c r="CF407" s="227" t="s">
        <v>187</v>
      </c>
      <c r="CG407" s="228" t="s">
        <v>188</v>
      </c>
      <c r="CH407" s="229" t="s">
        <v>930</v>
      </c>
      <c r="CI407" s="230" t="s">
        <v>153</v>
      </c>
      <c r="CJ407" s="231" t="s">
        <v>165</v>
      </c>
      <c r="CK407" s="232">
        <v>42717</v>
      </c>
      <c r="CL407" s="233" t="s">
        <v>153</v>
      </c>
      <c r="CM407" s="234" t="s">
        <v>153</v>
      </c>
      <c r="CN407" s="235" t="s">
        <v>394</v>
      </c>
      <c r="CO407" s="236">
        <v>0.12</v>
      </c>
      <c r="CP407" s="237">
        <v>89</v>
      </c>
      <c r="CQ407" s="238">
        <v>-0.01</v>
      </c>
      <c r="CR407" s="239">
        <v>-7.29</v>
      </c>
      <c r="CS407" s="240">
        <v>0.42</v>
      </c>
      <c r="CT407" s="241">
        <v>92</v>
      </c>
      <c r="CU407" s="242">
        <v>-7.0000000000000007E-2</v>
      </c>
      <c r="CV407" s="243">
        <v>27</v>
      </c>
      <c r="CW407" s="244">
        <v>0.63</v>
      </c>
      <c r="CX407" s="245">
        <v>80</v>
      </c>
      <c r="CY407" s="246">
        <v>0.2</v>
      </c>
      <c r="CZ407" s="247">
        <v>92</v>
      </c>
      <c r="DA407" s="248">
        <v>-7.0000000000000007E-2</v>
      </c>
      <c r="DB407" s="249">
        <v>27</v>
      </c>
      <c r="DC407" s="250">
        <v>526.70000000000005</v>
      </c>
      <c r="DD407" s="251">
        <v>100</v>
      </c>
      <c r="DE407" s="252">
        <v>0.84</v>
      </c>
      <c r="DF407" s="253">
        <v>0.16</v>
      </c>
      <c r="DG407" s="254">
        <v>314.36</v>
      </c>
      <c r="DH407" s="255">
        <v>100</v>
      </c>
      <c r="DI407" s="256">
        <v>319.8</v>
      </c>
      <c r="DJ407" s="257">
        <v>99</v>
      </c>
      <c r="DK407" s="258">
        <v>72.91</v>
      </c>
      <c r="DL407" s="259">
        <v>96</v>
      </c>
      <c r="DM407" s="260">
        <v>555.80999999999995</v>
      </c>
      <c r="DN407" s="261">
        <v>100</v>
      </c>
      <c r="DO407" s="262">
        <v>319.8</v>
      </c>
      <c r="DP407" s="263">
        <v>99</v>
      </c>
      <c r="DQ407" s="264">
        <v>43261</v>
      </c>
      <c r="DR407" s="265">
        <v>-102</v>
      </c>
      <c r="DS407" s="266">
        <v>-0.24</v>
      </c>
      <c r="DT407" s="267">
        <v>8886</v>
      </c>
      <c r="DU407" s="268">
        <v>18</v>
      </c>
      <c r="DV407" s="269">
        <v>0.2</v>
      </c>
      <c r="DW407" s="270">
        <v>100406</v>
      </c>
      <c r="DX407" s="271">
        <v>34</v>
      </c>
      <c r="DY407" s="272">
        <v>0.03</v>
      </c>
      <c r="DZ407" s="273" t="s">
        <v>191</v>
      </c>
      <c r="EA407" s="274">
        <v>44403</v>
      </c>
      <c r="EB407" s="275">
        <v>10000</v>
      </c>
      <c r="EC407" s="276">
        <v>42717</v>
      </c>
      <c r="ED407" s="277" t="s">
        <v>188</v>
      </c>
      <c r="EE407" s="279" t="str">
        <f>HYPERLINK("https://my.pitchbook.com?c=11198-08", "View company online")</f>
        <v>View company online</v>
      </c>
    </row>
    <row r="408" spans="1:135" x14ac:dyDescent="0.45">
      <c r="A408" s="10" t="s">
        <v>8566</v>
      </c>
      <c r="B408" s="11" t="s">
        <v>8567</v>
      </c>
      <c r="C408" s="12" t="s">
        <v>153</v>
      </c>
      <c r="D408" s="13" t="s">
        <v>153</v>
      </c>
      <c r="E408" s="14" t="s">
        <v>153</v>
      </c>
      <c r="F408" s="15" t="s">
        <v>153</v>
      </c>
      <c r="G408" s="16" t="s">
        <v>8568</v>
      </c>
      <c r="H408" s="17" t="s">
        <v>8569</v>
      </c>
      <c r="I408" s="18" t="s">
        <v>8566</v>
      </c>
      <c r="J408" s="19" t="s">
        <v>8570</v>
      </c>
      <c r="K408" s="20" t="s">
        <v>559</v>
      </c>
      <c r="L408" s="21" t="s">
        <v>1345</v>
      </c>
      <c r="M408" s="22" t="s">
        <v>8571</v>
      </c>
      <c r="N408" s="23" t="s">
        <v>8572</v>
      </c>
      <c r="O408" s="24" t="s">
        <v>153</v>
      </c>
      <c r="P408" s="25" t="s">
        <v>8573</v>
      </c>
      <c r="Q408" s="26" t="s">
        <v>204</v>
      </c>
      <c r="R408" s="27" t="s">
        <v>153</v>
      </c>
      <c r="S408" s="28" t="s">
        <v>368</v>
      </c>
      <c r="T408" s="29" t="s">
        <v>205</v>
      </c>
      <c r="U408" s="30" t="s">
        <v>1706</v>
      </c>
      <c r="V408" s="31" t="s">
        <v>8574</v>
      </c>
      <c r="W408" s="32">
        <v>7980</v>
      </c>
      <c r="X408" s="33" t="s">
        <v>8575</v>
      </c>
      <c r="Y408" s="34" t="s">
        <v>153</v>
      </c>
      <c r="Z408" s="35" t="s">
        <v>153</v>
      </c>
      <c r="AA408" s="36">
        <v>1994</v>
      </c>
      <c r="AB408" s="37" t="s">
        <v>153</v>
      </c>
      <c r="AC408" s="38" t="s">
        <v>153</v>
      </c>
      <c r="AD408" s="39" t="s">
        <v>153</v>
      </c>
      <c r="AE408" s="40" t="s">
        <v>153</v>
      </c>
      <c r="AF408" s="41" t="s">
        <v>153</v>
      </c>
      <c r="AG408" s="42" t="s">
        <v>153</v>
      </c>
      <c r="AH408" s="43" t="s">
        <v>153</v>
      </c>
      <c r="AI408" s="44" t="s">
        <v>153</v>
      </c>
      <c r="AJ408" s="45" t="s">
        <v>153</v>
      </c>
      <c r="AK408" s="46" t="s">
        <v>153</v>
      </c>
      <c r="AL408" s="47" t="s">
        <v>153</v>
      </c>
      <c r="AM408" s="48" t="s">
        <v>153</v>
      </c>
      <c r="AN408" s="49" t="s">
        <v>1442</v>
      </c>
      <c r="AO408" s="50" t="s">
        <v>153</v>
      </c>
      <c r="AP408" s="51" t="s">
        <v>153</v>
      </c>
      <c r="AQ408" s="52" t="s">
        <v>153</v>
      </c>
      <c r="AR408" s="53" t="s">
        <v>153</v>
      </c>
      <c r="AS408" s="54" t="s">
        <v>153</v>
      </c>
      <c r="AT408" s="55" t="s">
        <v>8576</v>
      </c>
      <c r="AU408" s="56" t="s">
        <v>8577</v>
      </c>
      <c r="AV408" s="57" t="s">
        <v>8578</v>
      </c>
      <c r="AW408" s="58" t="s">
        <v>8579</v>
      </c>
      <c r="AX408" s="59" t="s">
        <v>2312</v>
      </c>
      <c r="AY408" s="60" t="s">
        <v>8580</v>
      </c>
      <c r="AZ408" s="61" t="s">
        <v>1358</v>
      </c>
      <c r="BA408" s="62" t="s">
        <v>153</v>
      </c>
      <c r="BB408" s="63" t="s">
        <v>153</v>
      </c>
      <c r="BC408" s="64" t="s">
        <v>153</v>
      </c>
      <c r="BD408" s="65" t="s">
        <v>216</v>
      </c>
      <c r="BE408" s="66" t="s">
        <v>217</v>
      </c>
      <c r="BF408" s="67" t="s">
        <v>8581</v>
      </c>
      <c r="BG408" s="68" t="s">
        <v>153</v>
      </c>
      <c r="BH408" s="69" t="s">
        <v>153</v>
      </c>
      <c r="BI408" s="70" t="s">
        <v>8582</v>
      </c>
      <c r="BJ408" s="71" t="s">
        <v>153</v>
      </c>
      <c r="BK408" s="72" t="s">
        <v>153</v>
      </c>
      <c r="BL408" s="73" t="s">
        <v>153</v>
      </c>
      <c r="BM408" s="74" t="s">
        <v>153</v>
      </c>
      <c r="BN408" s="75" t="s">
        <v>153</v>
      </c>
      <c r="BO408" s="76" t="s">
        <v>8583</v>
      </c>
      <c r="BP408" s="77" t="s">
        <v>8584</v>
      </c>
      <c r="BQ408" s="78">
        <v>42170</v>
      </c>
      <c r="BR408" s="79" t="s">
        <v>153</v>
      </c>
      <c r="BS408" s="80" t="s">
        <v>153</v>
      </c>
      <c r="BT408" s="81" t="s">
        <v>153</v>
      </c>
      <c r="BU408" s="82" t="s">
        <v>153</v>
      </c>
      <c r="BV408" s="83" t="s">
        <v>4289</v>
      </c>
      <c r="BW408" s="84" t="s">
        <v>153</v>
      </c>
      <c r="BX408" s="85" t="s">
        <v>153</v>
      </c>
      <c r="BY408" s="86" t="s">
        <v>4290</v>
      </c>
      <c r="BZ408" s="87" t="s">
        <v>8585</v>
      </c>
      <c r="CA408" s="88" t="s">
        <v>190</v>
      </c>
      <c r="CB408" s="89">
        <v>43573</v>
      </c>
      <c r="CC408" s="90">
        <v>10000</v>
      </c>
      <c r="CD408" s="91" t="s">
        <v>187</v>
      </c>
      <c r="CE408" s="92">
        <v>10000</v>
      </c>
      <c r="CF408" s="93" t="s">
        <v>187</v>
      </c>
      <c r="CG408" s="94" t="s">
        <v>226</v>
      </c>
      <c r="CH408" s="95" t="s">
        <v>153</v>
      </c>
      <c r="CI408" s="96" t="s">
        <v>153</v>
      </c>
      <c r="CJ408" s="97" t="s">
        <v>225</v>
      </c>
      <c r="CK408" s="98">
        <v>43573</v>
      </c>
      <c r="CL408" s="99" t="s">
        <v>153</v>
      </c>
      <c r="CM408" s="100" t="s">
        <v>153</v>
      </c>
      <c r="CN408" s="101" t="s">
        <v>190</v>
      </c>
      <c r="CO408" s="102" t="s">
        <v>153</v>
      </c>
      <c r="CP408" s="103" t="s">
        <v>153</v>
      </c>
      <c r="CQ408" s="104" t="s">
        <v>153</v>
      </c>
      <c r="CR408" s="105" t="s">
        <v>153</v>
      </c>
      <c r="CS408" s="106" t="s">
        <v>153</v>
      </c>
      <c r="CT408" s="107" t="s">
        <v>153</v>
      </c>
      <c r="CU408" s="108" t="s">
        <v>153</v>
      </c>
      <c r="CV408" s="109" t="s">
        <v>153</v>
      </c>
      <c r="CW408" s="110" t="s">
        <v>153</v>
      </c>
      <c r="CX408" s="111" t="s">
        <v>153</v>
      </c>
      <c r="CY408" s="112" t="s">
        <v>153</v>
      </c>
      <c r="CZ408" s="113" t="s">
        <v>153</v>
      </c>
      <c r="DA408" s="114" t="s">
        <v>153</v>
      </c>
      <c r="DB408" s="115" t="s">
        <v>153</v>
      </c>
      <c r="DC408" s="116" t="s">
        <v>153</v>
      </c>
      <c r="DD408" s="117" t="s">
        <v>153</v>
      </c>
      <c r="DE408" s="118" t="s">
        <v>153</v>
      </c>
      <c r="DF408" s="119" t="s">
        <v>153</v>
      </c>
      <c r="DG408" s="120" t="s">
        <v>153</v>
      </c>
      <c r="DH408" s="121" t="s">
        <v>153</v>
      </c>
      <c r="DI408" s="122" t="s">
        <v>153</v>
      </c>
      <c r="DJ408" s="123" t="s">
        <v>153</v>
      </c>
      <c r="DK408" s="124" t="s">
        <v>153</v>
      </c>
      <c r="DL408" s="125" t="s">
        <v>153</v>
      </c>
      <c r="DM408" s="126" t="s">
        <v>153</v>
      </c>
      <c r="DN408" s="127" t="s">
        <v>153</v>
      </c>
      <c r="DO408" s="128" t="s">
        <v>153</v>
      </c>
      <c r="DP408" s="129" t="s">
        <v>153</v>
      </c>
      <c r="DQ408" s="130" t="s">
        <v>153</v>
      </c>
      <c r="DR408" s="131" t="s">
        <v>153</v>
      </c>
      <c r="DS408" s="132" t="s">
        <v>153</v>
      </c>
      <c r="DT408" s="133" t="s">
        <v>153</v>
      </c>
      <c r="DU408" s="134" t="s">
        <v>153</v>
      </c>
      <c r="DV408" s="135" t="s">
        <v>153</v>
      </c>
      <c r="DW408" s="136" t="s">
        <v>153</v>
      </c>
      <c r="DX408" s="137" t="s">
        <v>153</v>
      </c>
      <c r="DY408" s="138" t="s">
        <v>153</v>
      </c>
      <c r="DZ408" s="139" t="s">
        <v>191</v>
      </c>
      <c r="EA408" s="140">
        <v>44286</v>
      </c>
      <c r="EB408" s="141">
        <v>10000</v>
      </c>
      <c r="EC408" s="142">
        <v>43573</v>
      </c>
      <c r="ED408" s="143" t="s">
        <v>226</v>
      </c>
      <c r="EE408" s="278" t="str">
        <f>HYPERLINK("https://my.pitchbook.com?c=52120-09", "View company online")</f>
        <v>View company online</v>
      </c>
    </row>
    <row r="409" spans="1:135" x14ac:dyDescent="0.45">
      <c r="A409" s="144" t="s">
        <v>8586</v>
      </c>
      <c r="B409" s="145" t="s">
        <v>8587</v>
      </c>
      <c r="C409" s="146" t="s">
        <v>153</v>
      </c>
      <c r="D409" s="147" t="s">
        <v>153</v>
      </c>
      <c r="E409" s="148" t="s">
        <v>8588</v>
      </c>
      <c r="F409" s="149" t="s">
        <v>153</v>
      </c>
      <c r="G409" s="150" t="s">
        <v>8589</v>
      </c>
      <c r="H409" s="151" t="s">
        <v>153</v>
      </c>
      <c r="I409" s="152" t="s">
        <v>8586</v>
      </c>
      <c r="J409" s="153" t="s">
        <v>8590</v>
      </c>
      <c r="K409" s="154" t="s">
        <v>232</v>
      </c>
      <c r="L409" s="155" t="s">
        <v>362</v>
      </c>
      <c r="M409" s="156" t="s">
        <v>363</v>
      </c>
      <c r="N409" s="157" t="s">
        <v>8591</v>
      </c>
      <c r="O409" s="158" t="s">
        <v>153</v>
      </c>
      <c r="P409" s="159" t="s">
        <v>8592</v>
      </c>
      <c r="Q409" s="160" t="s">
        <v>564</v>
      </c>
      <c r="R409" s="161">
        <v>601.45000000000005</v>
      </c>
      <c r="S409" s="162" t="s">
        <v>290</v>
      </c>
      <c r="T409" s="163" t="s">
        <v>205</v>
      </c>
      <c r="U409" s="164" t="s">
        <v>565</v>
      </c>
      <c r="V409" s="165" t="s">
        <v>8593</v>
      </c>
      <c r="W409" s="166">
        <v>20</v>
      </c>
      <c r="X409" s="167" t="s">
        <v>8594</v>
      </c>
      <c r="Y409" s="168" t="s">
        <v>153</v>
      </c>
      <c r="Z409" s="169" t="s">
        <v>153</v>
      </c>
      <c r="AA409" s="170">
        <v>1953</v>
      </c>
      <c r="AB409" s="171" t="s">
        <v>153</v>
      </c>
      <c r="AC409" s="172" t="s">
        <v>153</v>
      </c>
      <c r="AD409" s="173" t="s">
        <v>153</v>
      </c>
      <c r="AE409" s="174" t="s">
        <v>153</v>
      </c>
      <c r="AF409" s="175" t="s">
        <v>153</v>
      </c>
      <c r="AG409" s="176" t="s">
        <v>153</v>
      </c>
      <c r="AH409" s="177" t="s">
        <v>153</v>
      </c>
      <c r="AI409" s="178" t="s">
        <v>153</v>
      </c>
      <c r="AJ409" s="179" t="s">
        <v>153</v>
      </c>
      <c r="AK409" s="180" t="s">
        <v>153</v>
      </c>
      <c r="AL409" s="181" t="s">
        <v>153</v>
      </c>
      <c r="AM409" s="182" t="s">
        <v>153</v>
      </c>
      <c r="AN409" s="183" t="s">
        <v>484</v>
      </c>
      <c r="AO409" s="184" t="s">
        <v>153</v>
      </c>
      <c r="AP409" s="185" t="s">
        <v>153</v>
      </c>
      <c r="AQ409" s="186" t="s">
        <v>153</v>
      </c>
      <c r="AR409" s="187" t="s">
        <v>153</v>
      </c>
      <c r="AS409" s="188" t="s">
        <v>153</v>
      </c>
      <c r="AT409" s="189" t="s">
        <v>433</v>
      </c>
      <c r="AU409" s="190" t="s">
        <v>8595</v>
      </c>
      <c r="AV409" s="191" t="s">
        <v>2401</v>
      </c>
      <c r="AW409" s="192" t="s">
        <v>436</v>
      </c>
      <c r="AX409" s="193" t="s">
        <v>436</v>
      </c>
      <c r="AY409" s="194" t="s">
        <v>2269</v>
      </c>
      <c r="AZ409" s="195" t="s">
        <v>215</v>
      </c>
      <c r="BA409" s="196" t="s">
        <v>153</v>
      </c>
      <c r="BB409" s="197" t="s">
        <v>153</v>
      </c>
      <c r="BC409" s="198" t="s">
        <v>153</v>
      </c>
      <c r="BD409" s="199" t="s">
        <v>216</v>
      </c>
      <c r="BE409" s="200" t="s">
        <v>217</v>
      </c>
      <c r="BF409" s="201" t="s">
        <v>8596</v>
      </c>
      <c r="BG409" s="202" t="s">
        <v>153</v>
      </c>
      <c r="BH409" s="203" t="s">
        <v>153</v>
      </c>
      <c r="BI409" s="204" t="s">
        <v>8597</v>
      </c>
      <c r="BJ409" s="205" t="s">
        <v>8598</v>
      </c>
      <c r="BK409" s="206" t="s">
        <v>153</v>
      </c>
      <c r="BL409" s="207" t="s">
        <v>153</v>
      </c>
      <c r="BM409" s="208" t="s">
        <v>8599</v>
      </c>
      <c r="BN409" s="209" t="s">
        <v>153</v>
      </c>
      <c r="BO409" s="210" t="s">
        <v>8600</v>
      </c>
      <c r="BP409" s="211" t="s">
        <v>8601</v>
      </c>
      <c r="BQ409" s="212">
        <v>29297</v>
      </c>
      <c r="BR409" s="213" t="s">
        <v>153</v>
      </c>
      <c r="BS409" s="214" t="s">
        <v>153</v>
      </c>
      <c r="BT409" s="215" t="s">
        <v>153</v>
      </c>
      <c r="BU409" s="216" t="s">
        <v>153</v>
      </c>
      <c r="BV409" s="217" t="s">
        <v>251</v>
      </c>
      <c r="BW409" s="218" t="s">
        <v>153</v>
      </c>
      <c r="BX409" s="219" t="s">
        <v>153</v>
      </c>
      <c r="BY409" s="220" t="s">
        <v>252</v>
      </c>
      <c r="BZ409" s="221" t="s">
        <v>153</v>
      </c>
      <c r="CA409" s="222" t="s">
        <v>190</v>
      </c>
      <c r="CB409" s="223">
        <v>43294</v>
      </c>
      <c r="CC409" s="224">
        <v>10000</v>
      </c>
      <c r="CD409" s="225" t="s">
        <v>186</v>
      </c>
      <c r="CE409" s="226">
        <v>10000</v>
      </c>
      <c r="CF409" s="227" t="s">
        <v>186</v>
      </c>
      <c r="CG409" s="228" t="s">
        <v>226</v>
      </c>
      <c r="CH409" s="229" t="s">
        <v>153</v>
      </c>
      <c r="CI409" s="230" t="s">
        <v>153</v>
      </c>
      <c r="CJ409" s="231" t="s">
        <v>225</v>
      </c>
      <c r="CK409" s="232">
        <v>43294</v>
      </c>
      <c r="CL409" s="233" t="s">
        <v>153</v>
      </c>
      <c r="CM409" s="234" t="s">
        <v>153</v>
      </c>
      <c r="CN409" s="235" t="s">
        <v>190</v>
      </c>
      <c r="CO409" s="236" t="s">
        <v>153</v>
      </c>
      <c r="CP409" s="237" t="s">
        <v>153</v>
      </c>
      <c r="CQ409" s="238" t="s">
        <v>153</v>
      </c>
      <c r="CR409" s="239" t="s">
        <v>153</v>
      </c>
      <c r="CS409" s="240" t="s">
        <v>153</v>
      </c>
      <c r="CT409" s="241" t="s">
        <v>153</v>
      </c>
      <c r="CU409" s="242" t="s">
        <v>153</v>
      </c>
      <c r="CV409" s="243" t="s">
        <v>153</v>
      </c>
      <c r="CW409" s="244" t="s">
        <v>153</v>
      </c>
      <c r="CX409" s="245" t="s">
        <v>153</v>
      </c>
      <c r="CY409" s="246" t="s">
        <v>153</v>
      </c>
      <c r="CZ409" s="247" t="s">
        <v>153</v>
      </c>
      <c r="DA409" s="248" t="s">
        <v>153</v>
      </c>
      <c r="DB409" s="249" t="s">
        <v>153</v>
      </c>
      <c r="DC409" s="250" t="s">
        <v>153</v>
      </c>
      <c r="DD409" s="251" t="s">
        <v>153</v>
      </c>
      <c r="DE409" s="252" t="s">
        <v>153</v>
      </c>
      <c r="DF409" s="253" t="s">
        <v>153</v>
      </c>
      <c r="DG409" s="254" t="s">
        <v>153</v>
      </c>
      <c r="DH409" s="255" t="s">
        <v>153</v>
      </c>
      <c r="DI409" s="256" t="s">
        <v>153</v>
      </c>
      <c r="DJ409" s="257" t="s">
        <v>153</v>
      </c>
      <c r="DK409" s="258" t="s">
        <v>153</v>
      </c>
      <c r="DL409" s="259" t="s">
        <v>153</v>
      </c>
      <c r="DM409" s="260" t="s">
        <v>153</v>
      </c>
      <c r="DN409" s="261" t="s">
        <v>153</v>
      </c>
      <c r="DO409" s="262" t="s">
        <v>153</v>
      </c>
      <c r="DP409" s="263" t="s">
        <v>153</v>
      </c>
      <c r="DQ409" s="264" t="s">
        <v>153</v>
      </c>
      <c r="DR409" s="265" t="s">
        <v>153</v>
      </c>
      <c r="DS409" s="266" t="s">
        <v>153</v>
      </c>
      <c r="DT409" s="267" t="s">
        <v>153</v>
      </c>
      <c r="DU409" s="268" t="s">
        <v>153</v>
      </c>
      <c r="DV409" s="269" t="s">
        <v>153</v>
      </c>
      <c r="DW409" s="270" t="s">
        <v>153</v>
      </c>
      <c r="DX409" s="271" t="s">
        <v>153</v>
      </c>
      <c r="DY409" s="272" t="s">
        <v>153</v>
      </c>
      <c r="DZ409" s="273" t="s">
        <v>191</v>
      </c>
      <c r="EA409" s="274">
        <v>44402</v>
      </c>
      <c r="EB409" s="275">
        <v>10000</v>
      </c>
      <c r="EC409" s="276">
        <v>43294</v>
      </c>
      <c r="ED409" s="277" t="s">
        <v>226</v>
      </c>
      <c r="EE409" s="279" t="str">
        <f>HYPERLINK("https://my.pitchbook.com?c=41036-14", "View company online")</f>
        <v>View company online</v>
      </c>
    </row>
    <row r="410" spans="1:135" x14ac:dyDescent="0.45">
      <c r="A410" s="10" t="s">
        <v>8602</v>
      </c>
      <c r="B410" s="11" t="s">
        <v>8603</v>
      </c>
      <c r="C410" s="12" t="s">
        <v>153</v>
      </c>
      <c r="D410" s="13" t="s">
        <v>153</v>
      </c>
      <c r="E410" s="14" t="s">
        <v>153</v>
      </c>
      <c r="F410" s="15" t="s">
        <v>153</v>
      </c>
      <c r="G410" s="16" t="s">
        <v>8604</v>
      </c>
      <c r="H410" s="17" t="s">
        <v>153</v>
      </c>
      <c r="I410" s="18" t="s">
        <v>8602</v>
      </c>
      <c r="J410" s="19" t="s">
        <v>8605</v>
      </c>
      <c r="K410" s="20" t="s">
        <v>792</v>
      </c>
      <c r="L410" s="21" t="s">
        <v>841</v>
      </c>
      <c r="M410" s="22" t="s">
        <v>2326</v>
      </c>
      <c r="N410" s="23" t="s">
        <v>8606</v>
      </c>
      <c r="O410" s="24" t="s">
        <v>796</v>
      </c>
      <c r="P410" s="25" t="s">
        <v>8607</v>
      </c>
      <c r="Q410" s="26" t="s">
        <v>204</v>
      </c>
      <c r="R410" s="27" t="s">
        <v>153</v>
      </c>
      <c r="S410" s="28" t="s">
        <v>8608</v>
      </c>
      <c r="T410" s="29" t="s">
        <v>1392</v>
      </c>
      <c r="U410" s="30" t="s">
        <v>206</v>
      </c>
      <c r="V410" s="31" t="s">
        <v>153</v>
      </c>
      <c r="W410" s="32" t="s">
        <v>153</v>
      </c>
      <c r="X410" s="33" t="s">
        <v>153</v>
      </c>
      <c r="Y410" s="34" t="s">
        <v>153</v>
      </c>
      <c r="Z410" s="35" t="s">
        <v>153</v>
      </c>
      <c r="AA410" s="36" t="s">
        <v>153</v>
      </c>
      <c r="AB410" s="37" t="s">
        <v>153</v>
      </c>
      <c r="AC410" s="38" t="s">
        <v>153</v>
      </c>
      <c r="AD410" s="39" t="s">
        <v>153</v>
      </c>
      <c r="AE410" s="40" t="s">
        <v>153</v>
      </c>
      <c r="AF410" s="41" t="s">
        <v>153</v>
      </c>
      <c r="AG410" s="42" t="s">
        <v>153</v>
      </c>
      <c r="AH410" s="43" t="s">
        <v>153</v>
      </c>
      <c r="AI410" s="44" t="s">
        <v>153</v>
      </c>
      <c r="AJ410" s="45" t="s">
        <v>153</v>
      </c>
      <c r="AK410" s="46" t="s">
        <v>153</v>
      </c>
      <c r="AL410" s="47" t="s">
        <v>153</v>
      </c>
      <c r="AM410" s="48" t="s">
        <v>153</v>
      </c>
      <c r="AN410" s="49" t="s">
        <v>153</v>
      </c>
      <c r="AO410" s="50" t="s">
        <v>153</v>
      </c>
      <c r="AP410" s="51" t="s">
        <v>153</v>
      </c>
      <c r="AQ410" s="52" t="s">
        <v>153</v>
      </c>
      <c r="AR410" s="53" t="s">
        <v>153</v>
      </c>
      <c r="AS410" s="54" t="s">
        <v>153</v>
      </c>
      <c r="AT410" s="55" t="s">
        <v>1519</v>
      </c>
      <c r="AU410" s="56" t="s">
        <v>153</v>
      </c>
      <c r="AV410" s="57" t="s">
        <v>153</v>
      </c>
      <c r="AW410" s="58" t="s">
        <v>153</v>
      </c>
      <c r="AX410" s="59" t="s">
        <v>153</v>
      </c>
      <c r="AY410" s="60" t="s">
        <v>153</v>
      </c>
      <c r="AZ410" s="61" t="s">
        <v>1519</v>
      </c>
      <c r="BA410" s="62" t="s">
        <v>153</v>
      </c>
      <c r="BB410" s="63" t="s">
        <v>153</v>
      </c>
      <c r="BC410" s="64" t="s">
        <v>153</v>
      </c>
      <c r="BD410" s="65" t="s">
        <v>1406</v>
      </c>
      <c r="BE410" s="66" t="s">
        <v>1407</v>
      </c>
      <c r="BF410" s="67" t="s">
        <v>8609</v>
      </c>
      <c r="BG410" s="68" t="s">
        <v>8610</v>
      </c>
      <c r="BH410" s="69">
        <v>2</v>
      </c>
      <c r="BI410" s="70" t="s">
        <v>153</v>
      </c>
      <c r="BJ410" s="71" t="s">
        <v>153</v>
      </c>
      <c r="BK410" s="72" t="s">
        <v>153</v>
      </c>
      <c r="BL410" s="73" t="s">
        <v>8611</v>
      </c>
      <c r="BM410" s="74" t="s">
        <v>153</v>
      </c>
      <c r="BN410" s="75" t="s">
        <v>153</v>
      </c>
      <c r="BO410" s="76" t="s">
        <v>153</v>
      </c>
      <c r="BP410" s="77" t="s">
        <v>153</v>
      </c>
      <c r="BQ410" s="78">
        <v>43518</v>
      </c>
      <c r="BR410" s="79">
        <v>10000</v>
      </c>
      <c r="BS410" s="80" t="s">
        <v>186</v>
      </c>
      <c r="BT410" s="81">
        <v>10000</v>
      </c>
      <c r="BU410" s="82" t="s">
        <v>186</v>
      </c>
      <c r="BV410" s="83" t="s">
        <v>224</v>
      </c>
      <c r="BW410" s="84" t="s">
        <v>153</v>
      </c>
      <c r="BX410" s="85" t="s">
        <v>153</v>
      </c>
      <c r="BY410" s="86" t="s">
        <v>321</v>
      </c>
      <c r="BZ410" s="87" t="s">
        <v>153</v>
      </c>
      <c r="CA410" s="88" t="s">
        <v>190</v>
      </c>
      <c r="CB410" s="89">
        <v>43518</v>
      </c>
      <c r="CC410" s="90">
        <v>10000</v>
      </c>
      <c r="CD410" s="91" t="s">
        <v>186</v>
      </c>
      <c r="CE410" s="92">
        <v>10000</v>
      </c>
      <c r="CF410" s="93" t="s">
        <v>186</v>
      </c>
      <c r="CG410" s="94" t="s">
        <v>224</v>
      </c>
      <c r="CH410" s="95" t="s">
        <v>153</v>
      </c>
      <c r="CI410" s="96" t="s">
        <v>153</v>
      </c>
      <c r="CJ410" s="97" t="s">
        <v>321</v>
      </c>
      <c r="CK410" s="98">
        <v>43518</v>
      </c>
      <c r="CL410" s="99" t="s">
        <v>153</v>
      </c>
      <c r="CM410" s="100" t="s">
        <v>153</v>
      </c>
      <c r="CN410" s="101" t="s">
        <v>190</v>
      </c>
      <c r="CO410" s="102" t="s">
        <v>153</v>
      </c>
      <c r="CP410" s="103" t="s">
        <v>153</v>
      </c>
      <c r="CQ410" s="104" t="s">
        <v>153</v>
      </c>
      <c r="CR410" s="105" t="s">
        <v>153</v>
      </c>
      <c r="CS410" s="106" t="s">
        <v>153</v>
      </c>
      <c r="CT410" s="107" t="s">
        <v>153</v>
      </c>
      <c r="CU410" s="108" t="s">
        <v>153</v>
      </c>
      <c r="CV410" s="109" t="s">
        <v>153</v>
      </c>
      <c r="CW410" s="110" t="s">
        <v>153</v>
      </c>
      <c r="CX410" s="111" t="s">
        <v>153</v>
      </c>
      <c r="CY410" s="112" t="s">
        <v>153</v>
      </c>
      <c r="CZ410" s="113" t="s">
        <v>153</v>
      </c>
      <c r="DA410" s="114" t="s">
        <v>153</v>
      </c>
      <c r="DB410" s="115" t="s">
        <v>153</v>
      </c>
      <c r="DC410" s="116" t="s">
        <v>153</v>
      </c>
      <c r="DD410" s="117" t="s">
        <v>153</v>
      </c>
      <c r="DE410" s="118" t="s">
        <v>153</v>
      </c>
      <c r="DF410" s="119" t="s">
        <v>153</v>
      </c>
      <c r="DG410" s="120" t="s">
        <v>153</v>
      </c>
      <c r="DH410" s="121" t="s">
        <v>153</v>
      </c>
      <c r="DI410" s="122" t="s">
        <v>153</v>
      </c>
      <c r="DJ410" s="123" t="s">
        <v>153</v>
      </c>
      <c r="DK410" s="124" t="s">
        <v>153</v>
      </c>
      <c r="DL410" s="125" t="s">
        <v>153</v>
      </c>
      <c r="DM410" s="126" t="s">
        <v>153</v>
      </c>
      <c r="DN410" s="127" t="s">
        <v>153</v>
      </c>
      <c r="DO410" s="128" t="s">
        <v>153</v>
      </c>
      <c r="DP410" s="129" t="s">
        <v>153</v>
      </c>
      <c r="DQ410" s="130" t="s">
        <v>153</v>
      </c>
      <c r="DR410" s="131" t="s">
        <v>153</v>
      </c>
      <c r="DS410" s="132" t="s">
        <v>153</v>
      </c>
      <c r="DT410" s="133" t="s">
        <v>153</v>
      </c>
      <c r="DU410" s="134" t="s">
        <v>153</v>
      </c>
      <c r="DV410" s="135" t="s">
        <v>153</v>
      </c>
      <c r="DW410" s="136" t="s">
        <v>153</v>
      </c>
      <c r="DX410" s="137" t="s">
        <v>153</v>
      </c>
      <c r="DY410" s="138" t="s">
        <v>153</v>
      </c>
      <c r="DZ410" s="139" t="s">
        <v>191</v>
      </c>
      <c r="EA410" s="140">
        <v>43535</v>
      </c>
      <c r="EB410" s="141">
        <v>10000</v>
      </c>
      <c r="EC410" s="142">
        <v>43518</v>
      </c>
      <c r="ED410" s="143" t="s">
        <v>224</v>
      </c>
      <c r="EE410" s="278" t="str">
        <f>HYPERLINK("https://my.pitchbook.com?c=265659-22", "View company online")</f>
        <v>View company online</v>
      </c>
    </row>
    <row r="411" spans="1:135" x14ac:dyDescent="0.45">
      <c r="A411" s="144" t="s">
        <v>8612</v>
      </c>
      <c r="B411" s="145" t="s">
        <v>8613</v>
      </c>
      <c r="C411" s="146" t="s">
        <v>153</v>
      </c>
      <c r="D411" s="147" t="s">
        <v>153</v>
      </c>
      <c r="E411" s="148" t="s">
        <v>153</v>
      </c>
      <c r="F411" s="149" t="s">
        <v>8614</v>
      </c>
      <c r="G411" s="150" t="s">
        <v>8615</v>
      </c>
      <c r="H411" s="151" t="s">
        <v>8616</v>
      </c>
      <c r="I411" s="152" t="s">
        <v>8612</v>
      </c>
      <c r="J411" s="153" t="s">
        <v>8617</v>
      </c>
      <c r="K411" s="154" t="s">
        <v>198</v>
      </c>
      <c r="L411" s="155" t="s">
        <v>1589</v>
      </c>
      <c r="M411" s="156" t="s">
        <v>8618</v>
      </c>
      <c r="N411" s="157" t="s">
        <v>8619</v>
      </c>
      <c r="O411" s="158" t="s">
        <v>399</v>
      </c>
      <c r="P411" s="159" t="s">
        <v>8620</v>
      </c>
      <c r="Q411" s="160" t="s">
        <v>289</v>
      </c>
      <c r="R411" s="161">
        <v>150.29</v>
      </c>
      <c r="S411" s="162" t="s">
        <v>368</v>
      </c>
      <c r="T411" s="163" t="s">
        <v>205</v>
      </c>
      <c r="U411" s="164" t="s">
        <v>941</v>
      </c>
      <c r="V411" s="165" t="s">
        <v>8621</v>
      </c>
      <c r="W411" s="166">
        <v>1086</v>
      </c>
      <c r="X411" s="167" t="s">
        <v>8622</v>
      </c>
      <c r="Y411" s="168" t="s">
        <v>153</v>
      </c>
      <c r="Z411" s="169" t="s">
        <v>153</v>
      </c>
      <c r="AA411" s="170">
        <v>2000</v>
      </c>
      <c r="AB411" s="171" t="s">
        <v>153</v>
      </c>
      <c r="AC411" s="172" t="s">
        <v>153</v>
      </c>
      <c r="AD411" s="173" t="s">
        <v>8623</v>
      </c>
      <c r="AE411" s="174">
        <v>682.95</v>
      </c>
      <c r="AF411" s="175">
        <v>371.13</v>
      </c>
      <c r="AG411" s="176">
        <v>-59.74</v>
      </c>
      <c r="AH411" s="177">
        <v>8690.1</v>
      </c>
      <c r="AI411" s="178">
        <v>107.58</v>
      </c>
      <c r="AJ411" s="179">
        <v>-20.07</v>
      </c>
      <c r="AK411" s="180" t="s">
        <v>153</v>
      </c>
      <c r="AL411" s="181">
        <v>340.04</v>
      </c>
      <c r="AM411" s="182">
        <v>86.79</v>
      </c>
      <c r="AN411" s="183" t="s">
        <v>168</v>
      </c>
      <c r="AO411" s="184" t="s">
        <v>8624</v>
      </c>
      <c r="AP411" s="185" t="s">
        <v>8625</v>
      </c>
      <c r="AQ411" s="186" t="s">
        <v>3268</v>
      </c>
      <c r="AR411" s="187" t="s">
        <v>153</v>
      </c>
      <c r="AS411" s="188" t="s">
        <v>153</v>
      </c>
      <c r="AT411" s="189" t="s">
        <v>1379</v>
      </c>
      <c r="AU411" s="190" t="s">
        <v>8626</v>
      </c>
      <c r="AV411" s="191" t="s">
        <v>153</v>
      </c>
      <c r="AW411" s="192" t="s">
        <v>1380</v>
      </c>
      <c r="AX411" s="193" t="s">
        <v>308</v>
      </c>
      <c r="AY411" s="194" t="s">
        <v>3272</v>
      </c>
      <c r="AZ411" s="195" t="s">
        <v>215</v>
      </c>
      <c r="BA411" s="196" t="s">
        <v>153</v>
      </c>
      <c r="BB411" s="197" t="s">
        <v>153</v>
      </c>
      <c r="BC411" s="198" t="s">
        <v>153</v>
      </c>
      <c r="BD411" s="199" t="s">
        <v>216</v>
      </c>
      <c r="BE411" s="200" t="s">
        <v>217</v>
      </c>
      <c r="BF411" s="201" t="s">
        <v>8627</v>
      </c>
      <c r="BG411" s="202" t="s">
        <v>153</v>
      </c>
      <c r="BH411" s="203" t="s">
        <v>153</v>
      </c>
      <c r="BI411" s="204" t="s">
        <v>8628</v>
      </c>
      <c r="BJ411" s="205" t="s">
        <v>8629</v>
      </c>
      <c r="BK411" s="206" t="s">
        <v>153</v>
      </c>
      <c r="BL411" s="207" t="s">
        <v>153</v>
      </c>
      <c r="BM411" s="208" t="s">
        <v>8630</v>
      </c>
      <c r="BN411" s="209" t="s">
        <v>153</v>
      </c>
      <c r="BO411" s="210" t="s">
        <v>8631</v>
      </c>
      <c r="BP411" s="211" t="s">
        <v>8632</v>
      </c>
      <c r="BQ411" s="212">
        <v>36861</v>
      </c>
      <c r="BR411" s="213">
        <v>12</v>
      </c>
      <c r="BS411" s="214" t="s">
        <v>186</v>
      </c>
      <c r="BT411" s="215">
        <v>39.659999999999997</v>
      </c>
      <c r="BU411" s="216" t="s">
        <v>186</v>
      </c>
      <c r="BV411" s="217" t="s">
        <v>471</v>
      </c>
      <c r="BW411" s="218" t="s">
        <v>1811</v>
      </c>
      <c r="BX411" s="219" t="s">
        <v>153</v>
      </c>
      <c r="BY411" s="220" t="s">
        <v>472</v>
      </c>
      <c r="BZ411" s="221" t="s">
        <v>153</v>
      </c>
      <c r="CA411" s="222" t="s">
        <v>190</v>
      </c>
      <c r="CB411" s="223">
        <v>44306</v>
      </c>
      <c r="CC411" s="224">
        <v>10000</v>
      </c>
      <c r="CD411" s="225" t="s">
        <v>186</v>
      </c>
      <c r="CE411" s="226">
        <v>10000</v>
      </c>
      <c r="CF411" s="227" t="s">
        <v>187</v>
      </c>
      <c r="CG411" s="228" t="s">
        <v>226</v>
      </c>
      <c r="CH411" s="229" t="s">
        <v>153</v>
      </c>
      <c r="CI411" s="230" t="s">
        <v>153</v>
      </c>
      <c r="CJ411" s="231" t="s">
        <v>225</v>
      </c>
      <c r="CK411" s="232">
        <v>44306</v>
      </c>
      <c r="CL411" s="233" t="s">
        <v>153</v>
      </c>
      <c r="CM411" s="234" t="s">
        <v>153</v>
      </c>
      <c r="CN411" s="235" t="s">
        <v>190</v>
      </c>
      <c r="CO411" s="236" t="s">
        <v>153</v>
      </c>
      <c r="CP411" s="237" t="s">
        <v>153</v>
      </c>
      <c r="CQ411" s="238" t="s">
        <v>153</v>
      </c>
      <c r="CR411" s="239" t="s">
        <v>153</v>
      </c>
      <c r="CS411" s="240" t="s">
        <v>153</v>
      </c>
      <c r="CT411" s="241" t="s">
        <v>153</v>
      </c>
      <c r="CU411" s="242" t="s">
        <v>153</v>
      </c>
      <c r="CV411" s="243" t="s">
        <v>153</v>
      </c>
      <c r="CW411" s="244" t="s">
        <v>153</v>
      </c>
      <c r="CX411" s="245" t="s">
        <v>153</v>
      </c>
      <c r="CY411" s="246" t="s">
        <v>153</v>
      </c>
      <c r="CZ411" s="247" t="s">
        <v>153</v>
      </c>
      <c r="DA411" s="248" t="s">
        <v>153</v>
      </c>
      <c r="DB411" s="249" t="s">
        <v>153</v>
      </c>
      <c r="DC411" s="250" t="s">
        <v>153</v>
      </c>
      <c r="DD411" s="251" t="s">
        <v>153</v>
      </c>
      <c r="DE411" s="252" t="s">
        <v>153</v>
      </c>
      <c r="DF411" s="253" t="s">
        <v>153</v>
      </c>
      <c r="DG411" s="254" t="s">
        <v>153</v>
      </c>
      <c r="DH411" s="255" t="s">
        <v>153</v>
      </c>
      <c r="DI411" s="256" t="s">
        <v>153</v>
      </c>
      <c r="DJ411" s="257" t="s">
        <v>153</v>
      </c>
      <c r="DK411" s="258" t="s">
        <v>153</v>
      </c>
      <c r="DL411" s="259" t="s">
        <v>153</v>
      </c>
      <c r="DM411" s="260" t="s">
        <v>153</v>
      </c>
      <c r="DN411" s="261" t="s">
        <v>153</v>
      </c>
      <c r="DO411" s="262" t="s">
        <v>153</v>
      </c>
      <c r="DP411" s="263" t="s">
        <v>153</v>
      </c>
      <c r="DQ411" s="264" t="s">
        <v>153</v>
      </c>
      <c r="DR411" s="265" t="s">
        <v>153</v>
      </c>
      <c r="DS411" s="266" t="s">
        <v>153</v>
      </c>
      <c r="DT411" s="267" t="s">
        <v>153</v>
      </c>
      <c r="DU411" s="268" t="s">
        <v>153</v>
      </c>
      <c r="DV411" s="269" t="s">
        <v>153</v>
      </c>
      <c r="DW411" s="270" t="s">
        <v>153</v>
      </c>
      <c r="DX411" s="271" t="s">
        <v>153</v>
      </c>
      <c r="DY411" s="272" t="s">
        <v>153</v>
      </c>
      <c r="DZ411" s="273" t="s">
        <v>191</v>
      </c>
      <c r="EA411" s="274">
        <v>44399</v>
      </c>
      <c r="EB411" s="275">
        <v>10000</v>
      </c>
      <c r="EC411" s="276">
        <v>44306</v>
      </c>
      <c r="ED411" s="277" t="s">
        <v>226</v>
      </c>
      <c r="EE411" s="279" t="str">
        <f>HYPERLINK("https://my.pitchbook.com?c=43084-90", "View company online")</f>
        <v>View company online</v>
      </c>
    </row>
    <row r="412" spans="1:135" x14ac:dyDescent="0.45">
      <c r="A412" s="10" t="s">
        <v>8633</v>
      </c>
      <c r="B412" s="11" t="s">
        <v>8634</v>
      </c>
      <c r="C412" s="12" t="s">
        <v>153</v>
      </c>
      <c r="D412" s="13" t="s">
        <v>153</v>
      </c>
      <c r="E412" s="14" t="s">
        <v>8635</v>
      </c>
      <c r="F412" s="15" t="s">
        <v>8636</v>
      </c>
      <c r="G412" s="16" t="s">
        <v>8637</v>
      </c>
      <c r="H412" s="17" t="s">
        <v>8638</v>
      </c>
      <c r="I412" s="18" t="s">
        <v>8633</v>
      </c>
      <c r="J412" s="19" t="s">
        <v>8639</v>
      </c>
      <c r="K412" s="20" t="s">
        <v>257</v>
      </c>
      <c r="L412" s="21" t="s">
        <v>258</v>
      </c>
      <c r="M412" s="22" t="s">
        <v>448</v>
      </c>
      <c r="N412" s="23" t="s">
        <v>8640</v>
      </c>
      <c r="O412" s="24" t="s">
        <v>8641</v>
      </c>
      <c r="P412" s="25" t="s">
        <v>8642</v>
      </c>
      <c r="Q412" s="26" t="s">
        <v>289</v>
      </c>
      <c r="R412" s="27">
        <v>1562.7</v>
      </c>
      <c r="S412" s="28" t="s">
        <v>368</v>
      </c>
      <c r="T412" s="29" t="s">
        <v>205</v>
      </c>
      <c r="U412" s="30" t="s">
        <v>941</v>
      </c>
      <c r="V412" s="31" t="s">
        <v>8643</v>
      </c>
      <c r="W412" s="32">
        <v>500</v>
      </c>
      <c r="X412" s="33" t="s">
        <v>8644</v>
      </c>
      <c r="Y412" s="34" t="s">
        <v>153</v>
      </c>
      <c r="Z412" s="35" t="s">
        <v>153</v>
      </c>
      <c r="AA412" s="36">
        <v>2013</v>
      </c>
      <c r="AB412" s="37" t="s">
        <v>153</v>
      </c>
      <c r="AC412" s="38" t="s">
        <v>153</v>
      </c>
      <c r="AD412" s="39" t="s">
        <v>153</v>
      </c>
      <c r="AE412" s="40" t="s">
        <v>153</v>
      </c>
      <c r="AF412" s="41" t="s">
        <v>153</v>
      </c>
      <c r="AG412" s="42" t="s">
        <v>153</v>
      </c>
      <c r="AH412" s="43" t="s">
        <v>153</v>
      </c>
      <c r="AI412" s="44" t="s">
        <v>153</v>
      </c>
      <c r="AJ412" s="45" t="s">
        <v>153</v>
      </c>
      <c r="AK412" s="46" t="s">
        <v>153</v>
      </c>
      <c r="AL412" s="47" t="s">
        <v>153</v>
      </c>
      <c r="AM412" s="48" t="s">
        <v>153</v>
      </c>
      <c r="AN412" s="49" t="s">
        <v>868</v>
      </c>
      <c r="AO412" s="50" t="s">
        <v>153</v>
      </c>
      <c r="AP412" s="51" t="s">
        <v>153</v>
      </c>
      <c r="AQ412" s="52" t="s">
        <v>153</v>
      </c>
      <c r="AR412" s="53" t="s">
        <v>153</v>
      </c>
      <c r="AS412" s="54" t="s">
        <v>153</v>
      </c>
      <c r="AT412" s="55" t="s">
        <v>4738</v>
      </c>
      <c r="AU412" s="56" t="s">
        <v>8645</v>
      </c>
      <c r="AV412" s="57" t="s">
        <v>8646</v>
      </c>
      <c r="AW412" s="58" t="s">
        <v>4740</v>
      </c>
      <c r="AX412" s="59" t="s">
        <v>4741</v>
      </c>
      <c r="AY412" s="60" t="s">
        <v>8647</v>
      </c>
      <c r="AZ412" s="61" t="s">
        <v>215</v>
      </c>
      <c r="BA412" s="62" t="s">
        <v>153</v>
      </c>
      <c r="BB412" s="63" t="s">
        <v>153</v>
      </c>
      <c r="BC412" s="64" t="s">
        <v>153</v>
      </c>
      <c r="BD412" s="65" t="s">
        <v>216</v>
      </c>
      <c r="BE412" s="66" t="s">
        <v>217</v>
      </c>
      <c r="BF412" s="67" t="s">
        <v>8648</v>
      </c>
      <c r="BG412" s="68" t="s">
        <v>153</v>
      </c>
      <c r="BH412" s="69" t="s">
        <v>153</v>
      </c>
      <c r="BI412" s="70" t="s">
        <v>444</v>
      </c>
      <c r="BJ412" s="71" t="s">
        <v>8649</v>
      </c>
      <c r="BK412" s="72" t="s">
        <v>153</v>
      </c>
      <c r="BL412" s="73" t="s">
        <v>153</v>
      </c>
      <c r="BM412" s="74" t="s">
        <v>8650</v>
      </c>
      <c r="BN412" s="75" t="s">
        <v>153</v>
      </c>
      <c r="BO412" s="76" t="s">
        <v>8651</v>
      </c>
      <c r="BP412" s="77" t="s">
        <v>8652</v>
      </c>
      <c r="BQ412" s="78">
        <v>41634</v>
      </c>
      <c r="BR412" s="79">
        <v>6.67</v>
      </c>
      <c r="BS412" s="80" t="s">
        <v>186</v>
      </c>
      <c r="BT412" s="81" t="s">
        <v>153</v>
      </c>
      <c r="BU412" s="82" t="s">
        <v>153</v>
      </c>
      <c r="BV412" s="83" t="s">
        <v>471</v>
      </c>
      <c r="BW412" s="84" t="s">
        <v>8653</v>
      </c>
      <c r="BX412" s="85" t="s">
        <v>153</v>
      </c>
      <c r="BY412" s="86" t="s">
        <v>472</v>
      </c>
      <c r="BZ412" s="87" t="s">
        <v>153</v>
      </c>
      <c r="CA412" s="88" t="s">
        <v>190</v>
      </c>
      <c r="CB412" s="89">
        <v>43165</v>
      </c>
      <c r="CC412" s="90">
        <v>10000</v>
      </c>
      <c r="CD412" s="91" t="s">
        <v>187</v>
      </c>
      <c r="CE412" s="92">
        <v>11074.2</v>
      </c>
      <c r="CF412" s="93" t="s">
        <v>187</v>
      </c>
      <c r="CG412" s="94" t="s">
        <v>226</v>
      </c>
      <c r="CH412" s="95" t="s">
        <v>153</v>
      </c>
      <c r="CI412" s="96" t="s">
        <v>153</v>
      </c>
      <c r="CJ412" s="97" t="s">
        <v>225</v>
      </c>
      <c r="CK412" s="98">
        <v>43165</v>
      </c>
      <c r="CL412" s="99" t="s">
        <v>153</v>
      </c>
      <c r="CM412" s="100" t="s">
        <v>153</v>
      </c>
      <c r="CN412" s="101" t="s">
        <v>190</v>
      </c>
      <c r="CO412" s="102" t="s">
        <v>153</v>
      </c>
      <c r="CP412" s="103" t="s">
        <v>153</v>
      </c>
      <c r="CQ412" s="104" t="s">
        <v>153</v>
      </c>
      <c r="CR412" s="105" t="s">
        <v>153</v>
      </c>
      <c r="CS412" s="106" t="s">
        <v>153</v>
      </c>
      <c r="CT412" s="107" t="s">
        <v>153</v>
      </c>
      <c r="CU412" s="108" t="s">
        <v>153</v>
      </c>
      <c r="CV412" s="109" t="s">
        <v>153</v>
      </c>
      <c r="CW412" s="110" t="s">
        <v>153</v>
      </c>
      <c r="CX412" s="111" t="s">
        <v>153</v>
      </c>
      <c r="CY412" s="112" t="s">
        <v>153</v>
      </c>
      <c r="CZ412" s="113" t="s">
        <v>153</v>
      </c>
      <c r="DA412" s="114" t="s">
        <v>153</v>
      </c>
      <c r="DB412" s="115" t="s">
        <v>153</v>
      </c>
      <c r="DC412" s="116" t="s">
        <v>153</v>
      </c>
      <c r="DD412" s="117" t="s">
        <v>153</v>
      </c>
      <c r="DE412" s="118" t="s">
        <v>153</v>
      </c>
      <c r="DF412" s="119" t="s">
        <v>153</v>
      </c>
      <c r="DG412" s="120" t="s">
        <v>153</v>
      </c>
      <c r="DH412" s="121" t="s">
        <v>153</v>
      </c>
      <c r="DI412" s="122" t="s">
        <v>153</v>
      </c>
      <c r="DJ412" s="123" t="s">
        <v>153</v>
      </c>
      <c r="DK412" s="124" t="s">
        <v>153</v>
      </c>
      <c r="DL412" s="125" t="s">
        <v>153</v>
      </c>
      <c r="DM412" s="126" t="s">
        <v>153</v>
      </c>
      <c r="DN412" s="127" t="s">
        <v>153</v>
      </c>
      <c r="DO412" s="128" t="s">
        <v>153</v>
      </c>
      <c r="DP412" s="129" t="s">
        <v>153</v>
      </c>
      <c r="DQ412" s="130" t="s">
        <v>153</v>
      </c>
      <c r="DR412" s="131" t="s">
        <v>153</v>
      </c>
      <c r="DS412" s="132" t="s">
        <v>153</v>
      </c>
      <c r="DT412" s="133" t="s">
        <v>153</v>
      </c>
      <c r="DU412" s="134" t="s">
        <v>153</v>
      </c>
      <c r="DV412" s="135" t="s">
        <v>153</v>
      </c>
      <c r="DW412" s="136" t="s">
        <v>153</v>
      </c>
      <c r="DX412" s="137" t="s">
        <v>153</v>
      </c>
      <c r="DY412" s="138" t="s">
        <v>153</v>
      </c>
      <c r="DZ412" s="139" t="s">
        <v>191</v>
      </c>
      <c r="EA412" s="140">
        <v>44368</v>
      </c>
      <c r="EB412" s="141">
        <v>11074.2</v>
      </c>
      <c r="EC412" s="142">
        <v>43165</v>
      </c>
      <c r="ED412" s="143" t="s">
        <v>226</v>
      </c>
      <c r="EE412" s="278" t="str">
        <f>HYPERLINK("https://my.pitchbook.com?c=60580-27", "View company online")</f>
        <v>View company online</v>
      </c>
    </row>
    <row r="413" spans="1:135" x14ac:dyDescent="0.45">
      <c r="A413" s="144" t="s">
        <v>8654</v>
      </c>
      <c r="B413" s="145" t="s">
        <v>8655</v>
      </c>
      <c r="C413" s="146" t="s">
        <v>153</v>
      </c>
      <c r="D413" s="147" t="s">
        <v>153</v>
      </c>
      <c r="E413" s="148" t="s">
        <v>8656</v>
      </c>
      <c r="F413" s="149" t="s">
        <v>8657</v>
      </c>
      <c r="G413" s="150" t="s">
        <v>8658</v>
      </c>
      <c r="H413" s="151" t="s">
        <v>8659</v>
      </c>
      <c r="I413" s="152" t="s">
        <v>8654</v>
      </c>
      <c r="J413" s="153" t="s">
        <v>8660</v>
      </c>
      <c r="K413" s="154" t="s">
        <v>257</v>
      </c>
      <c r="L413" s="155" t="s">
        <v>258</v>
      </c>
      <c r="M413" s="156" t="s">
        <v>259</v>
      </c>
      <c r="N413" s="157" t="s">
        <v>260</v>
      </c>
      <c r="O413" s="158" t="s">
        <v>153</v>
      </c>
      <c r="P413" s="159" t="s">
        <v>8661</v>
      </c>
      <c r="Q413" s="160" t="s">
        <v>289</v>
      </c>
      <c r="R413" s="161">
        <v>163.30000000000001</v>
      </c>
      <c r="S413" s="162" t="s">
        <v>290</v>
      </c>
      <c r="T413" s="163" t="s">
        <v>164</v>
      </c>
      <c r="U413" s="164" t="s">
        <v>1169</v>
      </c>
      <c r="V413" s="165" t="s">
        <v>8662</v>
      </c>
      <c r="W413" s="166">
        <v>1000</v>
      </c>
      <c r="X413" s="167" t="s">
        <v>8663</v>
      </c>
      <c r="Y413" s="168" t="s">
        <v>153</v>
      </c>
      <c r="Z413" s="169" t="s">
        <v>153</v>
      </c>
      <c r="AA413" s="170">
        <v>1989</v>
      </c>
      <c r="AB413" s="171" t="s">
        <v>3081</v>
      </c>
      <c r="AC413" s="172" t="s">
        <v>153</v>
      </c>
      <c r="AD413" s="173" t="s">
        <v>570</v>
      </c>
      <c r="AE413" s="174" t="s">
        <v>153</v>
      </c>
      <c r="AF413" s="175" t="s">
        <v>153</v>
      </c>
      <c r="AG413" s="176" t="s">
        <v>153</v>
      </c>
      <c r="AH413" s="177" t="s">
        <v>153</v>
      </c>
      <c r="AI413" s="178" t="s">
        <v>153</v>
      </c>
      <c r="AJ413" s="179" t="s">
        <v>153</v>
      </c>
      <c r="AK413" s="180" t="s">
        <v>153</v>
      </c>
      <c r="AL413" s="181" t="s">
        <v>153</v>
      </c>
      <c r="AM413" s="182" t="s">
        <v>153</v>
      </c>
      <c r="AN413" s="183" t="s">
        <v>484</v>
      </c>
      <c r="AO413" s="184" t="s">
        <v>8664</v>
      </c>
      <c r="AP413" s="185" t="s">
        <v>8665</v>
      </c>
      <c r="AQ413" s="186" t="s">
        <v>8666</v>
      </c>
      <c r="AR413" s="187" t="s">
        <v>153</v>
      </c>
      <c r="AS413" s="188" t="s">
        <v>8667</v>
      </c>
      <c r="AT413" s="189" t="s">
        <v>8668</v>
      </c>
      <c r="AU413" s="190" t="s">
        <v>8669</v>
      </c>
      <c r="AV413" s="191" t="s">
        <v>153</v>
      </c>
      <c r="AW413" s="192" t="s">
        <v>8670</v>
      </c>
      <c r="AX413" s="193" t="s">
        <v>273</v>
      </c>
      <c r="AY413" s="194" t="s">
        <v>8671</v>
      </c>
      <c r="AZ413" s="195" t="s">
        <v>215</v>
      </c>
      <c r="BA413" s="196" t="s">
        <v>8672</v>
      </c>
      <c r="BB413" s="197" t="s">
        <v>153</v>
      </c>
      <c r="BC413" s="198" t="s">
        <v>153</v>
      </c>
      <c r="BD413" s="199" t="s">
        <v>216</v>
      </c>
      <c r="BE413" s="200" t="s">
        <v>217</v>
      </c>
      <c r="BF413" s="201" t="s">
        <v>8673</v>
      </c>
      <c r="BG413" s="202" t="s">
        <v>153</v>
      </c>
      <c r="BH413" s="203" t="s">
        <v>153</v>
      </c>
      <c r="BI413" s="204" t="s">
        <v>3081</v>
      </c>
      <c r="BJ413" s="205" t="s">
        <v>8674</v>
      </c>
      <c r="BK413" s="206" t="s">
        <v>8675</v>
      </c>
      <c r="BL413" s="207" t="s">
        <v>153</v>
      </c>
      <c r="BM413" s="208" t="s">
        <v>8676</v>
      </c>
      <c r="BN413" s="209" t="s">
        <v>8677</v>
      </c>
      <c r="BO413" s="210" t="s">
        <v>8678</v>
      </c>
      <c r="BP413" s="211" t="s">
        <v>8679</v>
      </c>
      <c r="BQ413" s="212">
        <v>35719</v>
      </c>
      <c r="BR413" s="213">
        <v>15.19</v>
      </c>
      <c r="BS413" s="214" t="s">
        <v>186</v>
      </c>
      <c r="BT413" s="215">
        <v>51.24</v>
      </c>
      <c r="BU413" s="216" t="s">
        <v>186</v>
      </c>
      <c r="BV413" s="217" t="s">
        <v>251</v>
      </c>
      <c r="BW413" s="218" t="s">
        <v>153</v>
      </c>
      <c r="BX413" s="219" t="s">
        <v>153</v>
      </c>
      <c r="BY413" s="220" t="s">
        <v>252</v>
      </c>
      <c r="BZ413" s="221" t="s">
        <v>153</v>
      </c>
      <c r="CA413" s="222" t="s">
        <v>190</v>
      </c>
      <c r="CB413" s="223">
        <v>42705</v>
      </c>
      <c r="CC413" s="224">
        <v>10000</v>
      </c>
      <c r="CD413" s="225" t="s">
        <v>187</v>
      </c>
      <c r="CE413" s="226">
        <v>10000</v>
      </c>
      <c r="CF413" s="227" t="s">
        <v>187</v>
      </c>
      <c r="CG413" s="228" t="s">
        <v>226</v>
      </c>
      <c r="CH413" s="229" t="s">
        <v>729</v>
      </c>
      <c r="CI413" s="230" t="s">
        <v>153</v>
      </c>
      <c r="CJ413" s="231" t="s">
        <v>225</v>
      </c>
      <c r="CK413" s="232">
        <v>42705</v>
      </c>
      <c r="CL413" s="233" t="s">
        <v>153</v>
      </c>
      <c r="CM413" s="234" t="s">
        <v>153</v>
      </c>
      <c r="CN413" s="235" t="s">
        <v>394</v>
      </c>
      <c r="CO413" s="236" t="s">
        <v>153</v>
      </c>
      <c r="CP413" s="237" t="s">
        <v>153</v>
      </c>
      <c r="CQ413" s="238" t="s">
        <v>153</v>
      </c>
      <c r="CR413" s="239" t="s">
        <v>153</v>
      </c>
      <c r="CS413" s="240" t="s">
        <v>153</v>
      </c>
      <c r="CT413" s="241" t="s">
        <v>153</v>
      </c>
      <c r="CU413" s="242" t="s">
        <v>153</v>
      </c>
      <c r="CV413" s="243" t="s">
        <v>153</v>
      </c>
      <c r="CW413" s="244" t="s">
        <v>153</v>
      </c>
      <c r="CX413" s="245" t="s">
        <v>153</v>
      </c>
      <c r="CY413" s="246" t="s">
        <v>153</v>
      </c>
      <c r="CZ413" s="247" t="s">
        <v>153</v>
      </c>
      <c r="DA413" s="248" t="s">
        <v>153</v>
      </c>
      <c r="DB413" s="249" t="s">
        <v>153</v>
      </c>
      <c r="DC413" s="250" t="s">
        <v>153</v>
      </c>
      <c r="DD413" s="251" t="s">
        <v>153</v>
      </c>
      <c r="DE413" s="252" t="s">
        <v>153</v>
      </c>
      <c r="DF413" s="253" t="s">
        <v>153</v>
      </c>
      <c r="DG413" s="254" t="s">
        <v>153</v>
      </c>
      <c r="DH413" s="255" t="s">
        <v>153</v>
      </c>
      <c r="DI413" s="256" t="s">
        <v>153</v>
      </c>
      <c r="DJ413" s="257" t="s">
        <v>153</v>
      </c>
      <c r="DK413" s="258" t="s">
        <v>153</v>
      </c>
      <c r="DL413" s="259" t="s">
        <v>153</v>
      </c>
      <c r="DM413" s="260" t="s">
        <v>153</v>
      </c>
      <c r="DN413" s="261" t="s">
        <v>153</v>
      </c>
      <c r="DO413" s="262" t="s">
        <v>153</v>
      </c>
      <c r="DP413" s="263" t="s">
        <v>153</v>
      </c>
      <c r="DQ413" s="264" t="s">
        <v>153</v>
      </c>
      <c r="DR413" s="265" t="s">
        <v>153</v>
      </c>
      <c r="DS413" s="266" t="s">
        <v>153</v>
      </c>
      <c r="DT413" s="267" t="s">
        <v>153</v>
      </c>
      <c r="DU413" s="268" t="s">
        <v>153</v>
      </c>
      <c r="DV413" s="269" t="s">
        <v>153</v>
      </c>
      <c r="DW413" s="270" t="s">
        <v>153</v>
      </c>
      <c r="DX413" s="271" t="s">
        <v>153</v>
      </c>
      <c r="DY413" s="272" t="s">
        <v>153</v>
      </c>
      <c r="DZ413" s="273" t="s">
        <v>191</v>
      </c>
      <c r="EA413" s="274">
        <v>44217</v>
      </c>
      <c r="EB413" s="275">
        <v>10000</v>
      </c>
      <c r="EC413" s="276">
        <v>42705</v>
      </c>
      <c r="ED413" s="277" t="s">
        <v>226</v>
      </c>
      <c r="EE413" s="279" t="str">
        <f>HYPERLINK("https://my.pitchbook.com?c=41384-17", "View company online")</f>
        <v>View company online</v>
      </c>
    </row>
    <row r="414" spans="1:135" x14ac:dyDescent="0.45">
      <c r="A414" s="10" t="s">
        <v>8680</v>
      </c>
      <c r="B414" s="11" t="s">
        <v>8681</v>
      </c>
      <c r="C414" s="12" t="s">
        <v>153</v>
      </c>
      <c r="D414" s="13" t="s">
        <v>153</v>
      </c>
      <c r="E414" s="14" t="s">
        <v>153</v>
      </c>
      <c r="F414" s="15" t="s">
        <v>153</v>
      </c>
      <c r="G414" s="16" t="s">
        <v>8682</v>
      </c>
      <c r="H414" s="17" t="s">
        <v>153</v>
      </c>
      <c r="I414" s="18" t="s">
        <v>8680</v>
      </c>
      <c r="J414" s="19" t="s">
        <v>8683</v>
      </c>
      <c r="K414" s="20" t="s">
        <v>792</v>
      </c>
      <c r="L414" s="21" t="s">
        <v>793</v>
      </c>
      <c r="M414" s="22" t="s">
        <v>1117</v>
      </c>
      <c r="N414" s="23" t="s">
        <v>8684</v>
      </c>
      <c r="O414" s="24" t="s">
        <v>1119</v>
      </c>
      <c r="P414" s="25" t="s">
        <v>8685</v>
      </c>
      <c r="Q414" s="26" t="s">
        <v>564</v>
      </c>
      <c r="R414" s="27" t="s">
        <v>153</v>
      </c>
      <c r="S414" s="28" t="s">
        <v>290</v>
      </c>
      <c r="T414" s="29" t="s">
        <v>205</v>
      </c>
      <c r="U414" s="30" t="s">
        <v>565</v>
      </c>
      <c r="V414" s="31" t="s">
        <v>153</v>
      </c>
      <c r="W414" s="32">
        <v>11000</v>
      </c>
      <c r="X414" s="33" t="s">
        <v>8686</v>
      </c>
      <c r="Y414" s="34" t="s">
        <v>153</v>
      </c>
      <c r="Z414" s="35" t="s">
        <v>153</v>
      </c>
      <c r="AA414" s="36">
        <v>2001</v>
      </c>
      <c r="AB414" s="37" t="s">
        <v>153</v>
      </c>
      <c r="AC414" s="38" t="s">
        <v>153</v>
      </c>
      <c r="AD414" s="39" t="s">
        <v>153</v>
      </c>
      <c r="AE414" s="40" t="s">
        <v>153</v>
      </c>
      <c r="AF414" s="41" t="s">
        <v>153</v>
      </c>
      <c r="AG414" s="42" t="s">
        <v>153</v>
      </c>
      <c r="AH414" s="43" t="s">
        <v>153</v>
      </c>
      <c r="AI414" s="44" t="s">
        <v>153</v>
      </c>
      <c r="AJ414" s="45" t="s">
        <v>153</v>
      </c>
      <c r="AK414" s="46" t="s">
        <v>153</v>
      </c>
      <c r="AL414" s="47" t="s">
        <v>153</v>
      </c>
      <c r="AM414" s="48" t="s">
        <v>153</v>
      </c>
      <c r="AN414" s="49" t="s">
        <v>1123</v>
      </c>
      <c r="AO414" s="50" t="s">
        <v>8687</v>
      </c>
      <c r="AP414" s="51" t="s">
        <v>8688</v>
      </c>
      <c r="AQ414" s="52" t="s">
        <v>8689</v>
      </c>
      <c r="AR414" s="53" t="s">
        <v>153</v>
      </c>
      <c r="AS414" s="54" t="s">
        <v>8690</v>
      </c>
      <c r="AT414" s="55" t="s">
        <v>1124</v>
      </c>
      <c r="AU414" s="56" t="s">
        <v>1125</v>
      </c>
      <c r="AV414" s="57" t="s">
        <v>1126</v>
      </c>
      <c r="AW414" s="58" t="s">
        <v>1127</v>
      </c>
      <c r="AX414" s="59" t="s">
        <v>1128</v>
      </c>
      <c r="AY414" s="60" t="s">
        <v>1129</v>
      </c>
      <c r="AZ414" s="61" t="s">
        <v>215</v>
      </c>
      <c r="BA414" s="62" t="s">
        <v>8690</v>
      </c>
      <c r="BB414" s="63" t="s">
        <v>8691</v>
      </c>
      <c r="BC414" s="64" t="s">
        <v>8692</v>
      </c>
      <c r="BD414" s="65" t="s">
        <v>216</v>
      </c>
      <c r="BE414" s="66" t="s">
        <v>217</v>
      </c>
      <c r="BF414" s="67" t="s">
        <v>8693</v>
      </c>
      <c r="BG414" s="68" t="s">
        <v>153</v>
      </c>
      <c r="BH414" s="69" t="s">
        <v>153</v>
      </c>
      <c r="BI414" s="70" t="s">
        <v>1122</v>
      </c>
      <c r="BJ414" s="71" t="s">
        <v>8694</v>
      </c>
      <c r="BK414" s="72" t="s">
        <v>153</v>
      </c>
      <c r="BL414" s="73" t="s">
        <v>153</v>
      </c>
      <c r="BM414" s="74" t="s">
        <v>8695</v>
      </c>
      <c r="BN414" s="75" t="s">
        <v>153</v>
      </c>
      <c r="BO414" s="76" t="s">
        <v>153</v>
      </c>
      <c r="BP414" s="77" t="s">
        <v>8696</v>
      </c>
      <c r="BQ414" s="78" t="s">
        <v>153</v>
      </c>
      <c r="BR414" s="79" t="s">
        <v>153</v>
      </c>
      <c r="BS414" s="80" t="s">
        <v>153</v>
      </c>
      <c r="BT414" s="81" t="s">
        <v>153</v>
      </c>
      <c r="BU414" s="82" t="s">
        <v>153</v>
      </c>
      <c r="BV414" s="83" t="s">
        <v>393</v>
      </c>
      <c r="BW414" s="84" t="s">
        <v>153</v>
      </c>
      <c r="BX414" s="85" t="s">
        <v>153</v>
      </c>
      <c r="BY414" s="86" t="s">
        <v>165</v>
      </c>
      <c r="BZ414" s="87" t="s">
        <v>153</v>
      </c>
      <c r="CA414" s="88" t="s">
        <v>190</v>
      </c>
      <c r="CB414" s="89">
        <v>41969</v>
      </c>
      <c r="CC414" s="90">
        <v>9987</v>
      </c>
      <c r="CD414" s="91" t="s">
        <v>186</v>
      </c>
      <c r="CE414" s="92">
        <v>9987</v>
      </c>
      <c r="CF414" s="93" t="s">
        <v>186</v>
      </c>
      <c r="CG414" s="94" t="s">
        <v>226</v>
      </c>
      <c r="CH414" s="95" t="s">
        <v>153</v>
      </c>
      <c r="CI414" s="96" t="s">
        <v>153</v>
      </c>
      <c r="CJ414" s="97" t="s">
        <v>225</v>
      </c>
      <c r="CK414" s="98">
        <v>41969</v>
      </c>
      <c r="CL414" s="99" t="s">
        <v>153</v>
      </c>
      <c r="CM414" s="100" t="s">
        <v>153</v>
      </c>
      <c r="CN414" s="101" t="s">
        <v>190</v>
      </c>
      <c r="CO414" s="102" t="s">
        <v>153</v>
      </c>
      <c r="CP414" s="103" t="s">
        <v>153</v>
      </c>
      <c r="CQ414" s="104" t="s">
        <v>153</v>
      </c>
      <c r="CR414" s="105" t="s">
        <v>153</v>
      </c>
      <c r="CS414" s="106" t="s">
        <v>153</v>
      </c>
      <c r="CT414" s="107" t="s">
        <v>153</v>
      </c>
      <c r="CU414" s="108" t="s">
        <v>153</v>
      </c>
      <c r="CV414" s="109" t="s">
        <v>153</v>
      </c>
      <c r="CW414" s="110" t="s">
        <v>153</v>
      </c>
      <c r="CX414" s="111" t="s">
        <v>153</v>
      </c>
      <c r="CY414" s="112" t="s">
        <v>153</v>
      </c>
      <c r="CZ414" s="113" t="s">
        <v>153</v>
      </c>
      <c r="DA414" s="114" t="s">
        <v>153</v>
      </c>
      <c r="DB414" s="115" t="s">
        <v>153</v>
      </c>
      <c r="DC414" s="116" t="s">
        <v>153</v>
      </c>
      <c r="DD414" s="117" t="s">
        <v>153</v>
      </c>
      <c r="DE414" s="118" t="s">
        <v>153</v>
      </c>
      <c r="DF414" s="119" t="s">
        <v>153</v>
      </c>
      <c r="DG414" s="120" t="s">
        <v>153</v>
      </c>
      <c r="DH414" s="121" t="s">
        <v>153</v>
      </c>
      <c r="DI414" s="122" t="s">
        <v>153</v>
      </c>
      <c r="DJ414" s="123" t="s">
        <v>153</v>
      </c>
      <c r="DK414" s="124" t="s">
        <v>153</v>
      </c>
      <c r="DL414" s="125" t="s">
        <v>153</v>
      </c>
      <c r="DM414" s="126" t="s">
        <v>153</v>
      </c>
      <c r="DN414" s="127" t="s">
        <v>153</v>
      </c>
      <c r="DO414" s="128" t="s">
        <v>153</v>
      </c>
      <c r="DP414" s="129" t="s">
        <v>153</v>
      </c>
      <c r="DQ414" s="130" t="s">
        <v>153</v>
      </c>
      <c r="DR414" s="131" t="s">
        <v>153</v>
      </c>
      <c r="DS414" s="132" t="s">
        <v>153</v>
      </c>
      <c r="DT414" s="133" t="s">
        <v>153</v>
      </c>
      <c r="DU414" s="134" t="s">
        <v>153</v>
      </c>
      <c r="DV414" s="135" t="s">
        <v>153</v>
      </c>
      <c r="DW414" s="136" t="s">
        <v>153</v>
      </c>
      <c r="DX414" s="137" t="s">
        <v>153</v>
      </c>
      <c r="DY414" s="138" t="s">
        <v>153</v>
      </c>
      <c r="DZ414" s="139" t="s">
        <v>191</v>
      </c>
      <c r="EA414" s="140">
        <v>44291</v>
      </c>
      <c r="EB414" s="141">
        <v>9987</v>
      </c>
      <c r="EC414" s="142">
        <v>41969</v>
      </c>
      <c r="ED414" s="143" t="s">
        <v>226</v>
      </c>
      <c r="EE414" s="278" t="str">
        <f>HYPERLINK("https://my.pitchbook.com?c=41485-51", "View company online")</f>
        <v>View company online</v>
      </c>
    </row>
    <row r="415" spans="1:135" x14ac:dyDescent="0.45">
      <c r="A415" s="144" t="s">
        <v>8697</v>
      </c>
      <c r="B415" s="145" t="s">
        <v>8698</v>
      </c>
      <c r="C415" s="146" t="s">
        <v>153</v>
      </c>
      <c r="D415" s="147" t="s">
        <v>153</v>
      </c>
      <c r="E415" s="148" t="s">
        <v>153</v>
      </c>
      <c r="F415" s="149" t="s">
        <v>153</v>
      </c>
      <c r="G415" s="150" t="s">
        <v>8699</v>
      </c>
      <c r="H415" s="151" t="s">
        <v>8700</v>
      </c>
      <c r="I415" s="152" t="s">
        <v>8697</v>
      </c>
      <c r="J415" s="153" t="s">
        <v>8701</v>
      </c>
      <c r="K415" s="154" t="s">
        <v>198</v>
      </c>
      <c r="L415" s="155" t="s">
        <v>984</v>
      </c>
      <c r="M415" s="156" t="s">
        <v>3544</v>
      </c>
      <c r="N415" s="157" t="s">
        <v>8702</v>
      </c>
      <c r="O415" s="158" t="s">
        <v>8703</v>
      </c>
      <c r="P415" s="159" t="s">
        <v>8704</v>
      </c>
      <c r="Q415" s="160" t="s">
        <v>289</v>
      </c>
      <c r="R415" s="161">
        <v>45.58</v>
      </c>
      <c r="S415" s="162" t="s">
        <v>163</v>
      </c>
      <c r="T415" s="163" t="s">
        <v>205</v>
      </c>
      <c r="U415" s="164" t="s">
        <v>941</v>
      </c>
      <c r="V415" s="165" t="s">
        <v>8705</v>
      </c>
      <c r="W415" s="166">
        <v>12000</v>
      </c>
      <c r="X415" s="167" t="s">
        <v>8706</v>
      </c>
      <c r="Y415" s="168" t="s">
        <v>153</v>
      </c>
      <c r="Z415" s="169" t="s">
        <v>153</v>
      </c>
      <c r="AA415" s="170">
        <v>1987</v>
      </c>
      <c r="AB415" s="171" t="s">
        <v>8707</v>
      </c>
      <c r="AC415" s="172" t="s">
        <v>153</v>
      </c>
      <c r="AD415" s="173" t="s">
        <v>428</v>
      </c>
      <c r="AE415" s="174" t="s">
        <v>153</v>
      </c>
      <c r="AF415" s="175" t="s">
        <v>153</v>
      </c>
      <c r="AG415" s="176" t="s">
        <v>153</v>
      </c>
      <c r="AH415" s="177" t="s">
        <v>153</v>
      </c>
      <c r="AI415" s="178" t="s">
        <v>153</v>
      </c>
      <c r="AJ415" s="179" t="s">
        <v>153</v>
      </c>
      <c r="AK415" s="180" t="s">
        <v>153</v>
      </c>
      <c r="AL415" s="181" t="s">
        <v>153</v>
      </c>
      <c r="AM415" s="182" t="s">
        <v>153</v>
      </c>
      <c r="AN415" s="183" t="s">
        <v>4923</v>
      </c>
      <c r="AO415" s="184" t="s">
        <v>8708</v>
      </c>
      <c r="AP415" s="185" t="s">
        <v>8709</v>
      </c>
      <c r="AQ415" s="186" t="s">
        <v>6548</v>
      </c>
      <c r="AR415" s="187" t="s">
        <v>153</v>
      </c>
      <c r="AS415" s="188" t="s">
        <v>153</v>
      </c>
      <c r="AT415" s="189" t="s">
        <v>7332</v>
      </c>
      <c r="AU415" s="190" t="s">
        <v>8710</v>
      </c>
      <c r="AV415" s="191" t="s">
        <v>153</v>
      </c>
      <c r="AW415" s="192" t="s">
        <v>7335</v>
      </c>
      <c r="AX415" s="193" t="s">
        <v>308</v>
      </c>
      <c r="AY415" s="194" t="s">
        <v>7336</v>
      </c>
      <c r="AZ415" s="195" t="s">
        <v>215</v>
      </c>
      <c r="BA415" s="196" t="s">
        <v>153</v>
      </c>
      <c r="BB415" s="197" t="s">
        <v>153</v>
      </c>
      <c r="BC415" s="198" t="s">
        <v>153</v>
      </c>
      <c r="BD415" s="199" t="s">
        <v>216</v>
      </c>
      <c r="BE415" s="200" t="s">
        <v>217</v>
      </c>
      <c r="BF415" s="201" t="s">
        <v>8711</v>
      </c>
      <c r="BG415" s="202" t="s">
        <v>153</v>
      </c>
      <c r="BH415" s="203" t="s">
        <v>153</v>
      </c>
      <c r="BI415" s="204" t="s">
        <v>8707</v>
      </c>
      <c r="BJ415" s="205" t="s">
        <v>8712</v>
      </c>
      <c r="BK415" s="206" t="s">
        <v>153</v>
      </c>
      <c r="BL415" s="207" t="s">
        <v>153</v>
      </c>
      <c r="BM415" s="208" t="s">
        <v>8713</v>
      </c>
      <c r="BN415" s="209" t="s">
        <v>153</v>
      </c>
      <c r="BO415" s="210" t="s">
        <v>8714</v>
      </c>
      <c r="BP415" s="211" t="s">
        <v>8715</v>
      </c>
      <c r="BQ415" s="212">
        <v>33351</v>
      </c>
      <c r="BR415" s="213">
        <v>5</v>
      </c>
      <c r="BS415" s="214" t="s">
        <v>186</v>
      </c>
      <c r="BT415" s="215">
        <v>45.45</v>
      </c>
      <c r="BU415" s="216" t="s">
        <v>186</v>
      </c>
      <c r="BV415" s="217" t="s">
        <v>905</v>
      </c>
      <c r="BW415" s="218" t="s">
        <v>1811</v>
      </c>
      <c r="BX415" s="219" t="s">
        <v>153</v>
      </c>
      <c r="BY415" s="220" t="s">
        <v>472</v>
      </c>
      <c r="BZ415" s="221" t="s">
        <v>153</v>
      </c>
      <c r="CA415" s="222" t="s">
        <v>190</v>
      </c>
      <c r="CB415" s="223">
        <v>38359</v>
      </c>
      <c r="CC415" s="224">
        <v>9957</v>
      </c>
      <c r="CD415" s="225" t="s">
        <v>186</v>
      </c>
      <c r="CE415" s="226">
        <v>9957</v>
      </c>
      <c r="CF415" s="227" t="s">
        <v>186</v>
      </c>
      <c r="CG415" s="228" t="s">
        <v>226</v>
      </c>
      <c r="CH415" s="229" t="s">
        <v>153</v>
      </c>
      <c r="CI415" s="230" t="s">
        <v>153</v>
      </c>
      <c r="CJ415" s="231" t="s">
        <v>225</v>
      </c>
      <c r="CK415" s="232">
        <v>38359</v>
      </c>
      <c r="CL415" s="233" t="s">
        <v>153</v>
      </c>
      <c r="CM415" s="234" t="s">
        <v>153</v>
      </c>
      <c r="CN415" s="235" t="s">
        <v>190</v>
      </c>
      <c r="CO415" s="236" t="s">
        <v>153</v>
      </c>
      <c r="CP415" s="237" t="s">
        <v>153</v>
      </c>
      <c r="CQ415" s="238" t="s">
        <v>153</v>
      </c>
      <c r="CR415" s="239" t="s">
        <v>153</v>
      </c>
      <c r="CS415" s="240" t="s">
        <v>153</v>
      </c>
      <c r="CT415" s="241" t="s">
        <v>153</v>
      </c>
      <c r="CU415" s="242" t="s">
        <v>153</v>
      </c>
      <c r="CV415" s="243" t="s">
        <v>153</v>
      </c>
      <c r="CW415" s="244" t="s">
        <v>153</v>
      </c>
      <c r="CX415" s="245" t="s">
        <v>153</v>
      </c>
      <c r="CY415" s="246" t="s">
        <v>153</v>
      </c>
      <c r="CZ415" s="247" t="s">
        <v>153</v>
      </c>
      <c r="DA415" s="248" t="s">
        <v>153</v>
      </c>
      <c r="DB415" s="249" t="s">
        <v>153</v>
      </c>
      <c r="DC415" s="250" t="s">
        <v>153</v>
      </c>
      <c r="DD415" s="251" t="s">
        <v>153</v>
      </c>
      <c r="DE415" s="252" t="s">
        <v>153</v>
      </c>
      <c r="DF415" s="253" t="s">
        <v>153</v>
      </c>
      <c r="DG415" s="254" t="s">
        <v>153</v>
      </c>
      <c r="DH415" s="255" t="s">
        <v>153</v>
      </c>
      <c r="DI415" s="256" t="s">
        <v>153</v>
      </c>
      <c r="DJ415" s="257" t="s">
        <v>153</v>
      </c>
      <c r="DK415" s="258" t="s">
        <v>153</v>
      </c>
      <c r="DL415" s="259" t="s">
        <v>153</v>
      </c>
      <c r="DM415" s="260" t="s">
        <v>153</v>
      </c>
      <c r="DN415" s="261" t="s">
        <v>153</v>
      </c>
      <c r="DO415" s="262" t="s">
        <v>153</v>
      </c>
      <c r="DP415" s="263" t="s">
        <v>153</v>
      </c>
      <c r="DQ415" s="264" t="s">
        <v>153</v>
      </c>
      <c r="DR415" s="265" t="s">
        <v>153</v>
      </c>
      <c r="DS415" s="266" t="s">
        <v>153</v>
      </c>
      <c r="DT415" s="267" t="s">
        <v>153</v>
      </c>
      <c r="DU415" s="268" t="s">
        <v>153</v>
      </c>
      <c r="DV415" s="269" t="s">
        <v>153</v>
      </c>
      <c r="DW415" s="270" t="s">
        <v>153</v>
      </c>
      <c r="DX415" s="271" t="s">
        <v>153</v>
      </c>
      <c r="DY415" s="272" t="s">
        <v>153</v>
      </c>
      <c r="DZ415" s="273" t="s">
        <v>191</v>
      </c>
      <c r="EA415" s="274">
        <v>44294</v>
      </c>
      <c r="EB415" s="275">
        <v>9957</v>
      </c>
      <c r="EC415" s="276">
        <v>38359</v>
      </c>
      <c r="ED415" s="277" t="s">
        <v>226</v>
      </c>
      <c r="EE415" s="279" t="str">
        <f>HYPERLINK("https://my.pitchbook.com?c=51131-35", "View company online")</f>
        <v>View company online</v>
      </c>
    </row>
    <row r="416" spans="1:135" x14ac:dyDescent="0.45">
      <c r="A416" s="10" t="s">
        <v>8716</v>
      </c>
      <c r="B416" s="11" t="s">
        <v>8717</v>
      </c>
      <c r="C416" s="12" t="s">
        <v>153</v>
      </c>
      <c r="D416" s="13" t="s">
        <v>153</v>
      </c>
      <c r="E416" s="14" t="s">
        <v>8718</v>
      </c>
      <c r="F416" s="15" t="s">
        <v>153</v>
      </c>
      <c r="G416" s="16" t="s">
        <v>8719</v>
      </c>
      <c r="H416" s="17" t="s">
        <v>8720</v>
      </c>
      <c r="I416" s="18" t="s">
        <v>8716</v>
      </c>
      <c r="J416" s="19" t="s">
        <v>8721</v>
      </c>
      <c r="K416" s="20" t="s">
        <v>792</v>
      </c>
      <c r="L416" s="21" t="s">
        <v>841</v>
      </c>
      <c r="M416" s="22" t="s">
        <v>842</v>
      </c>
      <c r="N416" s="23" t="s">
        <v>843</v>
      </c>
      <c r="O416" s="24" t="s">
        <v>1119</v>
      </c>
      <c r="P416" s="25" t="s">
        <v>8722</v>
      </c>
      <c r="Q416" s="26" t="s">
        <v>564</v>
      </c>
      <c r="R416" s="27">
        <v>250</v>
      </c>
      <c r="S416" s="28" t="s">
        <v>290</v>
      </c>
      <c r="T416" s="29" t="s">
        <v>1392</v>
      </c>
      <c r="U416" s="30" t="s">
        <v>165</v>
      </c>
      <c r="V416" s="31" t="s">
        <v>8723</v>
      </c>
      <c r="W416" s="32" t="s">
        <v>153</v>
      </c>
      <c r="X416" s="33" t="s">
        <v>153</v>
      </c>
      <c r="Y416" s="34" t="s">
        <v>153</v>
      </c>
      <c r="Z416" s="35" t="s">
        <v>153</v>
      </c>
      <c r="AA416" s="36">
        <v>2010</v>
      </c>
      <c r="AB416" s="37" t="s">
        <v>8724</v>
      </c>
      <c r="AC416" s="38" t="s">
        <v>153</v>
      </c>
      <c r="AD416" s="39" t="s">
        <v>153</v>
      </c>
      <c r="AE416" s="40" t="s">
        <v>153</v>
      </c>
      <c r="AF416" s="41" t="s">
        <v>153</v>
      </c>
      <c r="AG416" s="42" t="s">
        <v>153</v>
      </c>
      <c r="AH416" s="43" t="s">
        <v>153</v>
      </c>
      <c r="AI416" s="44" t="s">
        <v>153</v>
      </c>
      <c r="AJ416" s="45" t="s">
        <v>153</v>
      </c>
      <c r="AK416" s="46" t="s">
        <v>153</v>
      </c>
      <c r="AL416" s="47" t="s">
        <v>153</v>
      </c>
      <c r="AM416" s="48" t="s">
        <v>153</v>
      </c>
      <c r="AN416" s="49" t="s">
        <v>153</v>
      </c>
      <c r="AO416" s="50" t="s">
        <v>8725</v>
      </c>
      <c r="AP416" s="51" t="s">
        <v>8726</v>
      </c>
      <c r="AQ416" s="52" t="s">
        <v>8727</v>
      </c>
      <c r="AR416" s="53" t="s">
        <v>8728</v>
      </c>
      <c r="AS416" s="54" t="s">
        <v>8729</v>
      </c>
      <c r="AT416" s="55" t="s">
        <v>1287</v>
      </c>
      <c r="AU416" s="56" t="s">
        <v>8730</v>
      </c>
      <c r="AV416" s="57" t="s">
        <v>8731</v>
      </c>
      <c r="AW416" s="58" t="s">
        <v>1290</v>
      </c>
      <c r="AX416" s="59" t="s">
        <v>1291</v>
      </c>
      <c r="AY416" s="60" t="s">
        <v>1292</v>
      </c>
      <c r="AZ416" s="61" t="s">
        <v>215</v>
      </c>
      <c r="BA416" s="62" t="s">
        <v>8732</v>
      </c>
      <c r="BB416" s="63" t="s">
        <v>8733</v>
      </c>
      <c r="BC416" s="64" t="s">
        <v>8734</v>
      </c>
      <c r="BD416" s="65" t="s">
        <v>216</v>
      </c>
      <c r="BE416" s="66" t="s">
        <v>217</v>
      </c>
      <c r="BF416" s="67" t="s">
        <v>8735</v>
      </c>
      <c r="BG416" s="68" t="s">
        <v>153</v>
      </c>
      <c r="BH416" s="69" t="s">
        <v>153</v>
      </c>
      <c r="BI416" s="70" t="s">
        <v>8724</v>
      </c>
      <c r="BJ416" s="71" t="s">
        <v>8736</v>
      </c>
      <c r="BK416" s="72" t="s">
        <v>153</v>
      </c>
      <c r="BL416" s="73" t="s">
        <v>153</v>
      </c>
      <c r="BM416" s="74" t="s">
        <v>8737</v>
      </c>
      <c r="BN416" s="75" t="s">
        <v>153</v>
      </c>
      <c r="BO416" s="76" t="s">
        <v>153</v>
      </c>
      <c r="BP416" s="77" t="s">
        <v>8738</v>
      </c>
      <c r="BQ416" s="78">
        <v>40391</v>
      </c>
      <c r="BR416" s="79" t="s">
        <v>153</v>
      </c>
      <c r="BS416" s="80" t="s">
        <v>153</v>
      </c>
      <c r="BT416" s="81" t="s">
        <v>153</v>
      </c>
      <c r="BU416" s="82" t="s">
        <v>153</v>
      </c>
      <c r="BV416" s="83" t="s">
        <v>709</v>
      </c>
      <c r="BW416" s="84" t="s">
        <v>153</v>
      </c>
      <c r="BX416" s="85" t="s">
        <v>153</v>
      </c>
      <c r="BY416" s="86" t="s">
        <v>165</v>
      </c>
      <c r="BZ416" s="87" t="s">
        <v>153</v>
      </c>
      <c r="CA416" s="88" t="s">
        <v>190</v>
      </c>
      <c r="CB416" s="89">
        <v>42648</v>
      </c>
      <c r="CC416" s="90">
        <v>9910.2999999999993</v>
      </c>
      <c r="CD416" s="91" t="s">
        <v>186</v>
      </c>
      <c r="CE416" s="92">
        <v>9910.2999999999993</v>
      </c>
      <c r="CF416" s="93" t="s">
        <v>187</v>
      </c>
      <c r="CG416" s="94" t="s">
        <v>226</v>
      </c>
      <c r="CH416" s="95" t="s">
        <v>153</v>
      </c>
      <c r="CI416" s="96" t="s">
        <v>153</v>
      </c>
      <c r="CJ416" s="97" t="s">
        <v>225</v>
      </c>
      <c r="CK416" s="98">
        <v>42648</v>
      </c>
      <c r="CL416" s="99" t="s">
        <v>153</v>
      </c>
      <c r="CM416" s="100" t="s">
        <v>153</v>
      </c>
      <c r="CN416" s="101" t="s">
        <v>190</v>
      </c>
      <c r="CO416" s="102" t="s">
        <v>153</v>
      </c>
      <c r="CP416" s="103" t="s">
        <v>153</v>
      </c>
      <c r="CQ416" s="104" t="s">
        <v>153</v>
      </c>
      <c r="CR416" s="105" t="s">
        <v>153</v>
      </c>
      <c r="CS416" s="106" t="s">
        <v>153</v>
      </c>
      <c r="CT416" s="107" t="s">
        <v>153</v>
      </c>
      <c r="CU416" s="108" t="s">
        <v>153</v>
      </c>
      <c r="CV416" s="109" t="s">
        <v>153</v>
      </c>
      <c r="CW416" s="110" t="s">
        <v>153</v>
      </c>
      <c r="CX416" s="111" t="s">
        <v>153</v>
      </c>
      <c r="CY416" s="112" t="s">
        <v>153</v>
      </c>
      <c r="CZ416" s="113" t="s">
        <v>153</v>
      </c>
      <c r="DA416" s="114" t="s">
        <v>153</v>
      </c>
      <c r="DB416" s="115" t="s">
        <v>153</v>
      </c>
      <c r="DC416" s="116" t="s">
        <v>153</v>
      </c>
      <c r="DD416" s="117" t="s">
        <v>153</v>
      </c>
      <c r="DE416" s="118" t="s">
        <v>153</v>
      </c>
      <c r="DF416" s="119" t="s">
        <v>153</v>
      </c>
      <c r="DG416" s="120" t="s">
        <v>153</v>
      </c>
      <c r="DH416" s="121" t="s">
        <v>153</v>
      </c>
      <c r="DI416" s="122" t="s">
        <v>153</v>
      </c>
      <c r="DJ416" s="123" t="s">
        <v>153</v>
      </c>
      <c r="DK416" s="124" t="s">
        <v>153</v>
      </c>
      <c r="DL416" s="125" t="s">
        <v>153</v>
      </c>
      <c r="DM416" s="126" t="s">
        <v>153</v>
      </c>
      <c r="DN416" s="127" t="s">
        <v>153</v>
      </c>
      <c r="DO416" s="128" t="s">
        <v>153</v>
      </c>
      <c r="DP416" s="129" t="s">
        <v>153</v>
      </c>
      <c r="DQ416" s="130" t="s">
        <v>153</v>
      </c>
      <c r="DR416" s="131" t="s">
        <v>153</v>
      </c>
      <c r="DS416" s="132" t="s">
        <v>153</v>
      </c>
      <c r="DT416" s="133" t="s">
        <v>153</v>
      </c>
      <c r="DU416" s="134" t="s">
        <v>153</v>
      </c>
      <c r="DV416" s="135" t="s">
        <v>153</v>
      </c>
      <c r="DW416" s="136" t="s">
        <v>153</v>
      </c>
      <c r="DX416" s="137" t="s">
        <v>153</v>
      </c>
      <c r="DY416" s="138" t="s">
        <v>153</v>
      </c>
      <c r="DZ416" s="139" t="s">
        <v>191</v>
      </c>
      <c r="EA416" s="140">
        <v>44350</v>
      </c>
      <c r="EB416" s="141">
        <v>9910.2999999999993</v>
      </c>
      <c r="EC416" s="142">
        <v>42648</v>
      </c>
      <c r="ED416" s="143" t="s">
        <v>226</v>
      </c>
      <c r="EE416" s="278" t="str">
        <f>HYPERLINK("https://my.pitchbook.com?c=51469-12", "View company online")</f>
        <v>View company online</v>
      </c>
    </row>
    <row r="417" spans="1:135" x14ac:dyDescent="0.45">
      <c r="A417" s="144" t="s">
        <v>8739</v>
      </c>
      <c r="B417" s="145" t="s">
        <v>8740</v>
      </c>
      <c r="C417" s="146" t="s">
        <v>153</v>
      </c>
      <c r="D417" s="147" t="s">
        <v>153</v>
      </c>
      <c r="E417" s="148" t="s">
        <v>8741</v>
      </c>
      <c r="F417" s="149" t="s">
        <v>8742</v>
      </c>
      <c r="G417" s="150" t="s">
        <v>8743</v>
      </c>
      <c r="H417" s="151" t="s">
        <v>8744</v>
      </c>
      <c r="I417" s="152" t="s">
        <v>8739</v>
      </c>
      <c r="J417" s="153" t="s">
        <v>8745</v>
      </c>
      <c r="K417" s="154" t="s">
        <v>257</v>
      </c>
      <c r="L417" s="155" t="s">
        <v>258</v>
      </c>
      <c r="M417" s="156" t="s">
        <v>259</v>
      </c>
      <c r="N417" s="157" t="s">
        <v>260</v>
      </c>
      <c r="O417" s="158" t="s">
        <v>153</v>
      </c>
      <c r="P417" s="159" t="s">
        <v>8746</v>
      </c>
      <c r="Q417" s="160" t="s">
        <v>204</v>
      </c>
      <c r="R417" s="161" t="s">
        <v>153</v>
      </c>
      <c r="S417" s="162" t="s">
        <v>290</v>
      </c>
      <c r="T417" s="163" t="s">
        <v>164</v>
      </c>
      <c r="U417" s="164" t="s">
        <v>369</v>
      </c>
      <c r="V417" s="165" t="s">
        <v>8747</v>
      </c>
      <c r="W417" s="166">
        <v>4500</v>
      </c>
      <c r="X417" s="167" t="s">
        <v>8748</v>
      </c>
      <c r="Y417" s="168" t="s">
        <v>153</v>
      </c>
      <c r="Z417" s="169" t="s">
        <v>153</v>
      </c>
      <c r="AA417" s="170">
        <v>1954</v>
      </c>
      <c r="AB417" s="171" t="s">
        <v>6916</v>
      </c>
      <c r="AC417" s="172" t="s">
        <v>153</v>
      </c>
      <c r="AD417" s="173" t="s">
        <v>153</v>
      </c>
      <c r="AE417" s="174" t="s">
        <v>153</v>
      </c>
      <c r="AF417" s="175" t="s">
        <v>153</v>
      </c>
      <c r="AG417" s="176" t="s">
        <v>153</v>
      </c>
      <c r="AH417" s="177" t="s">
        <v>153</v>
      </c>
      <c r="AI417" s="178" t="s">
        <v>153</v>
      </c>
      <c r="AJ417" s="179" t="s">
        <v>153</v>
      </c>
      <c r="AK417" s="180" t="s">
        <v>153</v>
      </c>
      <c r="AL417" s="181" t="s">
        <v>153</v>
      </c>
      <c r="AM417" s="182" t="s">
        <v>153</v>
      </c>
      <c r="AN417" s="183" t="s">
        <v>5666</v>
      </c>
      <c r="AO417" s="184" t="s">
        <v>153</v>
      </c>
      <c r="AP417" s="185" t="s">
        <v>153</v>
      </c>
      <c r="AQ417" s="186" t="s">
        <v>153</v>
      </c>
      <c r="AR417" s="187" t="s">
        <v>153</v>
      </c>
      <c r="AS417" s="188" t="s">
        <v>153</v>
      </c>
      <c r="AT417" s="189" t="s">
        <v>8749</v>
      </c>
      <c r="AU417" s="190" t="s">
        <v>8750</v>
      </c>
      <c r="AV417" s="191" t="s">
        <v>153</v>
      </c>
      <c r="AW417" s="192" t="s">
        <v>8751</v>
      </c>
      <c r="AX417" s="193" t="s">
        <v>153</v>
      </c>
      <c r="AY417" s="194" t="s">
        <v>8752</v>
      </c>
      <c r="AZ417" s="195" t="s">
        <v>8753</v>
      </c>
      <c r="BA417" s="196" t="s">
        <v>153</v>
      </c>
      <c r="BB417" s="197" t="s">
        <v>153</v>
      </c>
      <c r="BC417" s="198" t="s">
        <v>153</v>
      </c>
      <c r="BD417" s="199" t="s">
        <v>180</v>
      </c>
      <c r="BE417" s="200" t="s">
        <v>2051</v>
      </c>
      <c r="BF417" s="201" t="s">
        <v>8754</v>
      </c>
      <c r="BG417" s="202" t="s">
        <v>8755</v>
      </c>
      <c r="BH417" s="203">
        <v>1</v>
      </c>
      <c r="BI417" s="204" t="s">
        <v>6916</v>
      </c>
      <c r="BJ417" s="205" t="s">
        <v>8756</v>
      </c>
      <c r="BK417" s="206" t="s">
        <v>8757</v>
      </c>
      <c r="BL417" s="207" t="s">
        <v>8758</v>
      </c>
      <c r="BM417" s="208" t="s">
        <v>8759</v>
      </c>
      <c r="BN417" s="209" t="s">
        <v>8760</v>
      </c>
      <c r="BO417" s="210" t="s">
        <v>8761</v>
      </c>
      <c r="BP417" s="211" t="s">
        <v>8762</v>
      </c>
      <c r="BQ417" s="212">
        <v>33587</v>
      </c>
      <c r="BR417" s="213" t="s">
        <v>153</v>
      </c>
      <c r="BS417" s="214" t="s">
        <v>153</v>
      </c>
      <c r="BT417" s="215" t="s">
        <v>153</v>
      </c>
      <c r="BU417" s="216" t="s">
        <v>153</v>
      </c>
      <c r="BV417" s="217" t="s">
        <v>188</v>
      </c>
      <c r="BW417" s="218" t="s">
        <v>153</v>
      </c>
      <c r="BX417" s="219" t="s">
        <v>153</v>
      </c>
      <c r="BY417" s="220" t="s">
        <v>165</v>
      </c>
      <c r="BZ417" s="221" t="s">
        <v>153</v>
      </c>
      <c r="CA417" s="222" t="s">
        <v>190</v>
      </c>
      <c r="CB417" s="223">
        <v>42587</v>
      </c>
      <c r="CC417" s="224">
        <v>9900</v>
      </c>
      <c r="CD417" s="225" t="s">
        <v>186</v>
      </c>
      <c r="CE417" s="226">
        <v>10531.91</v>
      </c>
      <c r="CF417" s="227" t="s">
        <v>187</v>
      </c>
      <c r="CG417" s="228" t="s">
        <v>226</v>
      </c>
      <c r="CH417" s="229" t="s">
        <v>153</v>
      </c>
      <c r="CI417" s="230" t="s">
        <v>153</v>
      </c>
      <c r="CJ417" s="231" t="s">
        <v>225</v>
      </c>
      <c r="CK417" s="232">
        <v>42587</v>
      </c>
      <c r="CL417" s="233" t="s">
        <v>153</v>
      </c>
      <c r="CM417" s="234" t="s">
        <v>1607</v>
      </c>
      <c r="CN417" s="235" t="s">
        <v>190</v>
      </c>
      <c r="CO417" s="236">
        <v>0.11</v>
      </c>
      <c r="CP417" s="237">
        <v>89</v>
      </c>
      <c r="CQ417" s="238">
        <v>-0.16</v>
      </c>
      <c r="CR417" s="239">
        <v>-59.84</v>
      </c>
      <c r="CS417" s="240">
        <v>0.11</v>
      </c>
      <c r="CT417" s="241">
        <v>90</v>
      </c>
      <c r="CU417" s="242" t="s">
        <v>153</v>
      </c>
      <c r="CV417" s="243" t="s">
        <v>153</v>
      </c>
      <c r="CW417" s="244" t="s">
        <v>153</v>
      </c>
      <c r="CX417" s="245" t="s">
        <v>153</v>
      </c>
      <c r="CY417" s="246">
        <v>0.11</v>
      </c>
      <c r="CZ417" s="247">
        <v>91</v>
      </c>
      <c r="DA417" s="248" t="s">
        <v>153</v>
      </c>
      <c r="DB417" s="249" t="s">
        <v>153</v>
      </c>
      <c r="DC417" s="250">
        <v>14.81</v>
      </c>
      <c r="DD417" s="251">
        <v>94</v>
      </c>
      <c r="DE417" s="252">
        <v>-0.06</v>
      </c>
      <c r="DF417" s="253">
        <v>-0.42</v>
      </c>
      <c r="DG417" s="254">
        <v>14.81</v>
      </c>
      <c r="DH417" s="255">
        <v>94</v>
      </c>
      <c r="DI417" s="256" t="s">
        <v>153</v>
      </c>
      <c r="DJ417" s="257" t="s">
        <v>153</v>
      </c>
      <c r="DK417" s="258" t="s">
        <v>153</v>
      </c>
      <c r="DL417" s="259" t="s">
        <v>153</v>
      </c>
      <c r="DM417" s="260">
        <v>14.81</v>
      </c>
      <c r="DN417" s="261">
        <v>93</v>
      </c>
      <c r="DO417" s="262" t="s">
        <v>153</v>
      </c>
      <c r="DP417" s="263" t="s">
        <v>153</v>
      </c>
      <c r="DQ417" s="264" t="s">
        <v>153</v>
      </c>
      <c r="DR417" s="265" t="s">
        <v>153</v>
      </c>
      <c r="DS417" s="266" t="s">
        <v>153</v>
      </c>
      <c r="DT417" s="267">
        <v>237</v>
      </c>
      <c r="DU417" s="268">
        <v>-1</v>
      </c>
      <c r="DV417" s="269">
        <v>-0.42</v>
      </c>
      <c r="DW417" s="270" t="s">
        <v>153</v>
      </c>
      <c r="DX417" s="271" t="s">
        <v>153</v>
      </c>
      <c r="DY417" s="272" t="s">
        <v>153</v>
      </c>
      <c r="DZ417" s="273" t="s">
        <v>191</v>
      </c>
      <c r="EA417" s="274">
        <v>44301</v>
      </c>
      <c r="EB417" s="275">
        <v>10531.91</v>
      </c>
      <c r="EC417" s="276">
        <v>42587</v>
      </c>
      <c r="ED417" s="277" t="s">
        <v>226</v>
      </c>
      <c r="EE417" s="279" t="str">
        <f>HYPERLINK("https://my.pitchbook.com?c=40641-94", "View company online")</f>
        <v>View company online</v>
      </c>
    </row>
    <row r="418" spans="1:135" x14ac:dyDescent="0.45">
      <c r="A418" s="10" t="s">
        <v>8763</v>
      </c>
      <c r="B418" s="11" t="s">
        <v>8764</v>
      </c>
      <c r="C418" s="12" t="s">
        <v>153</v>
      </c>
      <c r="D418" s="13" t="s">
        <v>153</v>
      </c>
      <c r="E418" s="14" t="s">
        <v>8765</v>
      </c>
      <c r="F418" s="15" t="s">
        <v>8766</v>
      </c>
      <c r="G418" s="16" t="s">
        <v>8767</v>
      </c>
      <c r="H418" s="17" t="s">
        <v>153</v>
      </c>
      <c r="I418" s="18" t="s">
        <v>8763</v>
      </c>
      <c r="J418" s="19" t="s">
        <v>8768</v>
      </c>
      <c r="K418" s="20" t="s">
        <v>882</v>
      </c>
      <c r="L418" s="21" t="s">
        <v>883</v>
      </c>
      <c r="M418" s="22" t="s">
        <v>1369</v>
      </c>
      <c r="N418" s="23" t="s">
        <v>8769</v>
      </c>
      <c r="O418" s="24" t="s">
        <v>1088</v>
      </c>
      <c r="P418" s="25" t="s">
        <v>8770</v>
      </c>
      <c r="Q418" s="26" t="s">
        <v>204</v>
      </c>
      <c r="R418" s="27" t="s">
        <v>153</v>
      </c>
      <c r="S418" s="28" t="s">
        <v>290</v>
      </c>
      <c r="T418" s="29" t="s">
        <v>205</v>
      </c>
      <c r="U418" s="30" t="s">
        <v>237</v>
      </c>
      <c r="V418" s="31" t="s">
        <v>153</v>
      </c>
      <c r="W418" s="32">
        <v>23000</v>
      </c>
      <c r="X418" s="33" t="s">
        <v>8771</v>
      </c>
      <c r="Y418" s="34" t="s">
        <v>153</v>
      </c>
      <c r="Z418" s="35" t="s">
        <v>153</v>
      </c>
      <c r="AA418" s="36">
        <v>1937</v>
      </c>
      <c r="AB418" s="37" t="s">
        <v>6448</v>
      </c>
      <c r="AC418" s="38" t="s">
        <v>153</v>
      </c>
      <c r="AD418" s="39" t="s">
        <v>153</v>
      </c>
      <c r="AE418" s="40" t="s">
        <v>153</v>
      </c>
      <c r="AF418" s="41" t="s">
        <v>153</v>
      </c>
      <c r="AG418" s="42" t="s">
        <v>153</v>
      </c>
      <c r="AH418" s="43" t="s">
        <v>153</v>
      </c>
      <c r="AI418" s="44" t="s">
        <v>153</v>
      </c>
      <c r="AJ418" s="45" t="s">
        <v>153</v>
      </c>
      <c r="AK418" s="46" t="s">
        <v>153</v>
      </c>
      <c r="AL418" s="47" t="s">
        <v>153</v>
      </c>
      <c r="AM418" s="48" t="s">
        <v>153</v>
      </c>
      <c r="AN418" s="49" t="s">
        <v>8772</v>
      </c>
      <c r="AO418" s="50" t="s">
        <v>8773</v>
      </c>
      <c r="AP418" s="51" t="s">
        <v>8774</v>
      </c>
      <c r="AQ418" s="52" t="s">
        <v>1598</v>
      </c>
      <c r="AR418" s="53" t="s">
        <v>153</v>
      </c>
      <c r="AS418" s="54" t="s">
        <v>153</v>
      </c>
      <c r="AT418" s="55" t="s">
        <v>1124</v>
      </c>
      <c r="AU418" s="56" t="s">
        <v>8775</v>
      </c>
      <c r="AV418" s="57" t="s">
        <v>153</v>
      </c>
      <c r="AW418" s="58" t="s">
        <v>1127</v>
      </c>
      <c r="AX418" s="59" t="s">
        <v>1128</v>
      </c>
      <c r="AY418" s="60" t="s">
        <v>8776</v>
      </c>
      <c r="AZ418" s="61" t="s">
        <v>215</v>
      </c>
      <c r="BA418" s="62" t="s">
        <v>153</v>
      </c>
      <c r="BB418" s="63" t="s">
        <v>153</v>
      </c>
      <c r="BC418" s="64" t="s">
        <v>153</v>
      </c>
      <c r="BD418" s="65" t="s">
        <v>216</v>
      </c>
      <c r="BE418" s="66" t="s">
        <v>217</v>
      </c>
      <c r="BF418" s="67" t="s">
        <v>8777</v>
      </c>
      <c r="BG418" s="68" t="s">
        <v>153</v>
      </c>
      <c r="BH418" s="69" t="s">
        <v>153</v>
      </c>
      <c r="BI418" s="70" t="s">
        <v>6448</v>
      </c>
      <c r="BJ418" s="71" t="s">
        <v>153</v>
      </c>
      <c r="BK418" s="72" t="s">
        <v>153</v>
      </c>
      <c r="BL418" s="73" t="s">
        <v>153</v>
      </c>
      <c r="BM418" s="74" t="s">
        <v>153</v>
      </c>
      <c r="BN418" s="75" t="s">
        <v>153</v>
      </c>
      <c r="BO418" s="76" t="s">
        <v>8778</v>
      </c>
      <c r="BP418" s="77" t="s">
        <v>8779</v>
      </c>
      <c r="BQ418" s="78">
        <v>26451</v>
      </c>
      <c r="BR418" s="79" t="s">
        <v>153</v>
      </c>
      <c r="BS418" s="80" t="s">
        <v>153</v>
      </c>
      <c r="BT418" s="81" t="s">
        <v>153</v>
      </c>
      <c r="BU418" s="82" t="s">
        <v>153</v>
      </c>
      <c r="BV418" s="83" t="s">
        <v>251</v>
      </c>
      <c r="BW418" s="84" t="s">
        <v>153</v>
      </c>
      <c r="BX418" s="85" t="s">
        <v>153</v>
      </c>
      <c r="BY418" s="86" t="s">
        <v>252</v>
      </c>
      <c r="BZ418" s="87" t="s">
        <v>153</v>
      </c>
      <c r="CA418" s="88" t="s">
        <v>190</v>
      </c>
      <c r="CB418" s="89">
        <v>40417</v>
      </c>
      <c r="CC418" s="90">
        <v>9828</v>
      </c>
      <c r="CD418" s="91" t="s">
        <v>186</v>
      </c>
      <c r="CE418" s="92">
        <v>9828</v>
      </c>
      <c r="CF418" s="93" t="s">
        <v>186</v>
      </c>
      <c r="CG418" s="94" t="s">
        <v>226</v>
      </c>
      <c r="CH418" s="95" t="s">
        <v>153</v>
      </c>
      <c r="CI418" s="96" t="s">
        <v>153</v>
      </c>
      <c r="CJ418" s="97" t="s">
        <v>225</v>
      </c>
      <c r="CK418" s="98">
        <v>40417</v>
      </c>
      <c r="CL418" s="99" t="s">
        <v>153</v>
      </c>
      <c r="CM418" s="100" t="s">
        <v>153</v>
      </c>
      <c r="CN418" s="101" t="s">
        <v>190</v>
      </c>
      <c r="CO418" s="102" t="s">
        <v>153</v>
      </c>
      <c r="CP418" s="103" t="s">
        <v>153</v>
      </c>
      <c r="CQ418" s="104" t="s">
        <v>153</v>
      </c>
      <c r="CR418" s="105" t="s">
        <v>153</v>
      </c>
      <c r="CS418" s="106" t="s">
        <v>153</v>
      </c>
      <c r="CT418" s="107" t="s">
        <v>153</v>
      </c>
      <c r="CU418" s="108" t="s">
        <v>153</v>
      </c>
      <c r="CV418" s="109" t="s">
        <v>153</v>
      </c>
      <c r="CW418" s="110" t="s">
        <v>153</v>
      </c>
      <c r="CX418" s="111" t="s">
        <v>153</v>
      </c>
      <c r="CY418" s="112" t="s">
        <v>153</v>
      </c>
      <c r="CZ418" s="113" t="s">
        <v>153</v>
      </c>
      <c r="DA418" s="114" t="s">
        <v>153</v>
      </c>
      <c r="DB418" s="115" t="s">
        <v>153</v>
      </c>
      <c r="DC418" s="116" t="s">
        <v>153</v>
      </c>
      <c r="DD418" s="117" t="s">
        <v>153</v>
      </c>
      <c r="DE418" s="118" t="s">
        <v>153</v>
      </c>
      <c r="DF418" s="119" t="s">
        <v>153</v>
      </c>
      <c r="DG418" s="120" t="s">
        <v>153</v>
      </c>
      <c r="DH418" s="121" t="s">
        <v>153</v>
      </c>
      <c r="DI418" s="122" t="s">
        <v>153</v>
      </c>
      <c r="DJ418" s="123" t="s">
        <v>153</v>
      </c>
      <c r="DK418" s="124" t="s">
        <v>153</v>
      </c>
      <c r="DL418" s="125" t="s">
        <v>153</v>
      </c>
      <c r="DM418" s="126" t="s">
        <v>153</v>
      </c>
      <c r="DN418" s="127" t="s">
        <v>153</v>
      </c>
      <c r="DO418" s="128" t="s">
        <v>153</v>
      </c>
      <c r="DP418" s="129" t="s">
        <v>153</v>
      </c>
      <c r="DQ418" s="130" t="s">
        <v>153</v>
      </c>
      <c r="DR418" s="131" t="s">
        <v>153</v>
      </c>
      <c r="DS418" s="132" t="s">
        <v>153</v>
      </c>
      <c r="DT418" s="133" t="s">
        <v>153</v>
      </c>
      <c r="DU418" s="134" t="s">
        <v>153</v>
      </c>
      <c r="DV418" s="135" t="s">
        <v>153</v>
      </c>
      <c r="DW418" s="136" t="s">
        <v>153</v>
      </c>
      <c r="DX418" s="137" t="s">
        <v>153</v>
      </c>
      <c r="DY418" s="138" t="s">
        <v>153</v>
      </c>
      <c r="DZ418" s="139" t="s">
        <v>191</v>
      </c>
      <c r="EA418" s="140">
        <v>44294</v>
      </c>
      <c r="EB418" s="141">
        <v>9828</v>
      </c>
      <c r="EC418" s="142">
        <v>40417</v>
      </c>
      <c r="ED418" s="143" t="s">
        <v>226</v>
      </c>
      <c r="EE418" s="278" t="str">
        <f>HYPERLINK("https://my.pitchbook.com?c=41066-38", "View company online")</f>
        <v>View company online</v>
      </c>
    </row>
    <row r="419" spans="1:135" x14ac:dyDescent="0.45">
      <c r="A419" s="144" t="s">
        <v>8780</v>
      </c>
      <c r="B419" s="145" t="s">
        <v>8781</v>
      </c>
      <c r="C419" s="146" t="s">
        <v>153</v>
      </c>
      <c r="D419" s="147" t="s">
        <v>153</v>
      </c>
      <c r="E419" s="148" t="s">
        <v>8782</v>
      </c>
      <c r="F419" s="149" t="s">
        <v>8783</v>
      </c>
      <c r="G419" s="150" t="s">
        <v>8784</v>
      </c>
      <c r="H419" s="151" t="s">
        <v>153</v>
      </c>
      <c r="I419" s="152" t="s">
        <v>8780</v>
      </c>
      <c r="J419" s="153" t="s">
        <v>8785</v>
      </c>
      <c r="K419" s="154" t="s">
        <v>198</v>
      </c>
      <c r="L419" s="155" t="s">
        <v>984</v>
      </c>
      <c r="M419" s="156" t="s">
        <v>2281</v>
      </c>
      <c r="N419" s="157" t="s">
        <v>8786</v>
      </c>
      <c r="O419" s="158" t="s">
        <v>399</v>
      </c>
      <c r="P419" s="159" t="s">
        <v>8787</v>
      </c>
      <c r="Q419" s="160" t="s">
        <v>289</v>
      </c>
      <c r="R419" s="161">
        <v>643.16999999999996</v>
      </c>
      <c r="S419" s="162" t="s">
        <v>163</v>
      </c>
      <c r="T419" s="163" t="s">
        <v>164</v>
      </c>
      <c r="U419" s="164" t="s">
        <v>941</v>
      </c>
      <c r="V419" s="165" t="s">
        <v>8788</v>
      </c>
      <c r="W419" s="166" t="s">
        <v>153</v>
      </c>
      <c r="X419" s="167" t="s">
        <v>153</v>
      </c>
      <c r="Y419" s="168" t="s">
        <v>153</v>
      </c>
      <c r="Z419" s="169" t="s">
        <v>153</v>
      </c>
      <c r="AA419" s="170">
        <v>1994</v>
      </c>
      <c r="AB419" s="171" t="s">
        <v>8789</v>
      </c>
      <c r="AC419" s="172" t="s">
        <v>153</v>
      </c>
      <c r="AD419" s="173" t="s">
        <v>428</v>
      </c>
      <c r="AE419" s="174" t="s">
        <v>153</v>
      </c>
      <c r="AF419" s="175" t="s">
        <v>153</v>
      </c>
      <c r="AG419" s="176" t="s">
        <v>153</v>
      </c>
      <c r="AH419" s="177" t="s">
        <v>153</v>
      </c>
      <c r="AI419" s="178" t="s">
        <v>153</v>
      </c>
      <c r="AJ419" s="179" t="s">
        <v>153</v>
      </c>
      <c r="AK419" s="180" t="s">
        <v>153</v>
      </c>
      <c r="AL419" s="181" t="s">
        <v>153</v>
      </c>
      <c r="AM419" s="182" t="s">
        <v>153</v>
      </c>
      <c r="AN419" s="183" t="s">
        <v>153</v>
      </c>
      <c r="AO419" s="184" t="s">
        <v>153</v>
      </c>
      <c r="AP419" s="185" t="s">
        <v>153</v>
      </c>
      <c r="AQ419" s="186" t="s">
        <v>153</v>
      </c>
      <c r="AR419" s="187" t="s">
        <v>153</v>
      </c>
      <c r="AS419" s="188" t="s">
        <v>153</v>
      </c>
      <c r="AT419" s="189" t="s">
        <v>4307</v>
      </c>
      <c r="AU419" s="190" t="s">
        <v>8790</v>
      </c>
      <c r="AV419" s="191" t="s">
        <v>153</v>
      </c>
      <c r="AW419" s="192" t="s">
        <v>4310</v>
      </c>
      <c r="AX419" s="193" t="s">
        <v>308</v>
      </c>
      <c r="AY419" s="194" t="s">
        <v>7842</v>
      </c>
      <c r="AZ419" s="195" t="s">
        <v>215</v>
      </c>
      <c r="BA419" s="196" t="s">
        <v>8791</v>
      </c>
      <c r="BB419" s="197" t="s">
        <v>8792</v>
      </c>
      <c r="BC419" s="198" t="s">
        <v>153</v>
      </c>
      <c r="BD419" s="199" t="s">
        <v>216</v>
      </c>
      <c r="BE419" s="200" t="s">
        <v>217</v>
      </c>
      <c r="BF419" s="201" t="s">
        <v>8793</v>
      </c>
      <c r="BG419" s="202" t="s">
        <v>153</v>
      </c>
      <c r="BH419" s="203" t="s">
        <v>153</v>
      </c>
      <c r="BI419" s="204" t="s">
        <v>8789</v>
      </c>
      <c r="BJ419" s="205" t="s">
        <v>8794</v>
      </c>
      <c r="BK419" s="206" t="s">
        <v>153</v>
      </c>
      <c r="BL419" s="207" t="s">
        <v>153</v>
      </c>
      <c r="BM419" s="208" t="s">
        <v>8795</v>
      </c>
      <c r="BN419" s="209" t="s">
        <v>153</v>
      </c>
      <c r="BO419" s="210" t="s">
        <v>8796</v>
      </c>
      <c r="BP419" s="211" t="s">
        <v>8797</v>
      </c>
      <c r="BQ419" s="212">
        <v>34651</v>
      </c>
      <c r="BR419" s="213">
        <v>3.11</v>
      </c>
      <c r="BS419" s="214" t="s">
        <v>153</v>
      </c>
      <c r="BT419" s="215" t="s">
        <v>153</v>
      </c>
      <c r="BU419" s="216" t="s">
        <v>153</v>
      </c>
      <c r="BV419" s="217" t="s">
        <v>471</v>
      </c>
      <c r="BW419" s="218" t="s">
        <v>1811</v>
      </c>
      <c r="BX419" s="219" t="s">
        <v>153</v>
      </c>
      <c r="BY419" s="220" t="s">
        <v>472</v>
      </c>
      <c r="BZ419" s="221" t="s">
        <v>153</v>
      </c>
      <c r="CA419" s="222" t="s">
        <v>190</v>
      </c>
      <c r="CB419" s="223">
        <v>36236</v>
      </c>
      <c r="CC419" s="224">
        <v>9800</v>
      </c>
      <c r="CD419" s="225" t="s">
        <v>186</v>
      </c>
      <c r="CE419" s="226">
        <v>9800</v>
      </c>
      <c r="CF419" s="227" t="s">
        <v>186</v>
      </c>
      <c r="CG419" s="228" t="s">
        <v>226</v>
      </c>
      <c r="CH419" s="229" t="s">
        <v>153</v>
      </c>
      <c r="CI419" s="230" t="s">
        <v>153</v>
      </c>
      <c r="CJ419" s="231" t="s">
        <v>225</v>
      </c>
      <c r="CK419" s="232">
        <v>36236</v>
      </c>
      <c r="CL419" s="233" t="s">
        <v>153</v>
      </c>
      <c r="CM419" s="234" t="s">
        <v>153</v>
      </c>
      <c r="CN419" s="235" t="s">
        <v>190</v>
      </c>
      <c r="CO419" s="236" t="s">
        <v>153</v>
      </c>
      <c r="CP419" s="237" t="s">
        <v>153</v>
      </c>
      <c r="CQ419" s="238" t="s">
        <v>153</v>
      </c>
      <c r="CR419" s="239" t="s">
        <v>153</v>
      </c>
      <c r="CS419" s="240" t="s">
        <v>153</v>
      </c>
      <c r="CT419" s="241" t="s">
        <v>153</v>
      </c>
      <c r="CU419" s="242" t="s">
        <v>153</v>
      </c>
      <c r="CV419" s="243" t="s">
        <v>153</v>
      </c>
      <c r="CW419" s="244" t="s">
        <v>153</v>
      </c>
      <c r="CX419" s="245" t="s">
        <v>153</v>
      </c>
      <c r="CY419" s="246" t="s">
        <v>153</v>
      </c>
      <c r="CZ419" s="247" t="s">
        <v>153</v>
      </c>
      <c r="DA419" s="248" t="s">
        <v>153</v>
      </c>
      <c r="DB419" s="249" t="s">
        <v>153</v>
      </c>
      <c r="DC419" s="250" t="s">
        <v>153</v>
      </c>
      <c r="DD419" s="251" t="s">
        <v>153</v>
      </c>
      <c r="DE419" s="252" t="s">
        <v>153</v>
      </c>
      <c r="DF419" s="253" t="s">
        <v>153</v>
      </c>
      <c r="DG419" s="254" t="s">
        <v>153</v>
      </c>
      <c r="DH419" s="255" t="s">
        <v>153</v>
      </c>
      <c r="DI419" s="256" t="s">
        <v>153</v>
      </c>
      <c r="DJ419" s="257" t="s">
        <v>153</v>
      </c>
      <c r="DK419" s="258" t="s">
        <v>153</v>
      </c>
      <c r="DL419" s="259" t="s">
        <v>153</v>
      </c>
      <c r="DM419" s="260" t="s">
        <v>153</v>
      </c>
      <c r="DN419" s="261" t="s">
        <v>153</v>
      </c>
      <c r="DO419" s="262" t="s">
        <v>153</v>
      </c>
      <c r="DP419" s="263" t="s">
        <v>153</v>
      </c>
      <c r="DQ419" s="264" t="s">
        <v>153</v>
      </c>
      <c r="DR419" s="265" t="s">
        <v>153</v>
      </c>
      <c r="DS419" s="266" t="s">
        <v>153</v>
      </c>
      <c r="DT419" s="267" t="s">
        <v>153</v>
      </c>
      <c r="DU419" s="268" t="s">
        <v>153</v>
      </c>
      <c r="DV419" s="269" t="s">
        <v>153</v>
      </c>
      <c r="DW419" s="270" t="s">
        <v>153</v>
      </c>
      <c r="DX419" s="271" t="s">
        <v>153</v>
      </c>
      <c r="DY419" s="272" t="s">
        <v>153</v>
      </c>
      <c r="DZ419" s="273" t="s">
        <v>191</v>
      </c>
      <c r="EA419" s="274">
        <v>44147</v>
      </c>
      <c r="EB419" s="275">
        <v>9800</v>
      </c>
      <c r="EC419" s="276">
        <v>36236</v>
      </c>
      <c r="ED419" s="277" t="s">
        <v>226</v>
      </c>
      <c r="EE419" s="279" t="str">
        <f>HYPERLINK("https://my.pitchbook.com?c=50956-75", "View company online")</f>
        <v>View company online</v>
      </c>
    </row>
    <row r="420" spans="1:135" x14ac:dyDescent="0.45">
      <c r="A420" s="10" t="s">
        <v>8798</v>
      </c>
      <c r="B420" s="11" t="s">
        <v>8799</v>
      </c>
      <c r="C420" s="12" t="s">
        <v>153</v>
      </c>
      <c r="D420" s="13" t="s">
        <v>153</v>
      </c>
      <c r="E420" s="14" t="s">
        <v>153</v>
      </c>
      <c r="F420" s="15" t="s">
        <v>153</v>
      </c>
      <c r="G420" s="16" t="s">
        <v>153</v>
      </c>
      <c r="H420" s="17" t="s">
        <v>153</v>
      </c>
      <c r="I420" s="18" t="s">
        <v>8798</v>
      </c>
      <c r="J420" s="19" t="s">
        <v>8800</v>
      </c>
      <c r="K420" s="20" t="s">
        <v>232</v>
      </c>
      <c r="L420" s="21" t="s">
        <v>362</v>
      </c>
      <c r="M420" s="22" t="s">
        <v>362</v>
      </c>
      <c r="N420" s="23" t="s">
        <v>1102</v>
      </c>
      <c r="O420" s="24" t="s">
        <v>153</v>
      </c>
      <c r="P420" s="25" t="s">
        <v>8801</v>
      </c>
      <c r="Q420" s="26" t="s">
        <v>204</v>
      </c>
      <c r="R420" s="27" t="s">
        <v>153</v>
      </c>
      <c r="S420" s="28" t="s">
        <v>163</v>
      </c>
      <c r="T420" s="29" t="s">
        <v>205</v>
      </c>
      <c r="U420" s="30" t="s">
        <v>206</v>
      </c>
      <c r="V420" s="31" t="s">
        <v>153</v>
      </c>
      <c r="W420" s="32" t="s">
        <v>153</v>
      </c>
      <c r="X420" s="33" t="s">
        <v>153</v>
      </c>
      <c r="Y420" s="34" t="s">
        <v>153</v>
      </c>
      <c r="Z420" s="35" t="s">
        <v>153</v>
      </c>
      <c r="AA420" s="36" t="s">
        <v>153</v>
      </c>
      <c r="AB420" s="37" t="s">
        <v>153</v>
      </c>
      <c r="AC420" s="38" t="s">
        <v>153</v>
      </c>
      <c r="AD420" s="39" t="s">
        <v>153</v>
      </c>
      <c r="AE420" s="40" t="s">
        <v>153</v>
      </c>
      <c r="AF420" s="41" t="s">
        <v>153</v>
      </c>
      <c r="AG420" s="42" t="s">
        <v>153</v>
      </c>
      <c r="AH420" s="43" t="s">
        <v>153</v>
      </c>
      <c r="AI420" s="44" t="s">
        <v>153</v>
      </c>
      <c r="AJ420" s="45" t="s">
        <v>153</v>
      </c>
      <c r="AK420" s="46" t="s">
        <v>153</v>
      </c>
      <c r="AL420" s="47" t="s">
        <v>153</v>
      </c>
      <c r="AM420" s="48" t="s">
        <v>153</v>
      </c>
      <c r="AN420" s="49" t="s">
        <v>153</v>
      </c>
      <c r="AO420" s="50" t="s">
        <v>153</v>
      </c>
      <c r="AP420" s="51" t="s">
        <v>153</v>
      </c>
      <c r="AQ420" s="52" t="s">
        <v>153</v>
      </c>
      <c r="AR420" s="53" t="s">
        <v>153</v>
      </c>
      <c r="AS420" s="54" t="s">
        <v>153</v>
      </c>
      <c r="AT420" s="55" t="s">
        <v>404</v>
      </c>
      <c r="AU420" s="56" t="s">
        <v>8802</v>
      </c>
      <c r="AV420" s="57" t="s">
        <v>8803</v>
      </c>
      <c r="AW420" s="58" t="s">
        <v>407</v>
      </c>
      <c r="AX420" s="59" t="s">
        <v>408</v>
      </c>
      <c r="AY420" s="60" t="s">
        <v>8804</v>
      </c>
      <c r="AZ420" s="61" t="s">
        <v>215</v>
      </c>
      <c r="BA420" s="62" t="s">
        <v>153</v>
      </c>
      <c r="BB420" s="63" t="s">
        <v>153</v>
      </c>
      <c r="BC420" s="64" t="s">
        <v>153</v>
      </c>
      <c r="BD420" s="65" t="s">
        <v>216</v>
      </c>
      <c r="BE420" s="66" t="s">
        <v>217</v>
      </c>
      <c r="BF420" s="67" t="s">
        <v>8805</v>
      </c>
      <c r="BG420" s="68" t="s">
        <v>153</v>
      </c>
      <c r="BH420" s="69" t="s">
        <v>153</v>
      </c>
      <c r="BI420" s="70" t="s">
        <v>8806</v>
      </c>
      <c r="BJ420" s="71" t="s">
        <v>8807</v>
      </c>
      <c r="BK420" s="72" t="s">
        <v>153</v>
      </c>
      <c r="BL420" s="73" t="s">
        <v>153</v>
      </c>
      <c r="BM420" s="74" t="s">
        <v>8808</v>
      </c>
      <c r="BN420" s="75" t="s">
        <v>153</v>
      </c>
      <c r="BO420" s="76" t="s">
        <v>153</v>
      </c>
      <c r="BP420" s="77" t="s">
        <v>153</v>
      </c>
      <c r="BQ420" s="78">
        <v>42058</v>
      </c>
      <c r="BR420" s="79">
        <v>9800</v>
      </c>
      <c r="BS420" s="80" t="s">
        <v>187</v>
      </c>
      <c r="BT420" s="81">
        <v>9800</v>
      </c>
      <c r="BU420" s="82" t="s">
        <v>186</v>
      </c>
      <c r="BV420" s="83" t="s">
        <v>226</v>
      </c>
      <c r="BW420" s="84" t="s">
        <v>729</v>
      </c>
      <c r="BX420" s="85" t="s">
        <v>153</v>
      </c>
      <c r="BY420" s="86" t="s">
        <v>225</v>
      </c>
      <c r="BZ420" s="87" t="s">
        <v>153</v>
      </c>
      <c r="CA420" s="88" t="s">
        <v>190</v>
      </c>
      <c r="CB420" s="89">
        <v>42058</v>
      </c>
      <c r="CC420" s="90">
        <v>9800</v>
      </c>
      <c r="CD420" s="91" t="s">
        <v>187</v>
      </c>
      <c r="CE420" s="92">
        <v>9800</v>
      </c>
      <c r="CF420" s="93" t="s">
        <v>186</v>
      </c>
      <c r="CG420" s="94" t="s">
        <v>226</v>
      </c>
      <c r="CH420" s="95" t="s">
        <v>729</v>
      </c>
      <c r="CI420" s="96" t="s">
        <v>153</v>
      </c>
      <c r="CJ420" s="97" t="s">
        <v>225</v>
      </c>
      <c r="CK420" s="98">
        <v>42058</v>
      </c>
      <c r="CL420" s="99" t="s">
        <v>153</v>
      </c>
      <c r="CM420" s="100" t="s">
        <v>153</v>
      </c>
      <c r="CN420" s="101" t="s">
        <v>190</v>
      </c>
      <c r="CO420" s="102" t="s">
        <v>153</v>
      </c>
      <c r="CP420" s="103" t="s">
        <v>153</v>
      </c>
      <c r="CQ420" s="104" t="s">
        <v>153</v>
      </c>
      <c r="CR420" s="105" t="s">
        <v>153</v>
      </c>
      <c r="CS420" s="106" t="s">
        <v>153</v>
      </c>
      <c r="CT420" s="107" t="s">
        <v>153</v>
      </c>
      <c r="CU420" s="108" t="s">
        <v>153</v>
      </c>
      <c r="CV420" s="109" t="s">
        <v>153</v>
      </c>
      <c r="CW420" s="110" t="s">
        <v>153</v>
      </c>
      <c r="CX420" s="111" t="s">
        <v>153</v>
      </c>
      <c r="CY420" s="112" t="s">
        <v>153</v>
      </c>
      <c r="CZ420" s="113" t="s">
        <v>153</v>
      </c>
      <c r="DA420" s="114" t="s">
        <v>153</v>
      </c>
      <c r="DB420" s="115" t="s">
        <v>153</v>
      </c>
      <c r="DC420" s="116" t="s">
        <v>153</v>
      </c>
      <c r="DD420" s="117" t="s">
        <v>153</v>
      </c>
      <c r="DE420" s="118" t="s">
        <v>153</v>
      </c>
      <c r="DF420" s="119" t="s">
        <v>153</v>
      </c>
      <c r="DG420" s="120" t="s">
        <v>153</v>
      </c>
      <c r="DH420" s="121" t="s">
        <v>153</v>
      </c>
      <c r="DI420" s="122" t="s">
        <v>153</v>
      </c>
      <c r="DJ420" s="123" t="s">
        <v>153</v>
      </c>
      <c r="DK420" s="124" t="s">
        <v>153</v>
      </c>
      <c r="DL420" s="125" t="s">
        <v>153</v>
      </c>
      <c r="DM420" s="126" t="s">
        <v>153</v>
      </c>
      <c r="DN420" s="127" t="s">
        <v>153</v>
      </c>
      <c r="DO420" s="128" t="s">
        <v>153</v>
      </c>
      <c r="DP420" s="129" t="s">
        <v>153</v>
      </c>
      <c r="DQ420" s="130" t="s">
        <v>153</v>
      </c>
      <c r="DR420" s="131" t="s">
        <v>153</v>
      </c>
      <c r="DS420" s="132" t="s">
        <v>153</v>
      </c>
      <c r="DT420" s="133" t="s">
        <v>153</v>
      </c>
      <c r="DU420" s="134" t="s">
        <v>153</v>
      </c>
      <c r="DV420" s="135" t="s">
        <v>153</v>
      </c>
      <c r="DW420" s="136" t="s">
        <v>153</v>
      </c>
      <c r="DX420" s="137" t="s">
        <v>153</v>
      </c>
      <c r="DY420" s="138" t="s">
        <v>153</v>
      </c>
      <c r="DZ420" s="139" t="s">
        <v>191</v>
      </c>
      <c r="EA420" s="140">
        <v>44147</v>
      </c>
      <c r="EB420" s="141">
        <v>9800</v>
      </c>
      <c r="EC420" s="142">
        <v>42058</v>
      </c>
      <c r="ED420" s="143" t="s">
        <v>226</v>
      </c>
      <c r="EE420" s="278" t="str">
        <f>HYPERLINK("https://my.pitchbook.com?c=109277-38", "View company online")</f>
        <v>View company online</v>
      </c>
    </row>
    <row r="421" spans="1:135" x14ac:dyDescent="0.45">
      <c r="A421" s="144" t="s">
        <v>8809</v>
      </c>
      <c r="B421" s="145" t="s">
        <v>8810</v>
      </c>
      <c r="C421" s="146" t="s">
        <v>153</v>
      </c>
      <c r="D421" s="147" t="s">
        <v>153</v>
      </c>
      <c r="E421" s="148" t="s">
        <v>153</v>
      </c>
      <c r="F421" s="149" t="s">
        <v>153</v>
      </c>
      <c r="G421" s="150" t="s">
        <v>153</v>
      </c>
      <c r="H421" s="151" t="s">
        <v>153</v>
      </c>
      <c r="I421" s="152" t="s">
        <v>8809</v>
      </c>
      <c r="J421" s="153" t="s">
        <v>8811</v>
      </c>
      <c r="K421" s="154" t="s">
        <v>792</v>
      </c>
      <c r="L421" s="155" t="s">
        <v>793</v>
      </c>
      <c r="M421" s="156" t="s">
        <v>3119</v>
      </c>
      <c r="N421" s="157" t="s">
        <v>8253</v>
      </c>
      <c r="O421" s="158" t="s">
        <v>1119</v>
      </c>
      <c r="P421" s="159" t="s">
        <v>8812</v>
      </c>
      <c r="Q421" s="160" t="s">
        <v>204</v>
      </c>
      <c r="R421" s="161" t="s">
        <v>153</v>
      </c>
      <c r="S421" s="162" t="s">
        <v>163</v>
      </c>
      <c r="T421" s="163" t="s">
        <v>205</v>
      </c>
      <c r="U421" s="164" t="s">
        <v>206</v>
      </c>
      <c r="V421" s="165" t="s">
        <v>153</v>
      </c>
      <c r="W421" s="166" t="s">
        <v>153</v>
      </c>
      <c r="X421" s="167" t="s">
        <v>153</v>
      </c>
      <c r="Y421" s="168" t="s">
        <v>153</v>
      </c>
      <c r="Z421" s="169" t="s">
        <v>153</v>
      </c>
      <c r="AA421" s="170" t="s">
        <v>153</v>
      </c>
      <c r="AB421" s="171" t="s">
        <v>153</v>
      </c>
      <c r="AC421" s="172" t="s">
        <v>153</v>
      </c>
      <c r="AD421" s="173" t="s">
        <v>153</v>
      </c>
      <c r="AE421" s="174" t="s">
        <v>153</v>
      </c>
      <c r="AF421" s="175" t="s">
        <v>153</v>
      </c>
      <c r="AG421" s="176" t="s">
        <v>153</v>
      </c>
      <c r="AH421" s="177" t="s">
        <v>153</v>
      </c>
      <c r="AI421" s="178" t="s">
        <v>153</v>
      </c>
      <c r="AJ421" s="179" t="s">
        <v>153</v>
      </c>
      <c r="AK421" s="180" t="s">
        <v>153</v>
      </c>
      <c r="AL421" s="181" t="s">
        <v>153</v>
      </c>
      <c r="AM421" s="182" t="s">
        <v>153</v>
      </c>
      <c r="AN421" s="183" t="s">
        <v>153</v>
      </c>
      <c r="AO421" s="184" t="s">
        <v>153</v>
      </c>
      <c r="AP421" s="185" t="s">
        <v>153</v>
      </c>
      <c r="AQ421" s="186" t="s">
        <v>153</v>
      </c>
      <c r="AR421" s="187" t="s">
        <v>153</v>
      </c>
      <c r="AS421" s="188" t="s">
        <v>153</v>
      </c>
      <c r="AT421" s="189" t="s">
        <v>1124</v>
      </c>
      <c r="AU421" s="190" t="s">
        <v>2228</v>
      </c>
      <c r="AV421" s="191" t="s">
        <v>153</v>
      </c>
      <c r="AW421" s="192" t="s">
        <v>1127</v>
      </c>
      <c r="AX421" s="193" t="s">
        <v>1128</v>
      </c>
      <c r="AY421" s="194" t="s">
        <v>2229</v>
      </c>
      <c r="AZ421" s="195" t="s">
        <v>215</v>
      </c>
      <c r="BA421" s="196" t="s">
        <v>153</v>
      </c>
      <c r="BB421" s="197" t="s">
        <v>153</v>
      </c>
      <c r="BC421" s="198" t="s">
        <v>153</v>
      </c>
      <c r="BD421" s="199" t="s">
        <v>216</v>
      </c>
      <c r="BE421" s="200" t="s">
        <v>217</v>
      </c>
      <c r="BF421" s="201" t="s">
        <v>8813</v>
      </c>
      <c r="BG421" s="202" t="s">
        <v>153</v>
      </c>
      <c r="BH421" s="203" t="s">
        <v>153</v>
      </c>
      <c r="BI421" s="204" t="s">
        <v>8814</v>
      </c>
      <c r="BJ421" s="205" t="s">
        <v>2217</v>
      </c>
      <c r="BK421" s="206" t="s">
        <v>153</v>
      </c>
      <c r="BL421" s="207" t="s">
        <v>153</v>
      </c>
      <c r="BM421" s="208" t="s">
        <v>8815</v>
      </c>
      <c r="BN421" s="209" t="s">
        <v>153</v>
      </c>
      <c r="BO421" s="210" t="s">
        <v>153</v>
      </c>
      <c r="BP421" s="211" t="s">
        <v>153</v>
      </c>
      <c r="BQ421" s="212">
        <v>41579</v>
      </c>
      <c r="BR421" s="213">
        <v>9800</v>
      </c>
      <c r="BS421" s="214" t="s">
        <v>186</v>
      </c>
      <c r="BT421" s="215">
        <v>9800</v>
      </c>
      <c r="BU421" s="216" t="s">
        <v>186</v>
      </c>
      <c r="BV421" s="217" t="s">
        <v>226</v>
      </c>
      <c r="BW421" s="218" t="s">
        <v>729</v>
      </c>
      <c r="BX421" s="219" t="s">
        <v>153</v>
      </c>
      <c r="BY421" s="220" t="s">
        <v>225</v>
      </c>
      <c r="BZ421" s="221" t="s">
        <v>153</v>
      </c>
      <c r="CA421" s="222" t="s">
        <v>190</v>
      </c>
      <c r="CB421" s="223">
        <v>41579</v>
      </c>
      <c r="CC421" s="224">
        <v>9800</v>
      </c>
      <c r="CD421" s="225" t="s">
        <v>186</v>
      </c>
      <c r="CE421" s="226">
        <v>9800</v>
      </c>
      <c r="CF421" s="227" t="s">
        <v>186</v>
      </c>
      <c r="CG421" s="228" t="s">
        <v>226</v>
      </c>
      <c r="CH421" s="229" t="s">
        <v>729</v>
      </c>
      <c r="CI421" s="230" t="s">
        <v>153</v>
      </c>
      <c r="CJ421" s="231" t="s">
        <v>225</v>
      </c>
      <c r="CK421" s="232">
        <v>41579</v>
      </c>
      <c r="CL421" s="233" t="s">
        <v>153</v>
      </c>
      <c r="CM421" s="234" t="s">
        <v>153</v>
      </c>
      <c r="CN421" s="235" t="s">
        <v>190</v>
      </c>
      <c r="CO421" s="236" t="s">
        <v>153</v>
      </c>
      <c r="CP421" s="237" t="s">
        <v>153</v>
      </c>
      <c r="CQ421" s="238" t="s">
        <v>153</v>
      </c>
      <c r="CR421" s="239" t="s">
        <v>153</v>
      </c>
      <c r="CS421" s="240" t="s">
        <v>153</v>
      </c>
      <c r="CT421" s="241" t="s">
        <v>153</v>
      </c>
      <c r="CU421" s="242" t="s">
        <v>153</v>
      </c>
      <c r="CV421" s="243" t="s">
        <v>153</v>
      </c>
      <c r="CW421" s="244" t="s">
        <v>153</v>
      </c>
      <c r="CX421" s="245" t="s">
        <v>153</v>
      </c>
      <c r="CY421" s="246" t="s">
        <v>153</v>
      </c>
      <c r="CZ421" s="247" t="s">
        <v>153</v>
      </c>
      <c r="DA421" s="248" t="s">
        <v>153</v>
      </c>
      <c r="DB421" s="249" t="s">
        <v>153</v>
      </c>
      <c r="DC421" s="250" t="s">
        <v>153</v>
      </c>
      <c r="DD421" s="251" t="s">
        <v>153</v>
      </c>
      <c r="DE421" s="252" t="s">
        <v>153</v>
      </c>
      <c r="DF421" s="253" t="s">
        <v>153</v>
      </c>
      <c r="DG421" s="254" t="s">
        <v>153</v>
      </c>
      <c r="DH421" s="255" t="s">
        <v>153</v>
      </c>
      <c r="DI421" s="256" t="s">
        <v>153</v>
      </c>
      <c r="DJ421" s="257" t="s">
        <v>153</v>
      </c>
      <c r="DK421" s="258" t="s">
        <v>153</v>
      </c>
      <c r="DL421" s="259" t="s">
        <v>153</v>
      </c>
      <c r="DM421" s="260" t="s">
        <v>153</v>
      </c>
      <c r="DN421" s="261" t="s">
        <v>153</v>
      </c>
      <c r="DO421" s="262" t="s">
        <v>153</v>
      </c>
      <c r="DP421" s="263" t="s">
        <v>153</v>
      </c>
      <c r="DQ421" s="264" t="s">
        <v>153</v>
      </c>
      <c r="DR421" s="265" t="s">
        <v>153</v>
      </c>
      <c r="DS421" s="266" t="s">
        <v>153</v>
      </c>
      <c r="DT421" s="267" t="s">
        <v>153</v>
      </c>
      <c r="DU421" s="268" t="s">
        <v>153</v>
      </c>
      <c r="DV421" s="269" t="s">
        <v>153</v>
      </c>
      <c r="DW421" s="270" t="s">
        <v>153</v>
      </c>
      <c r="DX421" s="271" t="s">
        <v>153</v>
      </c>
      <c r="DY421" s="272" t="s">
        <v>153</v>
      </c>
      <c r="DZ421" s="273" t="s">
        <v>191</v>
      </c>
      <c r="EA421" s="274">
        <v>43755</v>
      </c>
      <c r="EB421" s="275">
        <v>9800</v>
      </c>
      <c r="EC421" s="276">
        <v>41579</v>
      </c>
      <c r="ED421" s="277" t="s">
        <v>226</v>
      </c>
      <c r="EE421" s="279" t="str">
        <f>HYPERLINK("https://my.pitchbook.com?c=61649-74", "View company online")</f>
        <v>View company online</v>
      </c>
    </row>
    <row r="422" spans="1:135" x14ac:dyDescent="0.45">
      <c r="A422" s="10" t="s">
        <v>8816</v>
      </c>
      <c r="B422" s="11" t="s">
        <v>8817</v>
      </c>
      <c r="C422" s="12" t="s">
        <v>153</v>
      </c>
      <c r="D422" s="13" t="s">
        <v>153</v>
      </c>
      <c r="E422" s="14" t="s">
        <v>8818</v>
      </c>
      <c r="F422" s="15" t="s">
        <v>153</v>
      </c>
      <c r="G422" s="16" t="s">
        <v>8819</v>
      </c>
      <c r="H422" s="17" t="s">
        <v>8820</v>
      </c>
      <c r="I422" s="18" t="s">
        <v>8816</v>
      </c>
      <c r="J422" s="19" t="s">
        <v>8821</v>
      </c>
      <c r="K422" s="20" t="s">
        <v>198</v>
      </c>
      <c r="L422" s="21" t="s">
        <v>199</v>
      </c>
      <c r="M422" s="22" t="s">
        <v>344</v>
      </c>
      <c r="N422" s="23" t="s">
        <v>8822</v>
      </c>
      <c r="O422" s="24" t="s">
        <v>202</v>
      </c>
      <c r="P422" s="25" t="s">
        <v>8823</v>
      </c>
      <c r="Q422" s="26" t="s">
        <v>564</v>
      </c>
      <c r="R422" s="27">
        <v>270.08999999999997</v>
      </c>
      <c r="S422" s="28" t="s">
        <v>368</v>
      </c>
      <c r="T422" s="29" t="s">
        <v>164</v>
      </c>
      <c r="U422" s="30" t="s">
        <v>6127</v>
      </c>
      <c r="V422" s="31" t="s">
        <v>8824</v>
      </c>
      <c r="W422" s="32" t="s">
        <v>153</v>
      </c>
      <c r="X422" s="33" t="s">
        <v>153</v>
      </c>
      <c r="Y422" s="34" t="s">
        <v>153</v>
      </c>
      <c r="Z422" s="35" t="s">
        <v>153</v>
      </c>
      <c r="AA422" s="36">
        <v>1998</v>
      </c>
      <c r="AB422" s="37" t="s">
        <v>220</v>
      </c>
      <c r="AC422" s="38" t="s">
        <v>428</v>
      </c>
      <c r="AD422" s="39" t="s">
        <v>428</v>
      </c>
      <c r="AE422" s="40">
        <v>1483.54</v>
      </c>
      <c r="AF422" s="41" t="s">
        <v>153</v>
      </c>
      <c r="AG422" s="42" t="s">
        <v>153</v>
      </c>
      <c r="AH422" s="43" t="s">
        <v>153</v>
      </c>
      <c r="AI422" s="44" t="s">
        <v>153</v>
      </c>
      <c r="AJ422" s="45">
        <v>-170.19</v>
      </c>
      <c r="AK422" s="46" t="s">
        <v>153</v>
      </c>
      <c r="AL422" s="47" t="s">
        <v>153</v>
      </c>
      <c r="AM422" s="48">
        <v>3.52</v>
      </c>
      <c r="AN422" s="49" t="s">
        <v>168</v>
      </c>
      <c r="AO422" s="50" t="s">
        <v>8825</v>
      </c>
      <c r="AP422" s="51" t="s">
        <v>8826</v>
      </c>
      <c r="AQ422" s="52" t="s">
        <v>8827</v>
      </c>
      <c r="AR422" s="53" t="s">
        <v>8828</v>
      </c>
      <c r="AS422" s="54" t="s">
        <v>8829</v>
      </c>
      <c r="AT422" s="55" t="s">
        <v>2116</v>
      </c>
      <c r="AU422" s="56" t="s">
        <v>8830</v>
      </c>
      <c r="AV422" s="57" t="s">
        <v>153</v>
      </c>
      <c r="AW422" s="58" t="s">
        <v>2119</v>
      </c>
      <c r="AX422" s="59" t="s">
        <v>153</v>
      </c>
      <c r="AY422" s="60" t="s">
        <v>8831</v>
      </c>
      <c r="AZ422" s="61" t="s">
        <v>2121</v>
      </c>
      <c r="BA422" s="62" t="s">
        <v>8829</v>
      </c>
      <c r="BB422" s="63" t="s">
        <v>153</v>
      </c>
      <c r="BC422" s="64" t="s">
        <v>8832</v>
      </c>
      <c r="BD422" s="65" t="s">
        <v>180</v>
      </c>
      <c r="BE422" s="66" t="s">
        <v>684</v>
      </c>
      <c r="BF422" s="67" t="s">
        <v>8833</v>
      </c>
      <c r="BG422" s="68" t="s">
        <v>153</v>
      </c>
      <c r="BH422" s="69" t="s">
        <v>153</v>
      </c>
      <c r="BI422" s="70" t="s">
        <v>220</v>
      </c>
      <c r="BJ422" s="71" t="s">
        <v>8834</v>
      </c>
      <c r="BK422" s="72" t="s">
        <v>2980</v>
      </c>
      <c r="BL422" s="73" t="s">
        <v>153</v>
      </c>
      <c r="BM422" s="74" t="s">
        <v>8835</v>
      </c>
      <c r="BN422" s="75" t="s">
        <v>2981</v>
      </c>
      <c r="BO422" s="76" t="s">
        <v>8836</v>
      </c>
      <c r="BP422" s="77" t="s">
        <v>8837</v>
      </c>
      <c r="BQ422" s="78">
        <v>37257</v>
      </c>
      <c r="BR422" s="79" t="s">
        <v>153</v>
      </c>
      <c r="BS422" s="80" t="s">
        <v>153</v>
      </c>
      <c r="BT422" s="81" t="s">
        <v>153</v>
      </c>
      <c r="BU422" s="82" t="s">
        <v>153</v>
      </c>
      <c r="BV422" s="83" t="s">
        <v>709</v>
      </c>
      <c r="BW422" s="84" t="s">
        <v>153</v>
      </c>
      <c r="BX422" s="85" t="s">
        <v>153</v>
      </c>
      <c r="BY422" s="86" t="s">
        <v>165</v>
      </c>
      <c r="BZ422" s="87" t="s">
        <v>153</v>
      </c>
      <c r="CA422" s="88" t="s">
        <v>190</v>
      </c>
      <c r="CB422" s="89">
        <v>41844</v>
      </c>
      <c r="CC422" s="90">
        <v>9782.11</v>
      </c>
      <c r="CD422" s="91" t="s">
        <v>186</v>
      </c>
      <c r="CE422" s="92">
        <v>9782.11</v>
      </c>
      <c r="CF422" s="93" t="s">
        <v>186</v>
      </c>
      <c r="CG422" s="94" t="s">
        <v>226</v>
      </c>
      <c r="CH422" s="95" t="s">
        <v>153</v>
      </c>
      <c r="CI422" s="96" t="s">
        <v>153</v>
      </c>
      <c r="CJ422" s="97" t="s">
        <v>225</v>
      </c>
      <c r="CK422" s="98">
        <v>41844</v>
      </c>
      <c r="CL422" s="99" t="s">
        <v>153</v>
      </c>
      <c r="CM422" s="100" t="s">
        <v>153</v>
      </c>
      <c r="CN422" s="101" t="s">
        <v>190</v>
      </c>
      <c r="CO422" s="102" t="s">
        <v>153</v>
      </c>
      <c r="CP422" s="103" t="s">
        <v>153</v>
      </c>
      <c r="CQ422" s="104" t="s">
        <v>153</v>
      </c>
      <c r="CR422" s="105" t="s">
        <v>153</v>
      </c>
      <c r="CS422" s="106" t="s">
        <v>153</v>
      </c>
      <c r="CT422" s="107" t="s">
        <v>153</v>
      </c>
      <c r="CU422" s="108" t="s">
        <v>153</v>
      </c>
      <c r="CV422" s="109" t="s">
        <v>153</v>
      </c>
      <c r="CW422" s="110" t="s">
        <v>153</v>
      </c>
      <c r="CX422" s="111" t="s">
        <v>153</v>
      </c>
      <c r="CY422" s="112" t="s">
        <v>153</v>
      </c>
      <c r="CZ422" s="113" t="s">
        <v>153</v>
      </c>
      <c r="DA422" s="114" t="s">
        <v>153</v>
      </c>
      <c r="DB422" s="115" t="s">
        <v>153</v>
      </c>
      <c r="DC422" s="116" t="s">
        <v>153</v>
      </c>
      <c r="DD422" s="117" t="s">
        <v>153</v>
      </c>
      <c r="DE422" s="118" t="s">
        <v>153</v>
      </c>
      <c r="DF422" s="119" t="s">
        <v>153</v>
      </c>
      <c r="DG422" s="120" t="s">
        <v>153</v>
      </c>
      <c r="DH422" s="121" t="s">
        <v>153</v>
      </c>
      <c r="DI422" s="122" t="s">
        <v>153</v>
      </c>
      <c r="DJ422" s="123" t="s">
        <v>153</v>
      </c>
      <c r="DK422" s="124" t="s">
        <v>153</v>
      </c>
      <c r="DL422" s="125" t="s">
        <v>153</v>
      </c>
      <c r="DM422" s="126" t="s">
        <v>153</v>
      </c>
      <c r="DN422" s="127" t="s">
        <v>153</v>
      </c>
      <c r="DO422" s="128" t="s">
        <v>153</v>
      </c>
      <c r="DP422" s="129" t="s">
        <v>153</v>
      </c>
      <c r="DQ422" s="130" t="s">
        <v>153</v>
      </c>
      <c r="DR422" s="131" t="s">
        <v>153</v>
      </c>
      <c r="DS422" s="132" t="s">
        <v>153</v>
      </c>
      <c r="DT422" s="133" t="s">
        <v>153</v>
      </c>
      <c r="DU422" s="134" t="s">
        <v>153</v>
      </c>
      <c r="DV422" s="135" t="s">
        <v>153</v>
      </c>
      <c r="DW422" s="136" t="s">
        <v>153</v>
      </c>
      <c r="DX422" s="137" t="s">
        <v>153</v>
      </c>
      <c r="DY422" s="138" t="s">
        <v>153</v>
      </c>
      <c r="DZ422" s="139" t="s">
        <v>191</v>
      </c>
      <c r="EA422" s="140">
        <v>44147</v>
      </c>
      <c r="EB422" s="141">
        <v>9782.11</v>
      </c>
      <c r="EC422" s="142">
        <v>41844</v>
      </c>
      <c r="ED422" s="143" t="s">
        <v>226</v>
      </c>
      <c r="EE422" s="278" t="str">
        <f>HYPERLINK("https://my.pitchbook.com?c=10867-69", "View company online")</f>
        <v>View company online</v>
      </c>
    </row>
    <row r="423" spans="1:135" x14ac:dyDescent="0.45">
      <c r="A423" s="144" t="s">
        <v>8838</v>
      </c>
      <c r="B423" s="145" t="s">
        <v>8839</v>
      </c>
      <c r="C423" s="146" t="s">
        <v>153</v>
      </c>
      <c r="D423" s="147" t="s">
        <v>153</v>
      </c>
      <c r="E423" s="148" t="s">
        <v>8840</v>
      </c>
      <c r="F423" s="149" t="s">
        <v>153</v>
      </c>
      <c r="G423" s="150" t="s">
        <v>8841</v>
      </c>
      <c r="H423" s="151" t="s">
        <v>8842</v>
      </c>
      <c r="I423" s="152" t="s">
        <v>8838</v>
      </c>
      <c r="J423" s="153" t="s">
        <v>8843</v>
      </c>
      <c r="K423" s="154" t="s">
        <v>882</v>
      </c>
      <c r="L423" s="155" t="s">
        <v>1257</v>
      </c>
      <c r="M423" s="156" t="s">
        <v>1258</v>
      </c>
      <c r="N423" s="157" t="s">
        <v>8844</v>
      </c>
      <c r="O423" s="158" t="s">
        <v>8845</v>
      </c>
      <c r="P423" s="159" t="s">
        <v>8846</v>
      </c>
      <c r="Q423" s="160" t="s">
        <v>204</v>
      </c>
      <c r="R423" s="161" t="s">
        <v>153</v>
      </c>
      <c r="S423" s="162" t="s">
        <v>290</v>
      </c>
      <c r="T423" s="163" t="s">
        <v>205</v>
      </c>
      <c r="U423" s="164" t="s">
        <v>237</v>
      </c>
      <c r="V423" s="165" t="s">
        <v>8847</v>
      </c>
      <c r="W423" s="166">
        <v>30000</v>
      </c>
      <c r="X423" s="167" t="s">
        <v>8848</v>
      </c>
      <c r="Y423" s="168" t="s">
        <v>153</v>
      </c>
      <c r="Z423" s="169" t="s">
        <v>153</v>
      </c>
      <c r="AA423" s="170">
        <v>2015</v>
      </c>
      <c r="AB423" s="171" t="s">
        <v>153</v>
      </c>
      <c r="AC423" s="172" t="s">
        <v>153</v>
      </c>
      <c r="AD423" s="173" t="s">
        <v>153</v>
      </c>
      <c r="AE423" s="174" t="s">
        <v>153</v>
      </c>
      <c r="AF423" s="175" t="s">
        <v>153</v>
      </c>
      <c r="AG423" s="176" t="s">
        <v>153</v>
      </c>
      <c r="AH423" s="177" t="s">
        <v>153</v>
      </c>
      <c r="AI423" s="178" t="s">
        <v>153</v>
      </c>
      <c r="AJ423" s="179" t="s">
        <v>153</v>
      </c>
      <c r="AK423" s="180" t="s">
        <v>153</v>
      </c>
      <c r="AL423" s="181" t="s">
        <v>153</v>
      </c>
      <c r="AM423" s="182" t="s">
        <v>153</v>
      </c>
      <c r="AN423" s="183" t="s">
        <v>538</v>
      </c>
      <c r="AO423" s="184" t="s">
        <v>8849</v>
      </c>
      <c r="AP423" s="185" t="s">
        <v>8850</v>
      </c>
      <c r="AQ423" s="186" t="s">
        <v>4398</v>
      </c>
      <c r="AR423" s="187" t="s">
        <v>8851</v>
      </c>
      <c r="AS423" s="188" t="s">
        <v>153</v>
      </c>
      <c r="AT423" s="189" t="s">
        <v>8852</v>
      </c>
      <c r="AU423" s="190" t="s">
        <v>8853</v>
      </c>
      <c r="AV423" s="191" t="s">
        <v>153</v>
      </c>
      <c r="AW423" s="192" t="s">
        <v>8854</v>
      </c>
      <c r="AX423" s="193" t="s">
        <v>2093</v>
      </c>
      <c r="AY423" s="194" t="s">
        <v>8855</v>
      </c>
      <c r="AZ423" s="195" t="s">
        <v>215</v>
      </c>
      <c r="BA423" s="196" t="s">
        <v>153</v>
      </c>
      <c r="BB423" s="197" t="s">
        <v>153</v>
      </c>
      <c r="BC423" s="198" t="s">
        <v>153</v>
      </c>
      <c r="BD423" s="199" t="s">
        <v>216</v>
      </c>
      <c r="BE423" s="200" t="s">
        <v>217</v>
      </c>
      <c r="BF423" s="201" t="s">
        <v>8856</v>
      </c>
      <c r="BG423" s="202" t="s">
        <v>153</v>
      </c>
      <c r="BH423" s="203" t="s">
        <v>153</v>
      </c>
      <c r="BI423" s="204" t="s">
        <v>8857</v>
      </c>
      <c r="BJ423" s="205" t="s">
        <v>8858</v>
      </c>
      <c r="BK423" s="206" t="s">
        <v>8859</v>
      </c>
      <c r="BL423" s="207" t="s">
        <v>153</v>
      </c>
      <c r="BM423" s="208" t="s">
        <v>8540</v>
      </c>
      <c r="BN423" s="209" t="s">
        <v>153</v>
      </c>
      <c r="BO423" s="210" t="s">
        <v>8860</v>
      </c>
      <c r="BP423" s="211" t="s">
        <v>8861</v>
      </c>
      <c r="BQ423" s="212">
        <v>42339</v>
      </c>
      <c r="BR423" s="213" t="s">
        <v>153</v>
      </c>
      <c r="BS423" s="214" t="s">
        <v>153</v>
      </c>
      <c r="BT423" s="215" t="s">
        <v>153</v>
      </c>
      <c r="BU423" s="216" t="s">
        <v>153</v>
      </c>
      <c r="BV423" s="217" t="s">
        <v>251</v>
      </c>
      <c r="BW423" s="218" t="s">
        <v>524</v>
      </c>
      <c r="BX423" s="219" t="s">
        <v>153</v>
      </c>
      <c r="BY423" s="220" t="s">
        <v>252</v>
      </c>
      <c r="BZ423" s="221" t="s">
        <v>153</v>
      </c>
      <c r="CA423" s="222" t="s">
        <v>190</v>
      </c>
      <c r="CB423" s="223">
        <v>43193</v>
      </c>
      <c r="CC423" s="224">
        <v>9749</v>
      </c>
      <c r="CD423" s="225" t="s">
        <v>186</v>
      </c>
      <c r="CE423" s="226">
        <v>9749</v>
      </c>
      <c r="CF423" s="227" t="s">
        <v>187</v>
      </c>
      <c r="CG423" s="228" t="s">
        <v>226</v>
      </c>
      <c r="CH423" s="229" t="s">
        <v>153</v>
      </c>
      <c r="CI423" s="230" t="s">
        <v>153</v>
      </c>
      <c r="CJ423" s="231" t="s">
        <v>225</v>
      </c>
      <c r="CK423" s="232">
        <v>43193</v>
      </c>
      <c r="CL423" s="233" t="s">
        <v>153</v>
      </c>
      <c r="CM423" s="234" t="s">
        <v>153</v>
      </c>
      <c r="CN423" s="235" t="s">
        <v>190</v>
      </c>
      <c r="CO423" s="236">
        <v>0.23</v>
      </c>
      <c r="CP423" s="237">
        <v>91</v>
      </c>
      <c r="CQ423" s="238">
        <v>0</v>
      </c>
      <c r="CR423" s="239">
        <v>0</v>
      </c>
      <c r="CS423" s="240" t="s">
        <v>153</v>
      </c>
      <c r="CT423" s="241" t="s">
        <v>153</v>
      </c>
      <c r="CU423" s="242" t="s">
        <v>153</v>
      </c>
      <c r="CV423" s="243" t="s">
        <v>153</v>
      </c>
      <c r="CW423" s="244" t="s">
        <v>153</v>
      </c>
      <c r="CX423" s="245" t="s">
        <v>153</v>
      </c>
      <c r="CY423" s="246" t="s">
        <v>153</v>
      </c>
      <c r="CZ423" s="247" t="s">
        <v>153</v>
      </c>
      <c r="DA423" s="248" t="s">
        <v>153</v>
      </c>
      <c r="DB423" s="249" t="s">
        <v>153</v>
      </c>
      <c r="DC423" s="250">
        <v>810.81</v>
      </c>
      <c r="DD423" s="251">
        <v>100</v>
      </c>
      <c r="DE423" s="252">
        <v>0</v>
      </c>
      <c r="DF423" s="253">
        <v>0</v>
      </c>
      <c r="DG423" s="254" t="s">
        <v>153</v>
      </c>
      <c r="DH423" s="255" t="s">
        <v>153</v>
      </c>
      <c r="DI423" s="256" t="s">
        <v>153</v>
      </c>
      <c r="DJ423" s="257" t="s">
        <v>153</v>
      </c>
      <c r="DK423" s="258" t="s">
        <v>153</v>
      </c>
      <c r="DL423" s="259" t="s">
        <v>153</v>
      </c>
      <c r="DM423" s="260" t="s">
        <v>153</v>
      </c>
      <c r="DN423" s="261" t="s">
        <v>153</v>
      </c>
      <c r="DO423" s="262" t="s">
        <v>153</v>
      </c>
      <c r="DP423" s="263" t="s">
        <v>153</v>
      </c>
      <c r="DQ423" s="264" t="s">
        <v>153</v>
      </c>
      <c r="DR423" s="265" t="s">
        <v>153</v>
      </c>
      <c r="DS423" s="266" t="s">
        <v>153</v>
      </c>
      <c r="DT423" s="267" t="s">
        <v>153</v>
      </c>
      <c r="DU423" s="268" t="s">
        <v>153</v>
      </c>
      <c r="DV423" s="269" t="s">
        <v>153</v>
      </c>
      <c r="DW423" s="270" t="s">
        <v>153</v>
      </c>
      <c r="DX423" s="271" t="s">
        <v>153</v>
      </c>
      <c r="DY423" s="272" t="s">
        <v>153</v>
      </c>
      <c r="DZ423" s="273" t="s">
        <v>191</v>
      </c>
      <c r="EA423" s="274">
        <v>44391</v>
      </c>
      <c r="EB423" s="275">
        <v>9749</v>
      </c>
      <c r="EC423" s="276">
        <v>43193</v>
      </c>
      <c r="ED423" s="277" t="s">
        <v>226</v>
      </c>
      <c r="EE423" s="279" t="str">
        <f>HYPERLINK("https://my.pitchbook.com?c=151797-16", "View company online")</f>
        <v>View company online</v>
      </c>
    </row>
    <row r="424" spans="1:135" x14ac:dyDescent="0.45">
      <c r="A424" s="10" t="s">
        <v>8862</v>
      </c>
      <c r="B424" s="11" t="s">
        <v>8863</v>
      </c>
      <c r="C424" s="12" t="s">
        <v>153</v>
      </c>
      <c r="D424" s="13" t="s">
        <v>153</v>
      </c>
      <c r="E424" s="14" t="s">
        <v>153</v>
      </c>
      <c r="F424" s="15" t="s">
        <v>153</v>
      </c>
      <c r="G424" s="16" t="s">
        <v>8864</v>
      </c>
      <c r="H424" s="17" t="s">
        <v>153</v>
      </c>
      <c r="I424" s="18" t="s">
        <v>8862</v>
      </c>
      <c r="J424" s="19" t="s">
        <v>8865</v>
      </c>
      <c r="K424" s="20" t="s">
        <v>198</v>
      </c>
      <c r="L424" s="21" t="s">
        <v>199</v>
      </c>
      <c r="M424" s="22" t="s">
        <v>344</v>
      </c>
      <c r="N424" s="23" t="s">
        <v>8866</v>
      </c>
      <c r="O424" s="24" t="s">
        <v>399</v>
      </c>
      <c r="P424" s="25" t="s">
        <v>8867</v>
      </c>
      <c r="Q424" s="26" t="s">
        <v>204</v>
      </c>
      <c r="R424" s="27" t="s">
        <v>153</v>
      </c>
      <c r="S424" s="28" t="s">
        <v>163</v>
      </c>
      <c r="T424" s="29" t="s">
        <v>205</v>
      </c>
      <c r="U424" s="30" t="s">
        <v>206</v>
      </c>
      <c r="V424" s="31" t="s">
        <v>153</v>
      </c>
      <c r="W424" s="32" t="s">
        <v>153</v>
      </c>
      <c r="X424" s="33" t="s">
        <v>153</v>
      </c>
      <c r="Y424" s="34" t="s">
        <v>153</v>
      </c>
      <c r="Z424" s="35" t="s">
        <v>153</v>
      </c>
      <c r="AA424" s="36">
        <v>2002</v>
      </c>
      <c r="AB424" s="37" t="s">
        <v>153</v>
      </c>
      <c r="AC424" s="38" t="s">
        <v>153</v>
      </c>
      <c r="AD424" s="39" t="s">
        <v>153</v>
      </c>
      <c r="AE424" s="40" t="s">
        <v>153</v>
      </c>
      <c r="AF424" s="41" t="s">
        <v>153</v>
      </c>
      <c r="AG424" s="42" t="s">
        <v>153</v>
      </c>
      <c r="AH424" s="43" t="s">
        <v>153</v>
      </c>
      <c r="AI424" s="44" t="s">
        <v>153</v>
      </c>
      <c r="AJ424" s="45" t="s">
        <v>153</v>
      </c>
      <c r="AK424" s="46" t="s">
        <v>153</v>
      </c>
      <c r="AL424" s="47" t="s">
        <v>153</v>
      </c>
      <c r="AM424" s="48" t="s">
        <v>153</v>
      </c>
      <c r="AN424" s="49" t="s">
        <v>3725</v>
      </c>
      <c r="AO424" s="50" t="s">
        <v>153</v>
      </c>
      <c r="AP424" s="51" t="s">
        <v>153</v>
      </c>
      <c r="AQ424" s="52" t="s">
        <v>153</v>
      </c>
      <c r="AR424" s="53" t="s">
        <v>153</v>
      </c>
      <c r="AS424" s="54" t="s">
        <v>153</v>
      </c>
      <c r="AT424" s="55" t="s">
        <v>331</v>
      </c>
      <c r="AU424" s="56" t="s">
        <v>8868</v>
      </c>
      <c r="AV424" s="57" t="s">
        <v>153</v>
      </c>
      <c r="AW424" s="58" t="s">
        <v>333</v>
      </c>
      <c r="AX424" s="59" t="s">
        <v>153</v>
      </c>
      <c r="AY424" s="60" t="s">
        <v>8869</v>
      </c>
      <c r="AZ424" s="61" t="s">
        <v>335</v>
      </c>
      <c r="BA424" s="62" t="s">
        <v>153</v>
      </c>
      <c r="BB424" s="63" t="s">
        <v>153</v>
      </c>
      <c r="BC424" s="64" t="s">
        <v>153</v>
      </c>
      <c r="BD424" s="65" t="s">
        <v>180</v>
      </c>
      <c r="BE424" s="66" t="s">
        <v>181</v>
      </c>
      <c r="BF424" s="67" t="s">
        <v>8870</v>
      </c>
      <c r="BG424" s="68" t="s">
        <v>153</v>
      </c>
      <c r="BH424" s="69" t="s">
        <v>153</v>
      </c>
      <c r="BI424" s="70" t="s">
        <v>7016</v>
      </c>
      <c r="BJ424" s="71" t="s">
        <v>8871</v>
      </c>
      <c r="BK424" s="72" t="s">
        <v>153</v>
      </c>
      <c r="BL424" s="73" t="s">
        <v>153</v>
      </c>
      <c r="BM424" s="74" t="s">
        <v>8872</v>
      </c>
      <c r="BN424" s="75" t="s">
        <v>153</v>
      </c>
      <c r="BO424" s="76" t="s">
        <v>153</v>
      </c>
      <c r="BP424" s="77" t="s">
        <v>153</v>
      </c>
      <c r="BQ424" s="78">
        <v>37622</v>
      </c>
      <c r="BR424" s="79" t="s">
        <v>153</v>
      </c>
      <c r="BS424" s="80" t="s">
        <v>153</v>
      </c>
      <c r="BT424" s="81" t="s">
        <v>153</v>
      </c>
      <c r="BU424" s="82" t="s">
        <v>153</v>
      </c>
      <c r="BV424" s="83" t="s">
        <v>224</v>
      </c>
      <c r="BW424" s="84" t="s">
        <v>153</v>
      </c>
      <c r="BX424" s="85" t="s">
        <v>153</v>
      </c>
      <c r="BY424" s="86" t="s">
        <v>225</v>
      </c>
      <c r="BZ424" s="87" t="s">
        <v>153</v>
      </c>
      <c r="CA424" s="88" t="s">
        <v>190</v>
      </c>
      <c r="CB424" s="89">
        <v>40448</v>
      </c>
      <c r="CC424" s="90">
        <v>9733.3799999999992</v>
      </c>
      <c r="CD424" s="91" t="s">
        <v>186</v>
      </c>
      <c r="CE424" s="92">
        <v>19466.77</v>
      </c>
      <c r="CF424" s="93" t="s">
        <v>187</v>
      </c>
      <c r="CG424" s="94" t="s">
        <v>226</v>
      </c>
      <c r="CH424" s="95" t="s">
        <v>729</v>
      </c>
      <c r="CI424" s="96" t="s">
        <v>153</v>
      </c>
      <c r="CJ424" s="97" t="s">
        <v>225</v>
      </c>
      <c r="CK424" s="98">
        <v>40448</v>
      </c>
      <c r="CL424" s="99" t="s">
        <v>153</v>
      </c>
      <c r="CM424" s="100" t="s">
        <v>153</v>
      </c>
      <c r="CN424" s="101" t="s">
        <v>190</v>
      </c>
      <c r="CO424" s="102" t="s">
        <v>153</v>
      </c>
      <c r="CP424" s="103" t="s">
        <v>153</v>
      </c>
      <c r="CQ424" s="104" t="s">
        <v>153</v>
      </c>
      <c r="CR424" s="105" t="s">
        <v>153</v>
      </c>
      <c r="CS424" s="106" t="s">
        <v>153</v>
      </c>
      <c r="CT424" s="107" t="s">
        <v>153</v>
      </c>
      <c r="CU424" s="108" t="s">
        <v>153</v>
      </c>
      <c r="CV424" s="109" t="s">
        <v>153</v>
      </c>
      <c r="CW424" s="110" t="s">
        <v>153</v>
      </c>
      <c r="CX424" s="111" t="s">
        <v>153</v>
      </c>
      <c r="CY424" s="112" t="s">
        <v>153</v>
      </c>
      <c r="CZ424" s="113" t="s">
        <v>153</v>
      </c>
      <c r="DA424" s="114" t="s">
        <v>153</v>
      </c>
      <c r="DB424" s="115" t="s">
        <v>153</v>
      </c>
      <c r="DC424" s="116" t="s">
        <v>153</v>
      </c>
      <c r="DD424" s="117" t="s">
        <v>153</v>
      </c>
      <c r="DE424" s="118" t="s">
        <v>153</v>
      </c>
      <c r="DF424" s="119" t="s">
        <v>153</v>
      </c>
      <c r="DG424" s="120" t="s">
        <v>153</v>
      </c>
      <c r="DH424" s="121" t="s">
        <v>153</v>
      </c>
      <c r="DI424" s="122" t="s">
        <v>153</v>
      </c>
      <c r="DJ424" s="123" t="s">
        <v>153</v>
      </c>
      <c r="DK424" s="124" t="s">
        <v>153</v>
      </c>
      <c r="DL424" s="125" t="s">
        <v>153</v>
      </c>
      <c r="DM424" s="126" t="s">
        <v>153</v>
      </c>
      <c r="DN424" s="127" t="s">
        <v>153</v>
      </c>
      <c r="DO424" s="128" t="s">
        <v>153</v>
      </c>
      <c r="DP424" s="129" t="s">
        <v>153</v>
      </c>
      <c r="DQ424" s="130" t="s">
        <v>153</v>
      </c>
      <c r="DR424" s="131" t="s">
        <v>153</v>
      </c>
      <c r="DS424" s="132" t="s">
        <v>153</v>
      </c>
      <c r="DT424" s="133" t="s">
        <v>153</v>
      </c>
      <c r="DU424" s="134" t="s">
        <v>153</v>
      </c>
      <c r="DV424" s="135" t="s">
        <v>153</v>
      </c>
      <c r="DW424" s="136" t="s">
        <v>153</v>
      </c>
      <c r="DX424" s="137" t="s">
        <v>153</v>
      </c>
      <c r="DY424" s="138" t="s">
        <v>153</v>
      </c>
      <c r="DZ424" s="139" t="s">
        <v>191</v>
      </c>
      <c r="EA424" s="140">
        <v>44334</v>
      </c>
      <c r="EB424" s="141">
        <v>19466.77</v>
      </c>
      <c r="EC424" s="142">
        <v>40448</v>
      </c>
      <c r="ED424" s="143" t="s">
        <v>226</v>
      </c>
      <c r="EE424" s="278" t="str">
        <f>HYPERLINK("https://my.pitchbook.com?c=119653-84", "View company online")</f>
        <v>View company online</v>
      </c>
    </row>
    <row r="425" spans="1:135" x14ac:dyDescent="0.45">
      <c r="A425" s="144" t="s">
        <v>8873</v>
      </c>
      <c r="B425" s="145" t="s">
        <v>8874</v>
      </c>
      <c r="C425" s="146" t="s">
        <v>153</v>
      </c>
      <c r="D425" s="147" t="s">
        <v>153</v>
      </c>
      <c r="E425" s="148" t="s">
        <v>153</v>
      </c>
      <c r="F425" s="149" t="s">
        <v>8875</v>
      </c>
      <c r="G425" s="150" t="s">
        <v>8876</v>
      </c>
      <c r="H425" s="151" t="s">
        <v>8877</v>
      </c>
      <c r="I425" s="152" t="s">
        <v>8873</v>
      </c>
      <c r="J425" s="153" t="s">
        <v>8878</v>
      </c>
      <c r="K425" s="154" t="s">
        <v>257</v>
      </c>
      <c r="L425" s="155" t="s">
        <v>258</v>
      </c>
      <c r="M425" s="156" t="s">
        <v>259</v>
      </c>
      <c r="N425" s="157" t="s">
        <v>8879</v>
      </c>
      <c r="O425" s="158" t="s">
        <v>450</v>
      </c>
      <c r="P425" s="159" t="s">
        <v>8880</v>
      </c>
      <c r="Q425" s="160" t="s">
        <v>289</v>
      </c>
      <c r="R425" s="161">
        <v>299.64</v>
      </c>
      <c r="S425" s="162" t="s">
        <v>163</v>
      </c>
      <c r="T425" s="163" t="s">
        <v>205</v>
      </c>
      <c r="U425" s="164" t="s">
        <v>941</v>
      </c>
      <c r="V425" s="165" t="s">
        <v>8881</v>
      </c>
      <c r="W425" s="166">
        <v>1416</v>
      </c>
      <c r="X425" s="167" t="s">
        <v>8882</v>
      </c>
      <c r="Y425" s="168" t="s">
        <v>153</v>
      </c>
      <c r="Z425" s="169" t="s">
        <v>153</v>
      </c>
      <c r="AA425" s="170">
        <v>1992</v>
      </c>
      <c r="AB425" s="171" t="s">
        <v>153</v>
      </c>
      <c r="AC425" s="172" t="s">
        <v>153</v>
      </c>
      <c r="AD425" s="173" t="s">
        <v>153</v>
      </c>
      <c r="AE425" s="174" t="s">
        <v>153</v>
      </c>
      <c r="AF425" s="175" t="s">
        <v>153</v>
      </c>
      <c r="AG425" s="176" t="s">
        <v>153</v>
      </c>
      <c r="AH425" s="177" t="s">
        <v>153</v>
      </c>
      <c r="AI425" s="178" t="s">
        <v>153</v>
      </c>
      <c r="AJ425" s="179" t="s">
        <v>153</v>
      </c>
      <c r="AK425" s="180" t="s">
        <v>153</v>
      </c>
      <c r="AL425" s="181" t="s">
        <v>153</v>
      </c>
      <c r="AM425" s="182" t="s">
        <v>153</v>
      </c>
      <c r="AN425" s="183" t="s">
        <v>1023</v>
      </c>
      <c r="AO425" s="184" t="s">
        <v>153</v>
      </c>
      <c r="AP425" s="185" t="s">
        <v>153</v>
      </c>
      <c r="AQ425" s="186" t="s">
        <v>153</v>
      </c>
      <c r="AR425" s="187" t="s">
        <v>153</v>
      </c>
      <c r="AS425" s="188" t="s">
        <v>153</v>
      </c>
      <c r="AT425" s="189" t="s">
        <v>1149</v>
      </c>
      <c r="AU425" s="190" t="s">
        <v>8883</v>
      </c>
      <c r="AV425" s="191" t="s">
        <v>153</v>
      </c>
      <c r="AW425" s="192" t="s">
        <v>1151</v>
      </c>
      <c r="AX425" s="193" t="s">
        <v>308</v>
      </c>
      <c r="AY425" s="194" t="s">
        <v>1152</v>
      </c>
      <c r="AZ425" s="195" t="s">
        <v>215</v>
      </c>
      <c r="BA425" s="196" t="s">
        <v>153</v>
      </c>
      <c r="BB425" s="197" t="s">
        <v>153</v>
      </c>
      <c r="BC425" s="198" t="s">
        <v>153</v>
      </c>
      <c r="BD425" s="199" t="s">
        <v>216</v>
      </c>
      <c r="BE425" s="200" t="s">
        <v>217</v>
      </c>
      <c r="BF425" s="201" t="s">
        <v>8884</v>
      </c>
      <c r="BG425" s="202" t="s">
        <v>153</v>
      </c>
      <c r="BH425" s="203" t="s">
        <v>153</v>
      </c>
      <c r="BI425" s="204" t="s">
        <v>4744</v>
      </c>
      <c r="BJ425" s="205" t="s">
        <v>8885</v>
      </c>
      <c r="BK425" s="206" t="s">
        <v>153</v>
      </c>
      <c r="BL425" s="207" t="s">
        <v>153</v>
      </c>
      <c r="BM425" s="208" t="s">
        <v>8886</v>
      </c>
      <c r="BN425" s="209" t="s">
        <v>153</v>
      </c>
      <c r="BO425" s="210" t="s">
        <v>8887</v>
      </c>
      <c r="BP425" s="211" t="s">
        <v>8888</v>
      </c>
      <c r="BQ425" s="212">
        <v>33679</v>
      </c>
      <c r="BR425" s="213">
        <v>9</v>
      </c>
      <c r="BS425" s="214" t="s">
        <v>186</v>
      </c>
      <c r="BT425" s="215" t="s">
        <v>153</v>
      </c>
      <c r="BU425" s="216" t="s">
        <v>153</v>
      </c>
      <c r="BV425" s="217" t="s">
        <v>1007</v>
      </c>
      <c r="BW425" s="218" t="s">
        <v>1007</v>
      </c>
      <c r="BX425" s="219" t="s">
        <v>153</v>
      </c>
      <c r="BY425" s="220" t="s">
        <v>472</v>
      </c>
      <c r="BZ425" s="221" t="s">
        <v>153</v>
      </c>
      <c r="CA425" s="222" t="s">
        <v>190</v>
      </c>
      <c r="CB425" s="223">
        <v>41548</v>
      </c>
      <c r="CC425" s="224">
        <v>9712</v>
      </c>
      <c r="CD425" s="225" t="s">
        <v>186</v>
      </c>
      <c r="CE425" s="226">
        <v>9712</v>
      </c>
      <c r="CF425" s="227" t="s">
        <v>187</v>
      </c>
      <c r="CG425" s="228" t="s">
        <v>226</v>
      </c>
      <c r="CH425" s="229" t="s">
        <v>153</v>
      </c>
      <c r="CI425" s="230" t="s">
        <v>153</v>
      </c>
      <c r="CJ425" s="231" t="s">
        <v>225</v>
      </c>
      <c r="CK425" s="232">
        <v>41548</v>
      </c>
      <c r="CL425" s="233" t="s">
        <v>153</v>
      </c>
      <c r="CM425" s="234" t="s">
        <v>153</v>
      </c>
      <c r="CN425" s="235" t="s">
        <v>190</v>
      </c>
      <c r="CO425" s="236" t="s">
        <v>153</v>
      </c>
      <c r="CP425" s="237" t="s">
        <v>153</v>
      </c>
      <c r="CQ425" s="238" t="s">
        <v>153</v>
      </c>
      <c r="CR425" s="239" t="s">
        <v>153</v>
      </c>
      <c r="CS425" s="240" t="s">
        <v>153</v>
      </c>
      <c r="CT425" s="241" t="s">
        <v>153</v>
      </c>
      <c r="CU425" s="242" t="s">
        <v>153</v>
      </c>
      <c r="CV425" s="243" t="s">
        <v>153</v>
      </c>
      <c r="CW425" s="244" t="s">
        <v>153</v>
      </c>
      <c r="CX425" s="245" t="s">
        <v>153</v>
      </c>
      <c r="CY425" s="246" t="s">
        <v>153</v>
      </c>
      <c r="CZ425" s="247" t="s">
        <v>153</v>
      </c>
      <c r="DA425" s="248" t="s">
        <v>153</v>
      </c>
      <c r="DB425" s="249" t="s">
        <v>153</v>
      </c>
      <c r="DC425" s="250" t="s">
        <v>153</v>
      </c>
      <c r="DD425" s="251" t="s">
        <v>153</v>
      </c>
      <c r="DE425" s="252" t="s">
        <v>153</v>
      </c>
      <c r="DF425" s="253" t="s">
        <v>153</v>
      </c>
      <c r="DG425" s="254" t="s">
        <v>153</v>
      </c>
      <c r="DH425" s="255" t="s">
        <v>153</v>
      </c>
      <c r="DI425" s="256" t="s">
        <v>153</v>
      </c>
      <c r="DJ425" s="257" t="s">
        <v>153</v>
      </c>
      <c r="DK425" s="258" t="s">
        <v>153</v>
      </c>
      <c r="DL425" s="259" t="s">
        <v>153</v>
      </c>
      <c r="DM425" s="260" t="s">
        <v>153</v>
      </c>
      <c r="DN425" s="261" t="s">
        <v>153</v>
      </c>
      <c r="DO425" s="262" t="s">
        <v>153</v>
      </c>
      <c r="DP425" s="263" t="s">
        <v>153</v>
      </c>
      <c r="DQ425" s="264" t="s">
        <v>153</v>
      </c>
      <c r="DR425" s="265" t="s">
        <v>153</v>
      </c>
      <c r="DS425" s="266" t="s">
        <v>153</v>
      </c>
      <c r="DT425" s="267" t="s">
        <v>153</v>
      </c>
      <c r="DU425" s="268" t="s">
        <v>153</v>
      </c>
      <c r="DV425" s="269" t="s">
        <v>153</v>
      </c>
      <c r="DW425" s="270" t="s">
        <v>153</v>
      </c>
      <c r="DX425" s="271" t="s">
        <v>153</v>
      </c>
      <c r="DY425" s="272" t="s">
        <v>153</v>
      </c>
      <c r="DZ425" s="273" t="s">
        <v>191</v>
      </c>
      <c r="EA425" s="274">
        <v>44217</v>
      </c>
      <c r="EB425" s="275">
        <v>9712</v>
      </c>
      <c r="EC425" s="276">
        <v>41548</v>
      </c>
      <c r="ED425" s="277" t="s">
        <v>226</v>
      </c>
      <c r="EE425" s="279" t="str">
        <f>HYPERLINK("https://my.pitchbook.com?c=41240-26", "View company online")</f>
        <v>View company online</v>
      </c>
    </row>
    <row r="426" spans="1:135" x14ac:dyDescent="0.45">
      <c r="A426" s="10" t="s">
        <v>8889</v>
      </c>
      <c r="B426" s="11" t="s">
        <v>8890</v>
      </c>
      <c r="C426" s="12" t="s">
        <v>153</v>
      </c>
      <c r="D426" s="13" t="s">
        <v>153</v>
      </c>
      <c r="E426" s="14" t="s">
        <v>153</v>
      </c>
      <c r="F426" s="15" t="s">
        <v>153</v>
      </c>
      <c r="G426" s="16" t="s">
        <v>8891</v>
      </c>
      <c r="H426" s="17" t="s">
        <v>8892</v>
      </c>
      <c r="I426" s="18" t="s">
        <v>8889</v>
      </c>
      <c r="J426" s="19" t="s">
        <v>8893</v>
      </c>
      <c r="K426" s="20" t="s">
        <v>232</v>
      </c>
      <c r="L426" s="21" t="s">
        <v>2162</v>
      </c>
      <c r="M426" s="22" t="s">
        <v>2773</v>
      </c>
      <c r="N426" s="23" t="s">
        <v>8894</v>
      </c>
      <c r="O426" s="24" t="s">
        <v>8895</v>
      </c>
      <c r="P426" s="25" t="s">
        <v>8896</v>
      </c>
      <c r="Q426" s="26" t="s">
        <v>204</v>
      </c>
      <c r="R426" s="27">
        <v>9670</v>
      </c>
      <c r="S426" s="28" t="s">
        <v>163</v>
      </c>
      <c r="T426" s="29" t="s">
        <v>205</v>
      </c>
      <c r="U426" s="30" t="s">
        <v>206</v>
      </c>
      <c r="V426" s="31" t="s">
        <v>8897</v>
      </c>
      <c r="W426" s="32">
        <v>30000</v>
      </c>
      <c r="X426" s="33" t="s">
        <v>8898</v>
      </c>
      <c r="Y426" s="34" t="s">
        <v>153</v>
      </c>
      <c r="Z426" s="35" t="s">
        <v>153</v>
      </c>
      <c r="AA426" s="36">
        <v>2004</v>
      </c>
      <c r="AB426" s="37" t="s">
        <v>153</v>
      </c>
      <c r="AC426" s="38" t="s">
        <v>428</v>
      </c>
      <c r="AD426" s="39" t="s">
        <v>428</v>
      </c>
      <c r="AE426" s="40" t="s">
        <v>153</v>
      </c>
      <c r="AF426" s="41" t="s">
        <v>153</v>
      </c>
      <c r="AG426" s="42" t="s">
        <v>153</v>
      </c>
      <c r="AH426" s="43" t="s">
        <v>153</v>
      </c>
      <c r="AI426" s="44" t="s">
        <v>153</v>
      </c>
      <c r="AJ426" s="45" t="s">
        <v>153</v>
      </c>
      <c r="AK426" s="46" t="s">
        <v>153</v>
      </c>
      <c r="AL426" s="47" t="s">
        <v>153</v>
      </c>
      <c r="AM426" s="48" t="s">
        <v>153</v>
      </c>
      <c r="AN426" s="49" t="s">
        <v>868</v>
      </c>
      <c r="AO426" s="50" t="s">
        <v>153</v>
      </c>
      <c r="AP426" s="51" t="s">
        <v>153</v>
      </c>
      <c r="AQ426" s="52" t="s">
        <v>153</v>
      </c>
      <c r="AR426" s="53" t="s">
        <v>153</v>
      </c>
      <c r="AS426" s="54" t="s">
        <v>153</v>
      </c>
      <c r="AT426" s="55" t="s">
        <v>3972</v>
      </c>
      <c r="AU426" s="56" t="s">
        <v>8899</v>
      </c>
      <c r="AV426" s="57" t="s">
        <v>8900</v>
      </c>
      <c r="AW426" s="58" t="s">
        <v>3974</v>
      </c>
      <c r="AX426" s="59" t="s">
        <v>8901</v>
      </c>
      <c r="AY426" s="60" t="s">
        <v>8902</v>
      </c>
      <c r="AZ426" s="61" t="s">
        <v>1519</v>
      </c>
      <c r="BA426" s="62" t="s">
        <v>153</v>
      </c>
      <c r="BB426" s="63" t="s">
        <v>153</v>
      </c>
      <c r="BC426" s="64" t="s">
        <v>153</v>
      </c>
      <c r="BD426" s="65" t="s">
        <v>1406</v>
      </c>
      <c r="BE426" s="66" t="s">
        <v>1407</v>
      </c>
      <c r="BF426" s="67" t="s">
        <v>8903</v>
      </c>
      <c r="BG426" s="68" t="s">
        <v>153</v>
      </c>
      <c r="BH426" s="69" t="s">
        <v>153</v>
      </c>
      <c r="BI426" s="70" t="s">
        <v>8904</v>
      </c>
      <c r="BJ426" s="71" t="s">
        <v>153</v>
      </c>
      <c r="BK426" s="72" t="s">
        <v>153</v>
      </c>
      <c r="BL426" s="73" t="s">
        <v>153</v>
      </c>
      <c r="BM426" s="74" t="s">
        <v>153</v>
      </c>
      <c r="BN426" s="75" t="s">
        <v>153</v>
      </c>
      <c r="BO426" s="76" t="s">
        <v>153</v>
      </c>
      <c r="BP426" s="77" t="s">
        <v>153</v>
      </c>
      <c r="BQ426" s="78">
        <v>43132</v>
      </c>
      <c r="BR426" s="79" t="s">
        <v>153</v>
      </c>
      <c r="BS426" s="80" t="s">
        <v>153</v>
      </c>
      <c r="BT426" s="81" t="s">
        <v>153</v>
      </c>
      <c r="BU426" s="82" t="s">
        <v>153</v>
      </c>
      <c r="BV426" s="83" t="s">
        <v>226</v>
      </c>
      <c r="BW426" s="84" t="s">
        <v>153</v>
      </c>
      <c r="BX426" s="85" t="s">
        <v>153</v>
      </c>
      <c r="BY426" s="86" t="s">
        <v>225</v>
      </c>
      <c r="BZ426" s="87" t="s">
        <v>153</v>
      </c>
      <c r="CA426" s="88" t="s">
        <v>190</v>
      </c>
      <c r="CB426" s="89">
        <v>43154</v>
      </c>
      <c r="CC426" s="90">
        <v>9670</v>
      </c>
      <c r="CD426" s="91" t="s">
        <v>186</v>
      </c>
      <c r="CE426" s="92" t="s">
        <v>153</v>
      </c>
      <c r="CF426" s="93" t="s">
        <v>153</v>
      </c>
      <c r="CG426" s="94" t="s">
        <v>225</v>
      </c>
      <c r="CH426" s="95" t="s">
        <v>225</v>
      </c>
      <c r="CI426" s="96" t="s">
        <v>153</v>
      </c>
      <c r="CJ426" s="97" t="s">
        <v>225</v>
      </c>
      <c r="CK426" s="98">
        <v>43154</v>
      </c>
      <c r="CL426" s="99" t="s">
        <v>153</v>
      </c>
      <c r="CM426" s="100" t="s">
        <v>153</v>
      </c>
      <c r="CN426" s="101" t="s">
        <v>190</v>
      </c>
      <c r="CO426" s="102" t="s">
        <v>153</v>
      </c>
      <c r="CP426" s="103" t="s">
        <v>153</v>
      </c>
      <c r="CQ426" s="104" t="s">
        <v>153</v>
      </c>
      <c r="CR426" s="105" t="s">
        <v>153</v>
      </c>
      <c r="CS426" s="106" t="s">
        <v>153</v>
      </c>
      <c r="CT426" s="107" t="s">
        <v>153</v>
      </c>
      <c r="CU426" s="108" t="s">
        <v>153</v>
      </c>
      <c r="CV426" s="109" t="s">
        <v>153</v>
      </c>
      <c r="CW426" s="110" t="s">
        <v>153</v>
      </c>
      <c r="CX426" s="111" t="s">
        <v>153</v>
      </c>
      <c r="CY426" s="112" t="s">
        <v>153</v>
      </c>
      <c r="CZ426" s="113" t="s">
        <v>153</v>
      </c>
      <c r="DA426" s="114" t="s">
        <v>153</v>
      </c>
      <c r="DB426" s="115" t="s">
        <v>153</v>
      </c>
      <c r="DC426" s="116" t="s">
        <v>153</v>
      </c>
      <c r="DD426" s="117" t="s">
        <v>153</v>
      </c>
      <c r="DE426" s="118" t="s">
        <v>153</v>
      </c>
      <c r="DF426" s="119" t="s">
        <v>153</v>
      </c>
      <c r="DG426" s="120" t="s">
        <v>153</v>
      </c>
      <c r="DH426" s="121" t="s">
        <v>153</v>
      </c>
      <c r="DI426" s="122" t="s">
        <v>153</v>
      </c>
      <c r="DJ426" s="123" t="s">
        <v>153</v>
      </c>
      <c r="DK426" s="124" t="s">
        <v>153</v>
      </c>
      <c r="DL426" s="125" t="s">
        <v>153</v>
      </c>
      <c r="DM426" s="126" t="s">
        <v>153</v>
      </c>
      <c r="DN426" s="127" t="s">
        <v>153</v>
      </c>
      <c r="DO426" s="128" t="s">
        <v>153</v>
      </c>
      <c r="DP426" s="129" t="s">
        <v>153</v>
      </c>
      <c r="DQ426" s="130" t="s">
        <v>153</v>
      </c>
      <c r="DR426" s="131" t="s">
        <v>153</v>
      </c>
      <c r="DS426" s="132" t="s">
        <v>153</v>
      </c>
      <c r="DT426" s="133" t="s">
        <v>153</v>
      </c>
      <c r="DU426" s="134" t="s">
        <v>153</v>
      </c>
      <c r="DV426" s="135" t="s">
        <v>153</v>
      </c>
      <c r="DW426" s="136" t="s">
        <v>153</v>
      </c>
      <c r="DX426" s="137" t="s">
        <v>153</v>
      </c>
      <c r="DY426" s="138" t="s">
        <v>153</v>
      </c>
      <c r="DZ426" s="139" t="s">
        <v>191</v>
      </c>
      <c r="EA426" s="140">
        <v>44262</v>
      </c>
      <c r="EB426" s="141" t="s">
        <v>153</v>
      </c>
      <c r="EC426" s="142" t="s">
        <v>153</v>
      </c>
      <c r="ED426" s="143" t="s">
        <v>153</v>
      </c>
      <c r="EE426" s="278" t="str">
        <f>HYPERLINK("https://my.pitchbook.com?c=98031-52", "View company online")</f>
        <v>View company online</v>
      </c>
    </row>
    <row r="427" spans="1:135" x14ac:dyDescent="0.45">
      <c r="A427" s="144" t="s">
        <v>8905</v>
      </c>
      <c r="B427" s="145" t="s">
        <v>8906</v>
      </c>
      <c r="C427" s="146" t="s">
        <v>153</v>
      </c>
      <c r="D427" s="147" t="s">
        <v>153</v>
      </c>
      <c r="E427" s="148" t="s">
        <v>8907</v>
      </c>
      <c r="F427" s="149" t="s">
        <v>8908</v>
      </c>
      <c r="G427" s="150" t="s">
        <v>8909</v>
      </c>
      <c r="H427" s="151" t="s">
        <v>153</v>
      </c>
      <c r="I427" s="152" t="s">
        <v>8905</v>
      </c>
      <c r="J427" s="153" t="s">
        <v>8910</v>
      </c>
      <c r="K427" s="154" t="s">
        <v>198</v>
      </c>
      <c r="L427" s="155" t="s">
        <v>199</v>
      </c>
      <c r="M427" s="156" t="s">
        <v>2967</v>
      </c>
      <c r="N427" s="157" t="s">
        <v>8911</v>
      </c>
      <c r="O427" s="158" t="s">
        <v>1592</v>
      </c>
      <c r="P427" s="159" t="s">
        <v>8912</v>
      </c>
      <c r="Q427" s="160" t="s">
        <v>289</v>
      </c>
      <c r="R427" s="161" t="s">
        <v>153</v>
      </c>
      <c r="S427" s="162" t="s">
        <v>8913</v>
      </c>
      <c r="T427" s="163" t="s">
        <v>8914</v>
      </c>
      <c r="U427" s="164" t="s">
        <v>4270</v>
      </c>
      <c r="V427" s="165" t="s">
        <v>8915</v>
      </c>
      <c r="W427" s="166">
        <v>93000</v>
      </c>
      <c r="X427" s="167" t="s">
        <v>8916</v>
      </c>
      <c r="Y427" s="168" t="s">
        <v>153</v>
      </c>
      <c r="Z427" s="169" t="s">
        <v>153</v>
      </c>
      <c r="AA427" s="170">
        <v>1895</v>
      </c>
      <c r="AB427" s="171" t="s">
        <v>153</v>
      </c>
      <c r="AC427" s="172" t="s">
        <v>153</v>
      </c>
      <c r="AD427" s="173" t="s">
        <v>153</v>
      </c>
      <c r="AE427" s="174" t="s">
        <v>153</v>
      </c>
      <c r="AF427" s="175" t="s">
        <v>153</v>
      </c>
      <c r="AG427" s="176" t="s">
        <v>153</v>
      </c>
      <c r="AH427" s="177" t="s">
        <v>153</v>
      </c>
      <c r="AI427" s="178" t="s">
        <v>153</v>
      </c>
      <c r="AJ427" s="179" t="s">
        <v>153</v>
      </c>
      <c r="AK427" s="180" t="s">
        <v>153</v>
      </c>
      <c r="AL427" s="181" t="s">
        <v>153</v>
      </c>
      <c r="AM427" s="182" t="s">
        <v>153</v>
      </c>
      <c r="AN427" s="183" t="s">
        <v>7306</v>
      </c>
      <c r="AO427" s="184" t="s">
        <v>153</v>
      </c>
      <c r="AP427" s="185" t="s">
        <v>153</v>
      </c>
      <c r="AQ427" s="186" t="s">
        <v>153</v>
      </c>
      <c r="AR427" s="187" t="s">
        <v>153</v>
      </c>
      <c r="AS427" s="188" t="s">
        <v>153</v>
      </c>
      <c r="AT427" s="189" t="s">
        <v>8917</v>
      </c>
      <c r="AU427" s="190" t="s">
        <v>8918</v>
      </c>
      <c r="AV427" s="191" t="s">
        <v>8919</v>
      </c>
      <c r="AW427" s="192" t="s">
        <v>8920</v>
      </c>
      <c r="AX427" s="193" t="s">
        <v>3712</v>
      </c>
      <c r="AY427" s="194" t="s">
        <v>8921</v>
      </c>
      <c r="AZ427" s="195" t="s">
        <v>1358</v>
      </c>
      <c r="BA427" s="196" t="s">
        <v>153</v>
      </c>
      <c r="BB427" s="197" t="s">
        <v>153</v>
      </c>
      <c r="BC427" s="198" t="s">
        <v>153</v>
      </c>
      <c r="BD427" s="199" t="s">
        <v>216</v>
      </c>
      <c r="BE427" s="200" t="s">
        <v>217</v>
      </c>
      <c r="BF427" s="201" t="s">
        <v>8922</v>
      </c>
      <c r="BG427" s="202" t="s">
        <v>153</v>
      </c>
      <c r="BH427" s="203" t="s">
        <v>153</v>
      </c>
      <c r="BI427" s="204" t="s">
        <v>153</v>
      </c>
      <c r="BJ427" s="205" t="s">
        <v>8923</v>
      </c>
      <c r="BK427" s="206" t="s">
        <v>153</v>
      </c>
      <c r="BL427" s="207" t="s">
        <v>153</v>
      </c>
      <c r="BM427" s="208" t="s">
        <v>8924</v>
      </c>
      <c r="BN427" s="209" t="s">
        <v>153</v>
      </c>
      <c r="BO427" s="210" t="s">
        <v>8925</v>
      </c>
      <c r="BP427" s="211" t="s">
        <v>8926</v>
      </c>
      <c r="BQ427" s="212" t="s">
        <v>153</v>
      </c>
      <c r="BR427" s="213" t="s">
        <v>153</v>
      </c>
      <c r="BS427" s="214" t="s">
        <v>153</v>
      </c>
      <c r="BT427" s="215" t="s">
        <v>153</v>
      </c>
      <c r="BU427" s="216" t="s">
        <v>153</v>
      </c>
      <c r="BV427" s="217" t="s">
        <v>905</v>
      </c>
      <c r="BW427" s="218" t="s">
        <v>153</v>
      </c>
      <c r="BX427" s="219" t="s">
        <v>153</v>
      </c>
      <c r="BY427" s="220" t="s">
        <v>472</v>
      </c>
      <c r="BZ427" s="221" t="s">
        <v>153</v>
      </c>
      <c r="CA427" s="222" t="s">
        <v>190</v>
      </c>
      <c r="CB427" s="223">
        <v>39827</v>
      </c>
      <c r="CC427" s="224">
        <v>9657.92</v>
      </c>
      <c r="CD427" s="225" t="s">
        <v>186</v>
      </c>
      <c r="CE427" s="226" t="s">
        <v>153</v>
      </c>
      <c r="CF427" s="227" t="s">
        <v>153</v>
      </c>
      <c r="CG427" s="228" t="s">
        <v>8913</v>
      </c>
      <c r="CH427" s="229" t="s">
        <v>153</v>
      </c>
      <c r="CI427" s="230" t="s">
        <v>153</v>
      </c>
      <c r="CJ427" s="231" t="s">
        <v>8927</v>
      </c>
      <c r="CK427" s="232">
        <v>39827</v>
      </c>
      <c r="CL427" s="233" t="s">
        <v>153</v>
      </c>
      <c r="CM427" s="234" t="s">
        <v>153</v>
      </c>
      <c r="CN427" s="235" t="s">
        <v>190</v>
      </c>
      <c r="CO427" s="236" t="s">
        <v>153</v>
      </c>
      <c r="CP427" s="237" t="s">
        <v>153</v>
      </c>
      <c r="CQ427" s="238" t="s">
        <v>153</v>
      </c>
      <c r="CR427" s="239" t="s">
        <v>153</v>
      </c>
      <c r="CS427" s="240" t="s">
        <v>153</v>
      </c>
      <c r="CT427" s="241" t="s">
        <v>153</v>
      </c>
      <c r="CU427" s="242" t="s">
        <v>153</v>
      </c>
      <c r="CV427" s="243" t="s">
        <v>153</v>
      </c>
      <c r="CW427" s="244" t="s">
        <v>153</v>
      </c>
      <c r="CX427" s="245" t="s">
        <v>153</v>
      </c>
      <c r="CY427" s="246" t="s">
        <v>153</v>
      </c>
      <c r="CZ427" s="247" t="s">
        <v>153</v>
      </c>
      <c r="DA427" s="248" t="s">
        <v>153</v>
      </c>
      <c r="DB427" s="249" t="s">
        <v>153</v>
      </c>
      <c r="DC427" s="250" t="s">
        <v>153</v>
      </c>
      <c r="DD427" s="251" t="s">
        <v>153</v>
      </c>
      <c r="DE427" s="252" t="s">
        <v>153</v>
      </c>
      <c r="DF427" s="253" t="s">
        <v>153</v>
      </c>
      <c r="DG427" s="254" t="s">
        <v>153</v>
      </c>
      <c r="DH427" s="255" t="s">
        <v>153</v>
      </c>
      <c r="DI427" s="256" t="s">
        <v>153</v>
      </c>
      <c r="DJ427" s="257" t="s">
        <v>153</v>
      </c>
      <c r="DK427" s="258" t="s">
        <v>153</v>
      </c>
      <c r="DL427" s="259" t="s">
        <v>153</v>
      </c>
      <c r="DM427" s="260" t="s">
        <v>153</v>
      </c>
      <c r="DN427" s="261" t="s">
        <v>153</v>
      </c>
      <c r="DO427" s="262" t="s">
        <v>153</v>
      </c>
      <c r="DP427" s="263" t="s">
        <v>153</v>
      </c>
      <c r="DQ427" s="264" t="s">
        <v>153</v>
      </c>
      <c r="DR427" s="265" t="s">
        <v>153</v>
      </c>
      <c r="DS427" s="266" t="s">
        <v>153</v>
      </c>
      <c r="DT427" s="267" t="s">
        <v>153</v>
      </c>
      <c r="DU427" s="268" t="s">
        <v>153</v>
      </c>
      <c r="DV427" s="269" t="s">
        <v>153</v>
      </c>
      <c r="DW427" s="270" t="s">
        <v>153</v>
      </c>
      <c r="DX427" s="271" t="s">
        <v>153</v>
      </c>
      <c r="DY427" s="272" t="s">
        <v>153</v>
      </c>
      <c r="DZ427" s="273" t="s">
        <v>191</v>
      </c>
      <c r="EA427" s="274">
        <v>44341</v>
      </c>
      <c r="EB427" s="275" t="s">
        <v>153</v>
      </c>
      <c r="EC427" s="276" t="s">
        <v>153</v>
      </c>
      <c r="ED427" s="277" t="s">
        <v>153</v>
      </c>
      <c r="EE427" s="279" t="str">
        <f>HYPERLINK("https://my.pitchbook.com?c=10119-25", "View company online")</f>
        <v>View company online</v>
      </c>
    </row>
    <row r="428" spans="1:135" x14ac:dyDescent="0.45">
      <c r="A428" s="10" t="s">
        <v>8928</v>
      </c>
      <c r="B428" s="11" t="s">
        <v>8929</v>
      </c>
      <c r="C428" s="12" t="s">
        <v>153</v>
      </c>
      <c r="D428" s="13" t="s">
        <v>153</v>
      </c>
      <c r="E428" s="14" t="s">
        <v>153</v>
      </c>
      <c r="F428" s="15" t="s">
        <v>153</v>
      </c>
      <c r="G428" s="16" t="s">
        <v>8930</v>
      </c>
      <c r="H428" s="17" t="s">
        <v>8931</v>
      </c>
      <c r="I428" s="18" t="s">
        <v>8928</v>
      </c>
      <c r="J428" s="19" t="s">
        <v>8932</v>
      </c>
      <c r="K428" s="20" t="s">
        <v>257</v>
      </c>
      <c r="L428" s="21" t="s">
        <v>258</v>
      </c>
      <c r="M428" s="22" t="s">
        <v>448</v>
      </c>
      <c r="N428" s="23" t="s">
        <v>1138</v>
      </c>
      <c r="O428" s="24" t="s">
        <v>1139</v>
      </c>
      <c r="P428" s="25" t="s">
        <v>8933</v>
      </c>
      <c r="Q428" s="26" t="s">
        <v>162</v>
      </c>
      <c r="R428" s="27">
        <v>100.5</v>
      </c>
      <c r="S428" s="28" t="s">
        <v>163</v>
      </c>
      <c r="T428" s="29" t="s">
        <v>1392</v>
      </c>
      <c r="U428" s="30" t="s">
        <v>2025</v>
      </c>
      <c r="V428" s="31" t="s">
        <v>8934</v>
      </c>
      <c r="W428" s="32">
        <v>600</v>
      </c>
      <c r="X428" s="33" t="s">
        <v>8935</v>
      </c>
      <c r="Y428" s="34" t="s">
        <v>153</v>
      </c>
      <c r="Z428" s="35" t="s">
        <v>153</v>
      </c>
      <c r="AA428" s="36">
        <v>1998</v>
      </c>
      <c r="AB428" s="37" t="s">
        <v>153</v>
      </c>
      <c r="AC428" s="38" t="s">
        <v>428</v>
      </c>
      <c r="AD428" s="39" t="s">
        <v>622</v>
      </c>
      <c r="AE428" s="40" t="s">
        <v>153</v>
      </c>
      <c r="AF428" s="41" t="s">
        <v>153</v>
      </c>
      <c r="AG428" s="42" t="s">
        <v>153</v>
      </c>
      <c r="AH428" s="43" t="s">
        <v>153</v>
      </c>
      <c r="AI428" s="44" t="s">
        <v>153</v>
      </c>
      <c r="AJ428" s="45" t="s">
        <v>153</v>
      </c>
      <c r="AK428" s="46" t="s">
        <v>153</v>
      </c>
      <c r="AL428" s="47" t="s">
        <v>153</v>
      </c>
      <c r="AM428" s="48" t="s">
        <v>153</v>
      </c>
      <c r="AN428" s="49" t="s">
        <v>456</v>
      </c>
      <c r="AO428" s="50" t="s">
        <v>8936</v>
      </c>
      <c r="AP428" s="51" t="s">
        <v>8937</v>
      </c>
      <c r="AQ428" s="52" t="s">
        <v>512</v>
      </c>
      <c r="AR428" s="53" t="s">
        <v>8938</v>
      </c>
      <c r="AS428" s="54" t="s">
        <v>8939</v>
      </c>
      <c r="AT428" s="55" t="s">
        <v>8940</v>
      </c>
      <c r="AU428" s="56" t="s">
        <v>8941</v>
      </c>
      <c r="AV428" s="57" t="s">
        <v>153</v>
      </c>
      <c r="AW428" s="58" t="s">
        <v>8942</v>
      </c>
      <c r="AX428" s="59" t="s">
        <v>8943</v>
      </c>
      <c r="AY428" s="60" t="s">
        <v>8944</v>
      </c>
      <c r="AZ428" s="61" t="s">
        <v>215</v>
      </c>
      <c r="BA428" s="62" t="s">
        <v>8939</v>
      </c>
      <c r="BB428" s="63" t="s">
        <v>8945</v>
      </c>
      <c r="BC428" s="64" t="s">
        <v>8946</v>
      </c>
      <c r="BD428" s="65" t="s">
        <v>216</v>
      </c>
      <c r="BE428" s="66" t="s">
        <v>217</v>
      </c>
      <c r="BF428" s="67" t="s">
        <v>8947</v>
      </c>
      <c r="BG428" s="68" t="s">
        <v>8948</v>
      </c>
      <c r="BH428" s="69">
        <v>4</v>
      </c>
      <c r="BI428" s="70" t="s">
        <v>153</v>
      </c>
      <c r="BJ428" s="71" t="s">
        <v>153</v>
      </c>
      <c r="BK428" s="72" t="s">
        <v>3371</v>
      </c>
      <c r="BL428" s="73" t="s">
        <v>8949</v>
      </c>
      <c r="BM428" s="74" t="s">
        <v>153</v>
      </c>
      <c r="BN428" s="75" t="s">
        <v>6577</v>
      </c>
      <c r="BO428" s="76" t="s">
        <v>153</v>
      </c>
      <c r="BP428" s="77" t="s">
        <v>8950</v>
      </c>
      <c r="BQ428" s="78">
        <v>38353</v>
      </c>
      <c r="BR428" s="79">
        <v>5.7</v>
      </c>
      <c r="BS428" s="80" t="s">
        <v>186</v>
      </c>
      <c r="BT428" s="81" t="s">
        <v>153</v>
      </c>
      <c r="BU428" s="82" t="s">
        <v>153</v>
      </c>
      <c r="BV428" s="83" t="s">
        <v>8951</v>
      </c>
      <c r="BW428" s="84" t="s">
        <v>153</v>
      </c>
      <c r="BX428" s="85" t="s">
        <v>153</v>
      </c>
      <c r="BY428" s="86" t="s">
        <v>321</v>
      </c>
      <c r="BZ428" s="87" t="s">
        <v>153</v>
      </c>
      <c r="CA428" s="88" t="s">
        <v>190</v>
      </c>
      <c r="CB428" s="89">
        <v>44364</v>
      </c>
      <c r="CC428" s="90">
        <v>9600</v>
      </c>
      <c r="CD428" s="91" t="s">
        <v>186</v>
      </c>
      <c r="CE428" s="92">
        <v>9600</v>
      </c>
      <c r="CF428" s="93" t="s">
        <v>187</v>
      </c>
      <c r="CG428" s="94" t="s">
        <v>226</v>
      </c>
      <c r="CH428" s="95" t="s">
        <v>153</v>
      </c>
      <c r="CI428" s="96" t="s">
        <v>153</v>
      </c>
      <c r="CJ428" s="97" t="s">
        <v>225</v>
      </c>
      <c r="CK428" s="98">
        <v>44364</v>
      </c>
      <c r="CL428" s="99" t="s">
        <v>153</v>
      </c>
      <c r="CM428" s="100" t="s">
        <v>153</v>
      </c>
      <c r="CN428" s="101" t="s">
        <v>1278</v>
      </c>
      <c r="CO428" s="102">
        <v>3.6</v>
      </c>
      <c r="CP428" s="103">
        <v>100</v>
      </c>
      <c r="CQ428" s="104">
        <v>0</v>
      </c>
      <c r="CR428" s="105">
        <v>0</v>
      </c>
      <c r="CS428" s="106">
        <v>9.43</v>
      </c>
      <c r="CT428" s="107">
        <v>100</v>
      </c>
      <c r="CU428" s="108">
        <v>0.67</v>
      </c>
      <c r="CV428" s="109">
        <v>97</v>
      </c>
      <c r="CW428" s="110">
        <v>9.43</v>
      </c>
      <c r="CX428" s="111">
        <v>99</v>
      </c>
      <c r="CY428" s="112" t="s">
        <v>153</v>
      </c>
      <c r="CZ428" s="113" t="s">
        <v>153</v>
      </c>
      <c r="DA428" s="114">
        <v>0.67</v>
      </c>
      <c r="DB428" s="115">
        <v>97</v>
      </c>
      <c r="DC428" s="116">
        <v>9.26</v>
      </c>
      <c r="DD428" s="117">
        <v>91</v>
      </c>
      <c r="DE428" s="118">
        <v>0</v>
      </c>
      <c r="DF428" s="119">
        <v>0.05</v>
      </c>
      <c r="DG428" s="120">
        <v>9.41</v>
      </c>
      <c r="DH428" s="121">
        <v>91</v>
      </c>
      <c r="DI428" s="122">
        <v>2.15</v>
      </c>
      <c r="DJ428" s="123">
        <v>64</v>
      </c>
      <c r="DK428" s="124">
        <v>9.41</v>
      </c>
      <c r="DL428" s="125">
        <v>85</v>
      </c>
      <c r="DM428" s="126" t="s">
        <v>153</v>
      </c>
      <c r="DN428" s="127" t="s">
        <v>153</v>
      </c>
      <c r="DO428" s="128">
        <v>2.15</v>
      </c>
      <c r="DP428" s="129">
        <v>64</v>
      </c>
      <c r="DQ428" s="130">
        <v>5450</v>
      </c>
      <c r="DR428" s="131">
        <v>469</v>
      </c>
      <c r="DS428" s="132">
        <v>9.42</v>
      </c>
      <c r="DT428" s="133" t="s">
        <v>153</v>
      </c>
      <c r="DU428" s="134" t="s">
        <v>153</v>
      </c>
      <c r="DV428" s="135" t="s">
        <v>153</v>
      </c>
      <c r="DW428" s="136">
        <v>674</v>
      </c>
      <c r="DX428" s="137">
        <v>2</v>
      </c>
      <c r="DY428" s="138">
        <v>0.3</v>
      </c>
      <c r="DZ428" s="139" t="s">
        <v>191</v>
      </c>
      <c r="EA428" s="140">
        <v>44371</v>
      </c>
      <c r="EB428" s="141">
        <v>9600</v>
      </c>
      <c r="EC428" s="142">
        <v>44364</v>
      </c>
      <c r="ED428" s="143" t="s">
        <v>226</v>
      </c>
      <c r="EE428" s="278" t="str">
        <f>HYPERLINK("https://my.pitchbook.com?c=99147-97", "View company online")</f>
        <v>View company online</v>
      </c>
    </row>
    <row r="429" spans="1:135" x14ac:dyDescent="0.45">
      <c r="A429" s="144" t="s">
        <v>8952</v>
      </c>
      <c r="B429" s="145" t="s">
        <v>8953</v>
      </c>
      <c r="C429" s="146" t="s">
        <v>153</v>
      </c>
      <c r="D429" s="147" t="s">
        <v>153</v>
      </c>
      <c r="E429" s="148" t="s">
        <v>153</v>
      </c>
      <c r="F429" s="149" t="s">
        <v>8954</v>
      </c>
      <c r="G429" s="150" t="s">
        <v>8955</v>
      </c>
      <c r="H429" s="151" t="s">
        <v>8956</v>
      </c>
      <c r="I429" s="152" t="s">
        <v>8952</v>
      </c>
      <c r="J429" s="153" t="s">
        <v>8957</v>
      </c>
      <c r="K429" s="154" t="s">
        <v>257</v>
      </c>
      <c r="L429" s="155" t="s">
        <v>258</v>
      </c>
      <c r="M429" s="156" t="s">
        <v>448</v>
      </c>
      <c r="N429" s="157" t="s">
        <v>1138</v>
      </c>
      <c r="O429" s="158" t="s">
        <v>755</v>
      </c>
      <c r="P429" s="159" t="s">
        <v>8958</v>
      </c>
      <c r="Q429" s="160" t="s">
        <v>564</v>
      </c>
      <c r="R429" s="161">
        <v>223.93</v>
      </c>
      <c r="S429" s="162" t="s">
        <v>290</v>
      </c>
      <c r="T429" s="163" t="s">
        <v>205</v>
      </c>
      <c r="U429" s="164" t="s">
        <v>452</v>
      </c>
      <c r="V429" s="165" t="s">
        <v>8959</v>
      </c>
      <c r="W429" s="166">
        <v>60</v>
      </c>
      <c r="X429" s="167" t="s">
        <v>8960</v>
      </c>
      <c r="Y429" s="168" t="s">
        <v>153</v>
      </c>
      <c r="Z429" s="169" t="s">
        <v>153</v>
      </c>
      <c r="AA429" s="170">
        <v>1996</v>
      </c>
      <c r="AB429" s="171" t="s">
        <v>153</v>
      </c>
      <c r="AC429" s="172" t="s">
        <v>153</v>
      </c>
      <c r="AD429" s="173" t="s">
        <v>153</v>
      </c>
      <c r="AE429" s="174" t="s">
        <v>153</v>
      </c>
      <c r="AF429" s="175" t="s">
        <v>153</v>
      </c>
      <c r="AG429" s="176" t="s">
        <v>153</v>
      </c>
      <c r="AH429" s="177" t="s">
        <v>153</v>
      </c>
      <c r="AI429" s="178" t="s">
        <v>153</v>
      </c>
      <c r="AJ429" s="179" t="s">
        <v>153</v>
      </c>
      <c r="AK429" s="180" t="s">
        <v>153</v>
      </c>
      <c r="AL429" s="181" t="s">
        <v>153</v>
      </c>
      <c r="AM429" s="182" t="s">
        <v>153</v>
      </c>
      <c r="AN429" s="183" t="s">
        <v>1908</v>
      </c>
      <c r="AO429" s="184" t="s">
        <v>8961</v>
      </c>
      <c r="AP429" s="185" t="s">
        <v>8962</v>
      </c>
      <c r="AQ429" s="186" t="s">
        <v>4173</v>
      </c>
      <c r="AR429" s="187" t="s">
        <v>153</v>
      </c>
      <c r="AS429" s="188" t="s">
        <v>153</v>
      </c>
      <c r="AT429" s="189" t="s">
        <v>5416</v>
      </c>
      <c r="AU429" s="190" t="s">
        <v>8963</v>
      </c>
      <c r="AV429" s="191" t="s">
        <v>153</v>
      </c>
      <c r="AW429" s="192" t="s">
        <v>5418</v>
      </c>
      <c r="AX429" s="193" t="s">
        <v>273</v>
      </c>
      <c r="AY429" s="194" t="s">
        <v>5419</v>
      </c>
      <c r="AZ429" s="195" t="s">
        <v>215</v>
      </c>
      <c r="BA429" s="196" t="s">
        <v>153</v>
      </c>
      <c r="BB429" s="197" t="s">
        <v>153</v>
      </c>
      <c r="BC429" s="198" t="s">
        <v>153</v>
      </c>
      <c r="BD429" s="199" t="s">
        <v>216</v>
      </c>
      <c r="BE429" s="200" t="s">
        <v>217</v>
      </c>
      <c r="BF429" s="201" t="s">
        <v>8964</v>
      </c>
      <c r="BG429" s="202" t="s">
        <v>153</v>
      </c>
      <c r="BH429" s="203" t="s">
        <v>153</v>
      </c>
      <c r="BI429" s="204" t="s">
        <v>4728</v>
      </c>
      <c r="BJ429" s="205" t="s">
        <v>8965</v>
      </c>
      <c r="BK429" s="206" t="s">
        <v>153</v>
      </c>
      <c r="BL429" s="207" t="s">
        <v>153</v>
      </c>
      <c r="BM429" s="208" t="s">
        <v>8966</v>
      </c>
      <c r="BN429" s="209" t="s">
        <v>153</v>
      </c>
      <c r="BO429" s="210" t="s">
        <v>8967</v>
      </c>
      <c r="BP429" s="211" t="s">
        <v>8968</v>
      </c>
      <c r="BQ429" s="212" t="s">
        <v>153</v>
      </c>
      <c r="BR429" s="213">
        <v>5.01</v>
      </c>
      <c r="BS429" s="214" t="s">
        <v>186</v>
      </c>
      <c r="BT429" s="215">
        <v>9.6300000000000008</v>
      </c>
      <c r="BU429" s="216" t="s">
        <v>186</v>
      </c>
      <c r="BV429" s="217" t="s">
        <v>471</v>
      </c>
      <c r="BW429" s="218" t="s">
        <v>1008</v>
      </c>
      <c r="BX429" s="219" t="s">
        <v>153</v>
      </c>
      <c r="BY429" s="220" t="s">
        <v>472</v>
      </c>
      <c r="BZ429" s="221" t="s">
        <v>153</v>
      </c>
      <c r="CA429" s="222" t="s">
        <v>190</v>
      </c>
      <c r="CB429" s="223">
        <v>43836</v>
      </c>
      <c r="CC429" s="224">
        <v>9600</v>
      </c>
      <c r="CD429" s="225" t="s">
        <v>186</v>
      </c>
      <c r="CE429" s="226">
        <v>9600</v>
      </c>
      <c r="CF429" s="227" t="s">
        <v>186</v>
      </c>
      <c r="CG429" s="228" t="s">
        <v>226</v>
      </c>
      <c r="CH429" s="229" t="s">
        <v>729</v>
      </c>
      <c r="CI429" s="230" t="s">
        <v>153</v>
      </c>
      <c r="CJ429" s="231" t="s">
        <v>225</v>
      </c>
      <c r="CK429" s="232">
        <v>43836</v>
      </c>
      <c r="CL429" s="233" t="s">
        <v>153</v>
      </c>
      <c r="CM429" s="234" t="s">
        <v>153</v>
      </c>
      <c r="CN429" s="235" t="s">
        <v>190</v>
      </c>
      <c r="CO429" s="236" t="s">
        <v>153</v>
      </c>
      <c r="CP429" s="237" t="s">
        <v>153</v>
      </c>
      <c r="CQ429" s="238" t="s">
        <v>153</v>
      </c>
      <c r="CR429" s="239" t="s">
        <v>153</v>
      </c>
      <c r="CS429" s="240" t="s">
        <v>153</v>
      </c>
      <c r="CT429" s="241" t="s">
        <v>153</v>
      </c>
      <c r="CU429" s="242" t="s">
        <v>153</v>
      </c>
      <c r="CV429" s="243" t="s">
        <v>153</v>
      </c>
      <c r="CW429" s="244" t="s">
        <v>153</v>
      </c>
      <c r="CX429" s="245" t="s">
        <v>153</v>
      </c>
      <c r="CY429" s="246" t="s">
        <v>153</v>
      </c>
      <c r="CZ429" s="247" t="s">
        <v>153</v>
      </c>
      <c r="DA429" s="248" t="s">
        <v>153</v>
      </c>
      <c r="DB429" s="249" t="s">
        <v>153</v>
      </c>
      <c r="DC429" s="250" t="s">
        <v>153</v>
      </c>
      <c r="DD429" s="251" t="s">
        <v>153</v>
      </c>
      <c r="DE429" s="252" t="s">
        <v>153</v>
      </c>
      <c r="DF429" s="253" t="s">
        <v>153</v>
      </c>
      <c r="DG429" s="254" t="s">
        <v>153</v>
      </c>
      <c r="DH429" s="255" t="s">
        <v>153</v>
      </c>
      <c r="DI429" s="256" t="s">
        <v>153</v>
      </c>
      <c r="DJ429" s="257" t="s">
        <v>153</v>
      </c>
      <c r="DK429" s="258" t="s">
        <v>153</v>
      </c>
      <c r="DL429" s="259" t="s">
        <v>153</v>
      </c>
      <c r="DM429" s="260" t="s">
        <v>153</v>
      </c>
      <c r="DN429" s="261" t="s">
        <v>153</v>
      </c>
      <c r="DO429" s="262" t="s">
        <v>153</v>
      </c>
      <c r="DP429" s="263" t="s">
        <v>153</v>
      </c>
      <c r="DQ429" s="264" t="s">
        <v>153</v>
      </c>
      <c r="DR429" s="265" t="s">
        <v>153</v>
      </c>
      <c r="DS429" s="266" t="s">
        <v>153</v>
      </c>
      <c r="DT429" s="267" t="s">
        <v>153</v>
      </c>
      <c r="DU429" s="268" t="s">
        <v>153</v>
      </c>
      <c r="DV429" s="269" t="s">
        <v>153</v>
      </c>
      <c r="DW429" s="270" t="s">
        <v>153</v>
      </c>
      <c r="DX429" s="271" t="s">
        <v>153</v>
      </c>
      <c r="DY429" s="272" t="s">
        <v>153</v>
      </c>
      <c r="DZ429" s="273" t="s">
        <v>191</v>
      </c>
      <c r="EA429" s="274">
        <v>44397</v>
      </c>
      <c r="EB429" s="275">
        <v>9600</v>
      </c>
      <c r="EC429" s="276">
        <v>43836</v>
      </c>
      <c r="ED429" s="277" t="s">
        <v>226</v>
      </c>
      <c r="EE429" s="279" t="str">
        <f>HYPERLINK("https://my.pitchbook.com?c=40744-45", "View company online")</f>
        <v>View company online</v>
      </c>
    </row>
    <row r="430" spans="1:135" x14ac:dyDescent="0.45">
      <c r="A430" s="10" t="s">
        <v>8969</v>
      </c>
      <c r="B430" s="11" t="s">
        <v>8970</v>
      </c>
      <c r="C430" s="12" t="s">
        <v>153</v>
      </c>
      <c r="D430" s="13" t="s">
        <v>153</v>
      </c>
      <c r="E430" s="14" t="s">
        <v>8971</v>
      </c>
      <c r="F430" s="15" t="s">
        <v>153</v>
      </c>
      <c r="G430" s="16" t="s">
        <v>8972</v>
      </c>
      <c r="H430" s="17" t="s">
        <v>8973</v>
      </c>
      <c r="I430" s="18" t="s">
        <v>8969</v>
      </c>
      <c r="J430" s="19" t="s">
        <v>8974</v>
      </c>
      <c r="K430" s="20" t="s">
        <v>882</v>
      </c>
      <c r="L430" s="21" t="s">
        <v>883</v>
      </c>
      <c r="M430" s="22" t="s">
        <v>2243</v>
      </c>
      <c r="N430" s="23" t="s">
        <v>8975</v>
      </c>
      <c r="O430" s="24" t="s">
        <v>261</v>
      </c>
      <c r="P430" s="25" t="s">
        <v>8976</v>
      </c>
      <c r="Q430" s="26" t="s">
        <v>204</v>
      </c>
      <c r="R430" s="27" t="s">
        <v>153</v>
      </c>
      <c r="S430" s="28" t="s">
        <v>290</v>
      </c>
      <c r="T430" s="29" t="s">
        <v>164</v>
      </c>
      <c r="U430" s="30" t="s">
        <v>237</v>
      </c>
      <c r="V430" s="31" t="s">
        <v>8977</v>
      </c>
      <c r="W430" s="32">
        <v>29600</v>
      </c>
      <c r="X430" s="33" t="s">
        <v>8978</v>
      </c>
      <c r="Y430" s="34" t="s">
        <v>153</v>
      </c>
      <c r="Z430" s="35" t="s">
        <v>153</v>
      </c>
      <c r="AA430" s="36">
        <v>1913</v>
      </c>
      <c r="AB430" s="37" t="s">
        <v>8979</v>
      </c>
      <c r="AC430" s="38" t="s">
        <v>570</v>
      </c>
      <c r="AD430" s="39" t="s">
        <v>508</v>
      </c>
      <c r="AE430" s="40" t="s">
        <v>153</v>
      </c>
      <c r="AF430" s="41" t="s">
        <v>153</v>
      </c>
      <c r="AG430" s="42" t="s">
        <v>153</v>
      </c>
      <c r="AH430" s="43" t="s">
        <v>153</v>
      </c>
      <c r="AI430" s="44" t="s">
        <v>153</v>
      </c>
      <c r="AJ430" s="45" t="s">
        <v>153</v>
      </c>
      <c r="AK430" s="46" t="s">
        <v>153</v>
      </c>
      <c r="AL430" s="47" t="s">
        <v>153</v>
      </c>
      <c r="AM430" s="48" t="s">
        <v>153</v>
      </c>
      <c r="AN430" s="49" t="s">
        <v>8980</v>
      </c>
      <c r="AO430" s="50" t="s">
        <v>8981</v>
      </c>
      <c r="AP430" s="51" t="s">
        <v>8982</v>
      </c>
      <c r="AQ430" s="52" t="s">
        <v>8983</v>
      </c>
      <c r="AR430" s="53" t="s">
        <v>153</v>
      </c>
      <c r="AS430" s="54" t="s">
        <v>153</v>
      </c>
      <c r="AT430" s="55" t="s">
        <v>8984</v>
      </c>
      <c r="AU430" s="56" t="s">
        <v>8985</v>
      </c>
      <c r="AV430" s="57" t="s">
        <v>8986</v>
      </c>
      <c r="AW430" s="58" t="s">
        <v>8987</v>
      </c>
      <c r="AX430" s="59" t="s">
        <v>153</v>
      </c>
      <c r="AY430" s="60" t="s">
        <v>8988</v>
      </c>
      <c r="AZ430" s="61" t="s">
        <v>629</v>
      </c>
      <c r="BA430" s="62" t="s">
        <v>153</v>
      </c>
      <c r="BB430" s="63" t="s">
        <v>153</v>
      </c>
      <c r="BC430" s="64" t="s">
        <v>153</v>
      </c>
      <c r="BD430" s="65" t="s">
        <v>180</v>
      </c>
      <c r="BE430" s="66" t="s">
        <v>181</v>
      </c>
      <c r="BF430" s="67" t="s">
        <v>8989</v>
      </c>
      <c r="BG430" s="68" t="s">
        <v>153</v>
      </c>
      <c r="BH430" s="69" t="s">
        <v>153</v>
      </c>
      <c r="BI430" s="70" t="s">
        <v>8979</v>
      </c>
      <c r="BJ430" s="71" t="s">
        <v>153</v>
      </c>
      <c r="BK430" s="72" t="s">
        <v>153</v>
      </c>
      <c r="BL430" s="73" t="s">
        <v>153</v>
      </c>
      <c r="BM430" s="74" t="s">
        <v>153</v>
      </c>
      <c r="BN430" s="75" t="s">
        <v>153</v>
      </c>
      <c r="BO430" s="76" t="s">
        <v>8990</v>
      </c>
      <c r="BP430" s="77" t="s">
        <v>8991</v>
      </c>
      <c r="BQ430" s="78">
        <v>34732</v>
      </c>
      <c r="BR430" s="79" t="s">
        <v>153</v>
      </c>
      <c r="BS430" s="80" t="s">
        <v>153</v>
      </c>
      <c r="BT430" s="81" t="s">
        <v>153</v>
      </c>
      <c r="BU430" s="82" t="s">
        <v>153</v>
      </c>
      <c r="BV430" s="83" t="s">
        <v>251</v>
      </c>
      <c r="BW430" s="84" t="s">
        <v>153</v>
      </c>
      <c r="BX430" s="85" t="s">
        <v>153</v>
      </c>
      <c r="BY430" s="86" t="s">
        <v>252</v>
      </c>
      <c r="BZ430" s="87" t="s">
        <v>153</v>
      </c>
      <c r="CA430" s="88" t="s">
        <v>190</v>
      </c>
      <c r="CB430" s="89">
        <v>39604</v>
      </c>
      <c r="CC430" s="90">
        <v>9600</v>
      </c>
      <c r="CD430" s="91" t="s">
        <v>186</v>
      </c>
      <c r="CE430" s="92">
        <v>9600</v>
      </c>
      <c r="CF430" s="93" t="s">
        <v>186</v>
      </c>
      <c r="CG430" s="94" t="s">
        <v>226</v>
      </c>
      <c r="CH430" s="95" t="s">
        <v>153</v>
      </c>
      <c r="CI430" s="96" t="s">
        <v>153</v>
      </c>
      <c r="CJ430" s="97" t="s">
        <v>225</v>
      </c>
      <c r="CK430" s="98">
        <v>39604</v>
      </c>
      <c r="CL430" s="99" t="s">
        <v>153</v>
      </c>
      <c r="CM430" s="100" t="s">
        <v>153</v>
      </c>
      <c r="CN430" s="101" t="s">
        <v>190</v>
      </c>
      <c r="CO430" s="102">
        <v>1.57</v>
      </c>
      <c r="CP430" s="103">
        <v>97</v>
      </c>
      <c r="CQ430" s="104">
        <v>-1.41</v>
      </c>
      <c r="CR430" s="105">
        <v>-47.4</v>
      </c>
      <c r="CS430" s="106">
        <v>2.92</v>
      </c>
      <c r="CT430" s="107">
        <v>99</v>
      </c>
      <c r="CU430" s="108">
        <v>0.21</v>
      </c>
      <c r="CV430" s="109">
        <v>91</v>
      </c>
      <c r="CW430" s="110">
        <v>5.93</v>
      </c>
      <c r="CX430" s="111">
        <v>95</v>
      </c>
      <c r="CY430" s="112">
        <v>-0.1</v>
      </c>
      <c r="CZ430" s="113">
        <v>4</v>
      </c>
      <c r="DA430" s="114">
        <v>0.21</v>
      </c>
      <c r="DB430" s="115">
        <v>91</v>
      </c>
      <c r="DC430" s="116">
        <v>295.60000000000002</v>
      </c>
      <c r="DD430" s="117">
        <v>100</v>
      </c>
      <c r="DE430" s="118">
        <v>-271.77</v>
      </c>
      <c r="DF430" s="119">
        <v>-47.9</v>
      </c>
      <c r="DG430" s="120">
        <v>567.24</v>
      </c>
      <c r="DH430" s="121">
        <v>100</v>
      </c>
      <c r="DI430" s="122">
        <v>23.95</v>
      </c>
      <c r="DJ430" s="123">
        <v>93</v>
      </c>
      <c r="DK430" s="124">
        <v>551.41</v>
      </c>
      <c r="DL430" s="125">
        <v>100</v>
      </c>
      <c r="DM430" s="126">
        <v>583.05999999999995</v>
      </c>
      <c r="DN430" s="127">
        <v>100</v>
      </c>
      <c r="DO430" s="128">
        <v>23.95</v>
      </c>
      <c r="DP430" s="129">
        <v>93</v>
      </c>
      <c r="DQ430" s="130">
        <v>323027</v>
      </c>
      <c r="DR430" s="131">
        <v>14525</v>
      </c>
      <c r="DS430" s="132">
        <v>4.71</v>
      </c>
      <c r="DT430" s="133">
        <v>9330</v>
      </c>
      <c r="DU430" s="134">
        <v>-4</v>
      </c>
      <c r="DV430" s="135">
        <v>-0.04</v>
      </c>
      <c r="DW430" s="136">
        <v>7513</v>
      </c>
      <c r="DX430" s="137">
        <v>18</v>
      </c>
      <c r="DY430" s="138">
        <v>0.24</v>
      </c>
      <c r="DZ430" s="139" t="s">
        <v>191</v>
      </c>
      <c r="EA430" s="140">
        <v>44344</v>
      </c>
      <c r="EB430" s="141">
        <v>9600</v>
      </c>
      <c r="EC430" s="142">
        <v>39604</v>
      </c>
      <c r="ED430" s="143" t="s">
        <v>226</v>
      </c>
      <c r="EE430" s="278" t="str">
        <f>HYPERLINK("https://my.pitchbook.com?c=41126-41", "View company online")</f>
        <v>View company online</v>
      </c>
    </row>
    <row r="431" spans="1:135" x14ac:dyDescent="0.45">
      <c r="A431" s="144" t="s">
        <v>8992</v>
      </c>
      <c r="B431" s="145" t="s">
        <v>8993</v>
      </c>
      <c r="C431" s="146" t="s">
        <v>153</v>
      </c>
      <c r="D431" s="147" t="s">
        <v>153</v>
      </c>
      <c r="E431" s="148" t="s">
        <v>153</v>
      </c>
      <c r="F431" s="149" t="s">
        <v>153</v>
      </c>
      <c r="G431" s="150" t="s">
        <v>153</v>
      </c>
      <c r="H431" s="151" t="s">
        <v>153</v>
      </c>
      <c r="I431" s="152" t="s">
        <v>8992</v>
      </c>
      <c r="J431" s="153" t="s">
        <v>8994</v>
      </c>
      <c r="K431" s="154" t="s">
        <v>882</v>
      </c>
      <c r="L431" s="155" t="s">
        <v>2888</v>
      </c>
      <c r="M431" s="156" t="s">
        <v>2889</v>
      </c>
      <c r="N431" s="157" t="s">
        <v>3484</v>
      </c>
      <c r="O431" s="158" t="s">
        <v>153</v>
      </c>
      <c r="P431" s="159" t="s">
        <v>8995</v>
      </c>
      <c r="Q431" s="160" t="s">
        <v>162</v>
      </c>
      <c r="R431" s="161" t="s">
        <v>153</v>
      </c>
      <c r="S431" s="162" t="s">
        <v>163</v>
      </c>
      <c r="T431" s="163" t="s">
        <v>1392</v>
      </c>
      <c r="U431" s="164" t="s">
        <v>165</v>
      </c>
      <c r="V431" s="165" t="s">
        <v>153</v>
      </c>
      <c r="W431" s="166" t="s">
        <v>153</v>
      </c>
      <c r="X431" s="167" t="s">
        <v>153</v>
      </c>
      <c r="Y431" s="168" t="s">
        <v>153</v>
      </c>
      <c r="Z431" s="169" t="s">
        <v>153</v>
      </c>
      <c r="AA431" s="170" t="s">
        <v>153</v>
      </c>
      <c r="AB431" s="171" t="s">
        <v>153</v>
      </c>
      <c r="AC431" s="172" t="s">
        <v>153</v>
      </c>
      <c r="AD431" s="173" t="s">
        <v>153</v>
      </c>
      <c r="AE431" s="174" t="s">
        <v>153</v>
      </c>
      <c r="AF431" s="175" t="s">
        <v>153</v>
      </c>
      <c r="AG431" s="176" t="s">
        <v>153</v>
      </c>
      <c r="AH431" s="177" t="s">
        <v>153</v>
      </c>
      <c r="AI431" s="178" t="s">
        <v>153</v>
      </c>
      <c r="AJ431" s="179" t="s">
        <v>153</v>
      </c>
      <c r="AK431" s="180" t="s">
        <v>153</v>
      </c>
      <c r="AL431" s="181" t="s">
        <v>153</v>
      </c>
      <c r="AM431" s="182" t="s">
        <v>153</v>
      </c>
      <c r="AN431" s="183" t="s">
        <v>153</v>
      </c>
      <c r="AO431" s="184" t="s">
        <v>153</v>
      </c>
      <c r="AP431" s="185" t="s">
        <v>153</v>
      </c>
      <c r="AQ431" s="186" t="s">
        <v>153</v>
      </c>
      <c r="AR431" s="187" t="s">
        <v>153</v>
      </c>
      <c r="AS431" s="188" t="s">
        <v>153</v>
      </c>
      <c r="AT431" s="189" t="s">
        <v>8996</v>
      </c>
      <c r="AU431" s="190" t="s">
        <v>153</v>
      </c>
      <c r="AV431" s="191" t="s">
        <v>153</v>
      </c>
      <c r="AW431" s="192" t="s">
        <v>8997</v>
      </c>
      <c r="AX431" s="193" t="s">
        <v>153</v>
      </c>
      <c r="AY431" s="194" t="s">
        <v>153</v>
      </c>
      <c r="AZ431" s="195" t="s">
        <v>681</v>
      </c>
      <c r="BA431" s="196" t="s">
        <v>153</v>
      </c>
      <c r="BB431" s="197" t="s">
        <v>153</v>
      </c>
      <c r="BC431" s="198" t="s">
        <v>153</v>
      </c>
      <c r="BD431" s="199" t="s">
        <v>180</v>
      </c>
      <c r="BE431" s="200" t="s">
        <v>684</v>
      </c>
      <c r="BF431" s="201" t="s">
        <v>8998</v>
      </c>
      <c r="BG431" s="202" t="s">
        <v>8999</v>
      </c>
      <c r="BH431" s="203">
        <v>1</v>
      </c>
      <c r="BI431" s="204" t="s">
        <v>153</v>
      </c>
      <c r="BJ431" s="205" t="s">
        <v>5800</v>
      </c>
      <c r="BK431" s="206" t="s">
        <v>153</v>
      </c>
      <c r="BL431" s="207" t="s">
        <v>9000</v>
      </c>
      <c r="BM431" s="208" t="s">
        <v>9001</v>
      </c>
      <c r="BN431" s="209" t="s">
        <v>153</v>
      </c>
      <c r="BO431" s="210" t="s">
        <v>153</v>
      </c>
      <c r="BP431" s="211" t="s">
        <v>9002</v>
      </c>
      <c r="BQ431" s="212">
        <v>44108</v>
      </c>
      <c r="BR431" s="213">
        <v>9592.7000000000007</v>
      </c>
      <c r="BS431" s="214" t="s">
        <v>186</v>
      </c>
      <c r="BT431" s="215">
        <v>9592.7000000000007</v>
      </c>
      <c r="BU431" s="216" t="s">
        <v>187</v>
      </c>
      <c r="BV431" s="217" t="s">
        <v>188</v>
      </c>
      <c r="BW431" s="218" t="s">
        <v>1525</v>
      </c>
      <c r="BX431" s="219" t="s">
        <v>1526</v>
      </c>
      <c r="BY431" s="220" t="s">
        <v>165</v>
      </c>
      <c r="BZ431" s="221" t="s">
        <v>9003</v>
      </c>
      <c r="CA431" s="222" t="s">
        <v>190</v>
      </c>
      <c r="CB431" s="223">
        <v>44108</v>
      </c>
      <c r="CC431" s="224">
        <v>9592.7000000000007</v>
      </c>
      <c r="CD431" s="225" t="s">
        <v>186</v>
      </c>
      <c r="CE431" s="226">
        <v>9592.7000000000007</v>
      </c>
      <c r="CF431" s="227" t="s">
        <v>187</v>
      </c>
      <c r="CG431" s="228" t="s">
        <v>188</v>
      </c>
      <c r="CH431" s="229" t="s">
        <v>1525</v>
      </c>
      <c r="CI431" s="230" t="s">
        <v>1526</v>
      </c>
      <c r="CJ431" s="231" t="s">
        <v>165</v>
      </c>
      <c r="CK431" s="232">
        <v>44108</v>
      </c>
      <c r="CL431" s="233">
        <v>4943.4799999999996</v>
      </c>
      <c r="CM431" s="234" t="s">
        <v>9003</v>
      </c>
      <c r="CN431" s="235" t="s">
        <v>190</v>
      </c>
      <c r="CO431" s="236" t="s">
        <v>153</v>
      </c>
      <c r="CP431" s="237" t="s">
        <v>153</v>
      </c>
      <c r="CQ431" s="238" t="s">
        <v>153</v>
      </c>
      <c r="CR431" s="239" t="s">
        <v>153</v>
      </c>
      <c r="CS431" s="240" t="s">
        <v>153</v>
      </c>
      <c r="CT431" s="241" t="s">
        <v>153</v>
      </c>
      <c r="CU431" s="242" t="s">
        <v>153</v>
      </c>
      <c r="CV431" s="243" t="s">
        <v>153</v>
      </c>
      <c r="CW431" s="244" t="s">
        <v>153</v>
      </c>
      <c r="CX431" s="245" t="s">
        <v>153</v>
      </c>
      <c r="CY431" s="246" t="s">
        <v>153</v>
      </c>
      <c r="CZ431" s="247" t="s">
        <v>153</v>
      </c>
      <c r="DA431" s="248" t="s">
        <v>153</v>
      </c>
      <c r="DB431" s="249" t="s">
        <v>153</v>
      </c>
      <c r="DC431" s="250" t="s">
        <v>153</v>
      </c>
      <c r="DD431" s="251" t="s">
        <v>153</v>
      </c>
      <c r="DE431" s="252" t="s">
        <v>153</v>
      </c>
      <c r="DF431" s="253" t="s">
        <v>153</v>
      </c>
      <c r="DG431" s="254" t="s">
        <v>153</v>
      </c>
      <c r="DH431" s="255" t="s">
        <v>153</v>
      </c>
      <c r="DI431" s="256" t="s">
        <v>153</v>
      </c>
      <c r="DJ431" s="257" t="s">
        <v>153</v>
      </c>
      <c r="DK431" s="258" t="s">
        <v>153</v>
      </c>
      <c r="DL431" s="259" t="s">
        <v>153</v>
      </c>
      <c r="DM431" s="260" t="s">
        <v>153</v>
      </c>
      <c r="DN431" s="261" t="s">
        <v>153</v>
      </c>
      <c r="DO431" s="262" t="s">
        <v>153</v>
      </c>
      <c r="DP431" s="263" t="s">
        <v>153</v>
      </c>
      <c r="DQ431" s="264" t="s">
        <v>153</v>
      </c>
      <c r="DR431" s="265" t="s">
        <v>153</v>
      </c>
      <c r="DS431" s="266" t="s">
        <v>153</v>
      </c>
      <c r="DT431" s="267" t="s">
        <v>153</v>
      </c>
      <c r="DU431" s="268" t="s">
        <v>153</v>
      </c>
      <c r="DV431" s="269" t="s">
        <v>153</v>
      </c>
      <c r="DW431" s="270" t="s">
        <v>153</v>
      </c>
      <c r="DX431" s="271" t="s">
        <v>153</v>
      </c>
      <c r="DY431" s="272" t="s">
        <v>153</v>
      </c>
      <c r="DZ431" s="273" t="s">
        <v>191</v>
      </c>
      <c r="EA431" s="274">
        <v>44361</v>
      </c>
      <c r="EB431" s="275">
        <v>9592.7000000000007</v>
      </c>
      <c r="EC431" s="276">
        <v>44108</v>
      </c>
      <c r="ED431" s="277" t="s">
        <v>188</v>
      </c>
      <c r="EE431" s="279" t="str">
        <f>HYPERLINK("https://my.pitchbook.com?c=461787-40", "View company online")</f>
        <v>View company online</v>
      </c>
    </row>
    <row r="432" spans="1:135" x14ac:dyDescent="0.45">
      <c r="A432" s="10" t="s">
        <v>9004</v>
      </c>
      <c r="B432" s="11" t="s">
        <v>9005</v>
      </c>
      <c r="C432" s="12" t="s">
        <v>153</v>
      </c>
      <c r="D432" s="13" t="s">
        <v>153</v>
      </c>
      <c r="E432" s="14" t="s">
        <v>9006</v>
      </c>
      <c r="F432" s="15" t="s">
        <v>153</v>
      </c>
      <c r="G432" s="16" t="s">
        <v>9007</v>
      </c>
      <c r="H432" s="17" t="s">
        <v>153</v>
      </c>
      <c r="I432" s="18" t="s">
        <v>9004</v>
      </c>
      <c r="J432" s="19" t="s">
        <v>9008</v>
      </c>
      <c r="K432" s="20" t="s">
        <v>257</v>
      </c>
      <c r="L432" s="21" t="s">
        <v>478</v>
      </c>
      <c r="M432" s="22" t="s">
        <v>2670</v>
      </c>
      <c r="N432" s="23" t="s">
        <v>9009</v>
      </c>
      <c r="O432" s="24" t="s">
        <v>261</v>
      </c>
      <c r="P432" s="25" t="s">
        <v>9010</v>
      </c>
      <c r="Q432" s="26" t="s">
        <v>204</v>
      </c>
      <c r="R432" s="27" t="s">
        <v>153</v>
      </c>
      <c r="S432" s="28" t="s">
        <v>163</v>
      </c>
      <c r="T432" s="29" t="s">
        <v>205</v>
      </c>
      <c r="U432" s="30" t="s">
        <v>206</v>
      </c>
      <c r="V432" s="31" t="s">
        <v>9011</v>
      </c>
      <c r="W432" s="32">
        <v>10000</v>
      </c>
      <c r="X432" s="33" t="s">
        <v>9012</v>
      </c>
      <c r="Y432" s="34" t="s">
        <v>153</v>
      </c>
      <c r="Z432" s="35" t="s">
        <v>153</v>
      </c>
      <c r="AA432" s="36">
        <v>1997</v>
      </c>
      <c r="AB432" s="37" t="s">
        <v>153</v>
      </c>
      <c r="AC432" s="38" t="s">
        <v>153</v>
      </c>
      <c r="AD432" s="39" t="s">
        <v>153</v>
      </c>
      <c r="AE432" s="40" t="s">
        <v>153</v>
      </c>
      <c r="AF432" s="41" t="s">
        <v>153</v>
      </c>
      <c r="AG432" s="42" t="s">
        <v>153</v>
      </c>
      <c r="AH432" s="43" t="s">
        <v>153</v>
      </c>
      <c r="AI432" s="44" t="s">
        <v>153</v>
      </c>
      <c r="AJ432" s="45" t="s">
        <v>153</v>
      </c>
      <c r="AK432" s="46" t="s">
        <v>153</v>
      </c>
      <c r="AL432" s="47" t="s">
        <v>153</v>
      </c>
      <c r="AM432" s="48" t="s">
        <v>153</v>
      </c>
      <c r="AN432" s="49" t="s">
        <v>456</v>
      </c>
      <c r="AO432" s="50" t="s">
        <v>9013</v>
      </c>
      <c r="AP432" s="51" t="s">
        <v>9014</v>
      </c>
      <c r="AQ432" s="52" t="s">
        <v>512</v>
      </c>
      <c r="AR432" s="53" t="s">
        <v>153</v>
      </c>
      <c r="AS432" s="54" t="s">
        <v>9015</v>
      </c>
      <c r="AT432" s="55" t="s">
        <v>9016</v>
      </c>
      <c r="AU432" s="56" t="s">
        <v>9017</v>
      </c>
      <c r="AV432" s="57" t="s">
        <v>9018</v>
      </c>
      <c r="AW432" s="58" t="s">
        <v>9019</v>
      </c>
      <c r="AX432" s="59" t="s">
        <v>177</v>
      </c>
      <c r="AY432" s="60" t="s">
        <v>9020</v>
      </c>
      <c r="AZ432" s="61" t="s">
        <v>179</v>
      </c>
      <c r="BA432" s="62" t="s">
        <v>153</v>
      </c>
      <c r="BB432" s="63" t="s">
        <v>153</v>
      </c>
      <c r="BC432" s="64" t="s">
        <v>153</v>
      </c>
      <c r="BD432" s="65" t="s">
        <v>180</v>
      </c>
      <c r="BE432" s="66" t="s">
        <v>181</v>
      </c>
      <c r="BF432" s="67" t="s">
        <v>9021</v>
      </c>
      <c r="BG432" s="68" t="s">
        <v>153</v>
      </c>
      <c r="BH432" s="69" t="s">
        <v>153</v>
      </c>
      <c r="BI432" s="70" t="s">
        <v>153</v>
      </c>
      <c r="BJ432" s="71" t="s">
        <v>3381</v>
      </c>
      <c r="BK432" s="72" t="s">
        <v>153</v>
      </c>
      <c r="BL432" s="73" t="s">
        <v>153</v>
      </c>
      <c r="BM432" s="74" t="s">
        <v>3382</v>
      </c>
      <c r="BN432" s="75" t="s">
        <v>153</v>
      </c>
      <c r="BO432" s="76" t="s">
        <v>153</v>
      </c>
      <c r="BP432" s="77" t="s">
        <v>153</v>
      </c>
      <c r="BQ432" s="78">
        <v>38092</v>
      </c>
      <c r="BR432" s="79">
        <v>9500</v>
      </c>
      <c r="BS432" s="80" t="s">
        <v>186</v>
      </c>
      <c r="BT432" s="81">
        <v>9500</v>
      </c>
      <c r="BU432" s="82" t="s">
        <v>187</v>
      </c>
      <c r="BV432" s="83" t="s">
        <v>226</v>
      </c>
      <c r="BW432" s="84" t="s">
        <v>153</v>
      </c>
      <c r="BX432" s="85" t="s">
        <v>153</v>
      </c>
      <c r="BY432" s="86" t="s">
        <v>225</v>
      </c>
      <c r="BZ432" s="87" t="s">
        <v>153</v>
      </c>
      <c r="CA432" s="88" t="s">
        <v>190</v>
      </c>
      <c r="CB432" s="89">
        <v>38092</v>
      </c>
      <c r="CC432" s="90">
        <v>9500</v>
      </c>
      <c r="CD432" s="91" t="s">
        <v>186</v>
      </c>
      <c r="CE432" s="92">
        <v>9500</v>
      </c>
      <c r="CF432" s="93" t="s">
        <v>187</v>
      </c>
      <c r="CG432" s="94" t="s">
        <v>226</v>
      </c>
      <c r="CH432" s="95" t="s">
        <v>153</v>
      </c>
      <c r="CI432" s="96" t="s">
        <v>153</v>
      </c>
      <c r="CJ432" s="97" t="s">
        <v>225</v>
      </c>
      <c r="CK432" s="98">
        <v>38092</v>
      </c>
      <c r="CL432" s="99" t="s">
        <v>153</v>
      </c>
      <c r="CM432" s="100" t="s">
        <v>153</v>
      </c>
      <c r="CN432" s="101" t="s">
        <v>190</v>
      </c>
      <c r="CO432" s="102" t="s">
        <v>153</v>
      </c>
      <c r="CP432" s="103" t="s">
        <v>153</v>
      </c>
      <c r="CQ432" s="104" t="s">
        <v>153</v>
      </c>
      <c r="CR432" s="105" t="s">
        <v>153</v>
      </c>
      <c r="CS432" s="106" t="s">
        <v>153</v>
      </c>
      <c r="CT432" s="107" t="s">
        <v>153</v>
      </c>
      <c r="CU432" s="108" t="s">
        <v>153</v>
      </c>
      <c r="CV432" s="109" t="s">
        <v>153</v>
      </c>
      <c r="CW432" s="110" t="s">
        <v>153</v>
      </c>
      <c r="CX432" s="111" t="s">
        <v>153</v>
      </c>
      <c r="CY432" s="112" t="s">
        <v>153</v>
      </c>
      <c r="CZ432" s="113" t="s">
        <v>153</v>
      </c>
      <c r="DA432" s="114" t="s">
        <v>153</v>
      </c>
      <c r="DB432" s="115" t="s">
        <v>153</v>
      </c>
      <c r="DC432" s="116" t="s">
        <v>153</v>
      </c>
      <c r="DD432" s="117" t="s">
        <v>153</v>
      </c>
      <c r="DE432" s="118" t="s">
        <v>153</v>
      </c>
      <c r="DF432" s="119" t="s">
        <v>153</v>
      </c>
      <c r="DG432" s="120" t="s">
        <v>153</v>
      </c>
      <c r="DH432" s="121" t="s">
        <v>153</v>
      </c>
      <c r="DI432" s="122" t="s">
        <v>153</v>
      </c>
      <c r="DJ432" s="123" t="s">
        <v>153</v>
      </c>
      <c r="DK432" s="124" t="s">
        <v>153</v>
      </c>
      <c r="DL432" s="125" t="s">
        <v>153</v>
      </c>
      <c r="DM432" s="126" t="s">
        <v>153</v>
      </c>
      <c r="DN432" s="127" t="s">
        <v>153</v>
      </c>
      <c r="DO432" s="128" t="s">
        <v>153</v>
      </c>
      <c r="DP432" s="129" t="s">
        <v>153</v>
      </c>
      <c r="DQ432" s="130" t="s">
        <v>153</v>
      </c>
      <c r="DR432" s="131" t="s">
        <v>153</v>
      </c>
      <c r="DS432" s="132" t="s">
        <v>153</v>
      </c>
      <c r="DT432" s="133" t="s">
        <v>153</v>
      </c>
      <c r="DU432" s="134" t="s">
        <v>153</v>
      </c>
      <c r="DV432" s="135" t="s">
        <v>153</v>
      </c>
      <c r="DW432" s="136" t="s">
        <v>153</v>
      </c>
      <c r="DX432" s="137" t="s">
        <v>153</v>
      </c>
      <c r="DY432" s="138" t="s">
        <v>153</v>
      </c>
      <c r="DZ432" s="139" t="s">
        <v>191</v>
      </c>
      <c r="EA432" s="140">
        <v>44140</v>
      </c>
      <c r="EB432" s="141">
        <v>9500</v>
      </c>
      <c r="EC432" s="142">
        <v>38092</v>
      </c>
      <c r="ED432" s="143" t="s">
        <v>226</v>
      </c>
      <c r="EE432" s="278" t="str">
        <f>HYPERLINK("https://my.pitchbook.com?c=55738-54", "View company online")</f>
        <v>View company online</v>
      </c>
    </row>
    <row r="433" spans="1:135" x14ac:dyDescent="0.45">
      <c r="A433" s="144" t="s">
        <v>9022</v>
      </c>
      <c r="B433" s="145" t="s">
        <v>9023</v>
      </c>
      <c r="C433" s="146" t="s">
        <v>153</v>
      </c>
      <c r="D433" s="147" t="s">
        <v>153</v>
      </c>
      <c r="E433" s="148" t="s">
        <v>153</v>
      </c>
      <c r="F433" s="149" t="s">
        <v>153</v>
      </c>
      <c r="G433" s="150" t="s">
        <v>9024</v>
      </c>
      <c r="H433" s="151" t="s">
        <v>153</v>
      </c>
      <c r="I433" s="152" t="s">
        <v>9022</v>
      </c>
      <c r="J433" s="153" t="s">
        <v>9025</v>
      </c>
      <c r="K433" s="154" t="s">
        <v>198</v>
      </c>
      <c r="L433" s="155" t="s">
        <v>984</v>
      </c>
      <c r="M433" s="156" t="s">
        <v>3544</v>
      </c>
      <c r="N433" s="157" t="s">
        <v>9026</v>
      </c>
      <c r="O433" s="158" t="s">
        <v>5594</v>
      </c>
      <c r="P433" s="159" t="s">
        <v>9027</v>
      </c>
      <c r="Q433" s="160" t="s">
        <v>289</v>
      </c>
      <c r="R433" s="161">
        <v>48.01</v>
      </c>
      <c r="S433" s="162" t="s">
        <v>163</v>
      </c>
      <c r="T433" s="163" t="s">
        <v>205</v>
      </c>
      <c r="U433" s="164" t="s">
        <v>941</v>
      </c>
      <c r="V433" s="165" t="s">
        <v>153</v>
      </c>
      <c r="W433" s="166">
        <v>837</v>
      </c>
      <c r="X433" s="167" t="s">
        <v>9028</v>
      </c>
      <c r="Y433" s="168" t="s">
        <v>153</v>
      </c>
      <c r="Z433" s="169" t="s">
        <v>153</v>
      </c>
      <c r="AA433" s="170">
        <v>1991</v>
      </c>
      <c r="AB433" s="171" t="s">
        <v>153</v>
      </c>
      <c r="AC433" s="172" t="s">
        <v>153</v>
      </c>
      <c r="AD433" s="173" t="s">
        <v>153</v>
      </c>
      <c r="AE433" s="174" t="s">
        <v>153</v>
      </c>
      <c r="AF433" s="175" t="s">
        <v>153</v>
      </c>
      <c r="AG433" s="176" t="s">
        <v>153</v>
      </c>
      <c r="AH433" s="177" t="s">
        <v>153</v>
      </c>
      <c r="AI433" s="178" t="s">
        <v>153</v>
      </c>
      <c r="AJ433" s="179" t="s">
        <v>153</v>
      </c>
      <c r="AK433" s="180" t="s">
        <v>153</v>
      </c>
      <c r="AL433" s="181" t="s">
        <v>153</v>
      </c>
      <c r="AM433" s="182" t="s">
        <v>153</v>
      </c>
      <c r="AN433" s="183" t="s">
        <v>266</v>
      </c>
      <c r="AO433" s="184" t="s">
        <v>153</v>
      </c>
      <c r="AP433" s="185" t="s">
        <v>153</v>
      </c>
      <c r="AQ433" s="186" t="s">
        <v>153</v>
      </c>
      <c r="AR433" s="187" t="s">
        <v>153</v>
      </c>
      <c r="AS433" s="188" t="s">
        <v>153</v>
      </c>
      <c r="AT433" s="189" t="s">
        <v>4307</v>
      </c>
      <c r="AU433" s="190" t="s">
        <v>9029</v>
      </c>
      <c r="AV433" s="191" t="s">
        <v>153</v>
      </c>
      <c r="AW433" s="192" t="s">
        <v>4310</v>
      </c>
      <c r="AX433" s="193" t="s">
        <v>308</v>
      </c>
      <c r="AY433" s="194" t="s">
        <v>7842</v>
      </c>
      <c r="AZ433" s="195" t="s">
        <v>215</v>
      </c>
      <c r="BA433" s="196" t="s">
        <v>9030</v>
      </c>
      <c r="BB433" s="197" t="s">
        <v>9031</v>
      </c>
      <c r="BC433" s="198" t="s">
        <v>9032</v>
      </c>
      <c r="BD433" s="199" t="s">
        <v>216</v>
      </c>
      <c r="BE433" s="200" t="s">
        <v>217</v>
      </c>
      <c r="BF433" s="201" t="s">
        <v>9033</v>
      </c>
      <c r="BG433" s="202" t="s">
        <v>153</v>
      </c>
      <c r="BH433" s="203" t="s">
        <v>153</v>
      </c>
      <c r="BI433" s="204" t="s">
        <v>9034</v>
      </c>
      <c r="BJ433" s="205" t="s">
        <v>9035</v>
      </c>
      <c r="BK433" s="206" t="s">
        <v>153</v>
      </c>
      <c r="BL433" s="207" t="s">
        <v>153</v>
      </c>
      <c r="BM433" s="208" t="s">
        <v>9036</v>
      </c>
      <c r="BN433" s="209" t="s">
        <v>153</v>
      </c>
      <c r="BO433" s="210" t="s">
        <v>153</v>
      </c>
      <c r="BP433" s="211" t="s">
        <v>153</v>
      </c>
      <c r="BQ433" s="212">
        <v>34054</v>
      </c>
      <c r="BR433" s="213">
        <v>1</v>
      </c>
      <c r="BS433" s="214" t="s">
        <v>186</v>
      </c>
      <c r="BT433" s="215">
        <v>11.88</v>
      </c>
      <c r="BU433" s="216" t="s">
        <v>186</v>
      </c>
      <c r="BV433" s="217" t="s">
        <v>471</v>
      </c>
      <c r="BW433" s="218" t="s">
        <v>1811</v>
      </c>
      <c r="BX433" s="219" t="s">
        <v>153</v>
      </c>
      <c r="BY433" s="220" t="s">
        <v>472</v>
      </c>
      <c r="BZ433" s="221" t="s">
        <v>153</v>
      </c>
      <c r="CA433" s="222" t="s">
        <v>190</v>
      </c>
      <c r="CB433" s="223">
        <v>36689</v>
      </c>
      <c r="CC433" s="224">
        <v>9500</v>
      </c>
      <c r="CD433" s="225" t="s">
        <v>186</v>
      </c>
      <c r="CE433" s="226">
        <v>9500</v>
      </c>
      <c r="CF433" s="227" t="s">
        <v>186</v>
      </c>
      <c r="CG433" s="228" t="s">
        <v>226</v>
      </c>
      <c r="CH433" s="229" t="s">
        <v>153</v>
      </c>
      <c r="CI433" s="230" t="s">
        <v>153</v>
      </c>
      <c r="CJ433" s="231" t="s">
        <v>225</v>
      </c>
      <c r="CK433" s="232">
        <v>36689</v>
      </c>
      <c r="CL433" s="233" t="s">
        <v>153</v>
      </c>
      <c r="CM433" s="234" t="s">
        <v>153</v>
      </c>
      <c r="CN433" s="235" t="s">
        <v>190</v>
      </c>
      <c r="CO433" s="236" t="s">
        <v>153</v>
      </c>
      <c r="CP433" s="237" t="s">
        <v>153</v>
      </c>
      <c r="CQ433" s="238" t="s">
        <v>153</v>
      </c>
      <c r="CR433" s="239" t="s">
        <v>153</v>
      </c>
      <c r="CS433" s="240" t="s">
        <v>153</v>
      </c>
      <c r="CT433" s="241" t="s">
        <v>153</v>
      </c>
      <c r="CU433" s="242" t="s">
        <v>153</v>
      </c>
      <c r="CV433" s="243" t="s">
        <v>153</v>
      </c>
      <c r="CW433" s="244" t="s">
        <v>153</v>
      </c>
      <c r="CX433" s="245" t="s">
        <v>153</v>
      </c>
      <c r="CY433" s="246" t="s">
        <v>153</v>
      </c>
      <c r="CZ433" s="247" t="s">
        <v>153</v>
      </c>
      <c r="DA433" s="248" t="s">
        <v>153</v>
      </c>
      <c r="DB433" s="249" t="s">
        <v>153</v>
      </c>
      <c r="DC433" s="250" t="s">
        <v>153</v>
      </c>
      <c r="DD433" s="251" t="s">
        <v>153</v>
      </c>
      <c r="DE433" s="252" t="s">
        <v>153</v>
      </c>
      <c r="DF433" s="253" t="s">
        <v>153</v>
      </c>
      <c r="DG433" s="254" t="s">
        <v>153</v>
      </c>
      <c r="DH433" s="255" t="s">
        <v>153</v>
      </c>
      <c r="DI433" s="256" t="s">
        <v>153</v>
      </c>
      <c r="DJ433" s="257" t="s">
        <v>153</v>
      </c>
      <c r="DK433" s="258" t="s">
        <v>153</v>
      </c>
      <c r="DL433" s="259" t="s">
        <v>153</v>
      </c>
      <c r="DM433" s="260" t="s">
        <v>153</v>
      </c>
      <c r="DN433" s="261" t="s">
        <v>153</v>
      </c>
      <c r="DO433" s="262" t="s">
        <v>153</v>
      </c>
      <c r="DP433" s="263" t="s">
        <v>153</v>
      </c>
      <c r="DQ433" s="264" t="s">
        <v>153</v>
      </c>
      <c r="DR433" s="265" t="s">
        <v>153</v>
      </c>
      <c r="DS433" s="266" t="s">
        <v>153</v>
      </c>
      <c r="DT433" s="267" t="s">
        <v>153</v>
      </c>
      <c r="DU433" s="268" t="s">
        <v>153</v>
      </c>
      <c r="DV433" s="269" t="s">
        <v>153</v>
      </c>
      <c r="DW433" s="270" t="s">
        <v>153</v>
      </c>
      <c r="DX433" s="271" t="s">
        <v>153</v>
      </c>
      <c r="DY433" s="272" t="s">
        <v>153</v>
      </c>
      <c r="DZ433" s="273" t="s">
        <v>191</v>
      </c>
      <c r="EA433" s="274">
        <v>44217</v>
      </c>
      <c r="EB433" s="275">
        <v>9500</v>
      </c>
      <c r="EC433" s="276">
        <v>36689</v>
      </c>
      <c r="ED433" s="277" t="s">
        <v>226</v>
      </c>
      <c r="EE433" s="279" t="str">
        <f>HYPERLINK("https://my.pitchbook.com?c=51155-65", "View company online")</f>
        <v>View company online</v>
      </c>
    </row>
    <row r="434" spans="1:135" x14ac:dyDescent="0.45">
      <c r="A434" s="10" t="s">
        <v>9037</v>
      </c>
      <c r="B434" s="11" t="s">
        <v>9038</v>
      </c>
      <c r="C434" s="12" t="s">
        <v>153</v>
      </c>
      <c r="D434" s="13" t="s">
        <v>153</v>
      </c>
      <c r="E434" s="14" t="s">
        <v>9039</v>
      </c>
      <c r="F434" s="15" t="s">
        <v>153</v>
      </c>
      <c r="G434" s="16" t="s">
        <v>9040</v>
      </c>
      <c r="H434" s="17" t="s">
        <v>9041</v>
      </c>
      <c r="I434" s="18" t="s">
        <v>9037</v>
      </c>
      <c r="J434" s="19" t="s">
        <v>9042</v>
      </c>
      <c r="K434" s="20" t="s">
        <v>792</v>
      </c>
      <c r="L434" s="21" t="s">
        <v>3864</v>
      </c>
      <c r="M434" s="22" t="s">
        <v>3865</v>
      </c>
      <c r="N434" s="23" t="s">
        <v>3866</v>
      </c>
      <c r="O434" s="24" t="s">
        <v>153</v>
      </c>
      <c r="P434" s="25" t="s">
        <v>9043</v>
      </c>
      <c r="Q434" s="26" t="s">
        <v>204</v>
      </c>
      <c r="R434" s="27" t="s">
        <v>153</v>
      </c>
      <c r="S434" s="28" t="s">
        <v>163</v>
      </c>
      <c r="T434" s="29" t="s">
        <v>164</v>
      </c>
      <c r="U434" s="30" t="s">
        <v>206</v>
      </c>
      <c r="V434" s="31" t="s">
        <v>9044</v>
      </c>
      <c r="W434" s="32">
        <v>6500</v>
      </c>
      <c r="X434" s="33" t="s">
        <v>9045</v>
      </c>
      <c r="Y434" s="34" t="s">
        <v>153</v>
      </c>
      <c r="Z434" s="35" t="s">
        <v>153</v>
      </c>
      <c r="AA434" s="36" t="s">
        <v>153</v>
      </c>
      <c r="AB434" s="37" t="s">
        <v>3992</v>
      </c>
      <c r="AC434" s="38" t="s">
        <v>153</v>
      </c>
      <c r="AD434" s="39" t="s">
        <v>153</v>
      </c>
      <c r="AE434" s="40">
        <v>2180.9299999999998</v>
      </c>
      <c r="AF434" s="41" t="s">
        <v>153</v>
      </c>
      <c r="AG434" s="42" t="s">
        <v>153</v>
      </c>
      <c r="AH434" s="43" t="s">
        <v>153</v>
      </c>
      <c r="AI434" s="44">
        <v>1750.01</v>
      </c>
      <c r="AJ434" s="45">
        <v>1358.12</v>
      </c>
      <c r="AK434" s="46" t="s">
        <v>153</v>
      </c>
      <c r="AL434" s="47">
        <v>0</v>
      </c>
      <c r="AM434" s="48">
        <v>-3.03</v>
      </c>
      <c r="AN434" s="49" t="s">
        <v>168</v>
      </c>
      <c r="AO434" s="50" t="s">
        <v>9046</v>
      </c>
      <c r="AP434" s="51" t="s">
        <v>9047</v>
      </c>
      <c r="AQ434" s="52" t="s">
        <v>9048</v>
      </c>
      <c r="AR434" s="53" t="s">
        <v>9049</v>
      </c>
      <c r="AS434" s="54" t="s">
        <v>153</v>
      </c>
      <c r="AT434" s="55" t="s">
        <v>3893</v>
      </c>
      <c r="AU434" s="56" t="s">
        <v>9050</v>
      </c>
      <c r="AV434" s="57" t="s">
        <v>153</v>
      </c>
      <c r="AW434" s="58" t="s">
        <v>3896</v>
      </c>
      <c r="AX434" s="59" t="s">
        <v>177</v>
      </c>
      <c r="AY434" s="60" t="s">
        <v>9051</v>
      </c>
      <c r="AZ434" s="61" t="s">
        <v>179</v>
      </c>
      <c r="BA434" s="62" t="s">
        <v>153</v>
      </c>
      <c r="BB434" s="63" t="s">
        <v>153</v>
      </c>
      <c r="BC434" s="64" t="s">
        <v>153</v>
      </c>
      <c r="BD434" s="65" t="s">
        <v>180</v>
      </c>
      <c r="BE434" s="66" t="s">
        <v>181</v>
      </c>
      <c r="BF434" s="67" t="s">
        <v>9052</v>
      </c>
      <c r="BG434" s="68" t="s">
        <v>153</v>
      </c>
      <c r="BH434" s="69" t="s">
        <v>153</v>
      </c>
      <c r="BI434" s="70" t="s">
        <v>3992</v>
      </c>
      <c r="BJ434" s="71" t="s">
        <v>9053</v>
      </c>
      <c r="BK434" s="72" t="s">
        <v>153</v>
      </c>
      <c r="BL434" s="73" t="s">
        <v>153</v>
      </c>
      <c r="BM434" s="74" t="s">
        <v>9054</v>
      </c>
      <c r="BN434" s="75" t="s">
        <v>153</v>
      </c>
      <c r="BO434" s="76" t="s">
        <v>9055</v>
      </c>
      <c r="BP434" s="77" t="s">
        <v>153</v>
      </c>
      <c r="BQ434" s="78">
        <v>37505</v>
      </c>
      <c r="BR434" s="79">
        <v>235</v>
      </c>
      <c r="BS434" s="80" t="s">
        <v>186</v>
      </c>
      <c r="BT434" s="81">
        <v>479.59</v>
      </c>
      <c r="BU434" s="82" t="s">
        <v>187</v>
      </c>
      <c r="BV434" s="83" t="s">
        <v>906</v>
      </c>
      <c r="BW434" s="84" t="s">
        <v>153</v>
      </c>
      <c r="BX434" s="85" t="s">
        <v>153</v>
      </c>
      <c r="BY434" s="86" t="s">
        <v>225</v>
      </c>
      <c r="BZ434" s="87" t="s">
        <v>153</v>
      </c>
      <c r="CA434" s="88" t="s">
        <v>190</v>
      </c>
      <c r="CB434" s="89">
        <v>44361</v>
      </c>
      <c r="CC434" s="90">
        <v>9498.58</v>
      </c>
      <c r="CD434" s="91" t="s">
        <v>186</v>
      </c>
      <c r="CE434" s="92">
        <v>9498.58</v>
      </c>
      <c r="CF434" s="93" t="s">
        <v>187</v>
      </c>
      <c r="CG434" s="94" t="s">
        <v>226</v>
      </c>
      <c r="CH434" s="95" t="s">
        <v>729</v>
      </c>
      <c r="CI434" s="96" t="s">
        <v>153</v>
      </c>
      <c r="CJ434" s="97" t="s">
        <v>225</v>
      </c>
      <c r="CK434" s="98">
        <v>44361</v>
      </c>
      <c r="CL434" s="99" t="s">
        <v>153</v>
      </c>
      <c r="CM434" s="100" t="s">
        <v>153</v>
      </c>
      <c r="CN434" s="101" t="s">
        <v>190</v>
      </c>
      <c r="CO434" s="102">
        <v>0.04</v>
      </c>
      <c r="CP434" s="103">
        <v>88</v>
      </c>
      <c r="CQ434" s="104">
        <v>-0.06</v>
      </c>
      <c r="CR434" s="105">
        <v>-60.24</v>
      </c>
      <c r="CS434" s="106">
        <v>-0.04</v>
      </c>
      <c r="CT434" s="107">
        <v>8</v>
      </c>
      <c r="CU434" s="108">
        <v>0.17</v>
      </c>
      <c r="CV434" s="109">
        <v>90</v>
      </c>
      <c r="CW434" s="110" t="s">
        <v>153</v>
      </c>
      <c r="CX434" s="111" t="s">
        <v>153</v>
      </c>
      <c r="CY434" s="112">
        <v>-0.04</v>
      </c>
      <c r="CZ434" s="113">
        <v>5</v>
      </c>
      <c r="DA434" s="114">
        <v>0.17</v>
      </c>
      <c r="DB434" s="115">
        <v>90</v>
      </c>
      <c r="DC434" s="116">
        <v>127.92</v>
      </c>
      <c r="DD434" s="117">
        <v>100</v>
      </c>
      <c r="DE434" s="118">
        <v>0.13</v>
      </c>
      <c r="DF434" s="119">
        <v>0.1</v>
      </c>
      <c r="DG434" s="120">
        <v>78.69</v>
      </c>
      <c r="DH434" s="121">
        <v>99</v>
      </c>
      <c r="DI434" s="122">
        <v>129.38999999999999</v>
      </c>
      <c r="DJ434" s="123">
        <v>98</v>
      </c>
      <c r="DK434" s="124" t="s">
        <v>153</v>
      </c>
      <c r="DL434" s="125" t="s">
        <v>153</v>
      </c>
      <c r="DM434" s="126">
        <v>78.69</v>
      </c>
      <c r="DN434" s="127">
        <v>99</v>
      </c>
      <c r="DO434" s="128">
        <v>129.38999999999999</v>
      </c>
      <c r="DP434" s="129">
        <v>98</v>
      </c>
      <c r="DQ434" s="130" t="s">
        <v>153</v>
      </c>
      <c r="DR434" s="131" t="s">
        <v>153</v>
      </c>
      <c r="DS434" s="132" t="s">
        <v>153</v>
      </c>
      <c r="DT434" s="133">
        <v>1262</v>
      </c>
      <c r="DU434" s="134">
        <v>-8</v>
      </c>
      <c r="DV434" s="135">
        <v>-0.63</v>
      </c>
      <c r="DW434" s="136">
        <v>40628</v>
      </c>
      <c r="DX434" s="137">
        <v>26</v>
      </c>
      <c r="DY434" s="138">
        <v>0.06</v>
      </c>
      <c r="DZ434" s="139" t="s">
        <v>191</v>
      </c>
      <c r="EA434" s="140">
        <v>44361</v>
      </c>
      <c r="EB434" s="141">
        <v>9498.58</v>
      </c>
      <c r="EC434" s="142">
        <v>44361</v>
      </c>
      <c r="ED434" s="143" t="s">
        <v>226</v>
      </c>
      <c r="EE434" s="278" t="str">
        <f>HYPERLINK("https://my.pitchbook.com?c=175623-31", "View company online")</f>
        <v>View company online</v>
      </c>
    </row>
    <row r="435" spans="1:135" x14ac:dyDescent="0.45">
      <c r="A435" s="144" t="s">
        <v>9056</v>
      </c>
      <c r="B435" s="145" t="s">
        <v>9057</v>
      </c>
      <c r="C435" s="146" t="s">
        <v>153</v>
      </c>
      <c r="D435" s="147" t="s">
        <v>153</v>
      </c>
      <c r="E435" s="148" t="s">
        <v>9058</v>
      </c>
      <c r="F435" s="149" t="s">
        <v>153</v>
      </c>
      <c r="G435" s="150" t="s">
        <v>9059</v>
      </c>
      <c r="H435" s="151" t="s">
        <v>9060</v>
      </c>
      <c r="I435" s="152" t="s">
        <v>9056</v>
      </c>
      <c r="J435" s="153" t="s">
        <v>9061</v>
      </c>
      <c r="K435" s="154" t="s">
        <v>232</v>
      </c>
      <c r="L435" s="155" t="s">
        <v>2162</v>
      </c>
      <c r="M435" s="156" t="s">
        <v>5138</v>
      </c>
      <c r="N435" s="157" t="s">
        <v>9062</v>
      </c>
      <c r="O435" s="158" t="s">
        <v>153</v>
      </c>
      <c r="P435" s="159" t="s">
        <v>9063</v>
      </c>
      <c r="Q435" s="160" t="s">
        <v>367</v>
      </c>
      <c r="R435" s="161" t="s">
        <v>153</v>
      </c>
      <c r="S435" s="162" t="s">
        <v>290</v>
      </c>
      <c r="T435" s="163" t="s">
        <v>291</v>
      </c>
      <c r="U435" s="164" t="s">
        <v>369</v>
      </c>
      <c r="V435" s="165" t="s">
        <v>9064</v>
      </c>
      <c r="W435" s="166">
        <v>3123</v>
      </c>
      <c r="X435" s="167" t="s">
        <v>9065</v>
      </c>
      <c r="Y435" s="168" t="s">
        <v>1734</v>
      </c>
      <c r="Z435" s="169" t="s">
        <v>9066</v>
      </c>
      <c r="AA435" s="170">
        <v>1970</v>
      </c>
      <c r="AB435" s="171" t="s">
        <v>153</v>
      </c>
      <c r="AC435" s="172" t="s">
        <v>428</v>
      </c>
      <c r="AD435" s="173" t="s">
        <v>570</v>
      </c>
      <c r="AE435" s="174">
        <v>17570.62</v>
      </c>
      <c r="AF435" s="175" t="s">
        <v>153</v>
      </c>
      <c r="AG435" s="176">
        <v>266.74</v>
      </c>
      <c r="AH435" s="177">
        <v>6854.95</v>
      </c>
      <c r="AI435" s="178">
        <v>667.99</v>
      </c>
      <c r="AJ435" s="179">
        <v>494.72</v>
      </c>
      <c r="AK435" s="180">
        <v>5283.55</v>
      </c>
      <c r="AL435" s="181">
        <v>1501.79</v>
      </c>
      <c r="AM435" s="182">
        <v>2.65</v>
      </c>
      <c r="AN435" s="183" t="s">
        <v>168</v>
      </c>
      <c r="AO435" s="184" t="s">
        <v>9067</v>
      </c>
      <c r="AP435" s="185" t="s">
        <v>9068</v>
      </c>
      <c r="AQ435" s="186" t="s">
        <v>512</v>
      </c>
      <c r="AR435" s="187" t="s">
        <v>9069</v>
      </c>
      <c r="AS435" s="188" t="s">
        <v>9070</v>
      </c>
      <c r="AT435" s="189" t="s">
        <v>3175</v>
      </c>
      <c r="AU435" s="190" t="s">
        <v>9071</v>
      </c>
      <c r="AV435" s="191" t="s">
        <v>9072</v>
      </c>
      <c r="AW435" s="192" t="s">
        <v>3178</v>
      </c>
      <c r="AX435" s="193" t="s">
        <v>9072</v>
      </c>
      <c r="AY435" s="194" t="s">
        <v>9073</v>
      </c>
      <c r="AZ435" s="195" t="s">
        <v>701</v>
      </c>
      <c r="BA435" s="196" t="s">
        <v>9070</v>
      </c>
      <c r="BB435" s="197" t="s">
        <v>153</v>
      </c>
      <c r="BC435" s="198" t="s">
        <v>9074</v>
      </c>
      <c r="BD435" s="199" t="s">
        <v>180</v>
      </c>
      <c r="BE435" s="200" t="s">
        <v>181</v>
      </c>
      <c r="BF435" s="201" t="s">
        <v>9075</v>
      </c>
      <c r="BG435" s="202" t="s">
        <v>9076</v>
      </c>
      <c r="BH435" s="203">
        <v>4</v>
      </c>
      <c r="BI435" s="204" t="s">
        <v>153</v>
      </c>
      <c r="BJ435" s="205" t="s">
        <v>153</v>
      </c>
      <c r="BK435" s="206" t="s">
        <v>153</v>
      </c>
      <c r="BL435" s="207" t="s">
        <v>9077</v>
      </c>
      <c r="BM435" s="208" t="s">
        <v>153</v>
      </c>
      <c r="BN435" s="209" t="s">
        <v>153</v>
      </c>
      <c r="BO435" s="210" t="s">
        <v>9078</v>
      </c>
      <c r="BP435" s="211" t="s">
        <v>277</v>
      </c>
      <c r="BQ435" s="212">
        <v>32509</v>
      </c>
      <c r="BR435" s="213" t="s">
        <v>153</v>
      </c>
      <c r="BS435" s="214" t="s">
        <v>153</v>
      </c>
      <c r="BT435" s="215" t="s">
        <v>153</v>
      </c>
      <c r="BU435" s="216" t="s">
        <v>153</v>
      </c>
      <c r="BV435" s="217" t="s">
        <v>251</v>
      </c>
      <c r="BW435" s="218" t="s">
        <v>153</v>
      </c>
      <c r="BX435" s="219" t="s">
        <v>153</v>
      </c>
      <c r="BY435" s="220" t="s">
        <v>252</v>
      </c>
      <c r="BZ435" s="221" t="s">
        <v>153</v>
      </c>
      <c r="CA435" s="222" t="s">
        <v>190</v>
      </c>
      <c r="CB435" s="223">
        <v>43347</v>
      </c>
      <c r="CC435" s="224">
        <v>9470.2800000000007</v>
      </c>
      <c r="CD435" s="225" t="s">
        <v>187</v>
      </c>
      <c r="CE435" s="226">
        <v>10316.209999999999</v>
      </c>
      <c r="CF435" s="227" t="s">
        <v>187</v>
      </c>
      <c r="CG435" s="228" t="s">
        <v>226</v>
      </c>
      <c r="CH435" s="229" t="s">
        <v>153</v>
      </c>
      <c r="CI435" s="230" t="s">
        <v>153</v>
      </c>
      <c r="CJ435" s="231" t="s">
        <v>225</v>
      </c>
      <c r="CK435" s="232">
        <v>43347</v>
      </c>
      <c r="CL435" s="233" t="s">
        <v>153</v>
      </c>
      <c r="CM435" s="234" t="s">
        <v>153</v>
      </c>
      <c r="CN435" s="235" t="s">
        <v>394</v>
      </c>
      <c r="CO435" s="236">
        <v>-0.01</v>
      </c>
      <c r="CP435" s="237">
        <v>11</v>
      </c>
      <c r="CQ435" s="238">
        <v>-0.02</v>
      </c>
      <c r="CR435" s="239">
        <v>-243.3</v>
      </c>
      <c r="CS435" s="240">
        <v>-0.03</v>
      </c>
      <c r="CT435" s="241">
        <v>8</v>
      </c>
      <c r="CU435" s="242">
        <v>0</v>
      </c>
      <c r="CV435" s="243">
        <v>41</v>
      </c>
      <c r="CW435" s="244">
        <v>-0.73</v>
      </c>
      <c r="CX435" s="245">
        <v>18</v>
      </c>
      <c r="CY435" s="246">
        <v>0.68</v>
      </c>
      <c r="CZ435" s="247">
        <v>96</v>
      </c>
      <c r="DA435" s="248">
        <v>0</v>
      </c>
      <c r="DB435" s="249">
        <v>41</v>
      </c>
      <c r="DC435" s="250">
        <v>38.19</v>
      </c>
      <c r="DD435" s="251">
        <v>98</v>
      </c>
      <c r="DE435" s="252">
        <v>0.1</v>
      </c>
      <c r="DF435" s="253">
        <v>0.27</v>
      </c>
      <c r="DG435" s="254">
        <v>63.07</v>
      </c>
      <c r="DH435" s="255">
        <v>99</v>
      </c>
      <c r="DI435" s="256">
        <v>13.31</v>
      </c>
      <c r="DJ435" s="257">
        <v>89</v>
      </c>
      <c r="DK435" s="258">
        <v>16.64</v>
      </c>
      <c r="DL435" s="259">
        <v>90</v>
      </c>
      <c r="DM435" s="260">
        <v>109.5</v>
      </c>
      <c r="DN435" s="261">
        <v>99</v>
      </c>
      <c r="DO435" s="262">
        <v>13.31</v>
      </c>
      <c r="DP435" s="263">
        <v>89</v>
      </c>
      <c r="DQ435" s="264">
        <v>9858</v>
      </c>
      <c r="DR435" s="265">
        <v>35</v>
      </c>
      <c r="DS435" s="266">
        <v>0.36</v>
      </c>
      <c r="DT435" s="267">
        <v>1750</v>
      </c>
      <c r="DU435" s="268">
        <v>5</v>
      </c>
      <c r="DV435" s="269">
        <v>0.28999999999999998</v>
      </c>
      <c r="DW435" s="270">
        <v>4178</v>
      </c>
      <c r="DX435" s="271">
        <v>4</v>
      </c>
      <c r="DY435" s="272">
        <v>0.1</v>
      </c>
      <c r="DZ435" s="273" t="s">
        <v>191</v>
      </c>
      <c r="EA435" s="274">
        <v>44377</v>
      </c>
      <c r="EB435" s="275">
        <v>10316.209999999999</v>
      </c>
      <c r="EC435" s="276">
        <v>43347</v>
      </c>
      <c r="ED435" s="277" t="s">
        <v>226</v>
      </c>
      <c r="EE435" s="279" t="str">
        <f>HYPERLINK("https://my.pitchbook.com?c=41510-62", "View company online")</f>
        <v>View company online</v>
      </c>
    </row>
    <row r="436" spans="1:135" x14ac:dyDescent="0.45">
      <c r="A436" s="10" t="s">
        <v>9079</v>
      </c>
      <c r="B436" s="11" t="s">
        <v>9080</v>
      </c>
      <c r="C436" s="12" t="s">
        <v>153</v>
      </c>
      <c r="D436" s="13" t="s">
        <v>153</v>
      </c>
      <c r="E436" s="14" t="s">
        <v>153</v>
      </c>
      <c r="F436" s="15" t="s">
        <v>153</v>
      </c>
      <c r="G436" s="16" t="s">
        <v>9081</v>
      </c>
      <c r="H436" s="17" t="s">
        <v>153</v>
      </c>
      <c r="I436" s="18" t="s">
        <v>9079</v>
      </c>
      <c r="J436" s="19" t="s">
        <v>9082</v>
      </c>
      <c r="K436" s="20" t="s">
        <v>257</v>
      </c>
      <c r="L436" s="21" t="s">
        <v>258</v>
      </c>
      <c r="M436" s="22" t="s">
        <v>448</v>
      </c>
      <c r="N436" s="23" t="s">
        <v>449</v>
      </c>
      <c r="O436" s="24" t="s">
        <v>596</v>
      </c>
      <c r="P436" s="25" t="s">
        <v>9083</v>
      </c>
      <c r="Q436" s="26" t="s">
        <v>204</v>
      </c>
      <c r="R436" s="27" t="s">
        <v>153</v>
      </c>
      <c r="S436" s="28" t="s">
        <v>290</v>
      </c>
      <c r="T436" s="29" t="s">
        <v>205</v>
      </c>
      <c r="U436" s="30" t="s">
        <v>292</v>
      </c>
      <c r="V436" s="31" t="s">
        <v>9084</v>
      </c>
      <c r="W436" s="32">
        <v>1500</v>
      </c>
      <c r="X436" s="33" t="s">
        <v>9085</v>
      </c>
      <c r="Y436" s="34" t="s">
        <v>153</v>
      </c>
      <c r="Z436" s="35" t="s">
        <v>153</v>
      </c>
      <c r="AA436" s="36">
        <v>1969</v>
      </c>
      <c r="AB436" s="37" t="s">
        <v>153</v>
      </c>
      <c r="AC436" s="38" t="s">
        <v>153</v>
      </c>
      <c r="AD436" s="39" t="s">
        <v>153</v>
      </c>
      <c r="AE436" s="40" t="s">
        <v>153</v>
      </c>
      <c r="AF436" s="41" t="s">
        <v>153</v>
      </c>
      <c r="AG436" s="42" t="s">
        <v>153</v>
      </c>
      <c r="AH436" s="43" t="s">
        <v>153</v>
      </c>
      <c r="AI436" s="44" t="s">
        <v>153</v>
      </c>
      <c r="AJ436" s="45" t="s">
        <v>153</v>
      </c>
      <c r="AK436" s="46" t="s">
        <v>153</v>
      </c>
      <c r="AL436" s="47" t="s">
        <v>153</v>
      </c>
      <c r="AM436" s="48" t="s">
        <v>153</v>
      </c>
      <c r="AN436" s="49" t="s">
        <v>5087</v>
      </c>
      <c r="AO436" s="50" t="s">
        <v>153</v>
      </c>
      <c r="AP436" s="51" t="s">
        <v>153</v>
      </c>
      <c r="AQ436" s="52" t="s">
        <v>153</v>
      </c>
      <c r="AR436" s="53" t="s">
        <v>153</v>
      </c>
      <c r="AS436" s="54" t="s">
        <v>153</v>
      </c>
      <c r="AT436" s="55" t="s">
        <v>624</v>
      </c>
      <c r="AU436" s="56" t="s">
        <v>9086</v>
      </c>
      <c r="AV436" s="57" t="s">
        <v>153</v>
      </c>
      <c r="AW436" s="58" t="s">
        <v>627</v>
      </c>
      <c r="AX436" s="59" t="s">
        <v>153</v>
      </c>
      <c r="AY436" s="60" t="s">
        <v>761</v>
      </c>
      <c r="AZ436" s="61" t="s">
        <v>629</v>
      </c>
      <c r="BA436" s="62" t="s">
        <v>153</v>
      </c>
      <c r="BB436" s="63" t="s">
        <v>153</v>
      </c>
      <c r="BC436" s="64" t="s">
        <v>153</v>
      </c>
      <c r="BD436" s="65" t="s">
        <v>180</v>
      </c>
      <c r="BE436" s="66" t="s">
        <v>181</v>
      </c>
      <c r="BF436" s="67" t="s">
        <v>9087</v>
      </c>
      <c r="BG436" s="68" t="s">
        <v>153</v>
      </c>
      <c r="BH436" s="69" t="s">
        <v>153</v>
      </c>
      <c r="BI436" s="70" t="s">
        <v>9088</v>
      </c>
      <c r="BJ436" s="71" t="s">
        <v>9089</v>
      </c>
      <c r="BK436" s="72" t="s">
        <v>9090</v>
      </c>
      <c r="BL436" s="73" t="s">
        <v>153</v>
      </c>
      <c r="BM436" s="74" t="s">
        <v>9091</v>
      </c>
      <c r="BN436" s="75" t="s">
        <v>9092</v>
      </c>
      <c r="BO436" s="76" t="s">
        <v>9093</v>
      </c>
      <c r="BP436" s="77" t="s">
        <v>9094</v>
      </c>
      <c r="BQ436" s="78">
        <v>32509</v>
      </c>
      <c r="BR436" s="79" t="s">
        <v>153</v>
      </c>
      <c r="BS436" s="80" t="s">
        <v>153</v>
      </c>
      <c r="BT436" s="81" t="s">
        <v>153</v>
      </c>
      <c r="BU436" s="82" t="s">
        <v>153</v>
      </c>
      <c r="BV436" s="83" t="s">
        <v>251</v>
      </c>
      <c r="BW436" s="84" t="s">
        <v>153</v>
      </c>
      <c r="BX436" s="85" t="s">
        <v>153</v>
      </c>
      <c r="BY436" s="86" t="s">
        <v>165</v>
      </c>
      <c r="BZ436" s="87" t="s">
        <v>153</v>
      </c>
      <c r="CA436" s="88" t="s">
        <v>190</v>
      </c>
      <c r="CB436" s="89">
        <v>41485</v>
      </c>
      <c r="CC436" s="90">
        <v>9451.9</v>
      </c>
      <c r="CD436" s="91" t="s">
        <v>186</v>
      </c>
      <c r="CE436" s="92">
        <v>9451.9</v>
      </c>
      <c r="CF436" s="93" t="s">
        <v>186</v>
      </c>
      <c r="CG436" s="94" t="s">
        <v>226</v>
      </c>
      <c r="CH436" s="95" t="s">
        <v>153</v>
      </c>
      <c r="CI436" s="96" t="s">
        <v>153</v>
      </c>
      <c r="CJ436" s="97" t="s">
        <v>225</v>
      </c>
      <c r="CK436" s="98">
        <v>41485</v>
      </c>
      <c r="CL436" s="99" t="s">
        <v>153</v>
      </c>
      <c r="CM436" s="100" t="s">
        <v>153</v>
      </c>
      <c r="CN436" s="101" t="s">
        <v>190</v>
      </c>
      <c r="CO436" s="102" t="s">
        <v>153</v>
      </c>
      <c r="CP436" s="103" t="s">
        <v>153</v>
      </c>
      <c r="CQ436" s="104" t="s">
        <v>153</v>
      </c>
      <c r="CR436" s="105" t="s">
        <v>153</v>
      </c>
      <c r="CS436" s="106" t="s">
        <v>153</v>
      </c>
      <c r="CT436" s="107" t="s">
        <v>153</v>
      </c>
      <c r="CU436" s="108" t="s">
        <v>153</v>
      </c>
      <c r="CV436" s="109" t="s">
        <v>153</v>
      </c>
      <c r="CW436" s="110" t="s">
        <v>153</v>
      </c>
      <c r="CX436" s="111" t="s">
        <v>153</v>
      </c>
      <c r="CY436" s="112" t="s">
        <v>153</v>
      </c>
      <c r="CZ436" s="113" t="s">
        <v>153</v>
      </c>
      <c r="DA436" s="114" t="s">
        <v>153</v>
      </c>
      <c r="DB436" s="115" t="s">
        <v>153</v>
      </c>
      <c r="DC436" s="116" t="s">
        <v>153</v>
      </c>
      <c r="DD436" s="117" t="s">
        <v>153</v>
      </c>
      <c r="DE436" s="118" t="s">
        <v>153</v>
      </c>
      <c r="DF436" s="119" t="s">
        <v>153</v>
      </c>
      <c r="DG436" s="120" t="s">
        <v>153</v>
      </c>
      <c r="DH436" s="121" t="s">
        <v>153</v>
      </c>
      <c r="DI436" s="122" t="s">
        <v>153</v>
      </c>
      <c r="DJ436" s="123" t="s">
        <v>153</v>
      </c>
      <c r="DK436" s="124" t="s">
        <v>153</v>
      </c>
      <c r="DL436" s="125" t="s">
        <v>153</v>
      </c>
      <c r="DM436" s="126" t="s">
        <v>153</v>
      </c>
      <c r="DN436" s="127" t="s">
        <v>153</v>
      </c>
      <c r="DO436" s="128" t="s">
        <v>153</v>
      </c>
      <c r="DP436" s="129" t="s">
        <v>153</v>
      </c>
      <c r="DQ436" s="130" t="s">
        <v>153</v>
      </c>
      <c r="DR436" s="131" t="s">
        <v>153</v>
      </c>
      <c r="DS436" s="132" t="s">
        <v>153</v>
      </c>
      <c r="DT436" s="133" t="s">
        <v>153</v>
      </c>
      <c r="DU436" s="134" t="s">
        <v>153</v>
      </c>
      <c r="DV436" s="135" t="s">
        <v>153</v>
      </c>
      <c r="DW436" s="136" t="s">
        <v>153</v>
      </c>
      <c r="DX436" s="137" t="s">
        <v>153</v>
      </c>
      <c r="DY436" s="138" t="s">
        <v>153</v>
      </c>
      <c r="DZ436" s="139" t="s">
        <v>191</v>
      </c>
      <c r="EA436" s="140">
        <v>44331</v>
      </c>
      <c r="EB436" s="141">
        <v>9451.9</v>
      </c>
      <c r="EC436" s="142">
        <v>41485</v>
      </c>
      <c r="ED436" s="143" t="s">
        <v>226</v>
      </c>
      <c r="EE436" s="278" t="str">
        <f>HYPERLINK("https://my.pitchbook.com?c=41947-12", "View company online")</f>
        <v>View company online</v>
      </c>
    </row>
    <row r="437" spans="1:135" x14ac:dyDescent="0.45">
      <c r="A437" s="144" t="s">
        <v>9095</v>
      </c>
      <c r="B437" s="145" t="s">
        <v>9096</v>
      </c>
      <c r="C437" s="146" t="s">
        <v>153</v>
      </c>
      <c r="D437" s="147" t="s">
        <v>153</v>
      </c>
      <c r="E437" s="148" t="s">
        <v>9097</v>
      </c>
      <c r="F437" s="149" t="s">
        <v>9098</v>
      </c>
      <c r="G437" s="150" t="s">
        <v>9099</v>
      </c>
      <c r="H437" s="151" t="s">
        <v>9100</v>
      </c>
      <c r="I437" s="152" t="s">
        <v>9095</v>
      </c>
      <c r="J437" s="153" t="s">
        <v>9101</v>
      </c>
      <c r="K437" s="154" t="s">
        <v>792</v>
      </c>
      <c r="L437" s="155" t="s">
        <v>3864</v>
      </c>
      <c r="M437" s="156" t="s">
        <v>3865</v>
      </c>
      <c r="N437" s="157" t="s">
        <v>9102</v>
      </c>
      <c r="O437" s="158" t="s">
        <v>9103</v>
      </c>
      <c r="P437" s="159" t="s">
        <v>9104</v>
      </c>
      <c r="Q437" s="160" t="s">
        <v>564</v>
      </c>
      <c r="R437" s="161">
        <v>1350</v>
      </c>
      <c r="S437" s="162" t="s">
        <v>290</v>
      </c>
      <c r="T437" s="163" t="s">
        <v>164</v>
      </c>
      <c r="U437" s="164" t="s">
        <v>2534</v>
      </c>
      <c r="V437" s="165" t="s">
        <v>9105</v>
      </c>
      <c r="W437" s="166">
        <v>5001</v>
      </c>
      <c r="X437" s="167" t="s">
        <v>9106</v>
      </c>
      <c r="Y437" s="168" t="s">
        <v>153</v>
      </c>
      <c r="Z437" s="169" t="s">
        <v>153</v>
      </c>
      <c r="AA437" s="170">
        <v>1881</v>
      </c>
      <c r="AB437" s="171" t="s">
        <v>9107</v>
      </c>
      <c r="AC437" s="172" t="s">
        <v>153</v>
      </c>
      <c r="AD437" s="173" t="s">
        <v>153</v>
      </c>
      <c r="AE437" s="174" t="s">
        <v>153</v>
      </c>
      <c r="AF437" s="175" t="s">
        <v>153</v>
      </c>
      <c r="AG437" s="176" t="s">
        <v>153</v>
      </c>
      <c r="AH437" s="177" t="s">
        <v>153</v>
      </c>
      <c r="AI437" s="178" t="s">
        <v>153</v>
      </c>
      <c r="AJ437" s="179" t="s">
        <v>153</v>
      </c>
      <c r="AK437" s="180" t="s">
        <v>153</v>
      </c>
      <c r="AL437" s="181" t="s">
        <v>153</v>
      </c>
      <c r="AM437" s="182" t="s">
        <v>153</v>
      </c>
      <c r="AN437" s="183" t="s">
        <v>1570</v>
      </c>
      <c r="AO437" s="184" t="s">
        <v>9108</v>
      </c>
      <c r="AP437" s="185" t="s">
        <v>9109</v>
      </c>
      <c r="AQ437" s="186" t="s">
        <v>9110</v>
      </c>
      <c r="AR437" s="187" t="s">
        <v>9111</v>
      </c>
      <c r="AS437" s="188" t="s">
        <v>153</v>
      </c>
      <c r="AT437" s="189" t="s">
        <v>3124</v>
      </c>
      <c r="AU437" s="190" t="s">
        <v>9112</v>
      </c>
      <c r="AV437" s="191" t="s">
        <v>9113</v>
      </c>
      <c r="AW437" s="192" t="s">
        <v>3126</v>
      </c>
      <c r="AX437" s="193" t="s">
        <v>1128</v>
      </c>
      <c r="AY437" s="194" t="s">
        <v>3950</v>
      </c>
      <c r="AZ437" s="195" t="s">
        <v>215</v>
      </c>
      <c r="BA437" s="196" t="s">
        <v>153</v>
      </c>
      <c r="BB437" s="197" t="s">
        <v>153</v>
      </c>
      <c r="BC437" s="198" t="s">
        <v>153</v>
      </c>
      <c r="BD437" s="199" t="s">
        <v>216</v>
      </c>
      <c r="BE437" s="200" t="s">
        <v>217</v>
      </c>
      <c r="BF437" s="201" t="s">
        <v>9114</v>
      </c>
      <c r="BG437" s="202" t="s">
        <v>153</v>
      </c>
      <c r="BH437" s="203" t="s">
        <v>153</v>
      </c>
      <c r="BI437" s="204" t="s">
        <v>9107</v>
      </c>
      <c r="BJ437" s="205" t="s">
        <v>9115</v>
      </c>
      <c r="BK437" s="206" t="s">
        <v>9116</v>
      </c>
      <c r="BL437" s="207" t="s">
        <v>153</v>
      </c>
      <c r="BM437" s="208" t="s">
        <v>9117</v>
      </c>
      <c r="BN437" s="209" t="s">
        <v>9118</v>
      </c>
      <c r="BO437" s="210" t="s">
        <v>9119</v>
      </c>
      <c r="BP437" s="211" t="s">
        <v>9120</v>
      </c>
      <c r="BQ437" s="212">
        <v>26451</v>
      </c>
      <c r="BR437" s="213" t="s">
        <v>153</v>
      </c>
      <c r="BS437" s="214" t="s">
        <v>153</v>
      </c>
      <c r="BT437" s="215" t="s">
        <v>153</v>
      </c>
      <c r="BU437" s="216" t="s">
        <v>153</v>
      </c>
      <c r="BV437" s="217" t="s">
        <v>251</v>
      </c>
      <c r="BW437" s="218" t="s">
        <v>153</v>
      </c>
      <c r="BX437" s="219" t="s">
        <v>153</v>
      </c>
      <c r="BY437" s="220" t="s">
        <v>252</v>
      </c>
      <c r="BZ437" s="221" t="s">
        <v>153</v>
      </c>
      <c r="CA437" s="222" t="s">
        <v>190</v>
      </c>
      <c r="CB437" s="223">
        <v>43168</v>
      </c>
      <c r="CC437" s="224">
        <v>9450</v>
      </c>
      <c r="CD437" s="225" t="s">
        <v>186</v>
      </c>
      <c r="CE437" s="226">
        <v>11812.5</v>
      </c>
      <c r="CF437" s="227" t="s">
        <v>186</v>
      </c>
      <c r="CG437" s="228" t="s">
        <v>226</v>
      </c>
      <c r="CH437" s="229" t="s">
        <v>153</v>
      </c>
      <c r="CI437" s="230" t="s">
        <v>153</v>
      </c>
      <c r="CJ437" s="231" t="s">
        <v>225</v>
      </c>
      <c r="CK437" s="232">
        <v>43168</v>
      </c>
      <c r="CL437" s="233" t="s">
        <v>153</v>
      </c>
      <c r="CM437" s="234" t="s">
        <v>153</v>
      </c>
      <c r="CN437" s="235" t="s">
        <v>190</v>
      </c>
      <c r="CO437" s="236" t="s">
        <v>153</v>
      </c>
      <c r="CP437" s="237" t="s">
        <v>153</v>
      </c>
      <c r="CQ437" s="238" t="s">
        <v>153</v>
      </c>
      <c r="CR437" s="239" t="s">
        <v>153</v>
      </c>
      <c r="CS437" s="240" t="s">
        <v>153</v>
      </c>
      <c r="CT437" s="241" t="s">
        <v>153</v>
      </c>
      <c r="CU437" s="242" t="s">
        <v>153</v>
      </c>
      <c r="CV437" s="243" t="s">
        <v>153</v>
      </c>
      <c r="CW437" s="244" t="s">
        <v>153</v>
      </c>
      <c r="CX437" s="245" t="s">
        <v>153</v>
      </c>
      <c r="CY437" s="246" t="s">
        <v>153</v>
      </c>
      <c r="CZ437" s="247" t="s">
        <v>153</v>
      </c>
      <c r="DA437" s="248" t="s">
        <v>153</v>
      </c>
      <c r="DB437" s="249" t="s">
        <v>153</v>
      </c>
      <c r="DC437" s="250" t="s">
        <v>153</v>
      </c>
      <c r="DD437" s="251" t="s">
        <v>153</v>
      </c>
      <c r="DE437" s="252" t="s">
        <v>153</v>
      </c>
      <c r="DF437" s="253" t="s">
        <v>153</v>
      </c>
      <c r="DG437" s="254" t="s">
        <v>153</v>
      </c>
      <c r="DH437" s="255" t="s">
        <v>153</v>
      </c>
      <c r="DI437" s="256" t="s">
        <v>153</v>
      </c>
      <c r="DJ437" s="257" t="s">
        <v>153</v>
      </c>
      <c r="DK437" s="258" t="s">
        <v>153</v>
      </c>
      <c r="DL437" s="259" t="s">
        <v>153</v>
      </c>
      <c r="DM437" s="260" t="s">
        <v>153</v>
      </c>
      <c r="DN437" s="261" t="s">
        <v>153</v>
      </c>
      <c r="DO437" s="262" t="s">
        <v>153</v>
      </c>
      <c r="DP437" s="263" t="s">
        <v>153</v>
      </c>
      <c r="DQ437" s="264" t="s">
        <v>153</v>
      </c>
      <c r="DR437" s="265" t="s">
        <v>153</v>
      </c>
      <c r="DS437" s="266" t="s">
        <v>153</v>
      </c>
      <c r="DT437" s="267" t="s">
        <v>153</v>
      </c>
      <c r="DU437" s="268" t="s">
        <v>153</v>
      </c>
      <c r="DV437" s="269" t="s">
        <v>153</v>
      </c>
      <c r="DW437" s="270" t="s">
        <v>153</v>
      </c>
      <c r="DX437" s="271" t="s">
        <v>153</v>
      </c>
      <c r="DY437" s="272" t="s">
        <v>153</v>
      </c>
      <c r="DZ437" s="273" t="s">
        <v>191</v>
      </c>
      <c r="EA437" s="274">
        <v>44377</v>
      </c>
      <c r="EB437" s="275">
        <v>11812.5</v>
      </c>
      <c r="EC437" s="276">
        <v>43168</v>
      </c>
      <c r="ED437" s="277" t="s">
        <v>226</v>
      </c>
      <c r="EE437" s="279" t="str">
        <f>HYPERLINK("https://my.pitchbook.com?c=10328-68", "View company online")</f>
        <v>View company online</v>
      </c>
    </row>
    <row r="438" spans="1:135" x14ac:dyDescent="0.45">
      <c r="A438" s="10" t="s">
        <v>9121</v>
      </c>
      <c r="B438" s="11" t="s">
        <v>9122</v>
      </c>
      <c r="C438" s="12" t="s">
        <v>153</v>
      </c>
      <c r="D438" s="13" t="s">
        <v>153</v>
      </c>
      <c r="E438" s="14" t="s">
        <v>153</v>
      </c>
      <c r="F438" s="15" t="s">
        <v>153</v>
      </c>
      <c r="G438" s="16" t="s">
        <v>9123</v>
      </c>
      <c r="H438" s="17" t="s">
        <v>9124</v>
      </c>
      <c r="I438" s="18" t="s">
        <v>9121</v>
      </c>
      <c r="J438" s="19" t="s">
        <v>9125</v>
      </c>
      <c r="K438" s="20" t="s">
        <v>157</v>
      </c>
      <c r="L438" s="21" t="s">
        <v>421</v>
      </c>
      <c r="M438" s="22" t="s">
        <v>9126</v>
      </c>
      <c r="N438" s="23" t="s">
        <v>9127</v>
      </c>
      <c r="O438" s="24" t="s">
        <v>9128</v>
      </c>
      <c r="P438" s="25" t="s">
        <v>9129</v>
      </c>
      <c r="Q438" s="26" t="s">
        <v>204</v>
      </c>
      <c r="R438" s="27" t="s">
        <v>153</v>
      </c>
      <c r="S438" s="28" t="s">
        <v>290</v>
      </c>
      <c r="T438" s="29" t="s">
        <v>164</v>
      </c>
      <c r="U438" s="30" t="s">
        <v>206</v>
      </c>
      <c r="V438" s="31" t="s">
        <v>9130</v>
      </c>
      <c r="W438" s="32">
        <v>38</v>
      </c>
      <c r="X438" s="33" t="s">
        <v>9131</v>
      </c>
      <c r="Y438" s="34" t="s">
        <v>153</v>
      </c>
      <c r="Z438" s="35" t="s">
        <v>153</v>
      </c>
      <c r="AA438" s="36">
        <v>2009</v>
      </c>
      <c r="AB438" s="37" t="s">
        <v>2373</v>
      </c>
      <c r="AC438" s="38" t="s">
        <v>570</v>
      </c>
      <c r="AD438" s="39" t="s">
        <v>570</v>
      </c>
      <c r="AE438" s="40" t="s">
        <v>153</v>
      </c>
      <c r="AF438" s="41" t="s">
        <v>153</v>
      </c>
      <c r="AG438" s="42" t="s">
        <v>153</v>
      </c>
      <c r="AH438" s="43" t="s">
        <v>153</v>
      </c>
      <c r="AI438" s="44" t="s">
        <v>153</v>
      </c>
      <c r="AJ438" s="45" t="s">
        <v>153</v>
      </c>
      <c r="AK438" s="46" t="s">
        <v>153</v>
      </c>
      <c r="AL438" s="47" t="s">
        <v>153</v>
      </c>
      <c r="AM438" s="48" t="s">
        <v>153</v>
      </c>
      <c r="AN438" s="49" t="s">
        <v>456</v>
      </c>
      <c r="AO438" s="50" t="s">
        <v>9132</v>
      </c>
      <c r="AP438" s="51" t="s">
        <v>9133</v>
      </c>
      <c r="AQ438" s="52" t="s">
        <v>3351</v>
      </c>
      <c r="AR438" s="53" t="s">
        <v>9134</v>
      </c>
      <c r="AS438" s="54" t="s">
        <v>153</v>
      </c>
      <c r="AT438" s="55" t="s">
        <v>9135</v>
      </c>
      <c r="AU438" s="56" t="s">
        <v>9136</v>
      </c>
      <c r="AV438" s="57" t="s">
        <v>153</v>
      </c>
      <c r="AW438" s="58" t="s">
        <v>9137</v>
      </c>
      <c r="AX438" s="59" t="s">
        <v>153</v>
      </c>
      <c r="AY438" s="60" t="s">
        <v>9138</v>
      </c>
      <c r="AZ438" s="61" t="s">
        <v>8753</v>
      </c>
      <c r="BA438" s="62" t="s">
        <v>153</v>
      </c>
      <c r="BB438" s="63" t="s">
        <v>153</v>
      </c>
      <c r="BC438" s="64" t="s">
        <v>153</v>
      </c>
      <c r="BD438" s="65" t="s">
        <v>180</v>
      </c>
      <c r="BE438" s="66" t="s">
        <v>2051</v>
      </c>
      <c r="BF438" s="67" t="s">
        <v>9139</v>
      </c>
      <c r="BG438" s="68" t="s">
        <v>153</v>
      </c>
      <c r="BH438" s="69" t="s">
        <v>153</v>
      </c>
      <c r="BI438" s="70" t="s">
        <v>2373</v>
      </c>
      <c r="BJ438" s="71" t="s">
        <v>153</v>
      </c>
      <c r="BK438" s="72" t="s">
        <v>153</v>
      </c>
      <c r="BL438" s="73" t="s">
        <v>153</v>
      </c>
      <c r="BM438" s="74" t="s">
        <v>153</v>
      </c>
      <c r="BN438" s="75" t="s">
        <v>153</v>
      </c>
      <c r="BO438" s="76" t="s">
        <v>153</v>
      </c>
      <c r="BP438" s="77" t="s">
        <v>9140</v>
      </c>
      <c r="BQ438" s="78">
        <v>41949</v>
      </c>
      <c r="BR438" s="79">
        <v>9442</v>
      </c>
      <c r="BS438" s="80" t="s">
        <v>186</v>
      </c>
      <c r="BT438" s="81">
        <v>9442</v>
      </c>
      <c r="BU438" s="82" t="s">
        <v>186</v>
      </c>
      <c r="BV438" s="83" t="s">
        <v>226</v>
      </c>
      <c r="BW438" s="84" t="s">
        <v>153</v>
      </c>
      <c r="BX438" s="85" t="s">
        <v>153</v>
      </c>
      <c r="BY438" s="86" t="s">
        <v>225</v>
      </c>
      <c r="BZ438" s="87" t="s">
        <v>153</v>
      </c>
      <c r="CA438" s="88" t="s">
        <v>190</v>
      </c>
      <c r="CB438" s="89">
        <v>41949</v>
      </c>
      <c r="CC438" s="90">
        <v>9442</v>
      </c>
      <c r="CD438" s="91" t="s">
        <v>186</v>
      </c>
      <c r="CE438" s="92">
        <v>9442</v>
      </c>
      <c r="CF438" s="93" t="s">
        <v>186</v>
      </c>
      <c r="CG438" s="94" t="s">
        <v>226</v>
      </c>
      <c r="CH438" s="95" t="s">
        <v>153</v>
      </c>
      <c r="CI438" s="96" t="s">
        <v>153</v>
      </c>
      <c r="CJ438" s="97" t="s">
        <v>225</v>
      </c>
      <c r="CK438" s="98">
        <v>41949</v>
      </c>
      <c r="CL438" s="99" t="s">
        <v>153</v>
      </c>
      <c r="CM438" s="100" t="s">
        <v>153</v>
      </c>
      <c r="CN438" s="101" t="s">
        <v>190</v>
      </c>
      <c r="CO438" s="102">
        <v>-0.01</v>
      </c>
      <c r="CP438" s="103">
        <v>11</v>
      </c>
      <c r="CQ438" s="104">
        <v>-0.01</v>
      </c>
      <c r="CR438" s="105">
        <v>-635.54</v>
      </c>
      <c r="CS438" s="106">
        <v>0.02</v>
      </c>
      <c r="CT438" s="107">
        <v>89</v>
      </c>
      <c r="CU438" s="108">
        <v>-0.05</v>
      </c>
      <c r="CV438" s="109">
        <v>32</v>
      </c>
      <c r="CW438" s="110">
        <v>0</v>
      </c>
      <c r="CX438" s="111">
        <v>21</v>
      </c>
      <c r="CY438" s="112">
        <v>0.05</v>
      </c>
      <c r="CZ438" s="113">
        <v>90</v>
      </c>
      <c r="DA438" s="114">
        <v>-0.05</v>
      </c>
      <c r="DB438" s="115">
        <v>32</v>
      </c>
      <c r="DC438" s="116">
        <v>2343.67</v>
      </c>
      <c r="DD438" s="117">
        <v>100</v>
      </c>
      <c r="DE438" s="118">
        <v>14.31</v>
      </c>
      <c r="DF438" s="119">
        <v>0.61</v>
      </c>
      <c r="DG438" s="120">
        <v>79.81</v>
      </c>
      <c r="DH438" s="121">
        <v>99</v>
      </c>
      <c r="DI438" s="122">
        <v>4607.53</v>
      </c>
      <c r="DJ438" s="123">
        <v>100</v>
      </c>
      <c r="DK438" s="124">
        <v>1.38</v>
      </c>
      <c r="DL438" s="125">
        <v>57</v>
      </c>
      <c r="DM438" s="126">
        <v>158.25</v>
      </c>
      <c r="DN438" s="127">
        <v>100</v>
      </c>
      <c r="DO438" s="128">
        <v>4607.53</v>
      </c>
      <c r="DP438" s="129">
        <v>100</v>
      </c>
      <c r="DQ438" s="130">
        <v>826</v>
      </c>
      <c r="DR438" s="131">
        <v>-33</v>
      </c>
      <c r="DS438" s="132">
        <v>-3.84</v>
      </c>
      <c r="DT438" s="133">
        <v>2536</v>
      </c>
      <c r="DU438" s="134">
        <v>-5</v>
      </c>
      <c r="DV438" s="135">
        <v>-0.2</v>
      </c>
      <c r="DW438" s="136">
        <v>1446764</v>
      </c>
      <c r="DX438" s="137">
        <v>-324</v>
      </c>
      <c r="DY438" s="138">
        <v>-0.02</v>
      </c>
      <c r="DZ438" s="139" t="s">
        <v>191</v>
      </c>
      <c r="EA438" s="140">
        <v>44259</v>
      </c>
      <c r="EB438" s="141">
        <v>9442</v>
      </c>
      <c r="EC438" s="142">
        <v>41949</v>
      </c>
      <c r="ED438" s="143" t="s">
        <v>226</v>
      </c>
      <c r="EE438" s="278" t="str">
        <f>HYPERLINK("https://my.pitchbook.com?c=86695-93", "View company online")</f>
        <v>View company online</v>
      </c>
    </row>
    <row r="439" spans="1:135" x14ac:dyDescent="0.45">
      <c r="A439" s="144" t="s">
        <v>9141</v>
      </c>
      <c r="B439" s="145" t="s">
        <v>9142</v>
      </c>
      <c r="C439" s="146" t="s">
        <v>153</v>
      </c>
      <c r="D439" s="147" t="s">
        <v>153</v>
      </c>
      <c r="E439" s="148" t="s">
        <v>9143</v>
      </c>
      <c r="F439" s="149" t="s">
        <v>9144</v>
      </c>
      <c r="G439" s="150" t="s">
        <v>9145</v>
      </c>
      <c r="H439" s="151" t="s">
        <v>153</v>
      </c>
      <c r="I439" s="152" t="s">
        <v>9141</v>
      </c>
      <c r="J439" s="153" t="s">
        <v>9146</v>
      </c>
      <c r="K439" s="154" t="s">
        <v>232</v>
      </c>
      <c r="L439" s="155" t="s">
        <v>362</v>
      </c>
      <c r="M439" s="156" t="s">
        <v>362</v>
      </c>
      <c r="N439" s="157" t="s">
        <v>9147</v>
      </c>
      <c r="O439" s="158" t="s">
        <v>9148</v>
      </c>
      <c r="P439" s="159" t="s">
        <v>9149</v>
      </c>
      <c r="Q439" s="160" t="s">
        <v>564</v>
      </c>
      <c r="R439" s="161">
        <v>453.08</v>
      </c>
      <c r="S439" s="162" t="s">
        <v>163</v>
      </c>
      <c r="T439" s="163" t="s">
        <v>205</v>
      </c>
      <c r="U439" s="164" t="s">
        <v>452</v>
      </c>
      <c r="V439" s="165" t="s">
        <v>9150</v>
      </c>
      <c r="W439" s="166">
        <v>625</v>
      </c>
      <c r="X439" s="167" t="s">
        <v>9151</v>
      </c>
      <c r="Y439" s="168" t="s">
        <v>153</v>
      </c>
      <c r="Z439" s="169" t="s">
        <v>153</v>
      </c>
      <c r="AA439" s="170">
        <v>1872</v>
      </c>
      <c r="AB439" s="171" t="s">
        <v>153</v>
      </c>
      <c r="AC439" s="172" t="s">
        <v>153</v>
      </c>
      <c r="AD439" s="173" t="s">
        <v>570</v>
      </c>
      <c r="AE439" s="174" t="s">
        <v>153</v>
      </c>
      <c r="AF439" s="175" t="s">
        <v>153</v>
      </c>
      <c r="AG439" s="176" t="s">
        <v>153</v>
      </c>
      <c r="AH439" s="177" t="s">
        <v>153</v>
      </c>
      <c r="AI439" s="178" t="s">
        <v>153</v>
      </c>
      <c r="AJ439" s="179" t="s">
        <v>153</v>
      </c>
      <c r="AK439" s="180" t="s">
        <v>153</v>
      </c>
      <c r="AL439" s="181" t="s">
        <v>153</v>
      </c>
      <c r="AM439" s="182" t="s">
        <v>153</v>
      </c>
      <c r="AN439" s="183" t="s">
        <v>6347</v>
      </c>
      <c r="AO439" s="184" t="s">
        <v>9152</v>
      </c>
      <c r="AP439" s="185" t="s">
        <v>9153</v>
      </c>
      <c r="AQ439" s="186" t="s">
        <v>3351</v>
      </c>
      <c r="AR439" s="187" t="s">
        <v>153</v>
      </c>
      <c r="AS439" s="188" t="s">
        <v>9154</v>
      </c>
      <c r="AT439" s="189" t="s">
        <v>433</v>
      </c>
      <c r="AU439" s="190" t="s">
        <v>9155</v>
      </c>
      <c r="AV439" s="191" t="s">
        <v>153</v>
      </c>
      <c r="AW439" s="192" t="s">
        <v>436</v>
      </c>
      <c r="AX439" s="193" t="s">
        <v>436</v>
      </c>
      <c r="AY439" s="194" t="s">
        <v>9156</v>
      </c>
      <c r="AZ439" s="195" t="s">
        <v>215</v>
      </c>
      <c r="BA439" s="196" t="s">
        <v>9154</v>
      </c>
      <c r="BB439" s="197" t="s">
        <v>9157</v>
      </c>
      <c r="BC439" s="198" t="s">
        <v>9158</v>
      </c>
      <c r="BD439" s="199" t="s">
        <v>216</v>
      </c>
      <c r="BE439" s="200" t="s">
        <v>217</v>
      </c>
      <c r="BF439" s="201" t="s">
        <v>9159</v>
      </c>
      <c r="BG439" s="202" t="s">
        <v>153</v>
      </c>
      <c r="BH439" s="203" t="s">
        <v>153</v>
      </c>
      <c r="BI439" s="204" t="s">
        <v>7575</v>
      </c>
      <c r="BJ439" s="205" t="s">
        <v>9160</v>
      </c>
      <c r="BK439" s="206" t="s">
        <v>9161</v>
      </c>
      <c r="BL439" s="207" t="s">
        <v>153</v>
      </c>
      <c r="BM439" s="208" t="s">
        <v>9162</v>
      </c>
      <c r="BN439" s="209" t="s">
        <v>9163</v>
      </c>
      <c r="BO439" s="210" t="s">
        <v>153</v>
      </c>
      <c r="BP439" s="211" t="s">
        <v>9164</v>
      </c>
      <c r="BQ439" s="212">
        <v>38205</v>
      </c>
      <c r="BR439" s="213">
        <v>980</v>
      </c>
      <c r="BS439" s="214" t="s">
        <v>186</v>
      </c>
      <c r="BT439" s="215">
        <v>1633.33</v>
      </c>
      <c r="BU439" s="216" t="s">
        <v>186</v>
      </c>
      <c r="BV439" s="217" t="s">
        <v>188</v>
      </c>
      <c r="BW439" s="218" t="s">
        <v>153</v>
      </c>
      <c r="BX439" s="219" t="s">
        <v>153</v>
      </c>
      <c r="BY439" s="220" t="s">
        <v>165</v>
      </c>
      <c r="BZ439" s="221" t="s">
        <v>153</v>
      </c>
      <c r="CA439" s="222" t="s">
        <v>394</v>
      </c>
      <c r="CB439" s="223">
        <v>39682</v>
      </c>
      <c r="CC439" s="224">
        <v>9438</v>
      </c>
      <c r="CD439" s="225" t="s">
        <v>186</v>
      </c>
      <c r="CE439" s="226">
        <v>9630.61</v>
      </c>
      <c r="CF439" s="227" t="s">
        <v>187</v>
      </c>
      <c r="CG439" s="228" t="s">
        <v>226</v>
      </c>
      <c r="CH439" s="229" t="s">
        <v>153</v>
      </c>
      <c r="CI439" s="230" t="s">
        <v>153</v>
      </c>
      <c r="CJ439" s="231" t="s">
        <v>225</v>
      </c>
      <c r="CK439" s="232">
        <v>39682</v>
      </c>
      <c r="CL439" s="233" t="s">
        <v>153</v>
      </c>
      <c r="CM439" s="234" t="s">
        <v>153</v>
      </c>
      <c r="CN439" s="235" t="s">
        <v>190</v>
      </c>
      <c r="CO439" s="236" t="s">
        <v>153</v>
      </c>
      <c r="CP439" s="237" t="s">
        <v>153</v>
      </c>
      <c r="CQ439" s="238" t="s">
        <v>153</v>
      </c>
      <c r="CR439" s="239" t="s">
        <v>153</v>
      </c>
      <c r="CS439" s="240" t="s">
        <v>153</v>
      </c>
      <c r="CT439" s="241" t="s">
        <v>153</v>
      </c>
      <c r="CU439" s="242" t="s">
        <v>153</v>
      </c>
      <c r="CV439" s="243" t="s">
        <v>153</v>
      </c>
      <c r="CW439" s="244" t="s">
        <v>153</v>
      </c>
      <c r="CX439" s="245" t="s">
        <v>153</v>
      </c>
      <c r="CY439" s="246" t="s">
        <v>153</v>
      </c>
      <c r="CZ439" s="247" t="s">
        <v>153</v>
      </c>
      <c r="DA439" s="248" t="s">
        <v>153</v>
      </c>
      <c r="DB439" s="249" t="s">
        <v>153</v>
      </c>
      <c r="DC439" s="250" t="s">
        <v>153</v>
      </c>
      <c r="DD439" s="251" t="s">
        <v>153</v>
      </c>
      <c r="DE439" s="252" t="s">
        <v>153</v>
      </c>
      <c r="DF439" s="253" t="s">
        <v>153</v>
      </c>
      <c r="DG439" s="254" t="s">
        <v>153</v>
      </c>
      <c r="DH439" s="255" t="s">
        <v>153</v>
      </c>
      <c r="DI439" s="256" t="s">
        <v>153</v>
      </c>
      <c r="DJ439" s="257" t="s">
        <v>153</v>
      </c>
      <c r="DK439" s="258" t="s">
        <v>153</v>
      </c>
      <c r="DL439" s="259" t="s">
        <v>153</v>
      </c>
      <c r="DM439" s="260" t="s">
        <v>153</v>
      </c>
      <c r="DN439" s="261" t="s">
        <v>153</v>
      </c>
      <c r="DO439" s="262" t="s">
        <v>153</v>
      </c>
      <c r="DP439" s="263" t="s">
        <v>153</v>
      </c>
      <c r="DQ439" s="264" t="s">
        <v>153</v>
      </c>
      <c r="DR439" s="265" t="s">
        <v>153</v>
      </c>
      <c r="DS439" s="266" t="s">
        <v>153</v>
      </c>
      <c r="DT439" s="267" t="s">
        <v>153</v>
      </c>
      <c r="DU439" s="268" t="s">
        <v>153</v>
      </c>
      <c r="DV439" s="269" t="s">
        <v>153</v>
      </c>
      <c r="DW439" s="270" t="s">
        <v>153</v>
      </c>
      <c r="DX439" s="271" t="s">
        <v>153</v>
      </c>
      <c r="DY439" s="272" t="s">
        <v>153</v>
      </c>
      <c r="DZ439" s="273" t="s">
        <v>191</v>
      </c>
      <c r="EA439" s="274">
        <v>44402</v>
      </c>
      <c r="EB439" s="275">
        <v>9630.61</v>
      </c>
      <c r="EC439" s="276">
        <v>39682</v>
      </c>
      <c r="ED439" s="277" t="s">
        <v>226</v>
      </c>
      <c r="EE439" s="279" t="str">
        <f>HYPERLINK("https://my.pitchbook.com?c=11727-19", "View company online")</f>
        <v>View company online</v>
      </c>
    </row>
    <row r="440" spans="1:135" x14ac:dyDescent="0.45">
      <c r="A440" s="10" t="s">
        <v>9165</v>
      </c>
      <c r="B440" s="11" t="s">
        <v>9166</v>
      </c>
      <c r="C440" s="12" t="s">
        <v>153</v>
      </c>
      <c r="D440" s="13" t="s">
        <v>153</v>
      </c>
      <c r="E440" s="14" t="s">
        <v>153</v>
      </c>
      <c r="F440" s="15" t="s">
        <v>9167</v>
      </c>
      <c r="G440" s="16" t="s">
        <v>153</v>
      </c>
      <c r="H440" s="17" t="s">
        <v>153</v>
      </c>
      <c r="I440" s="18" t="s">
        <v>9165</v>
      </c>
      <c r="J440" s="19" t="s">
        <v>9168</v>
      </c>
      <c r="K440" s="20" t="s">
        <v>792</v>
      </c>
      <c r="L440" s="21" t="s">
        <v>1516</v>
      </c>
      <c r="M440" s="22" t="s">
        <v>1516</v>
      </c>
      <c r="N440" s="23" t="s">
        <v>9169</v>
      </c>
      <c r="O440" s="24" t="s">
        <v>796</v>
      </c>
      <c r="P440" s="25" t="s">
        <v>9170</v>
      </c>
      <c r="Q440" s="26" t="s">
        <v>204</v>
      </c>
      <c r="R440" s="27" t="s">
        <v>153</v>
      </c>
      <c r="S440" s="28" t="s">
        <v>153</v>
      </c>
      <c r="T440" s="29" t="s">
        <v>205</v>
      </c>
      <c r="U440" s="30" t="s">
        <v>206</v>
      </c>
      <c r="V440" s="31" t="s">
        <v>153</v>
      </c>
      <c r="W440" s="32" t="s">
        <v>153</v>
      </c>
      <c r="X440" s="33" t="s">
        <v>153</v>
      </c>
      <c r="Y440" s="34" t="s">
        <v>153</v>
      </c>
      <c r="Z440" s="35" t="s">
        <v>153</v>
      </c>
      <c r="AA440" s="36" t="s">
        <v>153</v>
      </c>
      <c r="AB440" s="37" t="s">
        <v>153</v>
      </c>
      <c r="AC440" s="38" t="s">
        <v>153</v>
      </c>
      <c r="AD440" s="39" t="s">
        <v>153</v>
      </c>
      <c r="AE440" s="40" t="s">
        <v>153</v>
      </c>
      <c r="AF440" s="41" t="s">
        <v>153</v>
      </c>
      <c r="AG440" s="42" t="s">
        <v>153</v>
      </c>
      <c r="AH440" s="43" t="s">
        <v>153</v>
      </c>
      <c r="AI440" s="44" t="s">
        <v>153</v>
      </c>
      <c r="AJ440" s="45" t="s">
        <v>153</v>
      </c>
      <c r="AK440" s="46" t="s">
        <v>153</v>
      </c>
      <c r="AL440" s="47" t="s">
        <v>153</v>
      </c>
      <c r="AM440" s="48" t="s">
        <v>153</v>
      </c>
      <c r="AN440" s="49" t="s">
        <v>153</v>
      </c>
      <c r="AO440" s="50" t="s">
        <v>153</v>
      </c>
      <c r="AP440" s="51" t="s">
        <v>153</v>
      </c>
      <c r="AQ440" s="52" t="s">
        <v>153</v>
      </c>
      <c r="AR440" s="53" t="s">
        <v>153</v>
      </c>
      <c r="AS440" s="54" t="s">
        <v>153</v>
      </c>
      <c r="AT440" s="55" t="s">
        <v>1358</v>
      </c>
      <c r="AU440" s="56" t="s">
        <v>153</v>
      </c>
      <c r="AV440" s="57" t="s">
        <v>153</v>
      </c>
      <c r="AW440" s="58" t="s">
        <v>153</v>
      </c>
      <c r="AX440" s="59" t="s">
        <v>3423</v>
      </c>
      <c r="AY440" s="60" t="s">
        <v>153</v>
      </c>
      <c r="AZ440" s="61" t="s">
        <v>1358</v>
      </c>
      <c r="BA440" s="62" t="s">
        <v>153</v>
      </c>
      <c r="BB440" s="63" t="s">
        <v>153</v>
      </c>
      <c r="BC440" s="64" t="s">
        <v>153</v>
      </c>
      <c r="BD440" s="65" t="s">
        <v>216</v>
      </c>
      <c r="BE440" s="66" t="s">
        <v>217</v>
      </c>
      <c r="BF440" s="67" t="s">
        <v>9171</v>
      </c>
      <c r="BG440" s="68" t="s">
        <v>9172</v>
      </c>
      <c r="BH440" s="69">
        <v>2</v>
      </c>
      <c r="BI440" s="70" t="s">
        <v>9173</v>
      </c>
      <c r="BJ440" s="71" t="s">
        <v>9174</v>
      </c>
      <c r="BK440" s="72" t="s">
        <v>153</v>
      </c>
      <c r="BL440" s="73" t="s">
        <v>9175</v>
      </c>
      <c r="BM440" s="74" t="s">
        <v>153</v>
      </c>
      <c r="BN440" s="75" t="s">
        <v>153</v>
      </c>
      <c r="BO440" s="76" t="s">
        <v>153</v>
      </c>
      <c r="BP440" s="77" t="s">
        <v>9176</v>
      </c>
      <c r="BQ440" s="78">
        <v>37622</v>
      </c>
      <c r="BR440" s="79" t="s">
        <v>153</v>
      </c>
      <c r="BS440" s="80" t="s">
        <v>153</v>
      </c>
      <c r="BT440" s="81" t="s">
        <v>153</v>
      </c>
      <c r="BU440" s="82" t="s">
        <v>153</v>
      </c>
      <c r="BV440" s="83" t="s">
        <v>224</v>
      </c>
      <c r="BW440" s="84" t="s">
        <v>153</v>
      </c>
      <c r="BX440" s="85" t="s">
        <v>153</v>
      </c>
      <c r="BY440" s="86" t="s">
        <v>321</v>
      </c>
      <c r="BZ440" s="87" t="s">
        <v>153</v>
      </c>
      <c r="CA440" s="88" t="s">
        <v>190</v>
      </c>
      <c r="CB440" s="89">
        <v>42886</v>
      </c>
      <c r="CC440" s="90">
        <v>9370.77</v>
      </c>
      <c r="CD440" s="91" t="s">
        <v>186</v>
      </c>
      <c r="CE440" s="92">
        <v>13386.82</v>
      </c>
      <c r="CF440" s="93" t="s">
        <v>187</v>
      </c>
      <c r="CG440" s="94" t="s">
        <v>1524</v>
      </c>
      <c r="CH440" s="95" t="s">
        <v>1525</v>
      </c>
      <c r="CI440" s="96" t="s">
        <v>1526</v>
      </c>
      <c r="CJ440" s="97" t="s">
        <v>225</v>
      </c>
      <c r="CK440" s="98">
        <v>42886</v>
      </c>
      <c r="CL440" s="99" t="s">
        <v>153</v>
      </c>
      <c r="CM440" s="100" t="s">
        <v>321</v>
      </c>
      <c r="CN440" s="101" t="s">
        <v>190</v>
      </c>
      <c r="CO440" s="102" t="s">
        <v>153</v>
      </c>
      <c r="CP440" s="103" t="s">
        <v>153</v>
      </c>
      <c r="CQ440" s="104" t="s">
        <v>153</v>
      </c>
      <c r="CR440" s="105" t="s">
        <v>153</v>
      </c>
      <c r="CS440" s="106" t="s">
        <v>153</v>
      </c>
      <c r="CT440" s="107" t="s">
        <v>153</v>
      </c>
      <c r="CU440" s="108" t="s">
        <v>153</v>
      </c>
      <c r="CV440" s="109" t="s">
        <v>153</v>
      </c>
      <c r="CW440" s="110" t="s">
        <v>153</v>
      </c>
      <c r="CX440" s="111" t="s">
        <v>153</v>
      </c>
      <c r="CY440" s="112" t="s">
        <v>153</v>
      </c>
      <c r="CZ440" s="113" t="s">
        <v>153</v>
      </c>
      <c r="DA440" s="114" t="s">
        <v>153</v>
      </c>
      <c r="DB440" s="115" t="s">
        <v>153</v>
      </c>
      <c r="DC440" s="116" t="s">
        <v>153</v>
      </c>
      <c r="DD440" s="117" t="s">
        <v>153</v>
      </c>
      <c r="DE440" s="118" t="s">
        <v>153</v>
      </c>
      <c r="DF440" s="119" t="s">
        <v>153</v>
      </c>
      <c r="DG440" s="120" t="s">
        <v>153</v>
      </c>
      <c r="DH440" s="121" t="s">
        <v>153</v>
      </c>
      <c r="DI440" s="122" t="s">
        <v>153</v>
      </c>
      <c r="DJ440" s="123" t="s">
        <v>153</v>
      </c>
      <c r="DK440" s="124" t="s">
        <v>153</v>
      </c>
      <c r="DL440" s="125" t="s">
        <v>153</v>
      </c>
      <c r="DM440" s="126" t="s">
        <v>153</v>
      </c>
      <c r="DN440" s="127" t="s">
        <v>153</v>
      </c>
      <c r="DO440" s="128" t="s">
        <v>153</v>
      </c>
      <c r="DP440" s="129" t="s">
        <v>153</v>
      </c>
      <c r="DQ440" s="130" t="s">
        <v>153</v>
      </c>
      <c r="DR440" s="131" t="s">
        <v>153</v>
      </c>
      <c r="DS440" s="132" t="s">
        <v>153</v>
      </c>
      <c r="DT440" s="133" t="s">
        <v>153</v>
      </c>
      <c r="DU440" s="134" t="s">
        <v>153</v>
      </c>
      <c r="DV440" s="135" t="s">
        <v>153</v>
      </c>
      <c r="DW440" s="136" t="s">
        <v>153</v>
      </c>
      <c r="DX440" s="137" t="s">
        <v>153</v>
      </c>
      <c r="DY440" s="138" t="s">
        <v>153</v>
      </c>
      <c r="DZ440" s="139" t="s">
        <v>191</v>
      </c>
      <c r="EA440" s="140">
        <v>44376</v>
      </c>
      <c r="EB440" s="141">
        <v>13386.82</v>
      </c>
      <c r="EC440" s="142">
        <v>42886</v>
      </c>
      <c r="ED440" s="143" t="s">
        <v>1524</v>
      </c>
      <c r="EE440" s="278" t="str">
        <f>HYPERLINK("https://my.pitchbook.com?c=175863-88", "View company online")</f>
        <v>View company online</v>
      </c>
    </row>
    <row r="441" spans="1:135" x14ac:dyDescent="0.45">
      <c r="A441" s="144" t="s">
        <v>9177</v>
      </c>
      <c r="B441" s="145" t="s">
        <v>9178</v>
      </c>
      <c r="C441" s="146" t="s">
        <v>153</v>
      </c>
      <c r="D441" s="147" t="s">
        <v>153</v>
      </c>
      <c r="E441" s="148" t="s">
        <v>9179</v>
      </c>
      <c r="F441" s="149" t="s">
        <v>9180</v>
      </c>
      <c r="G441" s="150" t="s">
        <v>9181</v>
      </c>
      <c r="H441" s="151" t="s">
        <v>9182</v>
      </c>
      <c r="I441" s="152" t="s">
        <v>9177</v>
      </c>
      <c r="J441" s="153" t="s">
        <v>9183</v>
      </c>
      <c r="K441" s="154" t="s">
        <v>559</v>
      </c>
      <c r="L441" s="155" t="s">
        <v>3022</v>
      </c>
      <c r="M441" s="156" t="s">
        <v>3197</v>
      </c>
      <c r="N441" s="157" t="s">
        <v>9184</v>
      </c>
      <c r="O441" s="158" t="s">
        <v>153</v>
      </c>
      <c r="P441" s="159" t="s">
        <v>9185</v>
      </c>
      <c r="Q441" s="160" t="s">
        <v>204</v>
      </c>
      <c r="R441" s="161" t="s">
        <v>153</v>
      </c>
      <c r="S441" s="162" t="s">
        <v>290</v>
      </c>
      <c r="T441" s="163" t="s">
        <v>205</v>
      </c>
      <c r="U441" s="164" t="s">
        <v>369</v>
      </c>
      <c r="V441" s="165" t="s">
        <v>9186</v>
      </c>
      <c r="W441" s="166">
        <v>5268</v>
      </c>
      <c r="X441" s="167" t="s">
        <v>9187</v>
      </c>
      <c r="Y441" s="168" t="s">
        <v>153</v>
      </c>
      <c r="Z441" s="169" t="s">
        <v>153</v>
      </c>
      <c r="AA441" s="170">
        <v>1988</v>
      </c>
      <c r="AB441" s="171" t="s">
        <v>153</v>
      </c>
      <c r="AC441" s="172" t="s">
        <v>153</v>
      </c>
      <c r="AD441" s="173" t="s">
        <v>153</v>
      </c>
      <c r="AE441" s="174" t="s">
        <v>153</v>
      </c>
      <c r="AF441" s="175" t="s">
        <v>153</v>
      </c>
      <c r="AG441" s="176" t="s">
        <v>153</v>
      </c>
      <c r="AH441" s="177" t="s">
        <v>153</v>
      </c>
      <c r="AI441" s="178" t="s">
        <v>153</v>
      </c>
      <c r="AJ441" s="179" t="s">
        <v>153</v>
      </c>
      <c r="AK441" s="180" t="s">
        <v>153</v>
      </c>
      <c r="AL441" s="181" t="s">
        <v>153</v>
      </c>
      <c r="AM441" s="182" t="s">
        <v>153</v>
      </c>
      <c r="AN441" s="183" t="s">
        <v>1442</v>
      </c>
      <c r="AO441" s="184" t="s">
        <v>153</v>
      </c>
      <c r="AP441" s="185" t="s">
        <v>153</v>
      </c>
      <c r="AQ441" s="186" t="s">
        <v>153</v>
      </c>
      <c r="AR441" s="187" t="s">
        <v>153</v>
      </c>
      <c r="AS441" s="188" t="s">
        <v>153</v>
      </c>
      <c r="AT441" s="189" t="s">
        <v>2998</v>
      </c>
      <c r="AU441" s="190" t="s">
        <v>9188</v>
      </c>
      <c r="AV441" s="191" t="s">
        <v>9189</v>
      </c>
      <c r="AW441" s="192" t="s">
        <v>3000</v>
      </c>
      <c r="AX441" s="193" t="s">
        <v>9190</v>
      </c>
      <c r="AY441" s="194" t="s">
        <v>9191</v>
      </c>
      <c r="AZ441" s="195" t="s">
        <v>3002</v>
      </c>
      <c r="BA441" s="196" t="s">
        <v>9192</v>
      </c>
      <c r="BB441" s="197" t="s">
        <v>153</v>
      </c>
      <c r="BC441" s="198" t="s">
        <v>153</v>
      </c>
      <c r="BD441" s="199" t="s">
        <v>216</v>
      </c>
      <c r="BE441" s="200" t="s">
        <v>3004</v>
      </c>
      <c r="BF441" s="201" t="s">
        <v>9193</v>
      </c>
      <c r="BG441" s="202" t="s">
        <v>153</v>
      </c>
      <c r="BH441" s="203" t="s">
        <v>153</v>
      </c>
      <c r="BI441" s="204" t="s">
        <v>9194</v>
      </c>
      <c r="BJ441" s="205" t="s">
        <v>9195</v>
      </c>
      <c r="BK441" s="206" t="s">
        <v>9196</v>
      </c>
      <c r="BL441" s="207" t="s">
        <v>153</v>
      </c>
      <c r="BM441" s="208" t="s">
        <v>9197</v>
      </c>
      <c r="BN441" s="209" t="s">
        <v>9198</v>
      </c>
      <c r="BO441" s="210" t="s">
        <v>9199</v>
      </c>
      <c r="BP441" s="211" t="s">
        <v>9200</v>
      </c>
      <c r="BQ441" s="212">
        <v>36630</v>
      </c>
      <c r="BR441" s="213" t="s">
        <v>153</v>
      </c>
      <c r="BS441" s="214" t="s">
        <v>153</v>
      </c>
      <c r="BT441" s="215" t="s">
        <v>153</v>
      </c>
      <c r="BU441" s="216" t="s">
        <v>153</v>
      </c>
      <c r="BV441" s="217" t="s">
        <v>251</v>
      </c>
      <c r="BW441" s="218" t="s">
        <v>153</v>
      </c>
      <c r="BX441" s="219" t="s">
        <v>153</v>
      </c>
      <c r="BY441" s="220" t="s">
        <v>252</v>
      </c>
      <c r="BZ441" s="221" t="s">
        <v>153</v>
      </c>
      <c r="CA441" s="222" t="s">
        <v>190</v>
      </c>
      <c r="CB441" s="223">
        <v>43479</v>
      </c>
      <c r="CC441" s="224">
        <v>9358.43</v>
      </c>
      <c r="CD441" s="225" t="s">
        <v>186</v>
      </c>
      <c r="CE441" s="226">
        <v>15997.32</v>
      </c>
      <c r="CF441" s="227" t="s">
        <v>187</v>
      </c>
      <c r="CG441" s="228" t="s">
        <v>226</v>
      </c>
      <c r="CH441" s="229" t="s">
        <v>153</v>
      </c>
      <c r="CI441" s="230" t="s">
        <v>153</v>
      </c>
      <c r="CJ441" s="231" t="s">
        <v>225</v>
      </c>
      <c r="CK441" s="232">
        <v>43479</v>
      </c>
      <c r="CL441" s="233" t="s">
        <v>153</v>
      </c>
      <c r="CM441" s="234" t="s">
        <v>153</v>
      </c>
      <c r="CN441" s="235" t="s">
        <v>190</v>
      </c>
      <c r="CO441" s="236" t="s">
        <v>153</v>
      </c>
      <c r="CP441" s="237" t="s">
        <v>153</v>
      </c>
      <c r="CQ441" s="238" t="s">
        <v>153</v>
      </c>
      <c r="CR441" s="239" t="s">
        <v>153</v>
      </c>
      <c r="CS441" s="240" t="s">
        <v>153</v>
      </c>
      <c r="CT441" s="241" t="s">
        <v>153</v>
      </c>
      <c r="CU441" s="242" t="s">
        <v>153</v>
      </c>
      <c r="CV441" s="243" t="s">
        <v>153</v>
      </c>
      <c r="CW441" s="244" t="s">
        <v>153</v>
      </c>
      <c r="CX441" s="245" t="s">
        <v>153</v>
      </c>
      <c r="CY441" s="246" t="s">
        <v>153</v>
      </c>
      <c r="CZ441" s="247" t="s">
        <v>153</v>
      </c>
      <c r="DA441" s="248" t="s">
        <v>153</v>
      </c>
      <c r="DB441" s="249" t="s">
        <v>153</v>
      </c>
      <c r="DC441" s="250" t="s">
        <v>153</v>
      </c>
      <c r="DD441" s="251" t="s">
        <v>153</v>
      </c>
      <c r="DE441" s="252" t="s">
        <v>153</v>
      </c>
      <c r="DF441" s="253" t="s">
        <v>153</v>
      </c>
      <c r="DG441" s="254" t="s">
        <v>153</v>
      </c>
      <c r="DH441" s="255" t="s">
        <v>153</v>
      </c>
      <c r="DI441" s="256" t="s">
        <v>153</v>
      </c>
      <c r="DJ441" s="257" t="s">
        <v>153</v>
      </c>
      <c r="DK441" s="258" t="s">
        <v>153</v>
      </c>
      <c r="DL441" s="259" t="s">
        <v>153</v>
      </c>
      <c r="DM441" s="260" t="s">
        <v>153</v>
      </c>
      <c r="DN441" s="261" t="s">
        <v>153</v>
      </c>
      <c r="DO441" s="262" t="s">
        <v>153</v>
      </c>
      <c r="DP441" s="263" t="s">
        <v>153</v>
      </c>
      <c r="DQ441" s="264" t="s">
        <v>153</v>
      </c>
      <c r="DR441" s="265" t="s">
        <v>153</v>
      </c>
      <c r="DS441" s="266" t="s">
        <v>153</v>
      </c>
      <c r="DT441" s="267" t="s">
        <v>153</v>
      </c>
      <c r="DU441" s="268" t="s">
        <v>153</v>
      </c>
      <c r="DV441" s="269" t="s">
        <v>153</v>
      </c>
      <c r="DW441" s="270" t="s">
        <v>153</v>
      </c>
      <c r="DX441" s="271" t="s">
        <v>153</v>
      </c>
      <c r="DY441" s="272" t="s">
        <v>153</v>
      </c>
      <c r="DZ441" s="273" t="s">
        <v>191</v>
      </c>
      <c r="EA441" s="274">
        <v>44340</v>
      </c>
      <c r="EB441" s="275">
        <v>15997.32</v>
      </c>
      <c r="EC441" s="276">
        <v>43479</v>
      </c>
      <c r="ED441" s="277" t="s">
        <v>226</v>
      </c>
      <c r="EE441" s="279" t="str">
        <f>HYPERLINK("https://my.pitchbook.com?c=41514-76", "View company online")</f>
        <v>View company online</v>
      </c>
    </row>
    <row r="442" spans="1:135" x14ac:dyDescent="0.45">
      <c r="A442" s="10" t="s">
        <v>9201</v>
      </c>
      <c r="B442" s="11" t="s">
        <v>9202</v>
      </c>
      <c r="C442" s="12" t="s">
        <v>153</v>
      </c>
      <c r="D442" s="13" t="s">
        <v>153</v>
      </c>
      <c r="E442" s="14" t="s">
        <v>9203</v>
      </c>
      <c r="F442" s="15" t="s">
        <v>9204</v>
      </c>
      <c r="G442" s="16" t="s">
        <v>9205</v>
      </c>
      <c r="H442" s="17" t="s">
        <v>153</v>
      </c>
      <c r="I442" s="18" t="s">
        <v>9201</v>
      </c>
      <c r="J442" s="19" t="s">
        <v>9206</v>
      </c>
      <c r="K442" s="20" t="s">
        <v>792</v>
      </c>
      <c r="L442" s="21" t="s">
        <v>793</v>
      </c>
      <c r="M442" s="22" t="s">
        <v>1534</v>
      </c>
      <c r="N442" s="23" t="s">
        <v>9207</v>
      </c>
      <c r="O442" s="24" t="s">
        <v>1119</v>
      </c>
      <c r="P442" s="25" t="s">
        <v>9208</v>
      </c>
      <c r="Q442" s="26" t="s">
        <v>367</v>
      </c>
      <c r="R442" s="27">
        <v>1119</v>
      </c>
      <c r="S442" s="28" t="s">
        <v>290</v>
      </c>
      <c r="T442" s="29" t="s">
        <v>291</v>
      </c>
      <c r="U442" s="30" t="s">
        <v>237</v>
      </c>
      <c r="V442" s="31" t="s">
        <v>9209</v>
      </c>
      <c r="W442" s="32">
        <v>16000</v>
      </c>
      <c r="X442" s="33" t="s">
        <v>9210</v>
      </c>
      <c r="Y442" s="34" t="s">
        <v>4435</v>
      </c>
      <c r="Z442" s="35" t="s">
        <v>9204</v>
      </c>
      <c r="AA442" s="36">
        <v>2000</v>
      </c>
      <c r="AB442" s="37" t="s">
        <v>153</v>
      </c>
      <c r="AC442" s="38" t="s">
        <v>153</v>
      </c>
      <c r="AD442" s="39" t="s">
        <v>153</v>
      </c>
      <c r="AE442" s="40">
        <v>1739.08</v>
      </c>
      <c r="AF442" s="41" t="s">
        <v>153</v>
      </c>
      <c r="AG442" s="42">
        <v>89.66</v>
      </c>
      <c r="AH442" s="43">
        <v>15826.78</v>
      </c>
      <c r="AI442" s="44">
        <v>949.96</v>
      </c>
      <c r="AJ442" s="45">
        <v>493.59</v>
      </c>
      <c r="AK442" s="46">
        <v>8350.69</v>
      </c>
      <c r="AL442" s="47">
        <v>7072.58</v>
      </c>
      <c r="AM442" s="48">
        <v>1.63</v>
      </c>
      <c r="AN442" s="49" t="s">
        <v>299</v>
      </c>
      <c r="AO442" s="50" t="s">
        <v>9211</v>
      </c>
      <c r="AP442" s="51" t="s">
        <v>9212</v>
      </c>
      <c r="AQ442" s="52" t="s">
        <v>512</v>
      </c>
      <c r="AR442" s="53" t="s">
        <v>9213</v>
      </c>
      <c r="AS442" s="54" t="s">
        <v>9214</v>
      </c>
      <c r="AT442" s="55" t="s">
        <v>2540</v>
      </c>
      <c r="AU442" s="56" t="s">
        <v>9215</v>
      </c>
      <c r="AV442" s="57" t="s">
        <v>9216</v>
      </c>
      <c r="AW442" s="58" t="s">
        <v>2543</v>
      </c>
      <c r="AX442" s="59" t="s">
        <v>2544</v>
      </c>
      <c r="AY442" s="60" t="s">
        <v>9217</v>
      </c>
      <c r="AZ442" s="61" t="s">
        <v>2546</v>
      </c>
      <c r="BA442" s="62" t="s">
        <v>9218</v>
      </c>
      <c r="BB442" s="63" t="s">
        <v>9219</v>
      </c>
      <c r="BC442" s="64" t="s">
        <v>9220</v>
      </c>
      <c r="BD442" s="65" t="s">
        <v>2547</v>
      </c>
      <c r="BE442" s="66" t="s">
        <v>2547</v>
      </c>
      <c r="BF442" s="67" t="s">
        <v>9221</v>
      </c>
      <c r="BG442" s="68" t="s">
        <v>9222</v>
      </c>
      <c r="BH442" s="69">
        <v>1</v>
      </c>
      <c r="BI442" s="70" t="s">
        <v>153</v>
      </c>
      <c r="BJ442" s="71" t="s">
        <v>153</v>
      </c>
      <c r="BK442" s="72" t="s">
        <v>9223</v>
      </c>
      <c r="BL442" s="73" t="s">
        <v>9224</v>
      </c>
      <c r="BM442" s="74" t="s">
        <v>153</v>
      </c>
      <c r="BN442" s="75" t="s">
        <v>9225</v>
      </c>
      <c r="BO442" s="76" t="s">
        <v>153</v>
      </c>
      <c r="BP442" s="77" t="s">
        <v>9226</v>
      </c>
      <c r="BQ442" s="78">
        <v>36689</v>
      </c>
      <c r="BR442" s="79" t="s">
        <v>153</v>
      </c>
      <c r="BS442" s="80" t="s">
        <v>153</v>
      </c>
      <c r="BT442" s="81" t="s">
        <v>153</v>
      </c>
      <c r="BU442" s="82" t="s">
        <v>153</v>
      </c>
      <c r="BV442" s="83" t="s">
        <v>251</v>
      </c>
      <c r="BW442" s="84" t="s">
        <v>153</v>
      </c>
      <c r="BX442" s="85" t="s">
        <v>153</v>
      </c>
      <c r="BY442" s="86" t="s">
        <v>252</v>
      </c>
      <c r="BZ442" s="87" t="s">
        <v>153</v>
      </c>
      <c r="CA442" s="88" t="s">
        <v>190</v>
      </c>
      <c r="CB442" s="89">
        <v>43426</v>
      </c>
      <c r="CC442" s="90">
        <v>9348.9500000000007</v>
      </c>
      <c r="CD442" s="91" t="s">
        <v>187</v>
      </c>
      <c r="CE442" s="92">
        <v>9348.9500000000007</v>
      </c>
      <c r="CF442" s="93" t="s">
        <v>187</v>
      </c>
      <c r="CG442" s="94" t="s">
        <v>226</v>
      </c>
      <c r="CH442" s="95" t="s">
        <v>153</v>
      </c>
      <c r="CI442" s="96" t="s">
        <v>153</v>
      </c>
      <c r="CJ442" s="97" t="s">
        <v>225</v>
      </c>
      <c r="CK442" s="98">
        <v>43426</v>
      </c>
      <c r="CL442" s="99" t="s">
        <v>153</v>
      </c>
      <c r="CM442" s="100" t="s">
        <v>153</v>
      </c>
      <c r="CN442" s="101" t="s">
        <v>394</v>
      </c>
      <c r="CO442" s="102">
        <v>0.24</v>
      </c>
      <c r="CP442" s="103">
        <v>91</v>
      </c>
      <c r="CQ442" s="104">
        <v>-0.05</v>
      </c>
      <c r="CR442" s="105">
        <v>-18.329999999999998</v>
      </c>
      <c r="CS442" s="106">
        <v>0.48</v>
      </c>
      <c r="CT442" s="107">
        <v>93</v>
      </c>
      <c r="CU442" s="108">
        <v>0</v>
      </c>
      <c r="CV442" s="109">
        <v>41</v>
      </c>
      <c r="CW442" s="110" t="s">
        <v>153</v>
      </c>
      <c r="CX442" s="111" t="s">
        <v>153</v>
      </c>
      <c r="CY442" s="112">
        <v>0.48</v>
      </c>
      <c r="CZ442" s="113">
        <v>94</v>
      </c>
      <c r="DA442" s="114">
        <v>0</v>
      </c>
      <c r="DB442" s="115">
        <v>41</v>
      </c>
      <c r="DC442" s="116">
        <v>15.98</v>
      </c>
      <c r="DD442" s="117">
        <v>95</v>
      </c>
      <c r="DE442" s="118">
        <v>0.09</v>
      </c>
      <c r="DF442" s="119">
        <v>0.59</v>
      </c>
      <c r="DG442" s="120">
        <v>31.81</v>
      </c>
      <c r="DH442" s="121">
        <v>97</v>
      </c>
      <c r="DI442" s="122">
        <v>0.15</v>
      </c>
      <c r="DJ442" s="123">
        <v>21</v>
      </c>
      <c r="DK442" s="124" t="s">
        <v>153</v>
      </c>
      <c r="DL442" s="125" t="s">
        <v>153</v>
      </c>
      <c r="DM442" s="126">
        <v>31.81</v>
      </c>
      <c r="DN442" s="127">
        <v>97</v>
      </c>
      <c r="DO442" s="128">
        <v>0.15</v>
      </c>
      <c r="DP442" s="129">
        <v>21</v>
      </c>
      <c r="DQ442" s="130" t="s">
        <v>153</v>
      </c>
      <c r="DR442" s="131" t="s">
        <v>153</v>
      </c>
      <c r="DS442" s="132" t="s">
        <v>153</v>
      </c>
      <c r="DT442" s="133">
        <v>508</v>
      </c>
      <c r="DU442" s="134">
        <v>3</v>
      </c>
      <c r="DV442" s="135">
        <v>0.59</v>
      </c>
      <c r="DW442" s="136">
        <v>46</v>
      </c>
      <c r="DX442" s="137">
        <v>0</v>
      </c>
      <c r="DY442" s="138">
        <v>0</v>
      </c>
      <c r="DZ442" s="139" t="s">
        <v>191</v>
      </c>
      <c r="EA442" s="140">
        <v>44257</v>
      </c>
      <c r="EB442" s="141">
        <v>9348.9500000000007</v>
      </c>
      <c r="EC442" s="142">
        <v>43426</v>
      </c>
      <c r="ED442" s="143" t="s">
        <v>226</v>
      </c>
      <c r="EE442" s="278" t="str">
        <f>HYPERLINK("https://my.pitchbook.com?c=60822-55", "View company online")</f>
        <v>View company online</v>
      </c>
    </row>
    <row r="443" spans="1:135" x14ac:dyDescent="0.45">
      <c r="A443" s="144" t="s">
        <v>9227</v>
      </c>
      <c r="B443" s="145" t="s">
        <v>9228</v>
      </c>
      <c r="C443" s="146" t="s">
        <v>153</v>
      </c>
      <c r="D443" s="147" t="s">
        <v>153</v>
      </c>
      <c r="E443" s="148" t="s">
        <v>153</v>
      </c>
      <c r="F443" s="149" t="s">
        <v>9229</v>
      </c>
      <c r="G443" s="150" t="s">
        <v>9230</v>
      </c>
      <c r="H443" s="151" t="s">
        <v>9231</v>
      </c>
      <c r="I443" s="152" t="s">
        <v>9227</v>
      </c>
      <c r="J443" s="153" t="s">
        <v>9232</v>
      </c>
      <c r="K443" s="154" t="s">
        <v>792</v>
      </c>
      <c r="L443" s="155" t="s">
        <v>793</v>
      </c>
      <c r="M443" s="156" t="s">
        <v>9233</v>
      </c>
      <c r="N443" s="157" t="s">
        <v>9234</v>
      </c>
      <c r="O443" s="158" t="s">
        <v>796</v>
      </c>
      <c r="P443" s="159" t="s">
        <v>9235</v>
      </c>
      <c r="Q443" s="160" t="s">
        <v>204</v>
      </c>
      <c r="R443" s="161">
        <v>1786.8</v>
      </c>
      <c r="S443" s="162" t="s">
        <v>290</v>
      </c>
      <c r="T443" s="163" t="s">
        <v>164</v>
      </c>
      <c r="U443" s="164" t="s">
        <v>2534</v>
      </c>
      <c r="V443" s="165" t="s">
        <v>9236</v>
      </c>
      <c r="W443" s="166">
        <v>2384</v>
      </c>
      <c r="X443" s="167" t="s">
        <v>9237</v>
      </c>
      <c r="Y443" s="168" t="s">
        <v>153</v>
      </c>
      <c r="Z443" s="169" t="s">
        <v>153</v>
      </c>
      <c r="AA443" s="170">
        <v>1993</v>
      </c>
      <c r="AB443" s="171" t="s">
        <v>9238</v>
      </c>
      <c r="AC443" s="172" t="s">
        <v>153</v>
      </c>
      <c r="AD443" s="173" t="s">
        <v>153</v>
      </c>
      <c r="AE443" s="174" t="s">
        <v>153</v>
      </c>
      <c r="AF443" s="175" t="s">
        <v>153</v>
      </c>
      <c r="AG443" s="176" t="s">
        <v>153</v>
      </c>
      <c r="AH443" s="177" t="s">
        <v>153</v>
      </c>
      <c r="AI443" s="178" t="s">
        <v>153</v>
      </c>
      <c r="AJ443" s="179" t="s">
        <v>153</v>
      </c>
      <c r="AK443" s="180" t="s">
        <v>153</v>
      </c>
      <c r="AL443" s="181" t="s">
        <v>153</v>
      </c>
      <c r="AM443" s="182" t="s">
        <v>153</v>
      </c>
      <c r="AN443" s="183" t="s">
        <v>2139</v>
      </c>
      <c r="AO443" s="184" t="s">
        <v>153</v>
      </c>
      <c r="AP443" s="185" t="s">
        <v>153</v>
      </c>
      <c r="AQ443" s="186" t="s">
        <v>153</v>
      </c>
      <c r="AR443" s="187" t="s">
        <v>153</v>
      </c>
      <c r="AS443" s="188" t="s">
        <v>153</v>
      </c>
      <c r="AT443" s="189" t="s">
        <v>1546</v>
      </c>
      <c r="AU443" s="190" t="s">
        <v>9239</v>
      </c>
      <c r="AV443" s="191" t="s">
        <v>153</v>
      </c>
      <c r="AW443" s="192" t="s">
        <v>1549</v>
      </c>
      <c r="AX443" s="193" t="s">
        <v>1550</v>
      </c>
      <c r="AY443" s="194" t="s">
        <v>9240</v>
      </c>
      <c r="AZ443" s="195" t="s">
        <v>215</v>
      </c>
      <c r="BA443" s="196" t="s">
        <v>153</v>
      </c>
      <c r="BB443" s="197" t="s">
        <v>153</v>
      </c>
      <c r="BC443" s="198" t="s">
        <v>153</v>
      </c>
      <c r="BD443" s="199" t="s">
        <v>216</v>
      </c>
      <c r="BE443" s="200" t="s">
        <v>217</v>
      </c>
      <c r="BF443" s="201" t="s">
        <v>9241</v>
      </c>
      <c r="BG443" s="202" t="s">
        <v>153</v>
      </c>
      <c r="BH443" s="203" t="s">
        <v>153</v>
      </c>
      <c r="BI443" s="204" t="s">
        <v>9238</v>
      </c>
      <c r="BJ443" s="205" t="s">
        <v>9242</v>
      </c>
      <c r="BK443" s="206" t="s">
        <v>153</v>
      </c>
      <c r="BL443" s="207" t="s">
        <v>153</v>
      </c>
      <c r="BM443" s="208" t="s">
        <v>9243</v>
      </c>
      <c r="BN443" s="209" t="s">
        <v>153</v>
      </c>
      <c r="BO443" s="210" t="s">
        <v>9244</v>
      </c>
      <c r="BP443" s="211" t="s">
        <v>9245</v>
      </c>
      <c r="BQ443" s="212">
        <v>34163</v>
      </c>
      <c r="BR443" s="213" t="s">
        <v>153</v>
      </c>
      <c r="BS443" s="214" t="s">
        <v>153</v>
      </c>
      <c r="BT443" s="215" t="s">
        <v>153</v>
      </c>
      <c r="BU443" s="216" t="s">
        <v>153</v>
      </c>
      <c r="BV443" s="217" t="s">
        <v>709</v>
      </c>
      <c r="BW443" s="218" t="s">
        <v>3593</v>
      </c>
      <c r="BX443" s="219" t="s">
        <v>153</v>
      </c>
      <c r="BY443" s="220" t="s">
        <v>165</v>
      </c>
      <c r="BZ443" s="221" t="s">
        <v>153</v>
      </c>
      <c r="CA443" s="222" t="s">
        <v>190</v>
      </c>
      <c r="CB443" s="223">
        <v>42916</v>
      </c>
      <c r="CC443" s="224">
        <v>9300</v>
      </c>
      <c r="CD443" s="225" t="s">
        <v>186</v>
      </c>
      <c r="CE443" s="226">
        <v>15816.32</v>
      </c>
      <c r="CF443" s="227" t="s">
        <v>187</v>
      </c>
      <c r="CG443" s="228" t="s">
        <v>226</v>
      </c>
      <c r="CH443" s="229" t="s">
        <v>153</v>
      </c>
      <c r="CI443" s="230" t="s">
        <v>153</v>
      </c>
      <c r="CJ443" s="231" t="s">
        <v>225</v>
      </c>
      <c r="CK443" s="232">
        <v>42916</v>
      </c>
      <c r="CL443" s="233" t="s">
        <v>153</v>
      </c>
      <c r="CM443" s="234" t="s">
        <v>153</v>
      </c>
      <c r="CN443" s="235" t="s">
        <v>190</v>
      </c>
      <c r="CO443" s="236">
        <v>-0.36</v>
      </c>
      <c r="CP443" s="237">
        <v>5</v>
      </c>
      <c r="CQ443" s="238">
        <v>0.36</v>
      </c>
      <c r="CR443" s="239">
        <v>50.01</v>
      </c>
      <c r="CS443" s="240">
        <v>-0.36</v>
      </c>
      <c r="CT443" s="241">
        <v>6</v>
      </c>
      <c r="CU443" s="242" t="s">
        <v>153</v>
      </c>
      <c r="CV443" s="243" t="s">
        <v>153</v>
      </c>
      <c r="CW443" s="244" t="s">
        <v>153</v>
      </c>
      <c r="CX443" s="245" t="s">
        <v>153</v>
      </c>
      <c r="CY443" s="246">
        <v>-0.36</v>
      </c>
      <c r="CZ443" s="247">
        <v>3</v>
      </c>
      <c r="DA443" s="248" t="s">
        <v>153</v>
      </c>
      <c r="DB443" s="249" t="s">
        <v>153</v>
      </c>
      <c r="DC443" s="250">
        <v>6.44</v>
      </c>
      <c r="DD443" s="251">
        <v>88</v>
      </c>
      <c r="DE443" s="252">
        <v>0.06</v>
      </c>
      <c r="DF443" s="253">
        <v>0.98</v>
      </c>
      <c r="DG443" s="254">
        <v>6.44</v>
      </c>
      <c r="DH443" s="255">
        <v>87</v>
      </c>
      <c r="DI443" s="256" t="s">
        <v>153</v>
      </c>
      <c r="DJ443" s="257" t="s">
        <v>153</v>
      </c>
      <c r="DK443" s="258" t="s">
        <v>153</v>
      </c>
      <c r="DL443" s="259" t="s">
        <v>153</v>
      </c>
      <c r="DM443" s="260">
        <v>6.44</v>
      </c>
      <c r="DN443" s="261">
        <v>86</v>
      </c>
      <c r="DO443" s="262" t="s">
        <v>153</v>
      </c>
      <c r="DP443" s="263" t="s">
        <v>153</v>
      </c>
      <c r="DQ443" s="264" t="s">
        <v>153</v>
      </c>
      <c r="DR443" s="265" t="s">
        <v>153</v>
      </c>
      <c r="DS443" s="266" t="s">
        <v>153</v>
      </c>
      <c r="DT443" s="267">
        <v>102</v>
      </c>
      <c r="DU443" s="268">
        <v>1</v>
      </c>
      <c r="DV443" s="269">
        <v>0.99</v>
      </c>
      <c r="DW443" s="270" t="s">
        <v>153</v>
      </c>
      <c r="DX443" s="271" t="s">
        <v>153</v>
      </c>
      <c r="DY443" s="272" t="s">
        <v>153</v>
      </c>
      <c r="DZ443" s="273" t="s">
        <v>191</v>
      </c>
      <c r="EA443" s="274">
        <v>44368</v>
      </c>
      <c r="EB443" s="275">
        <v>15816.32</v>
      </c>
      <c r="EC443" s="276">
        <v>42916</v>
      </c>
      <c r="ED443" s="277" t="s">
        <v>226</v>
      </c>
      <c r="EE443" s="279" t="str">
        <f>HYPERLINK("https://my.pitchbook.com?c=13177-99", "View company online")</f>
        <v>View company online</v>
      </c>
    </row>
    <row r="444" spans="1:135" x14ac:dyDescent="0.45">
      <c r="A444" s="10" t="s">
        <v>9246</v>
      </c>
      <c r="B444" s="11" t="s">
        <v>9247</v>
      </c>
      <c r="C444" s="12" t="s">
        <v>153</v>
      </c>
      <c r="D444" s="13" t="s">
        <v>153</v>
      </c>
      <c r="E444" s="14" t="s">
        <v>153</v>
      </c>
      <c r="F444" s="15" t="s">
        <v>153</v>
      </c>
      <c r="G444" s="16" t="s">
        <v>153</v>
      </c>
      <c r="H444" s="17" t="s">
        <v>153</v>
      </c>
      <c r="I444" s="18" t="s">
        <v>9246</v>
      </c>
      <c r="J444" s="19" t="s">
        <v>9248</v>
      </c>
      <c r="K444" s="20" t="s">
        <v>559</v>
      </c>
      <c r="L444" s="21" t="s">
        <v>560</v>
      </c>
      <c r="M444" s="22" t="s">
        <v>561</v>
      </c>
      <c r="N444" s="23" t="s">
        <v>8065</v>
      </c>
      <c r="O444" s="24" t="s">
        <v>9249</v>
      </c>
      <c r="P444" s="25" t="s">
        <v>9250</v>
      </c>
      <c r="Q444" s="26" t="s">
        <v>204</v>
      </c>
      <c r="R444" s="27" t="s">
        <v>153</v>
      </c>
      <c r="S444" s="28" t="s">
        <v>290</v>
      </c>
      <c r="T444" s="29" t="s">
        <v>205</v>
      </c>
      <c r="U444" s="30" t="s">
        <v>206</v>
      </c>
      <c r="V444" s="31" t="s">
        <v>153</v>
      </c>
      <c r="W444" s="32">
        <v>1800</v>
      </c>
      <c r="X444" s="33" t="s">
        <v>9251</v>
      </c>
      <c r="Y444" s="34" t="s">
        <v>153</v>
      </c>
      <c r="Z444" s="35" t="s">
        <v>153</v>
      </c>
      <c r="AA444" s="36" t="s">
        <v>153</v>
      </c>
      <c r="AB444" s="37" t="s">
        <v>153</v>
      </c>
      <c r="AC444" s="38" t="s">
        <v>153</v>
      </c>
      <c r="AD444" s="39" t="s">
        <v>153</v>
      </c>
      <c r="AE444" s="40" t="s">
        <v>153</v>
      </c>
      <c r="AF444" s="41" t="s">
        <v>153</v>
      </c>
      <c r="AG444" s="42" t="s">
        <v>153</v>
      </c>
      <c r="AH444" s="43" t="s">
        <v>153</v>
      </c>
      <c r="AI444" s="44" t="s">
        <v>153</v>
      </c>
      <c r="AJ444" s="45" t="s">
        <v>153</v>
      </c>
      <c r="AK444" s="46" t="s">
        <v>153</v>
      </c>
      <c r="AL444" s="47" t="s">
        <v>153</v>
      </c>
      <c r="AM444" s="48" t="s">
        <v>153</v>
      </c>
      <c r="AN444" s="49" t="s">
        <v>2112</v>
      </c>
      <c r="AO444" s="50" t="s">
        <v>153</v>
      </c>
      <c r="AP444" s="51" t="s">
        <v>153</v>
      </c>
      <c r="AQ444" s="52" t="s">
        <v>153</v>
      </c>
      <c r="AR444" s="53" t="s">
        <v>153</v>
      </c>
      <c r="AS444" s="54" t="s">
        <v>153</v>
      </c>
      <c r="AT444" s="55" t="s">
        <v>9252</v>
      </c>
      <c r="AU444" s="56" t="s">
        <v>9253</v>
      </c>
      <c r="AV444" s="57" t="s">
        <v>153</v>
      </c>
      <c r="AW444" s="58" t="s">
        <v>9254</v>
      </c>
      <c r="AX444" s="59" t="s">
        <v>153</v>
      </c>
      <c r="AY444" s="60" t="s">
        <v>9255</v>
      </c>
      <c r="AZ444" s="61" t="s">
        <v>352</v>
      </c>
      <c r="BA444" s="62" t="s">
        <v>153</v>
      </c>
      <c r="BB444" s="63" t="s">
        <v>153</v>
      </c>
      <c r="BC444" s="64" t="s">
        <v>153</v>
      </c>
      <c r="BD444" s="65" t="s">
        <v>180</v>
      </c>
      <c r="BE444" s="66" t="s">
        <v>181</v>
      </c>
      <c r="BF444" s="67" t="s">
        <v>9256</v>
      </c>
      <c r="BG444" s="68" t="s">
        <v>153</v>
      </c>
      <c r="BH444" s="69" t="s">
        <v>153</v>
      </c>
      <c r="BI444" s="70" t="s">
        <v>9257</v>
      </c>
      <c r="BJ444" s="71" t="s">
        <v>655</v>
      </c>
      <c r="BK444" s="72" t="s">
        <v>153</v>
      </c>
      <c r="BL444" s="73" t="s">
        <v>153</v>
      </c>
      <c r="BM444" s="74" t="s">
        <v>9258</v>
      </c>
      <c r="BN444" s="75" t="s">
        <v>153</v>
      </c>
      <c r="BO444" s="76" t="s">
        <v>153</v>
      </c>
      <c r="BP444" s="77" t="s">
        <v>153</v>
      </c>
      <c r="BQ444" s="78">
        <v>43190</v>
      </c>
      <c r="BR444" s="79">
        <v>9251.31</v>
      </c>
      <c r="BS444" s="80" t="s">
        <v>186</v>
      </c>
      <c r="BT444" s="81">
        <v>9251.31</v>
      </c>
      <c r="BU444" s="82" t="s">
        <v>186</v>
      </c>
      <c r="BV444" s="83" t="s">
        <v>226</v>
      </c>
      <c r="BW444" s="84" t="s">
        <v>729</v>
      </c>
      <c r="BX444" s="85" t="s">
        <v>153</v>
      </c>
      <c r="BY444" s="86" t="s">
        <v>225</v>
      </c>
      <c r="BZ444" s="87" t="s">
        <v>153</v>
      </c>
      <c r="CA444" s="88" t="s">
        <v>190</v>
      </c>
      <c r="CB444" s="89">
        <v>43190</v>
      </c>
      <c r="CC444" s="90">
        <v>9251.31</v>
      </c>
      <c r="CD444" s="91" t="s">
        <v>186</v>
      </c>
      <c r="CE444" s="92">
        <v>9251.31</v>
      </c>
      <c r="CF444" s="93" t="s">
        <v>186</v>
      </c>
      <c r="CG444" s="94" t="s">
        <v>226</v>
      </c>
      <c r="CH444" s="95" t="s">
        <v>729</v>
      </c>
      <c r="CI444" s="96" t="s">
        <v>153</v>
      </c>
      <c r="CJ444" s="97" t="s">
        <v>225</v>
      </c>
      <c r="CK444" s="98">
        <v>43190</v>
      </c>
      <c r="CL444" s="99" t="s">
        <v>153</v>
      </c>
      <c r="CM444" s="100" t="s">
        <v>153</v>
      </c>
      <c r="CN444" s="101" t="s">
        <v>190</v>
      </c>
      <c r="CO444" s="102" t="s">
        <v>153</v>
      </c>
      <c r="CP444" s="103" t="s">
        <v>153</v>
      </c>
      <c r="CQ444" s="104" t="s">
        <v>153</v>
      </c>
      <c r="CR444" s="105" t="s">
        <v>153</v>
      </c>
      <c r="CS444" s="106" t="s">
        <v>153</v>
      </c>
      <c r="CT444" s="107" t="s">
        <v>153</v>
      </c>
      <c r="CU444" s="108" t="s">
        <v>153</v>
      </c>
      <c r="CV444" s="109" t="s">
        <v>153</v>
      </c>
      <c r="CW444" s="110" t="s">
        <v>153</v>
      </c>
      <c r="CX444" s="111" t="s">
        <v>153</v>
      </c>
      <c r="CY444" s="112" t="s">
        <v>153</v>
      </c>
      <c r="CZ444" s="113" t="s">
        <v>153</v>
      </c>
      <c r="DA444" s="114" t="s">
        <v>153</v>
      </c>
      <c r="DB444" s="115" t="s">
        <v>153</v>
      </c>
      <c r="DC444" s="116" t="s">
        <v>153</v>
      </c>
      <c r="DD444" s="117" t="s">
        <v>153</v>
      </c>
      <c r="DE444" s="118" t="s">
        <v>153</v>
      </c>
      <c r="DF444" s="119" t="s">
        <v>153</v>
      </c>
      <c r="DG444" s="120" t="s">
        <v>153</v>
      </c>
      <c r="DH444" s="121" t="s">
        <v>153</v>
      </c>
      <c r="DI444" s="122" t="s">
        <v>153</v>
      </c>
      <c r="DJ444" s="123" t="s">
        <v>153</v>
      </c>
      <c r="DK444" s="124" t="s">
        <v>153</v>
      </c>
      <c r="DL444" s="125" t="s">
        <v>153</v>
      </c>
      <c r="DM444" s="126" t="s">
        <v>153</v>
      </c>
      <c r="DN444" s="127" t="s">
        <v>153</v>
      </c>
      <c r="DO444" s="128" t="s">
        <v>153</v>
      </c>
      <c r="DP444" s="129" t="s">
        <v>153</v>
      </c>
      <c r="DQ444" s="130" t="s">
        <v>153</v>
      </c>
      <c r="DR444" s="131" t="s">
        <v>153</v>
      </c>
      <c r="DS444" s="132" t="s">
        <v>153</v>
      </c>
      <c r="DT444" s="133" t="s">
        <v>153</v>
      </c>
      <c r="DU444" s="134" t="s">
        <v>153</v>
      </c>
      <c r="DV444" s="135" t="s">
        <v>153</v>
      </c>
      <c r="DW444" s="136" t="s">
        <v>153</v>
      </c>
      <c r="DX444" s="137" t="s">
        <v>153</v>
      </c>
      <c r="DY444" s="138" t="s">
        <v>153</v>
      </c>
      <c r="DZ444" s="139" t="s">
        <v>191</v>
      </c>
      <c r="EA444" s="140">
        <v>44336</v>
      </c>
      <c r="EB444" s="141">
        <v>9251.31</v>
      </c>
      <c r="EC444" s="142">
        <v>43190</v>
      </c>
      <c r="ED444" s="143" t="s">
        <v>226</v>
      </c>
      <c r="EE444" s="278" t="str">
        <f>HYPERLINK("https://my.pitchbook.com?c=188081-38", "View company online")</f>
        <v>View company online</v>
      </c>
    </row>
    <row r="445" spans="1:135" x14ac:dyDescent="0.45">
      <c r="A445" s="144" t="s">
        <v>9259</v>
      </c>
      <c r="B445" s="145" t="s">
        <v>9260</v>
      </c>
      <c r="C445" s="146" t="s">
        <v>153</v>
      </c>
      <c r="D445" s="147" t="s">
        <v>153</v>
      </c>
      <c r="E445" s="148" t="s">
        <v>153</v>
      </c>
      <c r="F445" s="149" t="s">
        <v>153</v>
      </c>
      <c r="G445" s="150" t="s">
        <v>9261</v>
      </c>
      <c r="H445" s="151" t="s">
        <v>9262</v>
      </c>
      <c r="I445" s="152" t="s">
        <v>9259</v>
      </c>
      <c r="J445" s="153" t="s">
        <v>9263</v>
      </c>
      <c r="K445" s="154" t="s">
        <v>198</v>
      </c>
      <c r="L445" s="155" t="s">
        <v>984</v>
      </c>
      <c r="M445" s="156" t="s">
        <v>9264</v>
      </c>
      <c r="N445" s="157" t="s">
        <v>9265</v>
      </c>
      <c r="O445" s="158" t="s">
        <v>9266</v>
      </c>
      <c r="P445" s="159" t="s">
        <v>9267</v>
      </c>
      <c r="Q445" s="160" t="s">
        <v>289</v>
      </c>
      <c r="R445" s="161">
        <v>2100.44</v>
      </c>
      <c r="S445" s="162" t="s">
        <v>368</v>
      </c>
      <c r="T445" s="163" t="s">
        <v>291</v>
      </c>
      <c r="U445" s="164" t="s">
        <v>941</v>
      </c>
      <c r="V445" s="165" t="s">
        <v>9268</v>
      </c>
      <c r="W445" s="166">
        <v>5584</v>
      </c>
      <c r="X445" s="167" t="s">
        <v>9269</v>
      </c>
      <c r="Y445" s="168" t="s">
        <v>372</v>
      </c>
      <c r="Z445" s="169" t="s">
        <v>9270</v>
      </c>
      <c r="AA445" s="170">
        <v>2006</v>
      </c>
      <c r="AB445" s="171" t="s">
        <v>153</v>
      </c>
      <c r="AC445" s="172" t="s">
        <v>3099</v>
      </c>
      <c r="AD445" s="173" t="s">
        <v>9271</v>
      </c>
      <c r="AE445" s="174">
        <v>9528.75</v>
      </c>
      <c r="AF445" s="175">
        <v>2436.0700000000002</v>
      </c>
      <c r="AG445" s="176">
        <v>-651.25</v>
      </c>
      <c r="AH445" s="177">
        <v>49684.35</v>
      </c>
      <c r="AI445" s="178">
        <v>-158.44</v>
      </c>
      <c r="AJ445" s="179">
        <v>-292.42</v>
      </c>
      <c r="AK445" s="180">
        <v>46529.99</v>
      </c>
      <c r="AL445" s="181">
        <v>-1488.81</v>
      </c>
      <c r="AM445" s="182">
        <v>15.18</v>
      </c>
      <c r="AN445" s="183" t="s">
        <v>376</v>
      </c>
      <c r="AO445" s="184" t="s">
        <v>9272</v>
      </c>
      <c r="AP445" s="185" t="s">
        <v>9273</v>
      </c>
      <c r="AQ445" s="186" t="s">
        <v>4199</v>
      </c>
      <c r="AR445" s="187" t="s">
        <v>9274</v>
      </c>
      <c r="AS445" s="188" t="s">
        <v>9275</v>
      </c>
      <c r="AT445" s="189" t="s">
        <v>9135</v>
      </c>
      <c r="AU445" s="190" t="s">
        <v>9276</v>
      </c>
      <c r="AV445" s="191" t="s">
        <v>153</v>
      </c>
      <c r="AW445" s="192" t="s">
        <v>9137</v>
      </c>
      <c r="AX445" s="193" t="s">
        <v>153</v>
      </c>
      <c r="AY445" s="194" t="s">
        <v>9277</v>
      </c>
      <c r="AZ445" s="195" t="s">
        <v>8753</v>
      </c>
      <c r="BA445" s="196" t="s">
        <v>153</v>
      </c>
      <c r="BB445" s="197" t="s">
        <v>153</v>
      </c>
      <c r="BC445" s="198" t="s">
        <v>9278</v>
      </c>
      <c r="BD445" s="199" t="s">
        <v>180</v>
      </c>
      <c r="BE445" s="200" t="s">
        <v>2051</v>
      </c>
      <c r="BF445" s="201" t="s">
        <v>9279</v>
      </c>
      <c r="BG445" s="202" t="s">
        <v>153</v>
      </c>
      <c r="BH445" s="203" t="s">
        <v>153</v>
      </c>
      <c r="BI445" s="204" t="s">
        <v>153</v>
      </c>
      <c r="BJ445" s="205" t="s">
        <v>9280</v>
      </c>
      <c r="BK445" s="206" t="s">
        <v>153</v>
      </c>
      <c r="BL445" s="207" t="s">
        <v>153</v>
      </c>
      <c r="BM445" s="208" t="s">
        <v>9281</v>
      </c>
      <c r="BN445" s="209" t="s">
        <v>153</v>
      </c>
      <c r="BO445" s="210" t="s">
        <v>9282</v>
      </c>
      <c r="BP445" s="211" t="s">
        <v>9283</v>
      </c>
      <c r="BQ445" s="212">
        <v>39448</v>
      </c>
      <c r="BR445" s="213">
        <v>21.97</v>
      </c>
      <c r="BS445" s="214" t="s">
        <v>186</v>
      </c>
      <c r="BT445" s="215" t="s">
        <v>153</v>
      </c>
      <c r="BU445" s="216" t="s">
        <v>153</v>
      </c>
      <c r="BV445" s="217" t="s">
        <v>471</v>
      </c>
      <c r="BW445" s="218" t="s">
        <v>1811</v>
      </c>
      <c r="BX445" s="219" t="s">
        <v>153</v>
      </c>
      <c r="BY445" s="220" t="s">
        <v>472</v>
      </c>
      <c r="BZ445" s="221" t="s">
        <v>153</v>
      </c>
      <c r="CA445" s="222" t="s">
        <v>190</v>
      </c>
      <c r="CB445" s="223">
        <v>43193</v>
      </c>
      <c r="CC445" s="224">
        <v>9245</v>
      </c>
      <c r="CD445" s="225" t="s">
        <v>187</v>
      </c>
      <c r="CE445" s="226">
        <v>29548.92</v>
      </c>
      <c r="CF445" s="227" t="s">
        <v>187</v>
      </c>
      <c r="CG445" s="228" t="s">
        <v>251</v>
      </c>
      <c r="CH445" s="229" t="s">
        <v>153</v>
      </c>
      <c r="CI445" s="230" t="s">
        <v>153</v>
      </c>
      <c r="CJ445" s="231" t="s">
        <v>252</v>
      </c>
      <c r="CK445" s="232">
        <v>43193</v>
      </c>
      <c r="CL445" s="233" t="s">
        <v>153</v>
      </c>
      <c r="CM445" s="234" t="s">
        <v>153</v>
      </c>
      <c r="CN445" s="235" t="s">
        <v>190</v>
      </c>
      <c r="CO445" s="236">
        <v>0.6</v>
      </c>
      <c r="CP445" s="237">
        <v>94</v>
      </c>
      <c r="CQ445" s="238">
        <v>-0.01</v>
      </c>
      <c r="CR445" s="239">
        <v>-1.82</v>
      </c>
      <c r="CS445" s="240">
        <v>0.81</v>
      </c>
      <c r="CT445" s="241">
        <v>94</v>
      </c>
      <c r="CU445" s="242">
        <v>0.51</v>
      </c>
      <c r="CV445" s="243">
        <v>96</v>
      </c>
      <c r="CW445" s="244">
        <v>1.36</v>
      </c>
      <c r="CX445" s="245">
        <v>83</v>
      </c>
      <c r="CY445" s="246">
        <v>0.26</v>
      </c>
      <c r="CZ445" s="247">
        <v>92</v>
      </c>
      <c r="DA445" s="248">
        <v>0.51</v>
      </c>
      <c r="DB445" s="249">
        <v>96</v>
      </c>
      <c r="DC445" s="250">
        <v>310562.94</v>
      </c>
      <c r="DD445" s="251">
        <v>100</v>
      </c>
      <c r="DE445" s="252">
        <v>1640.97</v>
      </c>
      <c r="DF445" s="253">
        <v>0.53</v>
      </c>
      <c r="DG445" s="254">
        <v>24759.19</v>
      </c>
      <c r="DH445" s="255">
        <v>100</v>
      </c>
      <c r="DI445" s="256">
        <v>13934.12</v>
      </c>
      <c r="DJ445" s="257">
        <v>100</v>
      </c>
      <c r="DK445" s="258">
        <v>42689.26</v>
      </c>
      <c r="DL445" s="259">
        <v>100</v>
      </c>
      <c r="DM445" s="260">
        <v>6829.13</v>
      </c>
      <c r="DN445" s="261">
        <v>100</v>
      </c>
      <c r="DO445" s="262">
        <v>13934.12</v>
      </c>
      <c r="DP445" s="263">
        <v>100</v>
      </c>
      <c r="DQ445" s="264">
        <v>25234947</v>
      </c>
      <c r="DR445" s="265">
        <v>292539</v>
      </c>
      <c r="DS445" s="266">
        <v>1.17</v>
      </c>
      <c r="DT445" s="267">
        <v>109175</v>
      </c>
      <c r="DU445" s="268">
        <v>238</v>
      </c>
      <c r="DV445" s="269">
        <v>0.22</v>
      </c>
      <c r="DW445" s="270">
        <v>4370111</v>
      </c>
      <c r="DX445" s="271">
        <v>12315</v>
      </c>
      <c r="DY445" s="272">
        <v>0.28000000000000003</v>
      </c>
      <c r="DZ445" s="273" t="s">
        <v>191</v>
      </c>
      <c r="EA445" s="274">
        <v>44402</v>
      </c>
      <c r="EB445" s="275">
        <v>29548.92</v>
      </c>
      <c r="EC445" s="276">
        <v>43193</v>
      </c>
      <c r="ED445" s="277" t="s">
        <v>251</v>
      </c>
      <c r="EE445" s="279" t="str">
        <f>HYPERLINK("https://my.pitchbook.com?c=40997-08", "View company online")</f>
        <v>View company online</v>
      </c>
    </row>
    <row r="446" spans="1:135" x14ac:dyDescent="0.45">
      <c r="A446" s="10" t="s">
        <v>9284</v>
      </c>
      <c r="B446" s="11" t="s">
        <v>9285</v>
      </c>
      <c r="C446" s="12" t="s">
        <v>153</v>
      </c>
      <c r="D446" s="13" t="s">
        <v>153</v>
      </c>
      <c r="E446" s="14" t="s">
        <v>153</v>
      </c>
      <c r="F446" s="15" t="s">
        <v>153</v>
      </c>
      <c r="G446" s="16" t="s">
        <v>9286</v>
      </c>
      <c r="H446" s="17" t="s">
        <v>153</v>
      </c>
      <c r="I446" s="18" t="s">
        <v>9284</v>
      </c>
      <c r="J446" s="19" t="s">
        <v>9287</v>
      </c>
      <c r="K446" s="20" t="s">
        <v>882</v>
      </c>
      <c r="L446" s="21" t="s">
        <v>1231</v>
      </c>
      <c r="M446" s="22" t="s">
        <v>1232</v>
      </c>
      <c r="N446" s="23" t="s">
        <v>9288</v>
      </c>
      <c r="O446" s="24" t="s">
        <v>153</v>
      </c>
      <c r="P446" s="25" t="s">
        <v>9289</v>
      </c>
      <c r="Q446" s="26" t="s">
        <v>564</v>
      </c>
      <c r="R446" s="27">
        <v>1100</v>
      </c>
      <c r="S446" s="28" t="s">
        <v>290</v>
      </c>
      <c r="T446" s="29" t="s">
        <v>164</v>
      </c>
      <c r="U446" s="30" t="s">
        <v>165</v>
      </c>
      <c r="V446" s="31" t="s">
        <v>9290</v>
      </c>
      <c r="W446" s="32">
        <v>40650</v>
      </c>
      <c r="X446" s="33" t="s">
        <v>9291</v>
      </c>
      <c r="Y446" s="34" t="s">
        <v>153</v>
      </c>
      <c r="Z446" s="35" t="s">
        <v>153</v>
      </c>
      <c r="AA446" s="36">
        <v>1974</v>
      </c>
      <c r="AB446" s="37" t="s">
        <v>8348</v>
      </c>
      <c r="AC446" s="38" t="s">
        <v>153</v>
      </c>
      <c r="AD446" s="39" t="s">
        <v>428</v>
      </c>
      <c r="AE446" s="40" t="s">
        <v>153</v>
      </c>
      <c r="AF446" s="41" t="s">
        <v>153</v>
      </c>
      <c r="AG446" s="42" t="s">
        <v>153</v>
      </c>
      <c r="AH446" s="43" t="s">
        <v>153</v>
      </c>
      <c r="AI446" s="44" t="s">
        <v>153</v>
      </c>
      <c r="AJ446" s="45" t="s">
        <v>153</v>
      </c>
      <c r="AK446" s="46" t="s">
        <v>153</v>
      </c>
      <c r="AL446" s="47" t="s">
        <v>153</v>
      </c>
      <c r="AM446" s="48" t="s">
        <v>153</v>
      </c>
      <c r="AN446" s="49" t="s">
        <v>456</v>
      </c>
      <c r="AO446" s="50" t="s">
        <v>9292</v>
      </c>
      <c r="AP446" s="51" t="s">
        <v>9293</v>
      </c>
      <c r="AQ446" s="52" t="s">
        <v>3351</v>
      </c>
      <c r="AR446" s="53" t="s">
        <v>9294</v>
      </c>
      <c r="AS446" s="54" t="s">
        <v>9295</v>
      </c>
      <c r="AT446" s="55" t="s">
        <v>3075</v>
      </c>
      <c r="AU446" s="56" t="s">
        <v>9296</v>
      </c>
      <c r="AV446" s="57" t="s">
        <v>153</v>
      </c>
      <c r="AW446" s="58" t="s">
        <v>3076</v>
      </c>
      <c r="AX446" s="59" t="s">
        <v>153</v>
      </c>
      <c r="AY446" s="60" t="s">
        <v>9297</v>
      </c>
      <c r="AZ446" s="61" t="s">
        <v>352</v>
      </c>
      <c r="BA446" s="62" t="s">
        <v>9298</v>
      </c>
      <c r="BB446" s="63" t="s">
        <v>153</v>
      </c>
      <c r="BC446" s="64" t="s">
        <v>153</v>
      </c>
      <c r="BD446" s="65" t="s">
        <v>180</v>
      </c>
      <c r="BE446" s="66" t="s">
        <v>181</v>
      </c>
      <c r="BF446" s="67" t="s">
        <v>9299</v>
      </c>
      <c r="BG446" s="68" t="s">
        <v>153</v>
      </c>
      <c r="BH446" s="69" t="s">
        <v>153</v>
      </c>
      <c r="BI446" s="70" t="s">
        <v>8348</v>
      </c>
      <c r="BJ446" s="71" t="s">
        <v>9300</v>
      </c>
      <c r="BK446" s="72" t="s">
        <v>153</v>
      </c>
      <c r="BL446" s="73" t="s">
        <v>153</v>
      </c>
      <c r="BM446" s="74" t="s">
        <v>9301</v>
      </c>
      <c r="BN446" s="75" t="s">
        <v>153</v>
      </c>
      <c r="BO446" s="76" t="s">
        <v>9302</v>
      </c>
      <c r="BP446" s="77" t="s">
        <v>9303</v>
      </c>
      <c r="BQ446" s="78">
        <v>42402</v>
      </c>
      <c r="BR446" s="79">
        <v>1100</v>
      </c>
      <c r="BS446" s="80" t="s">
        <v>186</v>
      </c>
      <c r="BT446" s="81">
        <v>3666.67</v>
      </c>
      <c r="BU446" s="82" t="s">
        <v>187</v>
      </c>
      <c r="BV446" s="83" t="s">
        <v>709</v>
      </c>
      <c r="BW446" s="84" t="s">
        <v>153</v>
      </c>
      <c r="BX446" s="85" t="s">
        <v>153</v>
      </c>
      <c r="BY446" s="86" t="s">
        <v>165</v>
      </c>
      <c r="BZ446" s="87" t="s">
        <v>153</v>
      </c>
      <c r="CA446" s="88" t="s">
        <v>190</v>
      </c>
      <c r="CB446" s="89">
        <v>44225</v>
      </c>
      <c r="CC446" s="90">
        <v>9237.4</v>
      </c>
      <c r="CD446" s="91" t="s">
        <v>186</v>
      </c>
      <c r="CE446" s="92">
        <v>9237.4</v>
      </c>
      <c r="CF446" s="93" t="s">
        <v>187</v>
      </c>
      <c r="CG446" s="94" t="s">
        <v>226</v>
      </c>
      <c r="CH446" s="95" t="s">
        <v>153</v>
      </c>
      <c r="CI446" s="96" t="s">
        <v>153</v>
      </c>
      <c r="CJ446" s="97" t="s">
        <v>225</v>
      </c>
      <c r="CK446" s="98">
        <v>44225</v>
      </c>
      <c r="CL446" s="99" t="s">
        <v>153</v>
      </c>
      <c r="CM446" s="100" t="s">
        <v>153</v>
      </c>
      <c r="CN446" s="101" t="s">
        <v>190</v>
      </c>
      <c r="CO446" s="102" t="s">
        <v>153</v>
      </c>
      <c r="CP446" s="103" t="s">
        <v>153</v>
      </c>
      <c r="CQ446" s="104" t="s">
        <v>153</v>
      </c>
      <c r="CR446" s="105" t="s">
        <v>153</v>
      </c>
      <c r="CS446" s="106" t="s">
        <v>153</v>
      </c>
      <c r="CT446" s="107" t="s">
        <v>153</v>
      </c>
      <c r="CU446" s="108" t="s">
        <v>153</v>
      </c>
      <c r="CV446" s="109" t="s">
        <v>153</v>
      </c>
      <c r="CW446" s="110" t="s">
        <v>153</v>
      </c>
      <c r="CX446" s="111" t="s">
        <v>153</v>
      </c>
      <c r="CY446" s="112" t="s">
        <v>153</v>
      </c>
      <c r="CZ446" s="113" t="s">
        <v>153</v>
      </c>
      <c r="DA446" s="114" t="s">
        <v>153</v>
      </c>
      <c r="DB446" s="115" t="s">
        <v>153</v>
      </c>
      <c r="DC446" s="116" t="s">
        <v>153</v>
      </c>
      <c r="DD446" s="117" t="s">
        <v>153</v>
      </c>
      <c r="DE446" s="118" t="s">
        <v>153</v>
      </c>
      <c r="DF446" s="119" t="s">
        <v>153</v>
      </c>
      <c r="DG446" s="120" t="s">
        <v>153</v>
      </c>
      <c r="DH446" s="121" t="s">
        <v>153</v>
      </c>
      <c r="DI446" s="122" t="s">
        <v>153</v>
      </c>
      <c r="DJ446" s="123" t="s">
        <v>153</v>
      </c>
      <c r="DK446" s="124" t="s">
        <v>153</v>
      </c>
      <c r="DL446" s="125" t="s">
        <v>153</v>
      </c>
      <c r="DM446" s="126" t="s">
        <v>153</v>
      </c>
      <c r="DN446" s="127" t="s">
        <v>153</v>
      </c>
      <c r="DO446" s="128" t="s">
        <v>153</v>
      </c>
      <c r="DP446" s="129" t="s">
        <v>153</v>
      </c>
      <c r="DQ446" s="130" t="s">
        <v>153</v>
      </c>
      <c r="DR446" s="131" t="s">
        <v>153</v>
      </c>
      <c r="DS446" s="132" t="s">
        <v>153</v>
      </c>
      <c r="DT446" s="133" t="s">
        <v>153</v>
      </c>
      <c r="DU446" s="134" t="s">
        <v>153</v>
      </c>
      <c r="DV446" s="135" t="s">
        <v>153</v>
      </c>
      <c r="DW446" s="136" t="s">
        <v>153</v>
      </c>
      <c r="DX446" s="137" t="s">
        <v>153</v>
      </c>
      <c r="DY446" s="138" t="s">
        <v>153</v>
      </c>
      <c r="DZ446" s="139" t="s">
        <v>191</v>
      </c>
      <c r="EA446" s="140">
        <v>44398</v>
      </c>
      <c r="EB446" s="141">
        <v>9237.4</v>
      </c>
      <c r="EC446" s="142">
        <v>44225</v>
      </c>
      <c r="ED446" s="143" t="s">
        <v>226</v>
      </c>
      <c r="EE446" s="278" t="str">
        <f>HYPERLINK("https://my.pitchbook.com?c=84824-83", "View company online")</f>
        <v>View company online</v>
      </c>
    </row>
    <row r="447" spans="1:135" x14ac:dyDescent="0.45">
      <c r="A447" s="144" t="s">
        <v>9304</v>
      </c>
      <c r="B447" s="145" t="s">
        <v>9305</v>
      </c>
      <c r="C447" s="146" t="s">
        <v>153</v>
      </c>
      <c r="D447" s="147" t="s">
        <v>153</v>
      </c>
      <c r="E447" s="148" t="s">
        <v>153</v>
      </c>
      <c r="F447" s="149" t="s">
        <v>9306</v>
      </c>
      <c r="G447" s="150" t="s">
        <v>9307</v>
      </c>
      <c r="H447" s="151" t="s">
        <v>153</v>
      </c>
      <c r="I447" s="152" t="s">
        <v>9304</v>
      </c>
      <c r="J447" s="153" t="s">
        <v>9308</v>
      </c>
      <c r="K447" s="154" t="s">
        <v>559</v>
      </c>
      <c r="L447" s="155" t="s">
        <v>1345</v>
      </c>
      <c r="M447" s="156" t="s">
        <v>2470</v>
      </c>
      <c r="N447" s="157" t="s">
        <v>3703</v>
      </c>
      <c r="O447" s="158" t="s">
        <v>796</v>
      </c>
      <c r="P447" s="159" t="s">
        <v>9309</v>
      </c>
      <c r="Q447" s="160" t="s">
        <v>204</v>
      </c>
      <c r="R447" s="161">
        <v>39.22</v>
      </c>
      <c r="S447" s="162" t="s">
        <v>290</v>
      </c>
      <c r="T447" s="163" t="s">
        <v>205</v>
      </c>
      <c r="U447" s="164" t="s">
        <v>369</v>
      </c>
      <c r="V447" s="165" t="s">
        <v>9310</v>
      </c>
      <c r="W447" s="166" t="s">
        <v>153</v>
      </c>
      <c r="X447" s="167" t="s">
        <v>153</v>
      </c>
      <c r="Y447" s="168" t="s">
        <v>153</v>
      </c>
      <c r="Z447" s="169" t="s">
        <v>153</v>
      </c>
      <c r="AA447" s="170">
        <v>1999</v>
      </c>
      <c r="AB447" s="171" t="s">
        <v>153</v>
      </c>
      <c r="AC447" s="172" t="s">
        <v>153</v>
      </c>
      <c r="AD447" s="173" t="s">
        <v>153</v>
      </c>
      <c r="AE447" s="174" t="s">
        <v>153</v>
      </c>
      <c r="AF447" s="175" t="s">
        <v>153</v>
      </c>
      <c r="AG447" s="176" t="s">
        <v>153</v>
      </c>
      <c r="AH447" s="177" t="s">
        <v>153</v>
      </c>
      <c r="AI447" s="178" t="s">
        <v>153</v>
      </c>
      <c r="AJ447" s="179" t="s">
        <v>153</v>
      </c>
      <c r="AK447" s="180" t="s">
        <v>153</v>
      </c>
      <c r="AL447" s="181" t="s">
        <v>153</v>
      </c>
      <c r="AM447" s="182" t="s">
        <v>153</v>
      </c>
      <c r="AN447" s="183" t="s">
        <v>4414</v>
      </c>
      <c r="AO447" s="184" t="s">
        <v>9311</v>
      </c>
      <c r="AP447" s="185" t="s">
        <v>9312</v>
      </c>
      <c r="AQ447" s="186" t="s">
        <v>9313</v>
      </c>
      <c r="AR447" s="187" t="s">
        <v>153</v>
      </c>
      <c r="AS447" s="188" t="s">
        <v>9314</v>
      </c>
      <c r="AT447" s="189" t="s">
        <v>3419</v>
      </c>
      <c r="AU447" s="190" t="s">
        <v>9315</v>
      </c>
      <c r="AV447" s="191" t="s">
        <v>9316</v>
      </c>
      <c r="AW447" s="192" t="s">
        <v>3422</v>
      </c>
      <c r="AX447" s="193" t="s">
        <v>3423</v>
      </c>
      <c r="AY447" s="194" t="s">
        <v>9317</v>
      </c>
      <c r="AZ447" s="195" t="s">
        <v>1358</v>
      </c>
      <c r="BA447" s="196" t="s">
        <v>153</v>
      </c>
      <c r="BB447" s="197" t="s">
        <v>153</v>
      </c>
      <c r="BC447" s="198" t="s">
        <v>153</v>
      </c>
      <c r="BD447" s="199" t="s">
        <v>216</v>
      </c>
      <c r="BE447" s="200" t="s">
        <v>217</v>
      </c>
      <c r="BF447" s="201" t="s">
        <v>9318</v>
      </c>
      <c r="BG447" s="202" t="s">
        <v>153</v>
      </c>
      <c r="BH447" s="203" t="s">
        <v>153</v>
      </c>
      <c r="BI447" s="204" t="s">
        <v>9319</v>
      </c>
      <c r="BJ447" s="205" t="s">
        <v>9320</v>
      </c>
      <c r="BK447" s="206" t="s">
        <v>153</v>
      </c>
      <c r="BL447" s="207" t="s">
        <v>153</v>
      </c>
      <c r="BM447" s="208" t="s">
        <v>9321</v>
      </c>
      <c r="BN447" s="209" t="s">
        <v>153</v>
      </c>
      <c r="BO447" s="210" t="s">
        <v>153</v>
      </c>
      <c r="BP447" s="211" t="s">
        <v>9322</v>
      </c>
      <c r="BQ447" s="212" t="s">
        <v>153</v>
      </c>
      <c r="BR447" s="213" t="s">
        <v>153</v>
      </c>
      <c r="BS447" s="214" t="s">
        <v>153</v>
      </c>
      <c r="BT447" s="215" t="s">
        <v>153</v>
      </c>
      <c r="BU447" s="216" t="s">
        <v>153</v>
      </c>
      <c r="BV447" s="217" t="s">
        <v>709</v>
      </c>
      <c r="BW447" s="218" t="s">
        <v>153</v>
      </c>
      <c r="BX447" s="219" t="s">
        <v>153</v>
      </c>
      <c r="BY447" s="220" t="s">
        <v>165</v>
      </c>
      <c r="BZ447" s="221" t="s">
        <v>153</v>
      </c>
      <c r="CA447" s="222" t="s">
        <v>190</v>
      </c>
      <c r="CB447" s="223">
        <v>42886</v>
      </c>
      <c r="CC447" s="224">
        <v>9224.4</v>
      </c>
      <c r="CD447" s="225" t="s">
        <v>186</v>
      </c>
      <c r="CE447" s="226">
        <v>13177.7</v>
      </c>
      <c r="CF447" s="227" t="s">
        <v>186</v>
      </c>
      <c r="CG447" s="228" t="s">
        <v>226</v>
      </c>
      <c r="CH447" s="229" t="s">
        <v>729</v>
      </c>
      <c r="CI447" s="230" t="s">
        <v>153</v>
      </c>
      <c r="CJ447" s="231" t="s">
        <v>225</v>
      </c>
      <c r="CK447" s="232">
        <v>42886</v>
      </c>
      <c r="CL447" s="233" t="s">
        <v>153</v>
      </c>
      <c r="CM447" s="234" t="s">
        <v>153</v>
      </c>
      <c r="CN447" s="235" t="s">
        <v>190</v>
      </c>
      <c r="CO447" s="236" t="s">
        <v>153</v>
      </c>
      <c r="CP447" s="237" t="s">
        <v>153</v>
      </c>
      <c r="CQ447" s="238" t="s">
        <v>153</v>
      </c>
      <c r="CR447" s="239" t="s">
        <v>153</v>
      </c>
      <c r="CS447" s="240" t="s">
        <v>153</v>
      </c>
      <c r="CT447" s="241" t="s">
        <v>153</v>
      </c>
      <c r="CU447" s="242" t="s">
        <v>153</v>
      </c>
      <c r="CV447" s="243" t="s">
        <v>153</v>
      </c>
      <c r="CW447" s="244" t="s">
        <v>153</v>
      </c>
      <c r="CX447" s="245" t="s">
        <v>153</v>
      </c>
      <c r="CY447" s="246" t="s">
        <v>153</v>
      </c>
      <c r="CZ447" s="247" t="s">
        <v>153</v>
      </c>
      <c r="DA447" s="248" t="s">
        <v>153</v>
      </c>
      <c r="DB447" s="249" t="s">
        <v>153</v>
      </c>
      <c r="DC447" s="250" t="s">
        <v>153</v>
      </c>
      <c r="DD447" s="251" t="s">
        <v>153</v>
      </c>
      <c r="DE447" s="252" t="s">
        <v>153</v>
      </c>
      <c r="DF447" s="253" t="s">
        <v>153</v>
      </c>
      <c r="DG447" s="254" t="s">
        <v>153</v>
      </c>
      <c r="DH447" s="255" t="s">
        <v>153</v>
      </c>
      <c r="DI447" s="256" t="s">
        <v>153</v>
      </c>
      <c r="DJ447" s="257" t="s">
        <v>153</v>
      </c>
      <c r="DK447" s="258" t="s">
        <v>153</v>
      </c>
      <c r="DL447" s="259" t="s">
        <v>153</v>
      </c>
      <c r="DM447" s="260" t="s">
        <v>153</v>
      </c>
      <c r="DN447" s="261" t="s">
        <v>153</v>
      </c>
      <c r="DO447" s="262" t="s">
        <v>153</v>
      </c>
      <c r="DP447" s="263" t="s">
        <v>153</v>
      </c>
      <c r="DQ447" s="264" t="s">
        <v>153</v>
      </c>
      <c r="DR447" s="265" t="s">
        <v>153</v>
      </c>
      <c r="DS447" s="266" t="s">
        <v>153</v>
      </c>
      <c r="DT447" s="267" t="s">
        <v>153</v>
      </c>
      <c r="DU447" s="268" t="s">
        <v>153</v>
      </c>
      <c r="DV447" s="269" t="s">
        <v>153</v>
      </c>
      <c r="DW447" s="270" t="s">
        <v>153</v>
      </c>
      <c r="DX447" s="271" t="s">
        <v>153</v>
      </c>
      <c r="DY447" s="272" t="s">
        <v>153</v>
      </c>
      <c r="DZ447" s="273" t="s">
        <v>191</v>
      </c>
      <c r="EA447" s="274">
        <v>44354</v>
      </c>
      <c r="EB447" s="275">
        <v>13177.7</v>
      </c>
      <c r="EC447" s="276">
        <v>42886</v>
      </c>
      <c r="ED447" s="277" t="s">
        <v>226</v>
      </c>
      <c r="EE447" s="279" t="str">
        <f>HYPERLINK("https://my.pitchbook.com?c=43088-23", "View company online")</f>
        <v>View company online</v>
      </c>
    </row>
    <row r="448" spans="1:135" x14ac:dyDescent="0.45">
      <c r="A448" s="10" t="s">
        <v>9323</v>
      </c>
      <c r="B448" s="11" t="s">
        <v>9324</v>
      </c>
      <c r="C448" s="12" t="s">
        <v>153</v>
      </c>
      <c r="D448" s="13" t="s">
        <v>153</v>
      </c>
      <c r="E448" s="14" t="s">
        <v>9325</v>
      </c>
      <c r="F448" s="15" t="s">
        <v>153</v>
      </c>
      <c r="G448" s="16" t="s">
        <v>9326</v>
      </c>
      <c r="H448" s="17" t="s">
        <v>9327</v>
      </c>
      <c r="I448" s="18" t="s">
        <v>9323</v>
      </c>
      <c r="J448" s="19" t="s">
        <v>9328</v>
      </c>
      <c r="K448" s="20" t="s">
        <v>198</v>
      </c>
      <c r="L448" s="21" t="s">
        <v>984</v>
      </c>
      <c r="M448" s="22" t="s">
        <v>1165</v>
      </c>
      <c r="N448" s="23" t="s">
        <v>9329</v>
      </c>
      <c r="O448" s="24" t="s">
        <v>1167</v>
      </c>
      <c r="P448" s="25" t="s">
        <v>9330</v>
      </c>
      <c r="Q448" s="26" t="s">
        <v>564</v>
      </c>
      <c r="R448" s="27">
        <v>554.21</v>
      </c>
      <c r="S448" s="28" t="s">
        <v>290</v>
      </c>
      <c r="T448" s="29" t="s">
        <v>164</v>
      </c>
      <c r="U448" s="30" t="s">
        <v>1063</v>
      </c>
      <c r="V448" s="31" t="s">
        <v>9331</v>
      </c>
      <c r="W448" s="32">
        <v>4000</v>
      </c>
      <c r="X448" s="33" t="s">
        <v>9332</v>
      </c>
      <c r="Y448" s="34" t="s">
        <v>153</v>
      </c>
      <c r="Z448" s="35" t="s">
        <v>153</v>
      </c>
      <c r="AA448" s="36">
        <v>1968</v>
      </c>
      <c r="AB448" s="37" t="s">
        <v>9333</v>
      </c>
      <c r="AC448" s="38" t="s">
        <v>622</v>
      </c>
      <c r="AD448" s="39" t="s">
        <v>9334</v>
      </c>
      <c r="AE448" s="40">
        <v>821.19</v>
      </c>
      <c r="AF448" s="41">
        <v>774.8</v>
      </c>
      <c r="AG448" s="42">
        <v>68.739999999999995</v>
      </c>
      <c r="AH448" s="43" t="s">
        <v>153</v>
      </c>
      <c r="AI448" s="44">
        <v>210.2</v>
      </c>
      <c r="AJ448" s="45">
        <v>33.06</v>
      </c>
      <c r="AK448" s="46" t="s">
        <v>153</v>
      </c>
      <c r="AL448" s="47">
        <v>1609.29</v>
      </c>
      <c r="AM448" s="48">
        <v>-3.6</v>
      </c>
      <c r="AN448" s="49" t="s">
        <v>168</v>
      </c>
      <c r="AO448" s="50" t="s">
        <v>9335</v>
      </c>
      <c r="AP448" s="51" t="s">
        <v>9336</v>
      </c>
      <c r="AQ448" s="52" t="s">
        <v>171</v>
      </c>
      <c r="AR448" s="53" t="s">
        <v>9337</v>
      </c>
      <c r="AS448" s="54" t="s">
        <v>9338</v>
      </c>
      <c r="AT448" s="55" t="s">
        <v>9339</v>
      </c>
      <c r="AU448" s="56" t="s">
        <v>9340</v>
      </c>
      <c r="AV448" s="57" t="s">
        <v>153</v>
      </c>
      <c r="AW448" s="58" t="s">
        <v>9341</v>
      </c>
      <c r="AX448" s="59" t="s">
        <v>153</v>
      </c>
      <c r="AY448" s="60" t="s">
        <v>9342</v>
      </c>
      <c r="AZ448" s="61" t="s">
        <v>9343</v>
      </c>
      <c r="BA448" s="62" t="s">
        <v>9338</v>
      </c>
      <c r="BB448" s="63" t="s">
        <v>153</v>
      </c>
      <c r="BC448" s="64" t="s">
        <v>153</v>
      </c>
      <c r="BD448" s="65" t="s">
        <v>180</v>
      </c>
      <c r="BE448" s="66" t="s">
        <v>2051</v>
      </c>
      <c r="BF448" s="67" t="s">
        <v>9344</v>
      </c>
      <c r="BG448" s="68" t="s">
        <v>153</v>
      </c>
      <c r="BH448" s="69" t="s">
        <v>153</v>
      </c>
      <c r="BI448" s="70" t="s">
        <v>9333</v>
      </c>
      <c r="BJ448" s="71" t="s">
        <v>9345</v>
      </c>
      <c r="BK448" s="72" t="s">
        <v>153</v>
      </c>
      <c r="BL448" s="73" t="s">
        <v>153</v>
      </c>
      <c r="BM448" s="74" t="s">
        <v>9346</v>
      </c>
      <c r="BN448" s="75" t="s">
        <v>153</v>
      </c>
      <c r="BO448" s="76" t="s">
        <v>9347</v>
      </c>
      <c r="BP448" s="77" t="s">
        <v>9348</v>
      </c>
      <c r="BQ448" s="78" t="s">
        <v>153</v>
      </c>
      <c r="BR448" s="79" t="s">
        <v>153</v>
      </c>
      <c r="BS448" s="80" t="s">
        <v>153</v>
      </c>
      <c r="BT448" s="81" t="s">
        <v>153</v>
      </c>
      <c r="BU448" s="82" t="s">
        <v>153</v>
      </c>
      <c r="BV448" s="83" t="s">
        <v>188</v>
      </c>
      <c r="BW448" s="84" t="s">
        <v>153</v>
      </c>
      <c r="BX448" s="85" t="s">
        <v>153</v>
      </c>
      <c r="BY448" s="86" t="s">
        <v>165</v>
      </c>
      <c r="BZ448" s="87" t="s">
        <v>153</v>
      </c>
      <c r="CA448" s="88" t="s">
        <v>190</v>
      </c>
      <c r="CB448" s="89">
        <v>44378</v>
      </c>
      <c r="CC448" s="90">
        <v>9200</v>
      </c>
      <c r="CD448" s="91" t="s">
        <v>186</v>
      </c>
      <c r="CE448" s="92">
        <v>9200</v>
      </c>
      <c r="CF448" s="93" t="s">
        <v>187</v>
      </c>
      <c r="CG448" s="94" t="s">
        <v>226</v>
      </c>
      <c r="CH448" s="95" t="s">
        <v>153</v>
      </c>
      <c r="CI448" s="96" t="s">
        <v>153</v>
      </c>
      <c r="CJ448" s="97" t="s">
        <v>225</v>
      </c>
      <c r="CK448" s="98">
        <v>44378</v>
      </c>
      <c r="CL448" s="99" t="s">
        <v>153</v>
      </c>
      <c r="CM448" s="100" t="s">
        <v>153</v>
      </c>
      <c r="CN448" s="101" t="s">
        <v>190</v>
      </c>
      <c r="CO448" s="102" t="s">
        <v>153</v>
      </c>
      <c r="CP448" s="103" t="s">
        <v>153</v>
      </c>
      <c r="CQ448" s="104" t="s">
        <v>153</v>
      </c>
      <c r="CR448" s="105" t="s">
        <v>153</v>
      </c>
      <c r="CS448" s="106" t="s">
        <v>153</v>
      </c>
      <c r="CT448" s="107" t="s">
        <v>153</v>
      </c>
      <c r="CU448" s="108" t="s">
        <v>153</v>
      </c>
      <c r="CV448" s="109" t="s">
        <v>153</v>
      </c>
      <c r="CW448" s="110" t="s">
        <v>153</v>
      </c>
      <c r="CX448" s="111" t="s">
        <v>153</v>
      </c>
      <c r="CY448" s="112" t="s">
        <v>153</v>
      </c>
      <c r="CZ448" s="113" t="s">
        <v>153</v>
      </c>
      <c r="DA448" s="114" t="s">
        <v>153</v>
      </c>
      <c r="DB448" s="115" t="s">
        <v>153</v>
      </c>
      <c r="DC448" s="116" t="s">
        <v>153</v>
      </c>
      <c r="DD448" s="117" t="s">
        <v>153</v>
      </c>
      <c r="DE448" s="118" t="s">
        <v>153</v>
      </c>
      <c r="DF448" s="119" t="s">
        <v>153</v>
      </c>
      <c r="DG448" s="120" t="s">
        <v>153</v>
      </c>
      <c r="DH448" s="121" t="s">
        <v>153</v>
      </c>
      <c r="DI448" s="122" t="s">
        <v>153</v>
      </c>
      <c r="DJ448" s="123" t="s">
        <v>153</v>
      </c>
      <c r="DK448" s="124" t="s">
        <v>153</v>
      </c>
      <c r="DL448" s="125" t="s">
        <v>153</v>
      </c>
      <c r="DM448" s="126" t="s">
        <v>153</v>
      </c>
      <c r="DN448" s="127" t="s">
        <v>153</v>
      </c>
      <c r="DO448" s="128" t="s">
        <v>153</v>
      </c>
      <c r="DP448" s="129" t="s">
        <v>153</v>
      </c>
      <c r="DQ448" s="130" t="s">
        <v>153</v>
      </c>
      <c r="DR448" s="131" t="s">
        <v>153</v>
      </c>
      <c r="DS448" s="132" t="s">
        <v>153</v>
      </c>
      <c r="DT448" s="133" t="s">
        <v>153</v>
      </c>
      <c r="DU448" s="134" t="s">
        <v>153</v>
      </c>
      <c r="DV448" s="135" t="s">
        <v>153</v>
      </c>
      <c r="DW448" s="136" t="s">
        <v>153</v>
      </c>
      <c r="DX448" s="137" t="s">
        <v>153</v>
      </c>
      <c r="DY448" s="138" t="s">
        <v>153</v>
      </c>
      <c r="DZ448" s="139" t="s">
        <v>191</v>
      </c>
      <c r="EA448" s="140">
        <v>44392</v>
      </c>
      <c r="EB448" s="141">
        <v>9200</v>
      </c>
      <c r="EC448" s="142">
        <v>44378</v>
      </c>
      <c r="ED448" s="143" t="s">
        <v>226</v>
      </c>
      <c r="EE448" s="278" t="str">
        <f>HYPERLINK("https://my.pitchbook.com?c=57594-16", "View company online")</f>
        <v>View company online</v>
      </c>
    </row>
    <row r="449" spans="1:135" x14ac:dyDescent="0.45">
      <c r="A449" s="144" t="s">
        <v>9349</v>
      </c>
      <c r="B449" s="145" t="s">
        <v>9350</v>
      </c>
      <c r="C449" s="146" t="s">
        <v>153</v>
      </c>
      <c r="D449" s="147" t="s">
        <v>153</v>
      </c>
      <c r="E449" s="148" t="s">
        <v>9351</v>
      </c>
      <c r="F449" s="149" t="s">
        <v>9352</v>
      </c>
      <c r="G449" s="150" t="s">
        <v>9353</v>
      </c>
      <c r="H449" s="151" t="s">
        <v>9354</v>
      </c>
      <c r="I449" s="152" t="s">
        <v>9349</v>
      </c>
      <c r="J449" s="153" t="s">
        <v>9355</v>
      </c>
      <c r="K449" s="154" t="s">
        <v>882</v>
      </c>
      <c r="L449" s="155" t="s">
        <v>883</v>
      </c>
      <c r="M449" s="156" t="s">
        <v>1615</v>
      </c>
      <c r="N449" s="157" t="s">
        <v>9356</v>
      </c>
      <c r="O449" s="158" t="s">
        <v>9357</v>
      </c>
      <c r="P449" s="159" t="s">
        <v>9358</v>
      </c>
      <c r="Q449" s="160" t="s">
        <v>204</v>
      </c>
      <c r="R449" s="161" t="s">
        <v>153</v>
      </c>
      <c r="S449" s="162" t="s">
        <v>290</v>
      </c>
      <c r="T449" s="163" t="s">
        <v>205</v>
      </c>
      <c r="U449" s="164" t="s">
        <v>369</v>
      </c>
      <c r="V449" s="165" t="s">
        <v>9359</v>
      </c>
      <c r="W449" s="166">
        <v>13000</v>
      </c>
      <c r="X449" s="167" t="s">
        <v>9360</v>
      </c>
      <c r="Y449" s="168" t="s">
        <v>153</v>
      </c>
      <c r="Z449" s="169" t="s">
        <v>153</v>
      </c>
      <c r="AA449" s="170">
        <v>1990</v>
      </c>
      <c r="AB449" s="171" t="s">
        <v>153</v>
      </c>
      <c r="AC449" s="172" t="s">
        <v>428</v>
      </c>
      <c r="AD449" s="173" t="s">
        <v>570</v>
      </c>
      <c r="AE449" s="174" t="s">
        <v>153</v>
      </c>
      <c r="AF449" s="175" t="s">
        <v>153</v>
      </c>
      <c r="AG449" s="176" t="s">
        <v>153</v>
      </c>
      <c r="AH449" s="177" t="s">
        <v>153</v>
      </c>
      <c r="AI449" s="178" t="s">
        <v>153</v>
      </c>
      <c r="AJ449" s="179" t="s">
        <v>153</v>
      </c>
      <c r="AK449" s="180" t="s">
        <v>153</v>
      </c>
      <c r="AL449" s="181" t="s">
        <v>153</v>
      </c>
      <c r="AM449" s="182" t="s">
        <v>153</v>
      </c>
      <c r="AN449" s="183" t="s">
        <v>1323</v>
      </c>
      <c r="AO449" s="184" t="s">
        <v>9361</v>
      </c>
      <c r="AP449" s="185" t="s">
        <v>9362</v>
      </c>
      <c r="AQ449" s="186" t="s">
        <v>512</v>
      </c>
      <c r="AR449" s="187" t="s">
        <v>9363</v>
      </c>
      <c r="AS449" s="188" t="s">
        <v>153</v>
      </c>
      <c r="AT449" s="189" t="s">
        <v>9364</v>
      </c>
      <c r="AU449" s="190" t="s">
        <v>9365</v>
      </c>
      <c r="AV449" s="191" t="s">
        <v>153</v>
      </c>
      <c r="AW449" s="192" t="s">
        <v>9366</v>
      </c>
      <c r="AX449" s="193" t="s">
        <v>2093</v>
      </c>
      <c r="AY449" s="194" t="s">
        <v>9367</v>
      </c>
      <c r="AZ449" s="195" t="s">
        <v>215</v>
      </c>
      <c r="BA449" s="196" t="s">
        <v>153</v>
      </c>
      <c r="BB449" s="197" t="s">
        <v>153</v>
      </c>
      <c r="BC449" s="198" t="s">
        <v>153</v>
      </c>
      <c r="BD449" s="199" t="s">
        <v>216</v>
      </c>
      <c r="BE449" s="200" t="s">
        <v>217</v>
      </c>
      <c r="BF449" s="201" t="s">
        <v>9368</v>
      </c>
      <c r="BG449" s="202" t="s">
        <v>153</v>
      </c>
      <c r="BH449" s="203" t="s">
        <v>153</v>
      </c>
      <c r="BI449" s="204" t="s">
        <v>9369</v>
      </c>
      <c r="BJ449" s="205" t="s">
        <v>9370</v>
      </c>
      <c r="BK449" s="206" t="s">
        <v>1919</v>
      </c>
      <c r="BL449" s="207" t="s">
        <v>153</v>
      </c>
      <c r="BM449" s="208" t="s">
        <v>9371</v>
      </c>
      <c r="BN449" s="209" t="s">
        <v>9372</v>
      </c>
      <c r="BO449" s="210" t="s">
        <v>9373</v>
      </c>
      <c r="BP449" s="211" t="s">
        <v>9374</v>
      </c>
      <c r="BQ449" s="212">
        <v>33149</v>
      </c>
      <c r="BR449" s="213" t="s">
        <v>153</v>
      </c>
      <c r="BS449" s="214" t="s">
        <v>153</v>
      </c>
      <c r="BT449" s="215" t="s">
        <v>153</v>
      </c>
      <c r="BU449" s="216" t="s">
        <v>153</v>
      </c>
      <c r="BV449" s="217" t="s">
        <v>251</v>
      </c>
      <c r="BW449" s="218" t="s">
        <v>524</v>
      </c>
      <c r="BX449" s="219" t="s">
        <v>153</v>
      </c>
      <c r="BY449" s="220" t="s">
        <v>252</v>
      </c>
      <c r="BZ449" s="221" t="s">
        <v>153</v>
      </c>
      <c r="CA449" s="222" t="s">
        <v>190</v>
      </c>
      <c r="CB449" s="223">
        <v>43257</v>
      </c>
      <c r="CC449" s="224">
        <v>9200</v>
      </c>
      <c r="CD449" s="225" t="s">
        <v>186</v>
      </c>
      <c r="CE449" s="226">
        <v>9200</v>
      </c>
      <c r="CF449" s="227" t="s">
        <v>187</v>
      </c>
      <c r="CG449" s="228" t="s">
        <v>226</v>
      </c>
      <c r="CH449" s="229" t="s">
        <v>153</v>
      </c>
      <c r="CI449" s="230" t="s">
        <v>153</v>
      </c>
      <c r="CJ449" s="231" t="s">
        <v>225</v>
      </c>
      <c r="CK449" s="232">
        <v>43257</v>
      </c>
      <c r="CL449" s="233" t="s">
        <v>153</v>
      </c>
      <c r="CM449" s="234" t="s">
        <v>153</v>
      </c>
      <c r="CN449" s="235" t="s">
        <v>190</v>
      </c>
      <c r="CO449" s="236" t="s">
        <v>153</v>
      </c>
      <c r="CP449" s="237" t="s">
        <v>153</v>
      </c>
      <c r="CQ449" s="238" t="s">
        <v>153</v>
      </c>
      <c r="CR449" s="239" t="s">
        <v>153</v>
      </c>
      <c r="CS449" s="240" t="s">
        <v>153</v>
      </c>
      <c r="CT449" s="241" t="s">
        <v>153</v>
      </c>
      <c r="CU449" s="242" t="s">
        <v>153</v>
      </c>
      <c r="CV449" s="243" t="s">
        <v>153</v>
      </c>
      <c r="CW449" s="244" t="s">
        <v>153</v>
      </c>
      <c r="CX449" s="245" t="s">
        <v>153</v>
      </c>
      <c r="CY449" s="246" t="s">
        <v>153</v>
      </c>
      <c r="CZ449" s="247" t="s">
        <v>153</v>
      </c>
      <c r="DA449" s="248" t="s">
        <v>153</v>
      </c>
      <c r="DB449" s="249" t="s">
        <v>153</v>
      </c>
      <c r="DC449" s="250" t="s">
        <v>153</v>
      </c>
      <c r="DD449" s="251" t="s">
        <v>153</v>
      </c>
      <c r="DE449" s="252" t="s">
        <v>153</v>
      </c>
      <c r="DF449" s="253" t="s">
        <v>153</v>
      </c>
      <c r="DG449" s="254" t="s">
        <v>153</v>
      </c>
      <c r="DH449" s="255" t="s">
        <v>153</v>
      </c>
      <c r="DI449" s="256" t="s">
        <v>153</v>
      </c>
      <c r="DJ449" s="257" t="s">
        <v>153</v>
      </c>
      <c r="DK449" s="258" t="s">
        <v>153</v>
      </c>
      <c r="DL449" s="259" t="s">
        <v>153</v>
      </c>
      <c r="DM449" s="260" t="s">
        <v>153</v>
      </c>
      <c r="DN449" s="261" t="s">
        <v>153</v>
      </c>
      <c r="DO449" s="262" t="s">
        <v>153</v>
      </c>
      <c r="DP449" s="263" t="s">
        <v>153</v>
      </c>
      <c r="DQ449" s="264" t="s">
        <v>153</v>
      </c>
      <c r="DR449" s="265" t="s">
        <v>153</v>
      </c>
      <c r="DS449" s="266" t="s">
        <v>153</v>
      </c>
      <c r="DT449" s="267" t="s">
        <v>153</v>
      </c>
      <c r="DU449" s="268" t="s">
        <v>153</v>
      </c>
      <c r="DV449" s="269" t="s">
        <v>153</v>
      </c>
      <c r="DW449" s="270" t="s">
        <v>153</v>
      </c>
      <c r="DX449" s="271" t="s">
        <v>153</v>
      </c>
      <c r="DY449" s="272" t="s">
        <v>153</v>
      </c>
      <c r="DZ449" s="273" t="s">
        <v>191</v>
      </c>
      <c r="EA449" s="274">
        <v>44260</v>
      </c>
      <c r="EB449" s="275">
        <v>9200</v>
      </c>
      <c r="EC449" s="276">
        <v>43257</v>
      </c>
      <c r="ED449" s="277" t="s">
        <v>226</v>
      </c>
      <c r="EE449" s="279" t="str">
        <f>HYPERLINK("https://my.pitchbook.com?c=11828-35", "View company online")</f>
        <v>View company online</v>
      </c>
    </row>
    <row r="450" spans="1:135" x14ac:dyDescent="0.45">
      <c r="A450" s="10" t="s">
        <v>9375</v>
      </c>
      <c r="B450" s="11" t="s">
        <v>9376</v>
      </c>
      <c r="C450" s="12" t="s">
        <v>153</v>
      </c>
      <c r="D450" s="13" t="s">
        <v>153</v>
      </c>
      <c r="E450" s="14" t="s">
        <v>153</v>
      </c>
      <c r="F450" s="15" t="s">
        <v>153</v>
      </c>
      <c r="G450" s="16" t="s">
        <v>9377</v>
      </c>
      <c r="H450" s="17" t="s">
        <v>153</v>
      </c>
      <c r="I450" s="18" t="s">
        <v>9375</v>
      </c>
      <c r="J450" s="19" t="s">
        <v>9378</v>
      </c>
      <c r="K450" s="20" t="s">
        <v>882</v>
      </c>
      <c r="L450" s="21" t="s">
        <v>883</v>
      </c>
      <c r="M450" s="22" t="s">
        <v>2243</v>
      </c>
      <c r="N450" s="23" t="s">
        <v>9379</v>
      </c>
      <c r="O450" s="24" t="s">
        <v>399</v>
      </c>
      <c r="P450" s="25" t="s">
        <v>9380</v>
      </c>
      <c r="Q450" s="26" t="s">
        <v>204</v>
      </c>
      <c r="R450" s="27" t="s">
        <v>153</v>
      </c>
      <c r="S450" s="28" t="s">
        <v>163</v>
      </c>
      <c r="T450" s="29" t="s">
        <v>205</v>
      </c>
      <c r="U450" s="30" t="s">
        <v>206</v>
      </c>
      <c r="V450" s="31" t="s">
        <v>9381</v>
      </c>
      <c r="W450" s="32">
        <v>14</v>
      </c>
      <c r="X450" s="33" t="s">
        <v>9382</v>
      </c>
      <c r="Y450" s="34" t="s">
        <v>153</v>
      </c>
      <c r="Z450" s="35" t="s">
        <v>153</v>
      </c>
      <c r="AA450" s="36">
        <v>2001</v>
      </c>
      <c r="AB450" s="37" t="s">
        <v>153</v>
      </c>
      <c r="AC450" s="38" t="s">
        <v>153</v>
      </c>
      <c r="AD450" s="39" t="s">
        <v>153</v>
      </c>
      <c r="AE450" s="40" t="s">
        <v>153</v>
      </c>
      <c r="AF450" s="41" t="s">
        <v>153</v>
      </c>
      <c r="AG450" s="42" t="s">
        <v>153</v>
      </c>
      <c r="AH450" s="43" t="s">
        <v>153</v>
      </c>
      <c r="AI450" s="44" t="s">
        <v>153</v>
      </c>
      <c r="AJ450" s="45" t="s">
        <v>153</v>
      </c>
      <c r="AK450" s="46" t="s">
        <v>153</v>
      </c>
      <c r="AL450" s="47" t="s">
        <v>153</v>
      </c>
      <c r="AM450" s="48" t="s">
        <v>153</v>
      </c>
      <c r="AN450" s="49" t="s">
        <v>153</v>
      </c>
      <c r="AO450" s="50" t="s">
        <v>153</v>
      </c>
      <c r="AP450" s="51" t="s">
        <v>153</v>
      </c>
      <c r="AQ450" s="52" t="s">
        <v>153</v>
      </c>
      <c r="AR450" s="53" t="s">
        <v>153</v>
      </c>
      <c r="AS450" s="54" t="s">
        <v>153</v>
      </c>
      <c r="AT450" s="55" t="s">
        <v>2399</v>
      </c>
      <c r="AU450" s="56" t="s">
        <v>9383</v>
      </c>
      <c r="AV450" s="57" t="s">
        <v>153</v>
      </c>
      <c r="AW450" s="58" t="s">
        <v>2402</v>
      </c>
      <c r="AX450" s="59" t="s">
        <v>2403</v>
      </c>
      <c r="AY450" s="60" t="s">
        <v>9384</v>
      </c>
      <c r="AZ450" s="61" t="s">
        <v>215</v>
      </c>
      <c r="BA450" s="62" t="s">
        <v>153</v>
      </c>
      <c r="BB450" s="63" t="s">
        <v>153</v>
      </c>
      <c r="BC450" s="64" t="s">
        <v>153</v>
      </c>
      <c r="BD450" s="65" t="s">
        <v>216</v>
      </c>
      <c r="BE450" s="66" t="s">
        <v>217</v>
      </c>
      <c r="BF450" s="67" t="s">
        <v>9385</v>
      </c>
      <c r="BG450" s="68" t="s">
        <v>153</v>
      </c>
      <c r="BH450" s="69" t="s">
        <v>153</v>
      </c>
      <c r="BI450" s="70" t="s">
        <v>6693</v>
      </c>
      <c r="BJ450" s="71" t="s">
        <v>153</v>
      </c>
      <c r="BK450" s="72" t="s">
        <v>153</v>
      </c>
      <c r="BL450" s="73" t="s">
        <v>153</v>
      </c>
      <c r="BM450" s="74" t="s">
        <v>153</v>
      </c>
      <c r="BN450" s="75" t="s">
        <v>153</v>
      </c>
      <c r="BO450" s="76" t="s">
        <v>153</v>
      </c>
      <c r="BP450" s="77" t="s">
        <v>9386</v>
      </c>
      <c r="BQ450" s="78">
        <v>41789</v>
      </c>
      <c r="BR450" s="79">
        <v>9185</v>
      </c>
      <c r="BS450" s="80" t="s">
        <v>186</v>
      </c>
      <c r="BT450" s="81">
        <v>9185</v>
      </c>
      <c r="BU450" s="82" t="s">
        <v>186</v>
      </c>
      <c r="BV450" s="83" t="s">
        <v>226</v>
      </c>
      <c r="BW450" s="84" t="s">
        <v>153</v>
      </c>
      <c r="BX450" s="85" t="s">
        <v>153</v>
      </c>
      <c r="BY450" s="86" t="s">
        <v>225</v>
      </c>
      <c r="BZ450" s="87" t="s">
        <v>153</v>
      </c>
      <c r="CA450" s="88" t="s">
        <v>190</v>
      </c>
      <c r="CB450" s="89">
        <v>41789</v>
      </c>
      <c r="CC450" s="90">
        <v>9185</v>
      </c>
      <c r="CD450" s="91" t="s">
        <v>186</v>
      </c>
      <c r="CE450" s="92">
        <v>9185</v>
      </c>
      <c r="CF450" s="93" t="s">
        <v>186</v>
      </c>
      <c r="CG450" s="94" t="s">
        <v>226</v>
      </c>
      <c r="CH450" s="95" t="s">
        <v>153</v>
      </c>
      <c r="CI450" s="96" t="s">
        <v>153</v>
      </c>
      <c r="CJ450" s="97" t="s">
        <v>225</v>
      </c>
      <c r="CK450" s="98">
        <v>41789</v>
      </c>
      <c r="CL450" s="99" t="s">
        <v>153</v>
      </c>
      <c r="CM450" s="100" t="s">
        <v>153</v>
      </c>
      <c r="CN450" s="101" t="s">
        <v>190</v>
      </c>
      <c r="CO450" s="102" t="s">
        <v>153</v>
      </c>
      <c r="CP450" s="103" t="s">
        <v>153</v>
      </c>
      <c r="CQ450" s="104" t="s">
        <v>153</v>
      </c>
      <c r="CR450" s="105" t="s">
        <v>153</v>
      </c>
      <c r="CS450" s="106" t="s">
        <v>153</v>
      </c>
      <c r="CT450" s="107" t="s">
        <v>153</v>
      </c>
      <c r="CU450" s="108" t="s">
        <v>153</v>
      </c>
      <c r="CV450" s="109" t="s">
        <v>153</v>
      </c>
      <c r="CW450" s="110" t="s">
        <v>153</v>
      </c>
      <c r="CX450" s="111" t="s">
        <v>153</v>
      </c>
      <c r="CY450" s="112" t="s">
        <v>153</v>
      </c>
      <c r="CZ450" s="113" t="s">
        <v>153</v>
      </c>
      <c r="DA450" s="114" t="s">
        <v>153</v>
      </c>
      <c r="DB450" s="115" t="s">
        <v>153</v>
      </c>
      <c r="DC450" s="116" t="s">
        <v>153</v>
      </c>
      <c r="DD450" s="117" t="s">
        <v>153</v>
      </c>
      <c r="DE450" s="118" t="s">
        <v>153</v>
      </c>
      <c r="DF450" s="119" t="s">
        <v>153</v>
      </c>
      <c r="DG450" s="120" t="s">
        <v>153</v>
      </c>
      <c r="DH450" s="121" t="s">
        <v>153</v>
      </c>
      <c r="DI450" s="122" t="s">
        <v>153</v>
      </c>
      <c r="DJ450" s="123" t="s">
        <v>153</v>
      </c>
      <c r="DK450" s="124" t="s">
        <v>153</v>
      </c>
      <c r="DL450" s="125" t="s">
        <v>153</v>
      </c>
      <c r="DM450" s="126" t="s">
        <v>153</v>
      </c>
      <c r="DN450" s="127" t="s">
        <v>153</v>
      </c>
      <c r="DO450" s="128" t="s">
        <v>153</v>
      </c>
      <c r="DP450" s="129" t="s">
        <v>153</v>
      </c>
      <c r="DQ450" s="130" t="s">
        <v>153</v>
      </c>
      <c r="DR450" s="131" t="s">
        <v>153</v>
      </c>
      <c r="DS450" s="132" t="s">
        <v>153</v>
      </c>
      <c r="DT450" s="133" t="s">
        <v>153</v>
      </c>
      <c r="DU450" s="134" t="s">
        <v>153</v>
      </c>
      <c r="DV450" s="135" t="s">
        <v>153</v>
      </c>
      <c r="DW450" s="136" t="s">
        <v>153</v>
      </c>
      <c r="DX450" s="137" t="s">
        <v>153</v>
      </c>
      <c r="DY450" s="138" t="s">
        <v>153</v>
      </c>
      <c r="DZ450" s="139" t="s">
        <v>191</v>
      </c>
      <c r="EA450" s="140">
        <v>44210</v>
      </c>
      <c r="EB450" s="141">
        <v>9185</v>
      </c>
      <c r="EC450" s="142">
        <v>41789</v>
      </c>
      <c r="ED450" s="143" t="s">
        <v>226</v>
      </c>
      <c r="EE450" s="278" t="str">
        <f>HYPERLINK("https://my.pitchbook.com?c=63581-86", "View company online")</f>
        <v>View company online</v>
      </c>
    </row>
    <row r="451" spans="1:135" x14ac:dyDescent="0.45">
      <c r="A451" s="144" t="s">
        <v>9387</v>
      </c>
      <c r="B451" s="145" t="s">
        <v>9388</v>
      </c>
      <c r="C451" s="146" t="s">
        <v>153</v>
      </c>
      <c r="D451" s="147" t="s">
        <v>153</v>
      </c>
      <c r="E451" s="148" t="s">
        <v>9389</v>
      </c>
      <c r="F451" s="149" t="s">
        <v>9390</v>
      </c>
      <c r="G451" s="150" t="s">
        <v>9391</v>
      </c>
      <c r="H451" s="151" t="s">
        <v>153</v>
      </c>
      <c r="I451" s="152" t="s">
        <v>9387</v>
      </c>
      <c r="J451" s="153" t="s">
        <v>9392</v>
      </c>
      <c r="K451" s="154" t="s">
        <v>257</v>
      </c>
      <c r="L451" s="155" t="s">
        <v>530</v>
      </c>
      <c r="M451" s="156" t="s">
        <v>9393</v>
      </c>
      <c r="N451" s="157" t="s">
        <v>9394</v>
      </c>
      <c r="O451" s="158" t="s">
        <v>153</v>
      </c>
      <c r="P451" s="159" t="s">
        <v>9395</v>
      </c>
      <c r="Q451" s="160" t="s">
        <v>204</v>
      </c>
      <c r="R451" s="161" t="s">
        <v>153</v>
      </c>
      <c r="S451" s="162" t="s">
        <v>163</v>
      </c>
      <c r="T451" s="163" t="s">
        <v>164</v>
      </c>
      <c r="U451" s="164" t="s">
        <v>237</v>
      </c>
      <c r="V451" s="165" t="s">
        <v>9396</v>
      </c>
      <c r="W451" s="166" t="s">
        <v>153</v>
      </c>
      <c r="X451" s="167" t="s">
        <v>153</v>
      </c>
      <c r="Y451" s="168" t="s">
        <v>153</v>
      </c>
      <c r="Z451" s="169" t="s">
        <v>153</v>
      </c>
      <c r="AA451" s="170">
        <v>1938</v>
      </c>
      <c r="AB451" s="171" t="s">
        <v>9397</v>
      </c>
      <c r="AC451" s="172" t="s">
        <v>153</v>
      </c>
      <c r="AD451" s="173" t="s">
        <v>153</v>
      </c>
      <c r="AE451" s="174">
        <v>208963</v>
      </c>
      <c r="AF451" s="175">
        <v>7131</v>
      </c>
      <c r="AG451" s="176" t="s">
        <v>153</v>
      </c>
      <c r="AH451" s="177" t="s">
        <v>153</v>
      </c>
      <c r="AI451" s="178" t="s">
        <v>153</v>
      </c>
      <c r="AJ451" s="179">
        <v>-5106</v>
      </c>
      <c r="AK451" s="180" t="s">
        <v>153</v>
      </c>
      <c r="AL451" s="181" t="s">
        <v>153</v>
      </c>
      <c r="AM451" s="182" t="s">
        <v>153</v>
      </c>
      <c r="AN451" s="183" t="s">
        <v>168</v>
      </c>
      <c r="AO451" s="184" t="s">
        <v>9398</v>
      </c>
      <c r="AP451" s="185" t="s">
        <v>9399</v>
      </c>
      <c r="AQ451" s="186" t="s">
        <v>6548</v>
      </c>
      <c r="AR451" s="187" t="s">
        <v>9400</v>
      </c>
      <c r="AS451" s="188" t="s">
        <v>9401</v>
      </c>
      <c r="AT451" s="189" t="s">
        <v>9402</v>
      </c>
      <c r="AU451" s="190" t="s">
        <v>9403</v>
      </c>
      <c r="AV451" s="191" t="s">
        <v>153</v>
      </c>
      <c r="AW451" s="192" t="s">
        <v>9404</v>
      </c>
      <c r="AX451" s="193" t="s">
        <v>177</v>
      </c>
      <c r="AY451" s="194" t="s">
        <v>9405</v>
      </c>
      <c r="AZ451" s="195" t="s">
        <v>179</v>
      </c>
      <c r="BA451" s="196" t="s">
        <v>9401</v>
      </c>
      <c r="BB451" s="197" t="s">
        <v>153</v>
      </c>
      <c r="BC451" s="198" t="s">
        <v>9406</v>
      </c>
      <c r="BD451" s="199" t="s">
        <v>180</v>
      </c>
      <c r="BE451" s="200" t="s">
        <v>181</v>
      </c>
      <c r="BF451" s="201" t="s">
        <v>9407</v>
      </c>
      <c r="BG451" s="202" t="s">
        <v>153</v>
      </c>
      <c r="BH451" s="203" t="s">
        <v>153</v>
      </c>
      <c r="BI451" s="204" t="s">
        <v>9397</v>
      </c>
      <c r="BJ451" s="205" t="s">
        <v>4599</v>
      </c>
      <c r="BK451" s="206" t="s">
        <v>153</v>
      </c>
      <c r="BL451" s="207" t="s">
        <v>153</v>
      </c>
      <c r="BM451" s="208" t="s">
        <v>9408</v>
      </c>
      <c r="BN451" s="209" t="s">
        <v>153</v>
      </c>
      <c r="BO451" s="210" t="s">
        <v>9409</v>
      </c>
      <c r="BP451" s="211" t="s">
        <v>153</v>
      </c>
      <c r="BQ451" s="212">
        <v>35431</v>
      </c>
      <c r="BR451" s="213" t="s">
        <v>153</v>
      </c>
      <c r="BS451" s="214" t="s">
        <v>153</v>
      </c>
      <c r="BT451" s="215" t="s">
        <v>153</v>
      </c>
      <c r="BU451" s="216" t="s">
        <v>153</v>
      </c>
      <c r="BV451" s="217" t="s">
        <v>3319</v>
      </c>
      <c r="BW451" s="218" t="s">
        <v>153</v>
      </c>
      <c r="BX451" s="219" t="s">
        <v>153</v>
      </c>
      <c r="BY451" s="220" t="s">
        <v>225</v>
      </c>
      <c r="BZ451" s="221" t="s">
        <v>153</v>
      </c>
      <c r="CA451" s="222" t="s">
        <v>190</v>
      </c>
      <c r="CB451" s="223">
        <v>44349</v>
      </c>
      <c r="CC451" s="224">
        <v>9161.67</v>
      </c>
      <c r="CD451" s="225" t="s">
        <v>186</v>
      </c>
      <c r="CE451" s="226">
        <v>9161.67</v>
      </c>
      <c r="CF451" s="227" t="s">
        <v>187</v>
      </c>
      <c r="CG451" s="228" t="s">
        <v>226</v>
      </c>
      <c r="CH451" s="229" t="s">
        <v>729</v>
      </c>
      <c r="CI451" s="230" t="s">
        <v>153</v>
      </c>
      <c r="CJ451" s="231" t="s">
        <v>225</v>
      </c>
      <c r="CK451" s="232">
        <v>44349</v>
      </c>
      <c r="CL451" s="233" t="s">
        <v>153</v>
      </c>
      <c r="CM451" s="234" t="s">
        <v>153</v>
      </c>
      <c r="CN451" s="235" t="s">
        <v>190</v>
      </c>
      <c r="CO451" s="236">
        <v>1.22</v>
      </c>
      <c r="CP451" s="237">
        <v>97</v>
      </c>
      <c r="CQ451" s="238">
        <v>-0.25</v>
      </c>
      <c r="CR451" s="239">
        <v>-16.989999999999998</v>
      </c>
      <c r="CS451" s="240">
        <v>1.22</v>
      </c>
      <c r="CT451" s="241">
        <v>96</v>
      </c>
      <c r="CU451" s="242" t="s">
        <v>153</v>
      </c>
      <c r="CV451" s="243" t="s">
        <v>153</v>
      </c>
      <c r="CW451" s="244" t="s">
        <v>153</v>
      </c>
      <c r="CX451" s="245" t="s">
        <v>153</v>
      </c>
      <c r="CY451" s="246">
        <v>1.22</v>
      </c>
      <c r="CZ451" s="247">
        <v>98</v>
      </c>
      <c r="DA451" s="248" t="s">
        <v>153</v>
      </c>
      <c r="DB451" s="249" t="s">
        <v>153</v>
      </c>
      <c r="DC451" s="250">
        <v>35.5</v>
      </c>
      <c r="DD451" s="251">
        <v>98</v>
      </c>
      <c r="DE451" s="252">
        <v>0.5</v>
      </c>
      <c r="DF451" s="253">
        <v>1.43</v>
      </c>
      <c r="DG451" s="254">
        <v>35.5</v>
      </c>
      <c r="DH451" s="255">
        <v>98</v>
      </c>
      <c r="DI451" s="256" t="s">
        <v>153</v>
      </c>
      <c r="DJ451" s="257" t="s">
        <v>153</v>
      </c>
      <c r="DK451" s="258" t="s">
        <v>153</v>
      </c>
      <c r="DL451" s="259" t="s">
        <v>153</v>
      </c>
      <c r="DM451" s="260">
        <v>35.5</v>
      </c>
      <c r="DN451" s="261">
        <v>97</v>
      </c>
      <c r="DO451" s="262" t="s">
        <v>153</v>
      </c>
      <c r="DP451" s="263" t="s">
        <v>153</v>
      </c>
      <c r="DQ451" s="264" t="s">
        <v>153</v>
      </c>
      <c r="DR451" s="265" t="s">
        <v>153</v>
      </c>
      <c r="DS451" s="266" t="s">
        <v>153</v>
      </c>
      <c r="DT451" s="267">
        <v>564</v>
      </c>
      <c r="DU451" s="268">
        <v>8</v>
      </c>
      <c r="DV451" s="269">
        <v>1.44</v>
      </c>
      <c r="DW451" s="270" t="s">
        <v>153</v>
      </c>
      <c r="DX451" s="271" t="s">
        <v>153</v>
      </c>
      <c r="DY451" s="272" t="s">
        <v>153</v>
      </c>
      <c r="DZ451" s="273" t="s">
        <v>191</v>
      </c>
      <c r="EA451" s="274">
        <v>44354</v>
      </c>
      <c r="EB451" s="275">
        <v>9161.67</v>
      </c>
      <c r="EC451" s="276">
        <v>44349</v>
      </c>
      <c r="ED451" s="277" t="s">
        <v>226</v>
      </c>
      <c r="EE451" s="279" t="str">
        <f>HYPERLINK("https://my.pitchbook.com?c=119330-11", "View company online")</f>
        <v>View company online</v>
      </c>
    </row>
    <row r="452" spans="1:135" x14ac:dyDescent="0.45">
      <c r="A452" s="10" t="s">
        <v>9410</v>
      </c>
      <c r="B452" s="11" t="s">
        <v>9411</v>
      </c>
      <c r="C452" s="12" t="s">
        <v>153</v>
      </c>
      <c r="D452" s="13" t="s">
        <v>153</v>
      </c>
      <c r="E452" s="14" t="s">
        <v>153</v>
      </c>
      <c r="F452" s="15" t="s">
        <v>153</v>
      </c>
      <c r="G452" s="16" t="s">
        <v>153</v>
      </c>
      <c r="H452" s="17" t="s">
        <v>153</v>
      </c>
      <c r="I452" s="18" t="s">
        <v>9410</v>
      </c>
      <c r="J452" s="19" t="s">
        <v>9412</v>
      </c>
      <c r="K452" s="20" t="s">
        <v>882</v>
      </c>
      <c r="L452" s="21" t="s">
        <v>2888</v>
      </c>
      <c r="M452" s="22" t="s">
        <v>2889</v>
      </c>
      <c r="N452" s="23" t="s">
        <v>3484</v>
      </c>
      <c r="O452" s="24" t="s">
        <v>153</v>
      </c>
      <c r="P452" s="25" t="s">
        <v>9413</v>
      </c>
      <c r="Q452" s="26" t="s">
        <v>204</v>
      </c>
      <c r="R452" s="27" t="s">
        <v>153</v>
      </c>
      <c r="S452" s="28" t="s">
        <v>153</v>
      </c>
      <c r="T452" s="29" t="s">
        <v>205</v>
      </c>
      <c r="U452" s="30" t="s">
        <v>206</v>
      </c>
      <c r="V452" s="31" t="s">
        <v>153</v>
      </c>
      <c r="W452" s="32" t="s">
        <v>153</v>
      </c>
      <c r="X452" s="33" t="s">
        <v>153</v>
      </c>
      <c r="Y452" s="34" t="s">
        <v>153</v>
      </c>
      <c r="Z452" s="35" t="s">
        <v>153</v>
      </c>
      <c r="AA452" s="36" t="s">
        <v>153</v>
      </c>
      <c r="AB452" s="37" t="s">
        <v>153</v>
      </c>
      <c r="AC452" s="38" t="s">
        <v>153</v>
      </c>
      <c r="AD452" s="39" t="s">
        <v>153</v>
      </c>
      <c r="AE452" s="40" t="s">
        <v>153</v>
      </c>
      <c r="AF452" s="41" t="s">
        <v>153</v>
      </c>
      <c r="AG452" s="42" t="s">
        <v>153</v>
      </c>
      <c r="AH452" s="43" t="s">
        <v>153</v>
      </c>
      <c r="AI452" s="44" t="s">
        <v>153</v>
      </c>
      <c r="AJ452" s="45" t="s">
        <v>153</v>
      </c>
      <c r="AK452" s="46" t="s">
        <v>153</v>
      </c>
      <c r="AL452" s="47" t="s">
        <v>153</v>
      </c>
      <c r="AM452" s="48" t="s">
        <v>153</v>
      </c>
      <c r="AN452" s="49" t="s">
        <v>153</v>
      </c>
      <c r="AO452" s="50" t="s">
        <v>153</v>
      </c>
      <c r="AP452" s="51" t="s">
        <v>153</v>
      </c>
      <c r="AQ452" s="52" t="s">
        <v>153</v>
      </c>
      <c r="AR452" s="53" t="s">
        <v>153</v>
      </c>
      <c r="AS452" s="54" t="s">
        <v>153</v>
      </c>
      <c r="AT452" s="55" t="s">
        <v>1399</v>
      </c>
      <c r="AU452" s="56" t="s">
        <v>9414</v>
      </c>
      <c r="AV452" s="57" t="s">
        <v>9415</v>
      </c>
      <c r="AW452" s="58" t="s">
        <v>1402</v>
      </c>
      <c r="AX452" s="59" t="s">
        <v>153</v>
      </c>
      <c r="AY452" s="60" t="s">
        <v>9416</v>
      </c>
      <c r="AZ452" s="61" t="s">
        <v>1404</v>
      </c>
      <c r="BA452" s="62" t="s">
        <v>153</v>
      </c>
      <c r="BB452" s="63" t="s">
        <v>153</v>
      </c>
      <c r="BC452" s="64" t="s">
        <v>153</v>
      </c>
      <c r="BD452" s="65" t="s">
        <v>1406</v>
      </c>
      <c r="BE452" s="66" t="s">
        <v>1407</v>
      </c>
      <c r="BF452" s="67" t="s">
        <v>9417</v>
      </c>
      <c r="BG452" s="68" t="s">
        <v>153</v>
      </c>
      <c r="BH452" s="69" t="s">
        <v>153</v>
      </c>
      <c r="BI452" s="70" t="s">
        <v>9418</v>
      </c>
      <c r="BJ452" s="71" t="s">
        <v>9419</v>
      </c>
      <c r="BK452" s="72" t="s">
        <v>153</v>
      </c>
      <c r="BL452" s="73" t="s">
        <v>153</v>
      </c>
      <c r="BM452" s="74" t="s">
        <v>9420</v>
      </c>
      <c r="BN452" s="75" t="s">
        <v>153</v>
      </c>
      <c r="BO452" s="76" t="s">
        <v>153</v>
      </c>
      <c r="BP452" s="77" t="s">
        <v>153</v>
      </c>
      <c r="BQ452" s="78">
        <v>43480</v>
      </c>
      <c r="BR452" s="79">
        <v>9154</v>
      </c>
      <c r="BS452" s="80" t="s">
        <v>186</v>
      </c>
      <c r="BT452" s="81">
        <v>9154</v>
      </c>
      <c r="BU452" s="82" t="s">
        <v>186</v>
      </c>
      <c r="BV452" s="83" t="s">
        <v>1524</v>
      </c>
      <c r="BW452" s="84" t="s">
        <v>1525</v>
      </c>
      <c r="BX452" s="85" t="s">
        <v>1526</v>
      </c>
      <c r="BY452" s="86" t="s">
        <v>225</v>
      </c>
      <c r="BZ452" s="87" t="s">
        <v>153</v>
      </c>
      <c r="CA452" s="88" t="s">
        <v>190</v>
      </c>
      <c r="CB452" s="89">
        <v>43480</v>
      </c>
      <c r="CC452" s="90">
        <v>9154</v>
      </c>
      <c r="CD452" s="91" t="s">
        <v>186</v>
      </c>
      <c r="CE452" s="92">
        <v>9154</v>
      </c>
      <c r="CF452" s="93" t="s">
        <v>186</v>
      </c>
      <c r="CG452" s="94" t="s">
        <v>1524</v>
      </c>
      <c r="CH452" s="95" t="s">
        <v>1525</v>
      </c>
      <c r="CI452" s="96" t="s">
        <v>1526</v>
      </c>
      <c r="CJ452" s="97" t="s">
        <v>225</v>
      </c>
      <c r="CK452" s="98">
        <v>43480</v>
      </c>
      <c r="CL452" s="99" t="s">
        <v>153</v>
      </c>
      <c r="CM452" s="100" t="s">
        <v>153</v>
      </c>
      <c r="CN452" s="101" t="s">
        <v>190</v>
      </c>
      <c r="CO452" s="102" t="s">
        <v>153</v>
      </c>
      <c r="CP452" s="103" t="s">
        <v>153</v>
      </c>
      <c r="CQ452" s="104" t="s">
        <v>153</v>
      </c>
      <c r="CR452" s="105" t="s">
        <v>153</v>
      </c>
      <c r="CS452" s="106" t="s">
        <v>153</v>
      </c>
      <c r="CT452" s="107" t="s">
        <v>153</v>
      </c>
      <c r="CU452" s="108" t="s">
        <v>153</v>
      </c>
      <c r="CV452" s="109" t="s">
        <v>153</v>
      </c>
      <c r="CW452" s="110" t="s">
        <v>153</v>
      </c>
      <c r="CX452" s="111" t="s">
        <v>153</v>
      </c>
      <c r="CY452" s="112" t="s">
        <v>153</v>
      </c>
      <c r="CZ452" s="113" t="s">
        <v>153</v>
      </c>
      <c r="DA452" s="114" t="s">
        <v>153</v>
      </c>
      <c r="DB452" s="115" t="s">
        <v>153</v>
      </c>
      <c r="DC452" s="116" t="s">
        <v>153</v>
      </c>
      <c r="DD452" s="117" t="s">
        <v>153</v>
      </c>
      <c r="DE452" s="118" t="s">
        <v>153</v>
      </c>
      <c r="DF452" s="119" t="s">
        <v>153</v>
      </c>
      <c r="DG452" s="120" t="s">
        <v>153</v>
      </c>
      <c r="DH452" s="121" t="s">
        <v>153</v>
      </c>
      <c r="DI452" s="122" t="s">
        <v>153</v>
      </c>
      <c r="DJ452" s="123" t="s">
        <v>153</v>
      </c>
      <c r="DK452" s="124" t="s">
        <v>153</v>
      </c>
      <c r="DL452" s="125" t="s">
        <v>153</v>
      </c>
      <c r="DM452" s="126" t="s">
        <v>153</v>
      </c>
      <c r="DN452" s="127" t="s">
        <v>153</v>
      </c>
      <c r="DO452" s="128" t="s">
        <v>153</v>
      </c>
      <c r="DP452" s="129" t="s">
        <v>153</v>
      </c>
      <c r="DQ452" s="130" t="s">
        <v>153</v>
      </c>
      <c r="DR452" s="131" t="s">
        <v>153</v>
      </c>
      <c r="DS452" s="132" t="s">
        <v>153</v>
      </c>
      <c r="DT452" s="133" t="s">
        <v>153</v>
      </c>
      <c r="DU452" s="134" t="s">
        <v>153</v>
      </c>
      <c r="DV452" s="135" t="s">
        <v>153</v>
      </c>
      <c r="DW452" s="136" t="s">
        <v>153</v>
      </c>
      <c r="DX452" s="137" t="s">
        <v>153</v>
      </c>
      <c r="DY452" s="138" t="s">
        <v>153</v>
      </c>
      <c r="DZ452" s="139" t="s">
        <v>191</v>
      </c>
      <c r="EA452" s="140">
        <v>43530</v>
      </c>
      <c r="EB452" s="141">
        <v>9154</v>
      </c>
      <c r="EC452" s="142">
        <v>43480</v>
      </c>
      <c r="ED452" s="143" t="s">
        <v>1524</v>
      </c>
      <c r="EE452" s="278" t="str">
        <f>HYPERLINK("https://my.pitchbook.com?c=264868-30", "View company online")</f>
        <v>View company online</v>
      </c>
    </row>
    <row r="453" spans="1:135" x14ac:dyDescent="0.45">
      <c r="A453" s="144" t="s">
        <v>9421</v>
      </c>
      <c r="B453" s="145" t="s">
        <v>9422</v>
      </c>
      <c r="C453" s="146" t="s">
        <v>153</v>
      </c>
      <c r="D453" s="147" t="s">
        <v>153</v>
      </c>
      <c r="E453" s="148" t="s">
        <v>153</v>
      </c>
      <c r="F453" s="149" t="s">
        <v>9423</v>
      </c>
      <c r="G453" s="150" t="s">
        <v>9424</v>
      </c>
      <c r="H453" s="151" t="s">
        <v>9425</v>
      </c>
      <c r="I453" s="152" t="s">
        <v>9421</v>
      </c>
      <c r="J453" s="153" t="s">
        <v>9426</v>
      </c>
      <c r="K453" s="154" t="s">
        <v>157</v>
      </c>
      <c r="L453" s="155" t="s">
        <v>2713</v>
      </c>
      <c r="M453" s="156" t="s">
        <v>2714</v>
      </c>
      <c r="N453" s="157" t="s">
        <v>9427</v>
      </c>
      <c r="O453" s="158" t="s">
        <v>153</v>
      </c>
      <c r="P453" s="159" t="s">
        <v>9428</v>
      </c>
      <c r="Q453" s="160" t="s">
        <v>204</v>
      </c>
      <c r="R453" s="161" t="s">
        <v>153</v>
      </c>
      <c r="S453" s="162" t="s">
        <v>290</v>
      </c>
      <c r="T453" s="163" t="s">
        <v>164</v>
      </c>
      <c r="U453" s="164" t="s">
        <v>369</v>
      </c>
      <c r="V453" s="165" t="s">
        <v>9429</v>
      </c>
      <c r="W453" s="166">
        <v>60000</v>
      </c>
      <c r="X453" s="167" t="s">
        <v>9430</v>
      </c>
      <c r="Y453" s="168" t="s">
        <v>153</v>
      </c>
      <c r="Z453" s="169" t="s">
        <v>153</v>
      </c>
      <c r="AA453" s="170">
        <v>1959</v>
      </c>
      <c r="AB453" s="171" t="s">
        <v>9431</v>
      </c>
      <c r="AC453" s="172" t="s">
        <v>153</v>
      </c>
      <c r="AD453" s="173" t="s">
        <v>153</v>
      </c>
      <c r="AE453" s="174" t="s">
        <v>153</v>
      </c>
      <c r="AF453" s="175" t="s">
        <v>153</v>
      </c>
      <c r="AG453" s="176" t="s">
        <v>153</v>
      </c>
      <c r="AH453" s="177" t="s">
        <v>153</v>
      </c>
      <c r="AI453" s="178" t="s">
        <v>153</v>
      </c>
      <c r="AJ453" s="179" t="s">
        <v>153</v>
      </c>
      <c r="AK453" s="180" t="s">
        <v>153</v>
      </c>
      <c r="AL453" s="181" t="s">
        <v>153</v>
      </c>
      <c r="AM453" s="182" t="s">
        <v>153</v>
      </c>
      <c r="AN453" s="183" t="s">
        <v>1595</v>
      </c>
      <c r="AO453" s="184" t="s">
        <v>9432</v>
      </c>
      <c r="AP453" s="185" t="s">
        <v>9433</v>
      </c>
      <c r="AQ453" s="186" t="s">
        <v>2928</v>
      </c>
      <c r="AR453" s="187" t="s">
        <v>9434</v>
      </c>
      <c r="AS453" s="188" t="s">
        <v>9435</v>
      </c>
      <c r="AT453" s="189" t="s">
        <v>2806</v>
      </c>
      <c r="AU453" s="190" t="s">
        <v>9436</v>
      </c>
      <c r="AV453" s="191" t="s">
        <v>153</v>
      </c>
      <c r="AW453" s="192" t="s">
        <v>2809</v>
      </c>
      <c r="AX453" s="193" t="s">
        <v>1862</v>
      </c>
      <c r="AY453" s="194" t="s">
        <v>9437</v>
      </c>
      <c r="AZ453" s="195" t="s">
        <v>215</v>
      </c>
      <c r="BA453" s="196" t="s">
        <v>9435</v>
      </c>
      <c r="BB453" s="197" t="s">
        <v>153</v>
      </c>
      <c r="BC453" s="198" t="s">
        <v>9438</v>
      </c>
      <c r="BD453" s="199" t="s">
        <v>216</v>
      </c>
      <c r="BE453" s="200" t="s">
        <v>217</v>
      </c>
      <c r="BF453" s="201" t="s">
        <v>9439</v>
      </c>
      <c r="BG453" s="202" t="s">
        <v>153</v>
      </c>
      <c r="BH453" s="203" t="s">
        <v>153</v>
      </c>
      <c r="BI453" s="204" t="s">
        <v>9431</v>
      </c>
      <c r="BJ453" s="205" t="s">
        <v>9440</v>
      </c>
      <c r="BK453" s="206" t="s">
        <v>9441</v>
      </c>
      <c r="BL453" s="207" t="s">
        <v>153</v>
      </c>
      <c r="BM453" s="208" t="s">
        <v>9442</v>
      </c>
      <c r="BN453" s="209" t="s">
        <v>9443</v>
      </c>
      <c r="BO453" s="210" t="s">
        <v>9444</v>
      </c>
      <c r="BP453" s="211" t="s">
        <v>9445</v>
      </c>
      <c r="BQ453" s="212">
        <v>29081</v>
      </c>
      <c r="BR453" s="213" t="s">
        <v>153</v>
      </c>
      <c r="BS453" s="214" t="s">
        <v>153</v>
      </c>
      <c r="BT453" s="215" t="s">
        <v>153</v>
      </c>
      <c r="BU453" s="216" t="s">
        <v>153</v>
      </c>
      <c r="BV453" s="217" t="s">
        <v>251</v>
      </c>
      <c r="BW453" s="218" t="s">
        <v>153</v>
      </c>
      <c r="BX453" s="219" t="s">
        <v>153</v>
      </c>
      <c r="BY453" s="220" t="s">
        <v>252</v>
      </c>
      <c r="BZ453" s="221" t="s">
        <v>153</v>
      </c>
      <c r="CA453" s="222" t="s">
        <v>190</v>
      </c>
      <c r="CB453" s="223">
        <v>42191</v>
      </c>
      <c r="CC453" s="224">
        <v>9123.1</v>
      </c>
      <c r="CD453" s="225" t="s">
        <v>186</v>
      </c>
      <c r="CE453" s="226">
        <v>9123.1</v>
      </c>
      <c r="CF453" s="227" t="s">
        <v>187</v>
      </c>
      <c r="CG453" s="228" t="s">
        <v>226</v>
      </c>
      <c r="CH453" s="229" t="s">
        <v>153</v>
      </c>
      <c r="CI453" s="230" t="s">
        <v>153</v>
      </c>
      <c r="CJ453" s="231" t="s">
        <v>225</v>
      </c>
      <c r="CK453" s="232">
        <v>42191</v>
      </c>
      <c r="CL453" s="233" t="s">
        <v>153</v>
      </c>
      <c r="CM453" s="234" t="s">
        <v>153</v>
      </c>
      <c r="CN453" s="235" t="s">
        <v>190</v>
      </c>
      <c r="CO453" s="236">
        <v>0.19</v>
      </c>
      <c r="CP453" s="237">
        <v>90</v>
      </c>
      <c r="CQ453" s="238">
        <v>-0.01</v>
      </c>
      <c r="CR453" s="239">
        <v>-6.61</v>
      </c>
      <c r="CS453" s="240">
        <v>0.65</v>
      </c>
      <c r="CT453" s="241">
        <v>94</v>
      </c>
      <c r="CU453" s="242">
        <v>-0.09</v>
      </c>
      <c r="CV453" s="243">
        <v>21</v>
      </c>
      <c r="CW453" s="244">
        <v>0.9</v>
      </c>
      <c r="CX453" s="245">
        <v>81</v>
      </c>
      <c r="CY453" s="246">
        <v>0.39</v>
      </c>
      <c r="CZ453" s="247">
        <v>93</v>
      </c>
      <c r="DA453" s="248">
        <v>-0.09</v>
      </c>
      <c r="DB453" s="249">
        <v>21</v>
      </c>
      <c r="DC453" s="250">
        <v>8781.1</v>
      </c>
      <c r="DD453" s="251">
        <v>100</v>
      </c>
      <c r="DE453" s="252">
        <v>0.88</v>
      </c>
      <c r="DF453" s="253">
        <v>0.01</v>
      </c>
      <c r="DG453" s="254">
        <v>424.02</v>
      </c>
      <c r="DH453" s="255">
        <v>100</v>
      </c>
      <c r="DI453" s="256">
        <v>147.61000000000001</v>
      </c>
      <c r="DJ453" s="257">
        <v>98</v>
      </c>
      <c r="DK453" s="258">
        <v>536.41999999999996</v>
      </c>
      <c r="DL453" s="259">
        <v>100</v>
      </c>
      <c r="DM453" s="260">
        <v>311.63</v>
      </c>
      <c r="DN453" s="261">
        <v>100</v>
      </c>
      <c r="DO453" s="262">
        <v>147.61000000000001</v>
      </c>
      <c r="DP453" s="263">
        <v>98</v>
      </c>
      <c r="DQ453" s="264">
        <v>317512</v>
      </c>
      <c r="DR453" s="265">
        <v>2136</v>
      </c>
      <c r="DS453" s="266">
        <v>0.68</v>
      </c>
      <c r="DT453" s="267">
        <v>4980</v>
      </c>
      <c r="DU453" s="268">
        <v>16</v>
      </c>
      <c r="DV453" s="269">
        <v>0.32</v>
      </c>
      <c r="DW453" s="270">
        <v>46351</v>
      </c>
      <c r="DX453" s="271">
        <v>12</v>
      </c>
      <c r="DY453" s="272">
        <v>0.03</v>
      </c>
      <c r="DZ453" s="273" t="s">
        <v>191</v>
      </c>
      <c r="EA453" s="274">
        <v>44217</v>
      </c>
      <c r="EB453" s="275">
        <v>9123.1</v>
      </c>
      <c r="EC453" s="276">
        <v>42191</v>
      </c>
      <c r="ED453" s="277" t="s">
        <v>226</v>
      </c>
      <c r="EE453" s="279" t="str">
        <f>HYPERLINK("https://my.pitchbook.com?c=41189-50", "View company online")</f>
        <v>View company online</v>
      </c>
    </row>
    <row r="454" spans="1:135" x14ac:dyDescent="0.45">
      <c r="A454" s="10" t="s">
        <v>9446</v>
      </c>
      <c r="B454" s="11" t="s">
        <v>9447</v>
      </c>
      <c r="C454" s="12" t="s">
        <v>153</v>
      </c>
      <c r="D454" s="13" t="s">
        <v>153</v>
      </c>
      <c r="E454" s="14" t="s">
        <v>153</v>
      </c>
      <c r="F454" s="15" t="s">
        <v>9448</v>
      </c>
      <c r="G454" s="16" t="s">
        <v>153</v>
      </c>
      <c r="H454" s="17" t="s">
        <v>9449</v>
      </c>
      <c r="I454" s="18" t="s">
        <v>9446</v>
      </c>
      <c r="J454" s="19" t="s">
        <v>9450</v>
      </c>
      <c r="K454" s="20" t="s">
        <v>232</v>
      </c>
      <c r="L454" s="21" t="s">
        <v>1016</v>
      </c>
      <c r="M454" s="22" t="s">
        <v>5175</v>
      </c>
      <c r="N454" s="23" t="s">
        <v>9451</v>
      </c>
      <c r="O454" s="24" t="s">
        <v>153</v>
      </c>
      <c r="P454" s="25" t="s">
        <v>9452</v>
      </c>
      <c r="Q454" s="26" t="s">
        <v>204</v>
      </c>
      <c r="R454" s="27" t="s">
        <v>153</v>
      </c>
      <c r="S454" s="28" t="s">
        <v>163</v>
      </c>
      <c r="T454" s="29" t="s">
        <v>205</v>
      </c>
      <c r="U454" s="30" t="s">
        <v>237</v>
      </c>
      <c r="V454" s="31" t="s">
        <v>9453</v>
      </c>
      <c r="W454" s="32">
        <v>5782</v>
      </c>
      <c r="X454" s="33" t="s">
        <v>9454</v>
      </c>
      <c r="Y454" s="34" t="s">
        <v>153</v>
      </c>
      <c r="Z454" s="35" t="s">
        <v>153</v>
      </c>
      <c r="AA454" s="36">
        <v>1917</v>
      </c>
      <c r="AB454" s="37" t="s">
        <v>153</v>
      </c>
      <c r="AC454" s="38" t="s">
        <v>153</v>
      </c>
      <c r="AD454" s="39" t="s">
        <v>153</v>
      </c>
      <c r="AE454" s="40" t="s">
        <v>153</v>
      </c>
      <c r="AF454" s="41" t="s">
        <v>153</v>
      </c>
      <c r="AG454" s="42" t="s">
        <v>153</v>
      </c>
      <c r="AH454" s="43" t="s">
        <v>153</v>
      </c>
      <c r="AI454" s="44" t="s">
        <v>153</v>
      </c>
      <c r="AJ454" s="45" t="s">
        <v>153</v>
      </c>
      <c r="AK454" s="46" t="s">
        <v>153</v>
      </c>
      <c r="AL454" s="47" t="s">
        <v>153</v>
      </c>
      <c r="AM454" s="48" t="s">
        <v>153</v>
      </c>
      <c r="AN454" s="49" t="s">
        <v>2518</v>
      </c>
      <c r="AO454" s="50" t="s">
        <v>9455</v>
      </c>
      <c r="AP454" s="51" t="s">
        <v>9456</v>
      </c>
      <c r="AQ454" s="52" t="s">
        <v>9457</v>
      </c>
      <c r="AR454" s="53" t="s">
        <v>9458</v>
      </c>
      <c r="AS454" s="54" t="s">
        <v>9459</v>
      </c>
      <c r="AT454" s="55" t="s">
        <v>9460</v>
      </c>
      <c r="AU454" s="56" t="s">
        <v>9461</v>
      </c>
      <c r="AV454" s="57" t="s">
        <v>153</v>
      </c>
      <c r="AW454" s="58" t="s">
        <v>9462</v>
      </c>
      <c r="AX454" s="59" t="s">
        <v>9463</v>
      </c>
      <c r="AY454" s="60" t="s">
        <v>9464</v>
      </c>
      <c r="AZ454" s="61" t="s">
        <v>215</v>
      </c>
      <c r="BA454" s="62" t="s">
        <v>9465</v>
      </c>
      <c r="BB454" s="63" t="s">
        <v>9466</v>
      </c>
      <c r="BC454" s="64" t="s">
        <v>153</v>
      </c>
      <c r="BD454" s="65" t="s">
        <v>216</v>
      </c>
      <c r="BE454" s="66" t="s">
        <v>217</v>
      </c>
      <c r="BF454" s="67" t="s">
        <v>9467</v>
      </c>
      <c r="BG454" s="68" t="s">
        <v>153</v>
      </c>
      <c r="BH454" s="69" t="s">
        <v>153</v>
      </c>
      <c r="BI454" s="70" t="s">
        <v>9468</v>
      </c>
      <c r="BJ454" s="71" t="s">
        <v>153</v>
      </c>
      <c r="BK454" s="72" t="s">
        <v>153</v>
      </c>
      <c r="BL454" s="73" t="s">
        <v>153</v>
      </c>
      <c r="BM454" s="74" t="s">
        <v>153</v>
      </c>
      <c r="BN454" s="75" t="s">
        <v>153</v>
      </c>
      <c r="BO454" s="76" t="s">
        <v>9469</v>
      </c>
      <c r="BP454" s="77" t="s">
        <v>9470</v>
      </c>
      <c r="BQ454" s="78">
        <v>26451</v>
      </c>
      <c r="BR454" s="79" t="s">
        <v>153</v>
      </c>
      <c r="BS454" s="80" t="s">
        <v>153</v>
      </c>
      <c r="BT454" s="81" t="s">
        <v>153</v>
      </c>
      <c r="BU454" s="82" t="s">
        <v>153</v>
      </c>
      <c r="BV454" s="83" t="s">
        <v>251</v>
      </c>
      <c r="BW454" s="84" t="s">
        <v>153</v>
      </c>
      <c r="BX454" s="85" t="s">
        <v>153</v>
      </c>
      <c r="BY454" s="86" t="s">
        <v>252</v>
      </c>
      <c r="BZ454" s="87" t="s">
        <v>153</v>
      </c>
      <c r="CA454" s="88" t="s">
        <v>190</v>
      </c>
      <c r="CB454" s="89">
        <v>36315</v>
      </c>
      <c r="CC454" s="90">
        <v>9100</v>
      </c>
      <c r="CD454" s="91" t="s">
        <v>186</v>
      </c>
      <c r="CE454" s="92">
        <v>9100</v>
      </c>
      <c r="CF454" s="93" t="s">
        <v>186</v>
      </c>
      <c r="CG454" s="94" t="s">
        <v>226</v>
      </c>
      <c r="CH454" s="95" t="s">
        <v>153</v>
      </c>
      <c r="CI454" s="96" t="s">
        <v>153</v>
      </c>
      <c r="CJ454" s="97" t="s">
        <v>225</v>
      </c>
      <c r="CK454" s="98">
        <v>36315</v>
      </c>
      <c r="CL454" s="99" t="s">
        <v>153</v>
      </c>
      <c r="CM454" s="100" t="s">
        <v>153</v>
      </c>
      <c r="CN454" s="101" t="s">
        <v>190</v>
      </c>
      <c r="CO454" s="102" t="s">
        <v>153</v>
      </c>
      <c r="CP454" s="103" t="s">
        <v>153</v>
      </c>
      <c r="CQ454" s="104" t="s">
        <v>153</v>
      </c>
      <c r="CR454" s="105" t="s">
        <v>153</v>
      </c>
      <c r="CS454" s="106" t="s">
        <v>153</v>
      </c>
      <c r="CT454" s="107" t="s">
        <v>153</v>
      </c>
      <c r="CU454" s="108" t="s">
        <v>153</v>
      </c>
      <c r="CV454" s="109" t="s">
        <v>153</v>
      </c>
      <c r="CW454" s="110" t="s">
        <v>153</v>
      </c>
      <c r="CX454" s="111" t="s">
        <v>153</v>
      </c>
      <c r="CY454" s="112" t="s">
        <v>153</v>
      </c>
      <c r="CZ454" s="113" t="s">
        <v>153</v>
      </c>
      <c r="DA454" s="114" t="s">
        <v>153</v>
      </c>
      <c r="DB454" s="115" t="s">
        <v>153</v>
      </c>
      <c r="DC454" s="116" t="s">
        <v>153</v>
      </c>
      <c r="DD454" s="117" t="s">
        <v>153</v>
      </c>
      <c r="DE454" s="118" t="s">
        <v>153</v>
      </c>
      <c r="DF454" s="119" t="s">
        <v>153</v>
      </c>
      <c r="DG454" s="120" t="s">
        <v>153</v>
      </c>
      <c r="DH454" s="121" t="s">
        <v>153</v>
      </c>
      <c r="DI454" s="122" t="s">
        <v>153</v>
      </c>
      <c r="DJ454" s="123" t="s">
        <v>153</v>
      </c>
      <c r="DK454" s="124" t="s">
        <v>153</v>
      </c>
      <c r="DL454" s="125" t="s">
        <v>153</v>
      </c>
      <c r="DM454" s="126" t="s">
        <v>153</v>
      </c>
      <c r="DN454" s="127" t="s">
        <v>153</v>
      </c>
      <c r="DO454" s="128" t="s">
        <v>153</v>
      </c>
      <c r="DP454" s="129" t="s">
        <v>153</v>
      </c>
      <c r="DQ454" s="130" t="s">
        <v>153</v>
      </c>
      <c r="DR454" s="131" t="s">
        <v>153</v>
      </c>
      <c r="DS454" s="132" t="s">
        <v>153</v>
      </c>
      <c r="DT454" s="133" t="s">
        <v>153</v>
      </c>
      <c r="DU454" s="134" t="s">
        <v>153</v>
      </c>
      <c r="DV454" s="135" t="s">
        <v>153</v>
      </c>
      <c r="DW454" s="136" t="s">
        <v>153</v>
      </c>
      <c r="DX454" s="137" t="s">
        <v>153</v>
      </c>
      <c r="DY454" s="138" t="s">
        <v>153</v>
      </c>
      <c r="DZ454" s="139" t="s">
        <v>191</v>
      </c>
      <c r="EA454" s="140">
        <v>44385</v>
      </c>
      <c r="EB454" s="141">
        <v>9100</v>
      </c>
      <c r="EC454" s="142">
        <v>36315</v>
      </c>
      <c r="ED454" s="143" t="s">
        <v>226</v>
      </c>
      <c r="EE454" s="278" t="str">
        <f>HYPERLINK("https://my.pitchbook.com?c=11343-88", "View company online")</f>
        <v>View company online</v>
      </c>
    </row>
    <row r="455" spans="1:135" x14ac:dyDescent="0.45">
      <c r="A455" s="144" t="s">
        <v>9471</v>
      </c>
      <c r="B455" s="145" t="s">
        <v>9472</v>
      </c>
      <c r="C455" s="146" t="s">
        <v>153</v>
      </c>
      <c r="D455" s="147" t="s">
        <v>153</v>
      </c>
      <c r="E455" s="148" t="s">
        <v>9473</v>
      </c>
      <c r="F455" s="149" t="s">
        <v>153</v>
      </c>
      <c r="G455" s="150" t="s">
        <v>9474</v>
      </c>
      <c r="H455" s="151" t="s">
        <v>9475</v>
      </c>
      <c r="I455" s="152" t="s">
        <v>9471</v>
      </c>
      <c r="J455" s="153" t="s">
        <v>9476</v>
      </c>
      <c r="K455" s="154" t="s">
        <v>198</v>
      </c>
      <c r="L455" s="155" t="s">
        <v>984</v>
      </c>
      <c r="M455" s="156" t="s">
        <v>8397</v>
      </c>
      <c r="N455" s="157" t="s">
        <v>9477</v>
      </c>
      <c r="O455" s="158" t="s">
        <v>399</v>
      </c>
      <c r="P455" s="159" t="s">
        <v>9478</v>
      </c>
      <c r="Q455" s="160" t="s">
        <v>289</v>
      </c>
      <c r="R455" s="161" t="s">
        <v>153</v>
      </c>
      <c r="S455" s="162" t="s">
        <v>163</v>
      </c>
      <c r="T455" s="163" t="s">
        <v>205</v>
      </c>
      <c r="U455" s="164" t="s">
        <v>941</v>
      </c>
      <c r="V455" s="165" t="s">
        <v>9479</v>
      </c>
      <c r="W455" s="166" t="s">
        <v>153</v>
      </c>
      <c r="X455" s="167" t="s">
        <v>153</v>
      </c>
      <c r="Y455" s="168" t="s">
        <v>153</v>
      </c>
      <c r="Z455" s="169" t="s">
        <v>153</v>
      </c>
      <c r="AA455" s="170" t="s">
        <v>153</v>
      </c>
      <c r="AB455" s="171" t="s">
        <v>153</v>
      </c>
      <c r="AC455" s="172" t="s">
        <v>153</v>
      </c>
      <c r="AD455" s="173" t="s">
        <v>153</v>
      </c>
      <c r="AE455" s="174" t="s">
        <v>153</v>
      </c>
      <c r="AF455" s="175" t="s">
        <v>153</v>
      </c>
      <c r="AG455" s="176" t="s">
        <v>153</v>
      </c>
      <c r="AH455" s="177" t="s">
        <v>153</v>
      </c>
      <c r="AI455" s="178" t="s">
        <v>153</v>
      </c>
      <c r="AJ455" s="179" t="s">
        <v>153</v>
      </c>
      <c r="AK455" s="180" t="s">
        <v>153</v>
      </c>
      <c r="AL455" s="181" t="s">
        <v>153</v>
      </c>
      <c r="AM455" s="182" t="s">
        <v>153</v>
      </c>
      <c r="AN455" s="183" t="s">
        <v>153</v>
      </c>
      <c r="AO455" s="184" t="s">
        <v>153</v>
      </c>
      <c r="AP455" s="185" t="s">
        <v>153</v>
      </c>
      <c r="AQ455" s="186" t="s">
        <v>153</v>
      </c>
      <c r="AR455" s="187" t="s">
        <v>153</v>
      </c>
      <c r="AS455" s="188" t="s">
        <v>153</v>
      </c>
      <c r="AT455" s="189" t="s">
        <v>2033</v>
      </c>
      <c r="AU455" s="190" t="s">
        <v>9480</v>
      </c>
      <c r="AV455" s="191" t="s">
        <v>153</v>
      </c>
      <c r="AW455" s="192" t="s">
        <v>2036</v>
      </c>
      <c r="AX455" s="193" t="s">
        <v>308</v>
      </c>
      <c r="AY455" s="194" t="s">
        <v>2037</v>
      </c>
      <c r="AZ455" s="195" t="s">
        <v>215</v>
      </c>
      <c r="BA455" s="196" t="s">
        <v>153</v>
      </c>
      <c r="BB455" s="197" t="s">
        <v>153</v>
      </c>
      <c r="BC455" s="198" t="s">
        <v>153</v>
      </c>
      <c r="BD455" s="199" t="s">
        <v>216</v>
      </c>
      <c r="BE455" s="200" t="s">
        <v>217</v>
      </c>
      <c r="BF455" s="201" t="s">
        <v>9481</v>
      </c>
      <c r="BG455" s="202" t="s">
        <v>153</v>
      </c>
      <c r="BH455" s="203" t="s">
        <v>153</v>
      </c>
      <c r="BI455" s="204" t="s">
        <v>8906</v>
      </c>
      <c r="BJ455" s="205" t="s">
        <v>9482</v>
      </c>
      <c r="BK455" s="206" t="s">
        <v>153</v>
      </c>
      <c r="BL455" s="207" t="s">
        <v>153</v>
      </c>
      <c r="BM455" s="208" t="s">
        <v>9483</v>
      </c>
      <c r="BN455" s="209" t="s">
        <v>153</v>
      </c>
      <c r="BO455" s="210" t="s">
        <v>9484</v>
      </c>
      <c r="BP455" s="211" t="s">
        <v>153</v>
      </c>
      <c r="BQ455" s="212">
        <v>32874</v>
      </c>
      <c r="BR455" s="213" t="s">
        <v>153</v>
      </c>
      <c r="BS455" s="214" t="s">
        <v>153</v>
      </c>
      <c r="BT455" s="215" t="s">
        <v>153</v>
      </c>
      <c r="BU455" s="216" t="s">
        <v>153</v>
      </c>
      <c r="BV455" s="217" t="s">
        <v>471</v>
      </c>
      <c r="BW455" s="218" t="s">
        <v>153</v>
      </c>
      <c r="BX455" s="219" t="s">
        <v>153</v>
      </c>
      <c r="BY455" s="220" t="s">
        <v>472</v>
      </c>
      <c r="BZ455" s="221" t="s">
        <v>153</v>
      </c>
      <c r="CA455" s="222" t="s">
        <v>190</v>
      </c>
      <c r="CB455" s="223">
        <v>35962</v>
      </c>
      <c r="CC455" s="224">
        <v>9100</v>
      </c>
      <c r="CD455" s="225" t="s">
        <v>186</v>
      </c>
      <c r="CE455" s="226">
        <v>9100</v>
      </c>
      <c r="CF455" s="227" t="s">
        <v>153</v>
      </c>
      <c r="CG455" s="228" t="s">
        <v>226</v>
      </c>
      <c r="CH455" s="229" t="s">
        <v>153</v>
      </c>
      <c r="CI455" s="230" t="s">
        <v>153</v>
      </c>
      <c r="CJ455" s="231" t="s">
        <v>225</v>
      </c>
      <c r="CK455" s="232">
        <v>35962</v>
      </c>
      <c r="CL455" s="233" t="s">
        <v>153</v>
      </c>
      <c r="CM455" s="234" t="s">
        <v>153</v>
      </c>
      <c r="CN455" s="235" t="s">
        <v>190</v>
      </c>
      <c r="CO455" s="236" t="s">
        <v>153</v>
      </c>
      <c r="CP455" s="237" t="s">
        <v>153</v>
      </c>
      <c r="CQ455" s="238" t="s">
        <v>153</v>
      </c>
      <c r="CR455" s="239" t="s">
        <v>153</v>
      </c>
      <c r="CS455" s="240" t="s">
        <v>153</v>
      </c>
      <c r="CT455" s="241" t="s">
        <v>153</v>
      </c>
      <c r="CU455" s="242" t="s">
        <v>153</v>
      </c>
      <c r="CV455" s="243" t="s">
        <v>153</v>
      </c>
      <c r="CW455" s="244" t="s">
        <v>153</v>
      </c>
      <c r="CX455" s="245" t="s">
        <v>153</v>
      </c>
      <c r="CY455" s="246" t="s">
        <v>153</v>
      </c>
      <c r="CZ455" s="247" t="s">
        <v>153</v>
      </c>
      <c r="DA455" s="248" t="s">
        <v>153</v>
      </c>
      <c r="DB455" s="249" t="s">
        <v>153</v>
      </c>
      <c r="DC455" s="250" t="s">
        <v>153</v>
      </c>
      <c r="DD455" s="251" t="s">
        <v>153</v>
      </c>
      <c r="DE455" s="252" t="s">
        <v>153</v>
      </c>
      <c r="DF455" s="253" t="s">
        <v>153</v>
      </c>
      <c r="DG455" s="254" t="s">
        <v>153</v>
      </c>
      <c r="DH455" s="255" t="s">
        <v>153</v>
      </c>
      <c r="DI455" s="256" t="s">
        <v>153</v>
      </c>
      <c r="DJ455" s="257" t="s">
        <v>153</v>
      </c>
      <c r="DK455" s="258" t="s">
        <v>153</v>
      </c>
      <c r="DL455" s="259" t="s">
        <v>153</v>
      </c>
      <c r="DM455" s="260" t="s">
        <v>153</v>
      </c>
      <c r="DN455" s="261" t="s">
        <v>153</v>
      </c>
      <c r="DO455" s="262" t="s">
        <v>153</v>
      </c>
      <c r="DP455" s="263" t="s">
        <v>153</v>
      </c>
      <c r="DQ455" s="264" t="s">
        <v>153</v>
      </c>
      <c r="DR455" s="265" t="s">
        <v>153</v>
      </c>
      <c r="DS455" s="266" t="s">
        <v>153</v>
      </c>
      <c r="DT455" s="267" t="s">
        <v>153</v>
      </c>
      <c r="DU455" s="268" t="s">
        <v>153</v>
      </c>
      <c r="DV455" s="269" t="s">
        <v>153</v>
      </c>
      <c r="DW455" s="270" t="s">
        <v>153</v>
      </c>
      <c r="DX455" s="271" t="s">
        <v>153</v>
      </c>
      <c r="DY455" s="272" t="s">
        <v>153</v>
      </c>
      <c r="DZ455" s="273" t="s">
        <v>191</v>
      </c>
      <c r="EA455" s="274">
        <v>44147</v>
      </c>
      <c r="EB455" s="275">
        <v>9100</v>
      </c>
      <c r="EC455" s="276">
        <v>35962</v>
      </c>
      <c r="ED455" s="277" t="s">
        <v>226</v>
      </c>
      <c r="EE455" s="279" t="str">
        <f>HYPERLINK("https://my.pitchbook.com?c=51314-41", "View company online")</f>
        <v>View company online</v>
      </c>
    </row>
    <row r="456" spans="1:135" x14ac:dyDescent="0.45">
      <c r="A456" s="10" t="s">
        <v>9485</v>
      </c>
      <c r="B456" s="11" t="s">
        <v>9486</v>
      </c>
      <c r="C456" s="12" t="s">
        <v>153</v>
      </c>
      <c r="D456" s="13" t="s">
        <v>153</v>
      </c>
      <c r="E456" s="14" t="s">
        <v>9487</v>
      </c>
      <c r="F456" s="15" t="s">
        <v>153</v>
      </c>
      <c r="G456" s="16" t="s">
        <v>9488</v>
      </c>
      <c r="H456" s="17" t="s">
        <v>153</v>
      </c>
      <c r="I456" s="18" t="s">
        <v>9485</v>
      </c>
      <c r="J456" s="19" t="s">
        <v>9489</v>
      </c>
      <c r="K456" s="20" t="s">
        <v>232</v>
      </c>
      <c r="L456" s="21" t="s">
        <v>362</v>
      </c>
      <c r="M456" s="22" t="s">
        <v>363</v>
      </c>
      <c r="N456" s="23" t="s">
        <v>8591</v>
      </c>
      <c r="O456" s="24" t="s">
        <v>796</v>
      </c>
      <c r="P456" s="25" t="s">
        <v>9490</v>
      </c>
      <c r="Q456" s="26" t="s">
        <v>204</v>
      </c>
      <c r="R456" s="27" t="s">
        <v>153</v>
      </c>
      <c r="S456" s="28" t="s">
        <v>290</v>
      </c>
      <c r="T456" s="29" t="s">
        <v>205</v>
      </c>
      <c r="U456" s="30" t="s">
        <v>237</v>
      </c>
      <c r="V456" s="31" t="s">
        <v>153</v>
      </c>
      <c r="W456" s="32">
        <v>4575</v>
      </c>
      <c r="X456" s="33" t="s">
        <v>9491</v>
      </c>
      <c r="Y456" s="34" t="s">
        <v>153</v>
      </c>
      <c r="Z456" s="35" t="s">
        <v>153</v>
      </c>
      <c r="AA456" s="36">
        <v>1883</v>
      </c>
      <c r="AB456" s="37" t="s">
        <v>153</v>
      </c>
      <c r="AC456" s="38" t="s">
        <v>153</v>
      </c>
      <c r="AD456" s="39" t="s">
        <v>153</v>
      </c>
      <c r="AE456" s="40" t="s">
        <v>153</v>
      </c>
      <c r="AF456" s="41" t="s">
        <v>153</v>
      </c>
      <c r="AG456" s="42" t="s">
        <v>153</v>
      </c>
      <c r="AH456" s="43" t="s">
        <v>153</v>
      </c>
      <c r="AI456" s="44" t="s">
        <v>153</v>
      </c>
      <c r="AJ456" s="45" t="s">
        <v>153</v>
      </c>
      <c r="AK456" s="46" t="s">
        <v>153</v>
      </c>
      <c r="AL456" s="47" t="s">
        <v>153</v>
      </c>
      <c r="AM456" s="48" t="s">
        <v>153</v>
      </c>
      <c r="AN456" s="49" t="s">
        <v>3331</v>
      </c>
      <c r="AO456" s="50" t="s">
        <v>9492</v>
      </c>
      <c r="AP456" s="51" t="s">
        <v>9493</v>
      </c>
      <c r="AQ456" s="52" t="s">
        <v>9494</v>
      </c>
      <c r="AR456" s="53" t="s">
        <v>153</v>
      </c>
      <c r="AS456" s="54" t="s">
        <v>153</v>
      </c>
      <c r="AT456" s="55" t="s">
        <v>780</v>
      </c>
      <c r="AU456" s="56" t="s">
        <v>9495</v>
      </c>
      <c r="AV456" s="57" t="s">
        <v>153</v>
      </c>
      <c r="AW456" s="58" t="s">
        <v>782</v>
      </c>
      <c r="AX456" s="59" t="s">
        <v>783</v>
      </c>
      <c r="AY456" s="60" t="s">
        <v>1093</v>
      </c>
      <c r="AZ456" s="61" t="s">
        <v>215</v>
      </c>
      <c r="BA456" s="62" t="s">
        <v>153</v>
      </c>
      <c r="BB456" s="63" t="s">
        <v>153</v>
      </c>
      <c r="BC456" s="64" t="s">
        <v>153</v>
      </c>
      <c r="BD456" s="65" t="s">
        <v>216</v>
      </c>
      <c r="BE456" s="66" t="s">
        <v>217</v>
      </c>
      <c r="BF456" s="67" t="s">
        <v>9496</v>
      </c>
      <c r="BG456" s="68" t="s">
        <v>153</v>
      </c>
      <c r="BH456" s="69" t="s">
        <v>153</v>
      </c>
      <c r="BI456" s="70" t="s">
        <v>9497</v>
      </c>
      <c r="BJ456" s="71" t="s">
        <v>153</v>
      </c>
      <c r="BK456" s="72" t="s">
        <v>153</v>
      </c>
      <c r="BL456" s="73" t="s">
        <v>153</v>
      </c>
      <c r="BM456" s="74" t="s">
        <v>153</v>
      </c>
      <c r="BN456" s="75" t="s">
        <v>153</v>
      </c>
      <c r="BO456" s="76" t="s">
        <v>153</v>
      </c>
      <c r="BP456" s="77" t="s">
        <v>9498</v>
      </c>
      <c r="BQ456" s="78">
        <v>42184</v>
      </c>
      <c r="BR456" s="79">
        <v>9100</v>
      </c>
      <c r="BS456" s="80" t="s">
        <v>186</v>
      </c>
      <c r="BT456" s="81">
        <v>9100</v>
      </c>
      <c r="BU456" s="82" t="s">
        <v>186</v>
      </c>
      <c r="BV456" s="83" t="s">
        <v>226</v>
      </c>
      <c r="BW456" s="84" t="s">
        <v>153</v>
      </c>
      <c r="BX456" s="85" t="s">
        <v>153</v>
      </c>
      <c r="BY456" s="86" t="s">
        <v>225</v>
      </c>
      <c r="BZ456" s="87" t="s">
        <v>153</v>
      </c>
      <c r="CA456" s="88" t="s">
        <v>190</v>
      </c>
      <c r="CB456" s="89">
        <v>42184</v>
      </c>
      <c r="CC456" s="90">
        <v>9100</v>
      </c>
      <c r="CD456" s="91" t="s">
        <v>186</v>
      </c>
      <c r="CE456" s="92">
        <v>9100</v>
      </c>
      <c r="CF456" s="93" t="s">
        <v>186</v>
      </c>
      <c r="CG456" s="94" t="s">
        <v>226</v>
      </c>
      <c r="CH456" s="95" t="s">
        <v>153</v>
      </c>
      <c r="CI456" s="96" t="s">
        <v>153</v>
      </c>
      <c r="CJ456" s="97" t="s">
        <v>225</v>
      </c>
      <c r="CK456" s="98">
        <v>42184</v>
      </c>
      <c r="CL456" s="99" t="s">
        <v>153</v>
      </c>
      <c r="CM456" s="100" t="s">
        <v>153</v>
      </c>
      <c r="CN456" s="101" t="s">
        <v>190</v>
      </c>
      <c r="CO456" s="102" t="s">
        <v>153</v>
      </c>
      <c r="CP456" s="103" t="s">
        <v>153</v>
      </c>
      <c r="CQ456" s="104" t="s">
        <v>153</v>
      </c>
      <c r="CR456" s="105" t="s">
        <v>153</v>
      </c>
      <c r="CS456" s="106" t="s">
        <v>153</v>
      </c>
      <c r="CT456" s="107" t="s">
        <v>153</v>
      </c>
      <c r="CU456" s="108" t="s">
        <v>153</v>
      </c>
      <c r="CV456" s="109" t="s">
        <v>153</v>
      </c>
      <c r="CW456" s="110" t="s">
        <v>153</v>
      </c>
      <c r="CX456" s="111" t="s">
        <v>153</v>
      </c>
      <c r="CY456" s="112" t="s">
        <v>153</v>
      </c>
      <c r="CZ456" s="113" t="s">
        <v>153</v>
      </c>
      <c r="DA456" s="114" t="s">
        <v>153</v>
      </c>
      <c r="DB456" s="115" t="s">
        <v>153</v>
      </c>
      <c r="DC456" s="116" t="s">
        <v>153</v>
      </c>
      <c r="DD456" s="117" t="s">
        <v>153</v>
      </c>
      <c r="DE456" s="118" t="s">
        <v>153</v>
      </c>
      <c r="DF456" s="119" t="s">
        <v>153</v>
      </c>
      <c r="DG456" s="120" t="s">
        <v>153</v>
      </c>
      <c r="DH456" s="121" t="s">
        <v>153</v>
      </c>
      <c r="DI456" s="122" t="s">
        <v>153</v>
      </c>
      <c r="DJ456" s="123" t="s">
        <v>153</v>
      </c>
      <c r="DK456" s="124" t="s">
        <v>153</v>
      </c>
      <c r="DL456" s="125" t="s">
        <v>153</v>
      </c>
      <c r="DM456" s="126" t="s">
        <v>153</v>
      </c>
      <c r="DN456" s="127" t="s">
        <v>153</v>
      </c>
      <c r="DO456" s="128" t="s">
        <v>153</v>
      </c>
      <c r="DP456" s="129" t="s">
        <v>153</v>
      </c>
      <c r="DQ456" s="130" t="s">
        <v>153</v>
      </c>
      <c r="DR456" s="131" t="s">
        <v>153</v>
      </c>
      <c r="DS456" s="132" t="s">
        <v>153</v>
      </c>
      <c r="DT456" s="133" t="s">
        <v>153</v>
      </c>
      <c r="DU456" s="134" t="s">
        <v>153</v>
      </c>
      <c r="DV456" s="135" t="s">
        <v>153</v>
      </c>
      <c r="DW456" s="136" t="s">
        <v>153</v>
      </c>
      <c r="DX456" s="137" t="s">
        <v>153</v>
      </c>
      <c r="DY456" s="138" t="s">
        <v>153</v>
      </c>
      <c r="DZ456" s="139" t="s">
        <v>191</v>
      </c>
      <c r="EA456" s="140">
        <v>44217</v>
      </c>
      <c r="EB456" s="141">
        <v>9100</v>
      </c>
      <c r="EC456" s="142">
        <v>42184</v>
      </c>
      <c r="ED456" s="143" t="s">
        <v>226</v>
      </c>
      <c r="EE456" s="278" t="str">
        <f>HYPERLINK("https://my.pitchbook.com?c=41740-84", "View company online")</f>
        <v>View company online</v>
      </c>
    </row>
    <row r="457" spans="1:135" x14ac:dyDescent="0.45">
      <c r="A457" s="144" t="s">
        <v>9499</v>
      </c>
      <c r="B457" s="145" t="s">
        <v>9500</v>
      </c>
      <c r="C457" s="146" t="s">
        <v>153</v>
      </c>
      <c r="D457" s="147" t="s">
        <v>153</v>
      </c>
      <c r="E457" s="148" t="s">
        <v>9501</v>
      </c>
      <c r="F457" s="149" t="s">
        <v>153</v>
      </c>
      <c r="G457" s="150" t="s">
        <v>9502</v>
      </c>
      <c r="H457" s="151" t="s">
        <v>153</v>
      </c>
      <c r="I457" s="152" t="s">
        <v>9499</v>
      </c>
      <c r="J457" s="153" t="s">
        <v>9503</v>
      </c>
      <c r="K457" s="154" t="s">
        <v>232</v>
      </c>
      <c r="L457" s="155" t="s">
        <v>362</v>
      </c>
      <c r="M457" s="156" t="s">
        <v>363</v>
      </c>
      <c r="N457" s="157" t="s">
        <v>9504</v>
      </c>
      <c r="O457" s="158" t="s">
        <v>153</v>
      </c>
      <c r="P457" s="159" t="s">
        <v>9505</v>
      </c>
      <c r="Q457" s="160" t="s">
        <v>204</v>
      </c>
      <c r="R457" s="161">
        <v>210.33</v>
      </c>
      <c r="S457" s="162" t="s">
        <v>290</v>
      </c>
      <c r="T457" s="163" t="s">
        <v>164</v>
      </c>
      <c r="U457" s="164" t="s">
        <v>369</v>
      </c>
      <c r="V457" s="165" t="s">
        <v>9506</v>
      </c>
      <c r="W457" s="166">
        <v>30000</v>
      </c>
      <c r="X457" s="167" t="s">
        <v>9507</v>
      </c>
      <c r="Y457" s="168" t="s">
        <v>153</v>
      </c>
      <c r="Z457" s="169" t="s">
        <v>153</v>
      </c>
      <c r="AA457" s="170">
        <v>1986</v>
      </c>
      <c r="AB457" s="171" t="s">
        <v>9508</v>
      </c>
      <c r="AC457" s="172" t="s">
        <v>153</v>
      </c>
      <c r="AD457" s="173" t="s">
        <v>153</v>
      </c>
      <c r="AE457" s="174" t="s">
        <v>153</v>
      </c>
      <c r="AF457" s="175" t="s">
        <v>153</v>
      </c>
      <c r="AG457" s="176" t="s">
        <v>153</v>
      </c>
      <c r="AH457" s="177" t="s">
        <v>153</v>
      </c>
      <c r="AI457" s="178" t="s">
        <v>153</v>
      </c>
      <c r="AJ457" s="179" t="s">
        <v>153</v>
      </c>
      <c r="AK457" s="180" t="s">
        <v>153</v>
      </c>
      <c r="AL457" s="181" t="s">
        <v>153</v>
      </c>
      <c r="AM457" s="182" t="s">
        <v>153</v>
      </c>
      <c r="AN457" s="183" t="s">
        <v>4877</v>
      </c>
      <c r="AO457" s="184" t="s">
        <v>9509</v>
      </c>
      <c r="AP457" s="185" t="s">
        <v>9510</v>
      </c>
      <c r="AQ457" s="186" t="s">
        <v>9511</v>
      </c>
      <c r="AR457" s="187" t="s">
        <v>9512</v>
      </c>
      <c r="AS457" s="188" t="s">
        <v>9513</v>
      </c>
      <c r="AT457" s="189" t="s">
        <v>9514</v>
      </c>
      <c r="AU457" s="190" t="s">
        <v>9515</v>
      </c>
      <c r="AV457" s="191" t="s">
        <v>153</v>
      </c>
      <c r="AW457" s="192" t="s">
        <v>9516</v>
      </c>
      <c r="AX457" s="193" t="s">
        <v>308</v>
      </c>
      <c r="AY457" s="194" t="s">
        <v>9517</v>
      </c>
      <c r="AZ457" s="195" t="s">
        <v>215</v>
      </c>
      <c r="BA457" s="196" t="s">
        <v>9518</v>
      </c>
      <c r="BB457" s="197" t="s">
        <v>9519</v>
      </c>
      <c r="BC457" s="198" t="s">
        <v>153</v>
      </c>
      <c r="BD457" s="199" t="s">
        <v>216</v>
      </c>
      <c r="BE457" s="200" t="s">
        <v>217</v>
      </c>
      <c r="BF457" s="201" t="s">
        <v>9520</v>
      </c>
      <c r="BG457" s="202" t="s">
        <v>153</v>
      </c>
      <c r="BH457" s="203" t="s">
        <v>153</v>
      </c>
      <c r="BI457" s="204" t="s">
        <v>9508</v>
      </c>
      <c r="BJ457" s="205" t="s">
        <v>9521</v>
      </c>
      <c r="BK457" s="206" t="s">
        <v>153</v>
      </c>
      <c r="BL457" s="207" t="s">
        <v>153</v>
      </c>
      <c r="BM457" s="208" t="s">
        <v>9522</v>
      </c>
      <c r="BN457" s="209" t="s">
        <v>153</v>
      </c>
      <c r="BO457" s="210" t="s">
        <v>153</v>
      </c>
      <c r="BP457" s="211" t="s">
        <v>9523</v>
      </c>
      <c r="BQ457" s="212">
        <v>33512</v>
      </c>
      <c r="BR457" s="213">
        <v>14.4</v>
      </c>
      <c r="BS457" s="214" t="s">
        <v>186</v>
      </c>
      <c r="BT457" s="215" t="s">
        <v>153</v>
      </c>
      <c r="BU457" s="216" t="s">
        <v>153</v>
      </c>
      <c r="BV457" s="217" t="s">
        <v>251</v>
      </c>
      <c r="BW457" s="218" t="s">
        <v>153</v>
      </c>
      <c r="BX457" s="219" t="s">
        <v>153</v>
      </c>
      <c r="BY457" s="220" t="s">
        <v>252</v>
      </c>
      <c r="BZ457" s="221" t="s">
        <v>153</v>
      </c>
      <c r="CA457" s="222" t="s">
        <v>190</v>
      </c>
      <c r="CB457" s="223">
        <v>42990</v>
      </c>
      <c r="CC457" s="224">
        <v>9100</v>
      </c>
      <c r="CD457" s="225" t="s">
        <v>187</v>
      </c>
      <c r="CE457" s="226">
        <v>9100</v>
      </c>
      <c r="CF457" s="227" t="s">
        <v>187</v>
      </c>
      <c r="CG457" s="228" t="s">
        <v>226</v>
      </c>
      <c r="CH457" s="229" t="s">
        <v>153</v>
      </c>
      <c r="CI457" s="230" t="s">
        <v>153</v>
      </c>
      <c r="CJ457" s="231" t="s">
        <v>225</v>
      </c>
      <c r="CK457" s="232">
        <v>42990</v>
      </c>
      <c r="CL457" s="233" t="s">
        <v>153</v>
      </c>
      <c r="CM457" s="234" t="s">
        <v>321</v>
      </c>
      <c r="CN457" s="235" t="s">
        <v>190</v>
      </c>
      <c r="CO457" s="236">
        <v>-0.04</v>
      </c>
      <c r="CP457" s="237">
        <v>10</v>
      </c>
      <c r="CQ457" s="238">
        <v>0.02</v>
      </c>
      <c r="CR457" s="239">
        <v>35.82</v>
      </c>
      <c r="CS457" s="240" t="s">
        <v>153</v>
      </c>
      <c r="CT457" s="241" t="s">
        <v>153</v>
      </c>
      <c r="CU457" s="242">
        <v>-0.04</v>
      </c>
      <c r="CV457" s="243">
        <v>34</v>
      </c>
      <c r="CW457" s="244" t="s">
        <v>153</v>
      </c>
      <c r="CX457" s="245" t="s">
        <v>153</v>
      </c>
      <c r="CY457" s="246" t="s">
        <v>153</v>
      </c>
      <c r="CZ457" s="247" t="s">
        <v>153</v>
      </c>
      <c r="DA457" s="248">
        <v>-0.04</v>
      </c>
      <c r="DB457" s="249">
        <v>34</v>
      </c>
      <c r="DC457" s="250">
        <v>87.49</v>
      </c>
      <c r="DD457" s="251">
        <v>99</v>
      </c>
      <c r="DE457" s="252">
        <v>0.57999999999999996</v>
      </c>
      <c r="DF457" s="253">
        <v>0.67</v>
      </c>
      <c r="DG457" s="254" t="s">
        <v>153</v>
      </c>
      <c r="DH457" s="255" t="s">
        <v>153</v>
      </c>
      <c r="DI457" s="256">
        <v>87.49</v>
      </c>
      <c r="DJ457" s="257">
        <v>97</v>
      </c>
      <c r="DK457" s="258" t="s">
        <v>153</v>
      </c>
      <c r="DL457" s="259" t="s">
        <v>153</v>
      </c>
      <c r="DM457" s="260" t="s">
        <v>153</v>
      </c>
      <c r="DN457" s="261" t="s">
        <v>153</v>
      </c>
      <c r="DO457" s="262">
        <v>87.49</v>
      </c>
      <c r="DP457" s="263">
        <v>97</v>
      </c>
      <c r="DQ457" s="264" t="s">
        <v>153</v>
      </c>
      <c r="DR457" s="265" t="s">
        <v>153</v>
      </c>
      <c r="DS457" s="266" t="s">
        <v>153</v>
      </c>
      <c r="DT457" s="267" t="s">
        <v>153</v>
      </c>
      <c r="DU457" s="268" t="s">
        <v>153</v>
      </c>
      <c r="DV457" s="269" t="s">
        <v>153</v>
      </c>
      <c r="DW457" s="270">
        <v>27468</v>
      </c>
      <c r="DX457" s="271">
        <v>9</v>
      </c>
      <c r="DY457" s="272">
        <v>0.03</v>
      </c>
      <c r="DZ457" s="273" t="s">
        <v>191</v>
      </c>
      <c r="EA457" s="274">
        <v>44402</v>
      </c>
      <c r="EB457" s="275">
        <v>9100</v>
      </c>
      <c r="EC457" s="276">
        <v>42990</v>
      </c>
      <c r="ED457" s="277" t="s">
        <v>226</v>
      </c>
      <c r="EE457" s="279" t="str">
        <f>HYPERLINK("https://my.pitchbook.com?c=10622-80", "View company online")</f>
        <v>View company online</v>
      </c>
    </row>
    <row r="458" spans="1:135" x14ac:dyDescent="0.45">
      <c r="A458" s="10" t="s">
        <v>9524</v>
      </c>
      <c r="B458" s="11" t="s">
        <v>9525</v>
      </c>
      <c r="C458" s="12" t="s">
        <v>153</v>
      </c>
      <c r="D458" s="13" t="s">
        <v>153</v>
      </c>
      <c r="E458" s="14" t="s">
        <v>9526</v>
      </c>
      <c r="F458" s="15" t="s">
        <v>9527</v>
      </c>
      <c r="G458" s="16" t="s">
        <v>9528</v>
      </c>
      <c r="H458" s="17" t="s">
        <v>9529</v>
      </c>
      <c r="I458" s="18" t="s">
        <v>9524</v>
      </c>
      <c r="J458" s="19" t="s">
        <v>9530</v>
      </c>
      <c r="K458" s="20" t="s">
        <v>198</v>
      </c>
      <c r="L458" s="21" t="s">
        <v>984</v>
      </c>
      <c r="M458" s="22" t="s">
        <v>3544</v>
      </c>
      <c r="N458" s="23" t="s">
        <v>9531</v>
      </c>
      <c r="O458" s="24" t="s">
        <v>9532</v>
      </c>
      <c r="P458" s="25" t="s">
        <v>9533</v>
      </c>
      <c r="Q458" s="26" t="s">
        <v>204</v>
      </c>
      <c r="R458" s="27">
        <v>168.8</v>
      </c>
      <c r="S458" s="28" t="s">
        <v>163</v>
      </c>
      <c r="T458" s="29" t="s">
        <v>164</v>
      </c>
      <c r="U458" s="30" t="s">
        <v>482</v>
      </c>
      <c r="V458" s="31" t="s">
        <v>9534</v>
      </c>
      <c r="W458" s="32">
        <v>18970</v>
      </c>
      <c r="X458" s="33" t="s">
        <v>9535</v>
      </c>
      <c r="Y458" s="34" t="s">
        <v>153</v>
      </c>
      <c r="Z458" s="35" t="s">
        <v>153</v>
      </c>
      <c r="AA458" s="36">
        <v>1998</v>
      </c>
      <c r="AB458" s="37" t="s">
        <v>8707</v>
      </c>
      <c r="AC458" s="38" t="s">
        <v>153</v>
      </c>
      <c r="AD458" s="39" t="s">
        <v>153</v>
      </c>
      <c r="AE458" s="40" t="s">
        <v>153</v>
      </c>
      <c r="AF458" s="41" t="s">
        <v>153</v>
      </c>
      <c r="AG458" s="42" t="s">
        <v>153</v>
      </c>
      <c r="AH458" s="43" t="s">
        <v>153</v>
      </c>
      <c r="AI458" s="44" t="s">
        <v>153</v>
      </c>
      <c r="AJ458" s="45" t="s">
        <v>153</v>
      </c>
      <c r="AK458" s="46" t="s">
        <v>153</v>
      </c>
      <c r="AL458" s="47" t="s">
        <v>153</v>
      </c>
      <c r="AM458" s="48" t="s">
        <v>153</v>
      </c>
      <c r="AN458" s="49" t="s">
        <v>1570</v>
      </c>
      <c r="AO458" s="50" t="s">
        <v>9536</v>
      </c>
      <c r="AP458" s="51" t="s">
        <v>9537</v>
      </c>
      <c r="AQ458" s="52" t="s">
        <v>9538</v>
      </c>
      <c r="AR458" s="53" t="s">
        <v>9539</v>
      </c>
      <c r="AS458" s="54" t="s">
        <v>9540</v>
      </c>
      <c r="AT458" s="55" t="s">
        <v>6161</v>
      </c>
      <c r="AU458" s="56" t="s">
        <v>9541</v>
      </c>
      <c r="AV458" s="57" t="s">
        <v>153</v>
      </c>
      <c r="AW458" s="58" t="s">
        <v>6163</v>
      </c>
      <c r="AX458" s="59" t="s">
        <v>1128</v>
      </c>
      <c r="AY458" s="60" t="s">
        <v>9542</v>
      </c>
      <c r="AZ458" s="61" t="s">
        <v>215</v>
      </c>
      <c r="BA458" s="62" t="s">
        <v>9543</v>
      </c>
      <c r="BB458" s="63" t="s">
        <v>153</v>
      </c>
      <c r="BC458" s="64" t="s">
        <v>9544</v>
      </c>
      <c r="BD458" s="65" t="s">
        <v>216</v>
      </c>
      <c r="BE458" s="66" t="s">
        <v>217</v>
      </c>
      <c r="BF458" s="67" t="s">
        <v>9545</v>
      </c>
      <c r="BG458" s="68" t="s">
        <v>153</v>
      </c>
      <c r="BH458" s="69" t="s">
        <v>153</v>
      </c>
      <c r="BI458" s="70" t="s">
        <v>8707</v>
      </c>
      <c r="BJ458" s="71" t="s">
        <v>9546</v>
      </c>
      <c r="BK458" s="72" t="s">
        <v>153</v>
      </c>
      <c r="BL458" s="73" t="s">
        <v>153</v>
      </c>
      <c r="BM458" s="74" t="s">
        <v>9547</v>
      </c>
      <c r="BN458" s="75" t="s">
        <v>153</v>
      </c>
      <c r="BO458" s="76" t="s">
        <v>9548</v>
      </c>
      <c r="BP458" s="77" t="s">
        <v>9549</v>
      </c>
      <c r="BQ458" s="78" t="s">
        <v>153</v>
      </c>
      <c r="BR458" s="79">
        <v>1</v>
      </c>
      <c r="BS458" s="80" t="s">
        <v>186</v>
      </c>
      <c r="BT458" s="81">
        <v>6.61</v>
      </c>
      <c r="BU458" s="82" t="s">
        <v>186</v>
      </c>
      <c r="BV458" s="83" t="s">
        <v>471</v>
      </c>
      <c r="BW458" s="84" t="s">
        <v>1811</v>
      </c>
      <c r="BX458" s="85" t="s">
        <v>153</v>
      </c>
      <c r="BY458" s="86" t="s">
        <v>472</v>
      </c>
      <c r="BZ458" s="87" t="s">
        <v>153</v>
      </c>
      <c r="CA458" s="88" t="s">
        <v>190</v>
      </c>
      <c r="CB458" s="89">
        <v>42681</v>
      </c>
      <c r="CC458" s="90">
        <v>9080</v>
      </c>
      <c r="CD458" s="91" t="s">
        <v>186</v>
      </c>
      <c r="CE458" s="92">
        <v>9080</v>
      </c>
      <c r="CF458" s="93" t="s">
        <v>187</v>
      </c>
      <c r="CG458" s="94" t="s">
        <v>226</v>
      </c>
      <c r="CH458" s="95" t="s">
        <v>153</v>
      </c>
      <c r="CI458" s="96" t="s">
        <v>153</v>
      </c>
      <c r="CJ458" s="97" t="s">
        <v>225</v>
      </c>
      <c r="CK458" s="98">
        <v>42681</v>
      </c>
      <c r="CL458" s="99" t="s">
        <v>153</v>
      </c>
      <c r="CM458" s="100" t="s">
        <v>153</v>
      </c>
      <c r="CN458" s="101" t="s">
        <v>190</v>
      </c>
      <c r="CO458" s="102">
        <v>0.42</v>
      </c>
      <c r="CP458" s="103">
        <v>93</v>
      </c>
      <c r="CQ458" s="104">
        <v>-0.37</v>
      </c>
      <c r="CR458" s="105">
        <v>-46.78</v>
      </c>
      <c r="CS458" s="106">
        <v>0.36</v>
      </c>
      <c r="CT458" s="107">
        <v>92</v>
      </c>
      <c r="CU458" s="108">
        <v>-0.03</v>
      </c>
      <c r="CV458" s="109">
        <v>36</v>
      </c>
      <c r="CW458" s="110">
        <v>0.65</v>
      </c>
      <c r="CX458" s="111">
        <v>80</v>
      </c>
      <c r="CY458" s="112">
        <v>7.0000000000000007E-2</v>
      </c>
      <c r="CZ458" s="113">
        <v>90</v>
      </c>
      <c r="DA458" s="114">
        <v>-0.03</v>
      </c>
      <c r="DB458" s="115">
        <v>36</v>
      </c>
      <c r="DC458" s="116">
        <v>860.3</v>
      </c>
      <c r="DD458" s="117">
        <v>100</v>
      </c>
      <c r="DE458" s="118">
        <v>323.83</v>
      </c>
      <c r="DF458" s="119">
        <v>60.36</v>
      </c>
      <c r="DG458" s="120">
        <v>568.46</v>
      </c>
      <c r="DH458" s="121">
        <v>100</v>
      </c>
      <c r="DI458" s="122">
        <v>1499.74</v>
      </c>
      <c r="DJ458" s="123">
        <v>100</v>
      </c>
      <c r="DK458" s="124">
        <v>560.23</v>
      </c>
      <c r="DL458" s="125">
        <v>100</v>
      </c>
      <c r="DM458" s="126">
        <v>576.69000000000005</v>
      </c>
      <c r="DN458" s="127">
        <v>100</v>
      </c>
      <c r="DO458" s="128">
        <v>1499.74</v>
      </c>
      <c r="DP458" s="129">
        <v>100</v>
      </c>
      <c r="DQ458" s="130">
        <v>333179</v>
      </c>
      <c r="DR458" s="131">
        <v>-3530</v>
      </c>
      <c r="DS458" s="132">
        <v>-1.05</v>
      </c>
      <c r="DT458" s="133">
        <v>9215</v>
      </c>
      <c r="DU458" s="134">
        <v>30</v>
      </c>
      <c r="DV458" s="135">
        <v>0.33</v>
      </c>
      <c r="DW458" s="136">
        <v>470977</v>
      </c>
      <c r="DX458" s="137">
        <v>-152</v>
      </c>
      <c r="DY458" s="138">
        <v>-0.03</v>
      </c>
      <c r="DZ458" s="139" t="s">
        <v>191</v>
      </c>
      <c r="EA458" s="140">
        <v>44402</v>
      </c>
      <c r="EB458" s="141">
        <v>9080</v>
      </c>
      <c r="EC458" s="142">
        <v>42681</v>
      </c>
      <c r="ED458" s="143" t="s">
        <v>226</v>
      </c>
      <c r="EE458" s="278" t="str">
        <f>HYPERLINK("https://my.pitchbook.com?c=41516-47", "View company online")</f>
        <v>View company online</v>
      </c>
    </row>
    <row r="459" spans="1:135" x14ac:dyDescent="0.45">
      <c r="A459" s="144" t="s">
        <v>9550</v>
      </c>
      <c r="B459" s="145" t="s">
        <v>9551</v>
      </c>
      <c r="C459" s="146" t="s">
        <v>153</v>
      </c>
      <c r="D459" s="147" t="s">
        <v>153</v>
      </c>
      <c r="E459" s="148" t="s">
        <v>153</v>
      </c>
      <c r="F459" s="149" t="s">
        <v>153</v>
      </c>
      <c r="G459" s="150" t="s">
        <v>9552</v>
      </c>
      <c r="H459" s="151" t="s">
        <v>9553</v>
      </c>
      <c r="I459" s="152" t="s">
        <v>9550</v>
      </c>
      <c r="J459" s="153" t="s">
        <v>9554</v>
      </c>
      <c r="K459" s="154" t="s">
        <v>882</v>
      </c>
      <c r="L459" s="155" t="s">
        <v>1231</v>
      </c>
      <c r="M459" s="156" t="s">
        <v>9555</v>
      </c>
      <c r="N459" s="157" t="s">
        <v>9556</v>
      </c>
      <c r="O459" s="158" t="s">
        <v>365</v>
      </c>
      <c r="P459" s="159" t="s">
        <v>9557</v>
      </c>
      <c r="Q459" s="160" t="s">
        <v>204</v>
      </c>
      <c r="R459" s="161">
        <v>512.45000000000005</v>
      </c>
      <c r="S459" s="162" t="s">
        <v>163</v>
      </c>
      <c r="T459" s="163" t="s">
        <v>164</v>
      </c>
      <c r="U459" s="164" t="s">
        <v>369</v>
      </c>
      <c r="V459" s="165" t="s">
        <v>9558</v>
      </c>
      <c r="W459" s="166">
        <v>50000</v>
      </c>
      <c r="X459" s="167" t="s">
        <v>9559</v>
      </c>
      <c r="Y459" s="168" t="s">
        <v>153</v>
      </c>
      <c r="Z459" s="169" t="s">
        <v>153</v>
      </c>
      <c r="AA459" s="170">
        <v>1891</v>
      </c>
      <c r="AB459" s="171" t="s">
        <v>9560</v>
      </c>
      <c r="AC459" s="172" t="s">
        <v>153</v>
      </c>
      <c r="AD459" s="173" t="s">
        <v>153</v>
      </c>
      <c r="AE459" s="174" t="s">
        <v>153</v>
      </c>
      <c r="AF459" s="175" t="s">
        <v>153</v>
      </c>
      <c r="AG459" s="176" t="s">
        <v>153</v>
      </c>
      <c r="AH459" s="177" t="s">
        <v>153</v>
      </c>
      <c r="AI459" s="178" t="s">
        <v>153</v>
      </c>
      <c r="AJ459" s="179" t="s">
        <v>153</v>
      </c>
      <c r="AK459" s="180" t="s">
        <v>153</v>
      </c>
      <c r="AL459" s="181" t="s">
        <v>153</v>
      </c>
      <c r="AM459" s="182" t="s">
        <v>153</v>
      </c>
      <c r="AN459" s="183" t="s">
        <v>456</v>
      </c>
      <c r="AO459" s="184" t="s">
        <v>9561</v>
      </c>
      <c r="AP459" s="185" t="s">
        <v>9562</v>
      </c>
      <c r="AQ459" s="186" t="s">
        <v>4136</v>
      </c>
      <c r="AR459" s="187" t="s">
        <v>153</v>
      </c>
      <c r="AS459" s="188" t="s">
        <v>9563</v>
      </c>
      <c r="AT459" s="189" t="s">
        <v>9564</v>
      </c>
      <c r="AU459" s="190" t="s">
        <v>9565</v>
      </c>
      <c r="AV459" s="191" t="s">
        <v>153</v>
      </c>
      <c r="AW459" s="192" t="s">
        <v>9566</v>
      </c>
      <c r="AX459" s="193" t="s">
        <v>153</v>
      </c>
      <c r="AY459" s="194" t="s">
        <v>9567</v>
      </c>
      <c r="AZ459" s="195" t="s">
        <v>8753</v>
      </c>
      <c r="BA459" s="196" t="s">
        <v>9563</v>
      </c>
      <c r="BB459" s="197" t="s">
        <v>9568</v>
      </c>
      <c r="BC459" s="198" t="s">
        <v>153</v>
      </c>
      <c r="BD459" s="199" t="s">
        <v>180</v>
      </c>
      <c r="BE459" s="200" t="s">
        <v>2051</v>
      </c>
      <c r="BF459" s="201" t="s">
        <v>9569</v>
      </c>
      <c r="BG459" s="202" t="s">
        <v>153</v>
      </c>
      <c r="BH459" s="203" t="s">
        <v>153</v>
      </c>
      <c r="BI459" s="204" t="s">
        <v>9560</v>
      </c>
      <c r="BJ459" s="205" t="s">
        <v>9570</v>
      </c>
      <c r="BK459" s="206" t="s">
        <v>153</v>
      </c>
      <c r="BL459" s="207" t="s">
        <v>153</v>
      </c>
      <c r="BM459" s="208" t="s">
        <v>9571</v>
      </c>
      <c r="BN459" s="209" t="s">
        <v>153</v>
      </c>
      <c r="BO459" s="210" t="s">
        <v>9572</v>
      </c>
      <c r="BP459" s="211" t="s">
        <v>9573</v>
      </c>
      <c r="BQ459" s="212">
        <v>35156</v>
      </c>
      <c r="BR459" s="213" t="s">
        <v>153</v>
      </c>
      <c r="BS459" s="214" t="s">
        <v>153</v>
      </c>
      <c r="BT459" s="215" t="s">
        <v>153</v>
      </c>
      <c r="BU459" s="216" t="s">
        <v>153</v>
      </c>
      <c r="BV459" s="217" t="s">
        <v>251</v>
      </c>
      <c r="BW459" s="218" t="s">
        <v>153</v>
      </c>
      <c r="BX459" s="219" t="s">
        <v>153</v>
      </c>
      <c r="BY459" s="220" t="s">
        <v>252</v>
      </c>
      <c r="BZ459" s="221" t="s">
        <v>153</v>
      </c>
      <c r="CA459" s="222" t="s">
        <v>190</v>
      </c>
      <c r="CB459" s="223">
        <v>41802</v>
      </c>
      <c r="CC459" s="224">
        <v>9015.51</v>
      </c>
      <c r="CD459" s="225" t="s">
        <v>186</v>
      </c>
      <c r="CE459" s="226">
        <v>24105.64</v>
      </c>
      <c r="CF459" s="227" t="s">
        <v>186</v>
      </c>
      <c r="CG459" s="228" t="s">
        <v>906</v>
      </c>
      <c r="CH459" s="229" t="s">
        <v>153</v>
      </c>
      <c r="CI459" s="230" t="s">
        <v>153</v>
      </c>
      <c r="CJ459" s="231" t="s">
        <v>225</v>
      </c>
      <c r="CK459" s="232">
        <v>41802</v>
      </c>
      <c r="CL459" s="233" t="s">
        <v>153</v>
      </c>
      <c r="CM459" s="234" t="s">
        <v>153</v>
      </c>
      <c r="CN459" s="235" t="s">
        <v>190</v>
      </c>
      <c r="CO459" s="236">
        <v>-0.09</v>
      </c>
      <c r="CP459" s="237">
        <v>8</v>
      </c>
      <c r="CQ459" s="238">
        <v>-0.01</v>
      </c>
      <c r="CR459" s="239">
        <v>-12.94</v>
      </c>
      <c r="CS459" s="240">
        <v>-0.31</v>
      </c>
      <c r="CT459" s="241">
        <v>6</v>
      </c>
      <c r="CU459" s="242">
        <v>0.01</v>
      </c>
      <c r="CV459" s="243">
        <v>77</v>
      </c>
      <c r="CW459" s="244">
        <v>-0.68</v>
      </c>
      <c r="CX459" s="245">
        <v>18</v>
      </c>
      <c r="CY459" s="246">
        <v>7.0000000000000007E-2</v>
      </c>
      <c r="CZ459" s="247">
        <v>90</v>
      </c>
      <c r="DA459" s="248">
        <v>0.01</v>
      </c>
      <c r="DB459" s="249">
        <v>77</v>
      </c>
      <c r="DC459" s="250">
        <v>521.80999999999995</v>
      </c>
      <c r="DD459" s="251">
        <v>100</v>
      </c>
      <c r="DE459" s="252">
        <v>0.22</v>
      </c>
      <c r="DF459" s="253">
        <v>0.04</v>
      </c>
      <c r="DG459" s="254">
        <v>452.7</v>
      </c>
      <c r="DH459" s="255">
        <v>100</v>
      </c>
      <c r="DI459" s="256">
        <v>282.92</v>
      </c>
      <c r="DJ459" s="257">
        <v>99</v>
      </c>
      <c r="DK459" s="258">
        <v>201.53</v>
      </c>
      <c r="DL459" s="259">
        <v>98</v>
      </c>
      <c r="DM459" s="260">
        <v>703.88</v>
      </c>
      <c r="DN459" s="261">
        <v>100</v>
      </c>
      <c r="DO459" s="262">
        <v>282.92</v>
      </c>
      <c r="DP459" s="263">
        <v>99</v>
      </c>
      <c r="DQ459" s="264">
        <v>119941</v>
      </c>
      <c r="DR459" s="265">
        <v>-1583</v>
      </c>
      <c r="DS459" s="266">
        <v>-1.3</v>
      </c>
      <c r="DT459" s="267">
        <v>11276</v>
      </c>
      <c r="DU459" s="268">
        <v>-38</v>
      </c>
      <c r="DV459" s="269">
        <v>-0.34</v>
      </c>
      <c r="DW459" s="270">
        <v>88813</v>
      </c>
      <c r="DX459" s="271">
        <v>64</v>
      </c>
      <c r="DY459" s="272">
        <v>7.0000000000000007E-2</v>
      </c>
      <c r="DZ459" s="273" t="s">
        <v>191</v>
      </c>
      <c r="EA459" s="274">
        <v>44372</v>
      </c>
      <c r="EB459" s="275">
        <v>24105.64</v>
      </c>
      <c r="EC459" s="276">
        <v>41802</v>
      </c>
      <c r="ED459" s="277" t="s">
        <v>906</v>
      </c>
      <c r="EE459" s="279" t="str">
        <f>HYPERLINK("https://my.pitchbook.com?c=10797-04", "View company online")</f>
        <v>View company online</v>
      </c>
    </row>
    <row r="460" spans="1:135" x14ac:dyDescent="0.45">
      <c r="A460" s="10" t="s">
        <v>9574</v>
      </c>
      <c r="B460" s="11" t="s">
        <v>9575</v>
      </c>
      <c r="C460" s="12" t="s">
        <v>153</v>
      </c>
      <c r="D460" s="13" t="s">
        <v>153</v>
      </c>
      <c r="E460" s="14" t="s">
        <v>153</v>
      </c>
      <c r="F460" s="15" t="s">
        <v>153</v>
      </c>
      <c r="G460" s="16" t="s">
        <v>9576</v>
      </c>
      <c r="H460" s="17" t="s">
        <v>153</v>
      </c>
      <c r="I460" s="18" t="s">
        <v>9574</v>
      </c>
      <c r="J460" s="19" t="s">
        <v>9577</v>
      </c>
      <c r="K460" s="20" t="s">
        <v>792</v>
      </c>
      <c r="L460" s="21" t="s">
        <v>3864</v>
      </c>
      <c r="M460" s="22" t="s">
        <v>9578</v>
      </c>
      <c r="N460" s="23" t="s">
        <v>9579</v>
      </c>
      <c r="O460" s="24" t="s">
        <v>796</v>
      </c>
      <c r="P460" s="25" t="s">
        <v>9580</v>
      </c>
      <c r="Q460" s="26" t="s">
        <v>204</v>
      </c>
      <c r="R460" s="27" t="s">
        <v>153</v>
      </c>
      <c r="S460" s="28" t="s">
        <v>163</v>
      </c>
      <c r="T460" s="29" t="s">
        <v>205</v>
      </c>
      <c r="U460" s="30" t="s">
        <v>237</v>
      </c>
      <c r="V460" s="31" t="s">
        <v>153</v>
      </c>
      <c r="W460" s="32">
        <v>7275</v>
      </c>
      <c r="X460" s="33" t="s">
        <v>9581</v>
      </c>
      <c r="Y460" s="34" t="s">
        <v>153</v>
      </c>
      <c r="Z460" s="35" t="s">
        <v>153</v>
      </c>
      <c r="AA460" s="36" t="s">
        <v>153</v>
      </c>
      <c r="AB460" s="37" t="s">
        <v>2232</v>
      </c>
      <c r="AC460" s="38" t="s">
        <v>153</v>
      </c>
      <c r="AD460" s="39" t="s">
        <v>153</v>
      </c>
      <c r="AE460" s="40" t="s">
        <v>153</v>
      </c>
      <c r="AF460" s="41" t="s">
        <v>153</v>
      </c>
      <c r="AG460" s="42" t="s">
        <v>153</v>
      </c>
      <c r="AH460" s="43" t="s">
        <v>153</v>
      </c>
      <c r="AI460" s="44" t="s">
        <v>153</v>
      </c>
      <c r="AJ460" s="45" t="s">
        <v>153</v>
      </c>
      <c r="AK460" s="46" t="s">
        <v>153</v>
      </c>
      <c r="AL460" s="47" t="s">
        <v>153</v>
      </c>
      <c r="AM460" s="48" t="s">
        <v>153</v>
      </c>
      <c r="AN460" s="49" t="s">
        <v>2458</v>
      </c>
      <c r="AO460" s="50" t="s">
        <v>153</v>
      </c>
      <c r="AP460" s="51" t="s">
        <v>153</v>
      </c>
      <c r="AQ460" s="52" t="s">
        <v>153</v>
      </c>
      <c r="AR460" s="53" t="s">
        <v>153</v>
      </c>
      <c r="AS460" s="54" t="s">
        <v>153</v>
      </c>
      <c r="AT460" s="55" t="s">
        <v>9582</v>
      </c>
      <c r="AU460" s="56" t="s">
        <v>9583</v>
      </c>
      <c r="AV460" s="57" t="s">
        <v>153</v>
      </c>
      <c r="AW460" s="58" t="s">
        <v>9584</v>
      </c>
      <c r="AX460" s="59" t="s">
        <v>724</v>
      </c>
      <c r="AY460" s="60" t="s">
        <v>9585</v>
      </c>
      <c r="AZ460" s="61" t="s">
        <v>215</v>
      </c>
      <c r="BA460" s="62" t="s">
        <v>153</v>
      </c>
      <c r="BB460" s="63" t="s">
        <v>153</v>
      </c>
      <c r="BC460" s="64" t="s">
        <v>153</v>
      </c>
      <c r="BD460" s="65" t="s">
        <v>216</v>
      </c>
      <c r="BE460" s="66" t="s">
        <v>217</v>
      </c>
      <c r="BF460" s="67" t="s">
        <v>9586</v>
      </c>
      <c r="BG460" s="68" t="s">
        <v>153</v>
      </c>
      <c r="BH460" s="69" t="s">
        <v>153</v>
      </c>
      <c r="BI460" s="70" t="s">
        <v>2232</v>
      </c>
      <c r="BJ460" s="71" t="s">
        <v>153</v>
      </c>
      <c r="BK460" s="72" t="s">
        <v>153</v>
      </c>
      <c r="BL460" s="73" t="s">
        <v>153</v>
      </c>
      <c r="BM460" s="74" t="s">
        <v>153</v>
      </c>
      <c r="BN460" s="75" t="s">
        <v>153</v>
      </c>
      <c r="BO460" s="76" t="s">
        <v>9587</v>
      </c>
      <c r="BP460" s="77" t="s">
        <v>153</v>
      </c>
      <c r="BQ460" s="78">
        <v>31341</v>
      </c>
      <c r="BR460" s="79" t="s">
        <v>153</v>
      </c>
      <c r="BS460" s="80" t="s">
        <v>153</v>
      </c>
      <c r="BT460" s="81" t="s">
        <v>153</v>
      </c>
      <c r="BU460" s="82" t="s">
        <v>153</v>
      </c>
      <c r="BV460" s="83" t="s">
        <v>251</v>
      </c>
      <c r="BW460" s="84" t="s">
        <v>153</v>
      </c>
      <c r="BX460" s="85" t="s">
        <v>153</v>
      </c>
      <c r="BY460" s="86" t="s">
        <v>252</v>
      </c>
      <c r="BZ460" s="87" t="s">
        <v>153</v>
      </c>
      <c r="CA460" s="88" t="s">
        <v>190</v>
      </c>
      <c r="CB460" s="89">
        <v>38810</v>
      </c>
      <c r="CC460" s="90">
        <v>9000</v>
      </c>
      <c r="CD460" s="91" t="s">
        <v>186</v>
      </c>
      <c r="CE460" s="92">
        <v>9000</v>
      </c>
      <c r="CF460" s="93" t="s">
        <v>187</v>
      </c>
      <c r="CG460" s="94" t="s">
        <v>226</v>
      </c>
      <c r="CH460" s="95" t="s">
        <v>153</v>
      </c>
      <c r="CI460" s="96" t="s">
        <v>153</v>
      </c>
      <c r="CJ460" s="97" t="s">
        <v>225</v>
      </c>
      <c r="CK460" s="98">
        <v>38810</v>
      </c>
      <c r="CL460" s="99" t="s">
        <v>153</v>
      </c>
      <c r="CM460" s="100" t="s">
        <v>153</v>
      </c>
      <c r="CN460" s="101" t="s">
        <v>190</v>
      </c>
      <c r="CO460" s="102" t="s">
        <v>153</v>
      </c>
      <c r="CP460" s="103" t="s">
        <v>153</v>
      </c>
      <c r="CQ460" s="104" t="s">
        <v>153</v>
      </c>
      <c r="CR460" s="105" t="s">
        <v>153</v>
      </c>
      <c r="CS460" s="106" t="s">
        <v>153</v>
      </c>
      <c r="CT460" s="107" t="s">
        <v>153</v>
      </c>
      <c r="CU460" s="108" t="s">
        <v>153</v>
      </c>
      <c r="CV460" s="109" t="s">
        <v>153</v>
      </c>
      <c r="CW460" s="110" t="s">
        <v>153</v>
      </c>
      <c r="CX460" s="111" t="s">
        <v>153</v>
      </c>
      <c r="CY460" s="112" t="s">
        <v>153</v>
      </c>
      <c r="CZ460" s="113" t="s">
        <v>153</v>
      </c>
      <c r="DA460" s="114" t="s">
        <v>153</v>
      </c>
      <c r="DB460" s="115" t="s">
        <v>153</v>
      </c>
      <c r="DC460" s="116" t="s">
        <v>153</v>
      </c>
      <c r="DD460" s="117" t="s">
        <v>153</v>
      </c>
      <c r="DE460" s="118" t="s">
        <v>153</v>
      </c>
      <c r="DF460" s="119" t="s">
        <v>153</v>
      </c>
      <c r="DG460" s="120" t="s">
        <v>153</v>
      </c>
      <c r="DH460" s="121" t="s">
        <v>153</v>
      </c>
      <c r="DI460" s="122" t="s">
        <v>153</v>
      </c>
      <c r="DJ460" s="123" t="s">
        <v>153</v>
      </c>
      <c r="DK460" s="124" t="s">
        <v>153</v>
      </c>
      <c r="DL460" s="125" t="s">
        <v>153</v>
      </c>
      <c r="DM460" s="126" t="s">
        <v>153</v>
      </c>
      <c r="DN460" s="127" t="s">
        <v>153</v>
      </c>
      <c r="DO460" s="128" t="s">
        <v>153</v>
      </c>
      <c r="DP460" s="129" t="s">
        <v>153</v>
      </c>
      <c r="DQ460" s="130" t="s">
        <v>153</v>
      </c>
      <c r="DR460" s="131" t="s">
        <v>153</v>
      </c>
      <c r="DS460" s="132" t="s">
        <v>153</v>
      </c>
      <c r="DT460" s="133" t="s">
        <v>153</v>
      </c>
      <c r="DU460" s="134" t="s">
        <v>153</v>
      </c>
      <c r="DV460" s="135" t="s">
        <v>153</v>
      </c>
      <c r="DW460" s="136" t="s">
        <v>153</v>
      </c>
      <c r="DX460" s="137" t="s">
        <v>153</v>
      </c>
      <c r="DY460" s="138" t="s">
        <v>153</v>
      </c>
      <c r="DZ460" s="139" t="s">
        <v>191</v>
      </c>
      <c r="EA460" s="140">
        <v>44217</v>
      </c>
      <c r="EB460" s="141">
        <v>9000</v>
      </c>
      <c r="EC460" s="142">
        <v>38810</v>
      </c>
      <c r="ED460" s="143" t="s">
        <v>226</v>
      </c>
      <c r="EE460" s="278" t="str">
        <f>HYPERLINK("https://my.pitchbook.com?c=25351-03", "View company online")</f>
        <v>View company online</v>
      </c>
    </row>
    <row r="461" spans="1:135" x14ac:dyDescent="0.45">
      <c r="A461" s="144" t="s">
        <v>9588</v>
      </c>
      <c r="B461" s="145" t="s">
        <v>9589</v>
      </c>
      <c r="C461" s="146" t="s">
        <v>153</v>
      </c>
      <c r="D461" s="147" t="s">
        <v>153</v>
      </c>
      <c r="E461" s="148" t="s">
        <v>153</v>
      </c>
      <c r="F461" s="149" t="s">
        <v>9590</v>
      </c>
      <c r="G461" s="150" t="s">
        <v>9591</v>
      </c>
      <c r="H461" s="151" t="s">
        <v>153</v>
      </c>
      <c r="I461" s="152" t="s">
        <v>9588</v>
      </c>
      <c r="J461" s="153" t="s">
        <v>9592</v>
      </c>
      <c r="K461" s="154" t="s">
        <v>882</v>
      </c>
      <c r="L461" s="155" t="s">
        <v>883</v>
      </c>
      <c r="M461" s="156" t="s">
        <v>2243</v>
      </c>
      <c r="N461" s="157" t="s">
        <v>9593</v>
      </c>
      <c r="O461" s="158" t="s">
        <v>365</v>
      </c>
      <c r="P461" s="159" t="s">
        <v>9594</v>
      </c>
      <c r="Q461" s="160" t="s">
        <v>204</v>
      </c>
      <c r="R461" s="161" t="s">
        <v>153</v>
      </c>
      <c r="S461" s="162" t="s">
        <v>163</v>
      </c>
      <c r="T461" s="163" t="s">
        <v>164</v>
      </c>
      <c r="U461" s="164" t="s">
        <v>206</v>
      </c>
      <c r="V461" s="165" t="s">
        <v>9595</v>
      </c>
      <c r="W461" s="166" t="s">
        <v>153</v>
      </c>
      <c r="X461" s="167" t="s">
        <v>153</v>
      </c>
      <c r="Y461" s="168" t="s">
        <v>153</v>
      </c>
      <c r="Z461" s="169" t="s">
        <v>153</v>
      </c>
      <c r="AA461" s="170">
        <v>2006</v>
      </c>
      <c r="AB461" s="171" t="s">
        <v>9596</v>
      </c>
      <c r="AC461" s="172" t="s">
        <v>153</v>
      </c>
      <c r="AD461" s="173" t="s">
        <v>153</v>
      </c>
      <c r="AE461" s="174" t="s">
        <v>153</v>
      </c>
      <c r="AF461" s="175" t="s">
        <v>153</v>
      </c>
      <c r="AG461" s="176" t="s">
        <v>153</v>
      </c>
      <c r="AH461" s="177" t="s">
        <v>153</v>
      </c>
      <c r="AI461" s="178" t="s">
        <v>153</v>
      </c>
      <c r="AJ461" s="179" t="s">
        <v>153</v>
      </c>
      <c r="AK461" s="180" t="s">
        <v>153</v>
      </c>
      <c r="AL461" s="181" t="s">
        <v>153</v>
      </c>
      <c r="AM461" s="182" t="s">
        <v>153</v>
      </c>
      <c r="AN461" s="183" t="s">
        <v>153</v>
      </c>
      <c r="AO461" s="184" t="s">
        <v>9597</v>
      </c>
      <c r="AP461" s="185" t="s">
        <v>9598</v>
      </c>
      <c r="AQ461" s="186" t="s">
        <v>9599</v>
      </c>
      <c r="AR461" s="187" t="s">
        <v>9600</v>
      </c>
      <c r="AS461" s="188" t="s">
        <v>9601</v>
      </c>
      <c r="AT461" s="189" t="s">
        <v>9602</v>
      </c>
      <c r="AU461" s="190" t="s">
        <v>9603</v>
      </c>
      <c r="AV461" s="191" t="s">
        <v>9604</v>
      </c>
      <c r="AW461" s="192" t="s">
        <v>9605</v>
      </c>
      <c r="AX461" s="193" t="s">
        <v>4177</v>
      </c>
      <c r="AY461" s="194" t="s">
        <v>9606</v>
      </c>
      <c r="AZ461" s="195" t="s">
        <v>215</v>
      </c>
      <c r="BA461" s="196" t="s">
        <v>9601</v>
      </c>
      <c r="BB461" s="197" t="s">
        <v>9607</v>
      </c>
      <c r="BC461" s="198" t="s">
        <v>9608</v>
      </c>
      <c r="BD461" s="199" t="s">
        <v>216</v>
      </c>
      <c r="BE461" s="200" t="s">
        <v>217</v>
      </c>
      <c r="BF461" s="201" t="s">
        <v>9609</v>
      </c>
      <c r="BG461" s="202" t="s">
        <v>153</v>
      </c>
      <c r="BH461" s="203" t="s">
        <v>153</v>
      </c>
      <c r="BI461" s="204" t="s">
        <v>9596</v>
      </c>
      <c r="BJ461" s="205" t="s">
        <v>153</v>
      </c>
      <c r="BK461" s="206" t="s">
        <v>153</v>
      </c>
      <c r="BL461" s="207" t="s">
        <v>153</v>
      </c>
      <c r="BM461" s="208" t="s">
        <v>153</v>
      </c>
      <c r="BN461" s="209" t="s">
        <v>153</v>
      </c>
      <c r="BO461" s="210" t="s">
        <v>153</v>
      </c>
      <c r="BP461" s="211" t="s">
        <v>9610</v>
      </c>
      <c r="BQ461" s="212">
        <v>41305</v>
      </c>
      <c r="BR461" s="213">
        <v>9000</v>
      </c>
      <c r="BS461" s="214" t="s">
        <v>186</v>
      </c>
      <c r="BT461" s="215">
        <v>9000</v>
      </c>
      <c r="BU461" s="216" t="s">
        <v>186</v>
      </c>
      <c r="BV461" s="217" t="s">
        <v>226</v>
      </c>
      <c r="BW461" s="218" t="s">
        <v>153</v>
      </c>
      <c r="BX461" s="219" t="s">
        <v>153</v>
      </c>
      <c r="BY461" s="220" t="s">
        <v>225</v>
      </c>
      <c r="BZ461" s="221" t="s">
        <v>153</v>
      </c>
      <c r="CA461" s="222" t="s">
        <v>190</v>
      </c>
      <c r="CB461" s="223">
        <v>41305</v>
      </c>
      <c r="CC461" s="224">
        <v>9000</v>
      </c>
      <c r="CD461" s="225" t="s">
        <v>186</v>
      </c>
      <c r="CE461" s="226">
        <v>9000</v>
      </c>
      <c r="CF461" s="227" t="s">
        <v>186</v>
      </c>
      <c r="CG461" s="228" t="s">
        <v>226</v>
      </c>
      <c r="CH461" s="229" t="s">
        <v>153</v>
      </c>
      <c r="CI461" s="230" t="s">
        <v>153</v>
      </c>
      <c r="CJ461" s="231" t="s">
        <v>225</v>
      </c>
      <c r="CK461" s="232">
        <v>41305</v>
      </c>
      <c r="CL461" s="233" t="s">
        <v>153</v>
      </c>
      <c r="CM461" s="234" t="s">
        <v>153</v>
      </c>
      <c r="CN461" s="235" t="s">
        <v>190</v>
      </c>
      <c r="CO461" s="236">
        <v>0</v>
      </c>
      <c r="CP461" s="237">
        <v>11</v>
      </c>
      <c r="CQ461" s="238">
        <v>0</v>
      </c>
      <c r="CR461" s="239">
        <v>0</v>
      </c>
      <c r="CS461" s="240">
        <v>0</v>
      </c>
      <c r="CT461" s="241">
        <v>8</v>
      </c>
      <c r="CU461" s="242" t="s">
        <v>153</v>
      </c>
      <c r="CV461" s="243" t="s">
        <v>153</v>
      </c>
      <c r="CW461" s="244" t="s">
        <v>153</v>
      </c>
      <c r="CX461" s="245" t="s">
        <v>153</v>
      </c>
      <c r="CY461" s="246">
        <v>0</v>
      </c>
      <c r="CZ461" s="247">
        <v>5</v>
      </c>
      <c r="DA461" s="248" t="s">
        <v>153</v>
      </c>
      <c r="DB461" s="249" t="s">
        <v>153</v>
      </c>
      <c r="DC461" s="250">
        <v>3.5</v>
      </c>
      <c r="DD461" s="251">
        <v>79</v>
      </c>
      <c r="DE461" s="252">
        <v>0</v>
      </c>
      <c r="DF461" s="253">
        <v>0</v>
      </c>
      <c r="DG461" s="254">
        <v>3.5</v>
      </c>
      <c r="DH461" s="255">
        <v>78</v>
      </c>
      <c r="DI461" s="256" t="s">
        <v>153</v>
      </c>
      <c r="DJ461" s="257" t="s">
        <v>153</v>
      </c>
      <c r="DK461" s="258" t="s">
        <v>153</v>
      </c>
      <c r="DL461" s="259" t="s">
        <v>153</v>
      </c>
      <c r="DM461" s="260">
        <v>3.5</v>
      </c>
      <c r="DN461" s="261">
        <v>77</v>
      </c>
      <c r="DO461" s="262" t="s">
        <v>153</v>
      </c>
      <c r="DP461" s="263" t="s">
        <v>153</v>
      </c>
      <c r="DQ461" s="264" t="s">
        <v>153</v>
      </c>
      <c r="DR461" s="265" t="s">
        <v>153</v>
      </c>
      <c r="DS461" s="266" t="s">
        <v>153</v>
      </c>
      <c r="DT461" s="267">
        <v>56</v>
      </c>
      <c r="DU461" s="268">
        <v>1</v>
      </c>
      <c r="DV461" s="269">
        <v>1.82</v>
      </c>
      <c r="DW461" s="270" t="s">
        <v>153</v>
      </c>
      <c r="DX461" s="271" t="s">
        <v>153</v>
      </c>
      <c r="DY461" s="272" t="s">
        <v>153</v>
      </c>
      <c r="DZ461" s="273" t="s">
        <v>191</v>
      </c>
      <c r="EA461" s="274">
        <v>44384</v>
      </c>
      <c r="EB461" s="275">
        <v>9000</v>
      </c>
      <c r="EC461" s="276">
        <v>41305</v>
      </c>
      <c r="ED461" s="277" t="s">
        <v>226</v>
      </c>
      <c r="EE461" s="279" t="str">
        <f>HYPERLINK("https://my.pitchbook.com?c=99503-47", "View company online")</f>
        <v>View company online</v>
      </c>
    </row>
    <row r="462" spans="1:135" x14ac:dyDescent="0.45">
      <c r="A462" s="10" t="s">
        <v>9611</v>
      </c>
      <c r="B462" s="11" t="s">
        <v>9612</v>
      </c>
      <c r="C462" s="12" t="s">
        <v>153</v>
      </c>
      <c r="D462" s="13" t="s">
        <v>153</v>
      </c>
      <c r="E462" s="14" t="s">
        <v>153</v>
      </c>
      <c r="F462" s="15" t="s">
        <v>153</v>
      </c>
      <c r="G462" s="16" t="s">
        <v>153</v>
      </c>
      <c r="H462" s="17" t="s">
        <v>9613</v>
      </c>
      <c r="I462" s="18" t="s">
        <v>9611</v>
      </c>
      <c r="J462" s="19" t="s">
        <v>9614</v>
      </c>
      <c r="K462" s="20" t="s">
        <v>232</v>
      </c>
      <c r="L462" s="21" t="s">
        <v>233</v>
      </c>
      <c r="M462" s="22" t="s">
        <v>234</v>
      </c>
      <c r="N462" s="23" t="s">
        <v>235</v>
      </c>
      <c r="O462" s="24" t="s">
        <v>153</v>
      </c>
      <c r="P462" s="25" t="s">
        <v>9615</v>
      </c>
      <c r="Q462" s="26" t="s">
        <v>204</v>
      </c>
      <c r="R462" s="27" t="s">
        <v>153</v>
      </c>
      <c r="S462" s="28" t="s">
        <v>290</v>
      </c>
      <c r="T462" s="29" t="s">
        <v>205</v>
      </c>
      <c r="U462" s="30" t="s">
        <v>206</v>
      </c>
      <c r="V462" s="31" t="s">
        <v>9616</v>
      </c>
      <c r="W462" s="32" t="s">
        <v>153</v>
      </c>
      <c r="X462" s="33" t="s">
        <v>153</v>
      </c>
      <c r="Y462" s="34" t="s">
        <v>153</v>
      </c>
      <c r="Z462" s="35" t="s">
        <v>153</v>
      </c>
      <c r="AA462" s="36">
        <v>2000</v>
      </c>
      <c r="AB462" s="37" t="s">
        <v>9617</v>
      </c>
      <c r="AC462" s="38" t="s">
        <v>153</v>
      </c>
      <c r="AD462" s="39" t="s">
        <v>153</v>
      </c>
      <c r="AE462" s="40" t="s">
        <v>153</v>
      </c>
      <c r="AF462" s="41" t="s">
        <v>153</v>
      </c>
      <c r="AG462" s="42" t="s">
        <v>153</v>
      </c>
      <c r="AH462" s="43" t="s">
        <v>153</v>
      </c>
      <c r="AI462" s="44" t="s">
        <v>153</v>
      </c>
      <c r="AJ462" s="45" t="s">
        <v>153</v>
      </c>
      <c r="AK462" s="46" t="s">
        <v>153</v>
      </c>
      <c r="AL462" s="47" t="s">
        <v>153</v>
      </c>
      <c r="AM462" s="48" t="s">
        <v>153</v>
      </c>
      <c r="AN462" s="49" t="s">
        <v>153</v>
      </c>
      <c r="AO462" s="50" t="s">
        <v>153</v>
      </c>
      <c r="AP462" s="51" t="s">
        <v>153</v>
      </c>
      <c r="AQ462" s="52" t="s">
        <v>153</v>
      </c>
      <c r="AR462" s="53" t="s">
        <v>153</v>
      </c>
      <c r="AS462" s="54" t="s">
        <v>153</v>
      </c>
      <c r="AT462" s="55" t="s">
        <v>9618</v>
      </c>
      <c r="AU462" s="56" t="s">
        <v>9619</v>
      </c>
      <c r="AV462" s="57" t="s">
        <v>153</v>
      </c>
      <c r="AW462" s="58" t="s">
        <v>4255</v>
      </c>
      <c r="AX462" s="59" t="s">
        <v>9620</v>
      </c>
      <c r="AY462" s="60" t="s">
        <v>9621</v>
      </c>
      <c r="AZ462" s="61" t="s">
        <v>215</v>
      </c>
      <c r="BA462" s="62" t="s">
        <v>9622</v>
      </c>
      <c r="BB462" s="63" t="s">
        <v>153</v>
      </c>
      <c r="BC462" s="64" t="s">
        <v>153</v>
      </c>
      <c r="BD462" s="65" t="s">
        <v>216</v>
      </c>
      <c r="BE462" s="66" t="s">
        <v>217</v>
      </c>
      <c r="BF462" s="67" t="s">
        <v>9623</v>
      </c>
      <c r="BG462" s="68" t="s">
        <v>153</v>
      </c>
      <c r="BH462" s="69" t="s">
        <v>153</v>
      </c>
      <c r="BI462" s="70" t="s">
        <v>5358</v>
      </c>
      <c r="BJ462" s="71" t="s">
        <v>9617</v>
      </c>
      <c r="BK462" s="72" t="s">
        <v>9624</v>
      </c>
      <c r="BL462" s="73" t="s">
        <v>153</v>
      </c>
      <c r="BM462" s="74" t="s">
        <v>9625</v>
      </c>
      <c r="BN462" s="75" t="s">
        <v>9626</v>
      </c>
      <c r="BO462" s="76" t="s">
        <v>9627</v>
      </c>
      <c r="BP462" s="77" t="s">
        <v>9628</v>
      </c>
      <c r="BQ462" s="78">
        <v>40710</v>
      </c>
      <c r="BR462" s="79">
        <v>9000</v>
      </c>
      <c r="BS462" s="80" t="s">
        <v>186</v>
      </c>
      <c r="BT462" s="81">
        <v>9000</v>
      </c>
      <c r="BU462" s="82" t="s">
        <v>186</v>
      </c>
      <c r="BV462" s="83" t="s">
        <v>226</v>
      </c>
      <c r="BW462" s="84" t="s">
        <v>729</v>
      </c>
      <c r="BX462" s="85" t="s">
        <v>153</v>
      </c>
      <c r="BY462" s="86" t="s">
        <v>225</v>
      </c>
      <c r="BZ462" s="87" t="s">
        <v>153</v>
      </c>
      <c r="CA462" s="88" t="s">
        <v>190</v>
      </c>
      <c r="CB462" s="89">
        <v>40710</v>
      </c>
      <c r="CC462" s="90">
        <v>9000</v>
      </c>
      <c r="CD462" s="91" t="s">
        <v>186</v>
      </c>
      <c r="CE462" s="92">
        <v>9000</v>
      </c>
      <c r="CF462" s="93" t="s">
        <v>186</v>
      </c>
      <c r="CG462" s="94" t="s">
        <v>226</v>
      </c>
      <c r="CH462" s="95" t="s">
        <v>729</v>
      </c>
      <c r="CI462" s="96" t="s">
        <v>153</v>
      </c>
      <c r="CJ462" s="97" t="s">
        <v>225</v>
      </c>
      <c r="CK462" s="98">
        <v>40710</v>
      </c>
      <c r="CL462" s="99" t="s">
        <v>153</v>
      </c>
      <c r="CM462" s="100" t="s">
        <v>153</v>
      </c>
      <c r="CN462" s="101" t="s">
        <v>190</v>
      </c>
      <c r="CO462" s="102" t="s">
        <v>153</v>
      </c>
      <c r="CP462" s="103" t="s">
        <v>153</v>
      </c>
      <c r="CQ462" s="104" t="s">
        <v>153</v>
      </c>
      <c r="CR462" s="105" t="s">
        <v>153</v>
      </c>
      <c r="CS462" s="106" t="s">
        <v>153</v>
      </c>
      <c r="CT462" s="107" t="s">
        <v>153</v>
      </c>
      <c r="CU462" s="108" t="s">
        <v>153</v>
      </c>
      <c r="CV462" s="109" t="s">
        <v>153</v>
      </c>
      <c r="CW462" s="110" t="s">
        <v>153</v>
      </c>
      <c r="CX462" s="111" t="s">
        <v>153</v>
      </c>
      <c r="CY462" s="112" t="s">
        <v>153</v>
      </c>
      <c r="CZ462" s="113" t="s">
        <v>153</v>
      </c>
      <c r="DA462" s="114" t="s">
        <v>153</v>
      </c>
      <c r="DB462" s="115" t="s">
        <v>153</v>
      </c>
      <c r="DC462" s="116" t="s">
        <v>153</v>
      </c>
      <c r="DD462" s="117" t="s">
        <v>153</v>
      </c>
      <c r="DE462" s="118" t="s">
        <v>153</v>
      </c>
      <c r="DF462" s="119" t="s">
        <v>153</v>
      </c>
      <c r="DG462" s="120" t="s">
        <v>153</v>
      </c>
      <c r="DH462" s="121" t="s">
        <v>153</v>
      </c>
      <c r="DI462" s="122" t="s">
        <v>153</v>
      </c>
      <c r="DJ462" s="123" t="s">
        <v>153</v>
      </c>
      <c r="DK462" s="124" t="s">
        <v>153</v>
      </c>
      <c r="DL462" s="125" t="s">
        <v>153</v>
      </c>
      <c r="DM462" s="126" t="s">
        <v>153</v>
      </c>
      <c r="DN462" s="127" t="s">
        <v>153</v>
      </c>
      <c r="DO462" s="128" t="s">
        <v>153</v>
      </c>
      <c r="DP462" s="129" t="s">
        <v>153</v>
      </c>
      <c r="DQ462" s="130" t="s">
        <v>153</v>
      </c>
      <c r="DR462" s="131" t="s">
        <v>153</v>
      </c>
      <c r="DS462" s="132" t="s">
        <v>153</v>
      </c>
      <c r="DT462" s="133" t="s">
        <v>153</v>
      </c>
      <c r="DU462" s="134" t="s">
        <v>153</v>
      </c>
      <c r="DV462" s="135" t="s">
        <v>153</v>
      </c>
      <c r="DW462" s="136" t="s">
        <v>153</v>
      </c>
      <c r="DX462" s="137" t="s">
        <v>153</v>
      </c>
      <c r="DY462" s="138" t="s">
        <v>153</v>
      </c>
      <c r="DZ462" s="139" t="s">
        <v>191</v>
      </c>
      <c r="EA462" s="140">
        <v>44147</v>
      </c>
      <c r="EB462" s="141">
        <v>9000</v>
      </c>
      <c r="EC462" s="142">
        <v>40710</v>
      </c>
      <c r="ED462" s="143" t="s">
        <v>226</v>
      </c>
      <c r="EE462" s="278" t="str">
        <f>HYPERLINK("https://my.pitchbook.com?c=52274-26", "View company online")</f>
        <v>View company online</v>
      </c>
    </row>
    <row r="463" spans="1:135" x14ac:dyDescent="0.45">
      <c r="A463" s="144" t="s">
        <v>9629</v>
      </c>
      <c r="B463" s="145" t="s">
        <v>9630</v>
      </c>
      <c r="C463" s="146" t="s">
        <v>153</v>
      </c>
      <c r="D463" s="147" t="s">
        <v>153</v>
      </c>
      <c r="E463" s="148" t="s">
        <v>153</v>
      </c>
      <c r="F463" s="149" t="s">
        <v>153</v>
      </c>
      <c r="G463" s="150" t="s">
        <v>9631</v>
      </c>
      <c r="H463" s="151" t="s">
        <v>153</v>
      </c>
      <c r="I463" s="152" t="s">
        <v>9629</v>
      </c>
      <c r="J463" s="153" t="s">
        <v>9632</v>
      </c>
      <c r="K463" s="154" t="s">
        <v>792</v>
      </c>
      <c r="L463" s="155" t="s">
        <v>841</v>
      </c>
      <c r="M463" s="156" t="s">
        <v>913</v>
      </c>
      <c r="N463" s="157" t="s">
        <v>9633</v>
      </c>
      <c r="O463" s="158" t="s">
        <v>796</v>
      </c>
      <c r="P463" s="159" t="s">
        <v>9634</v>
      </c>
      <c r="Q463" s="160" t="s">
        <v>204</v>
      </c>
      <c r="R463" s="161" t="s">
        <v>153</v>
      </c>
      <c r="S463" s="162" t="s">
        <v>163</v>
      </c>
      <c r="T463" s="163" t="s">
        <v>205</v>
      </c>
      <c r="U463" s="164" t="s">
        <v>206</v>
      </c>
      <c r="V463" s="165" t="s">
        <v>9635</v>
      </c>
      <c r="W463" s="166">
        <v>8000</v>
      </c>
      <c r="X463" s="167" t="s">
        <v>9636</v>
      </c>
      <c r="Y463" s="168" t="s">
        <v>153</v>
      </c>
      <c r="Z463" s="169" t="s">
        <v>153</v>
      </c>
      <c r="AA463" s="170">
        <v>2005</v>
      </c>
      <c r="AB463" s="171" t="s">
        <v>153</v>
      </c>
      <c r="AC463" s="172" t="s">
        <v>153</v>
      </c>
      <c r="AD463" s="173" t="s">
        <v>153</v>
      </c>
      <c r="AE463" s="174" t="s">
        <v>153</v>
      </c>
      <c r="AF463" s="175" t="s">
        <v>153</v>
      </c>
      <c r="AG463" s="176" t="s">
        <v>153</v>
      </c>
      <c r="AH463" s="177" t="s">
        <v>153</v>
      </c>
      <c r="AI463" s="178" t="s">
        <v>153</v>
      </c>
      <c r="AJ463" s="179" t="s">
        <v>153</v>
      </c>
      <c r="AK463" s="180" t="s">
        <v>153</v>
      </c>
      <c r="AL463" s="181" t="s">
        <v>153</v>
      </c>
      <c r="AM463" s="182" t="s">
        <v>153</v>
      </c>
      <c r="AN463" s="183" t="s">
        <v>2064</v>
      </c>
      <c r="AO463" s="184" t="s">
        <v>9637</v>
      </c>
      <c r="AP463" s="185" t="s">
        <v>9638</v>
      </c>
      <c r="AQ463" s="186" t="s">
        <v>171</v>
      </c>
      <c r="AR463" s="187" t="s">
        <v>153</v>
      </c>
      <c r="AS463" s="188" t="s">
        <v>153</v>
      </c>
      <c r="AT463" s="189" t="s">
        <v>780</v>
      </c>
      <c r="AU463" s="190" t="s">
        <v>9495</v>
      </c>
      <c r="AV463" s="191" t="s">
        <v>153</v>
      </c>
      <c r="AW463" s="192" t="s">
        <v>782</v>
      </c>
      <c r="AX463" s="193" t="s">
        <v>783</v>
      </c>
      <c r="AY463" s="194" t="s">
        <v>1093</v>
      </c>
      <c r="AZ463" s="195" t="s">
        <v>215</v>
      </c>
      <c r="BA463" s="196" t="s">
        <v>153</v>
      </c>
      <c r="BB463" s="197" t="s">
        <v>153</v>
      </c>
      <c r="BC463" s="198" t="s">
        <v>153</v>
      </c>
      <c r="BD463" s="199" t="s">
        <v>216</v>
      </c>
      <c r="BE463" s="200" t="s">
        <v>217</v>
      </c>
      <c r="BF463" s="201" t="s">
        <v>9639</v>
      </c>
      <c r="BG463" s="202" t="s">
        <v>153</v>
      </c>
      <c r="BH463" s="203" t="s">
        <v>153</v>
      </c>
      <c r="BI463" s="204" t="s">
        <v>9640</v>
      </c>
      <c r="BJ463" s="205" t="s">
        <v>153</v>
      </c>
      <c r="BK463" s="206" t="s">
        <v>1095</v>
      </c>
      <c r="BL463" s="207" t="s">
        <v>153</v>
      </c>
      <c r="BM463" s="208" t="s">
        <v>153</v>
      </c>
      <c r="BN463" s="209" t="s">
        <v>9641</v>
      </c>
      <c r="BO463" s="210" t="s">
        <v>153</v>
      </c>
      <c r="BP463" s="211" t="s">
        <v>153</v>
      </c>
      <c r="BQ463" s="212" t="s">
        <v>153</v>
      </c>
      <c r="BR463" s="213" t="s">
        <v>153</v>
      </c>
      <c r="BS463" s="214" t="s">
        <v>153</v>
      </c>
      <c r="BT463" s="215" t="s">
        <v>153</v>
      </c>
      <c r="BU463" s="216" t="s">
        <v>153</v>
      </c>
      <c r="BV463" s="217" t="s">
        <v>251</v>
      </c>
      <c r="BW463" s="218" t="s">
        <v>524</v>
      </c>
      <c r="BX463" s="219" t="s">
        <v>153</v>
      </c>
      <c r="BY463" s="220" t="s">
        <v>252</v>
      </c>
      <c r="BZ463" s="221" t="s">
        <v>153</v>
      </c>
      <c r="CA463" s="222" t="s">
        <v>394</v>
      </c>
      <c r="CB463" s="223">
        <v>38702</v>
      </c>
      <c r="CC463" s="224">
        <v>9000</v>
      </c>
      <c r="CD463" s="225" t="s">
        <v>186</v>
      </c>
      <c r="CE463" s="226">
        <v>9000</v>
      </c>
      <c r="CF463" s="227" t="s">
        <v>186</v>
      </c>
      <c r="CG463" s="228" t="s">
        <v>226</v>
      </c>
      <c r="CH463" s="229" t="s">
        <v>729</v>
      </c>
      <c r="CI463" s="230" t="s">
        <v>153</v>
      </c>
      <c r="CJ463" s="231" t="s">
        <v>225</v>
      </c>
      <c r="CK463" s="232">
        <v>38702</v>
      </c>
      <c r="CL463" s="233" t="s">
        <v>153</v>
      </c>
      <c r="CM463" s="234" t="s">
        <v>153</v>
      </c>
      <c r="CN463" s="235" t="s">
        <v>190</v>
      </c>
      <c r="CO463" s="236" t="s">
        <v>153</v>
      </c>
      <c r="CP463" s="237" t="s">
        <v>153</v>
      </c>
      <c r="CQ463" s="238" t="s">
        <v>153</v>
      </c>
      <c r="CR463" s="239" t="s">
        <v>153</v>
      </c>
      <c r="CS463" s="240" t="s">
        <v>153</v>
      </c>
      <c r="CT463" s="241" t="s">
        <v>153</v>
      </c>
      <c r="CU463" s="242" t="s">
        <v>153</v>
      </c>
      <c r="CV463" s="243" t="s">
        <v>153</v>
      </c>
      <c r="CW463" s="244" t="s">
        <v>153</v>
      </c>
      <c r="CX463" s="245" t="s">
        <v>153</v>
      </c>
      <c r="CY463" s="246" t="s">
        <v>153</v>
      </c>
      <c r="CZ463" s="247" t="s">
        <v>153</v>
      </c>
      <c r="DA463" s="248" t="s">
        <v>153</v>
      </c>
      <c r="DB463" s="249" t="s">
        <v>153</v>
      </c>
      <c r="DC463" s="250" t="s">
        <v>153</v>
      </c>
      <c r="DD463" s="251" t="s">
        <v>153</v>
      </c>
      <c r="DE463" s="252" t="s">
        <v>153</v>
      </c>
      <c r="DF463" s="253" t="s">
        <v>153</v>
      </c>
      <c r="DG463" s="254" t="s">
        <v>153</v>
      </c>
      <c r="DH463" s="255" t="s">
        <v>153</v>
      </c>
      <c r="DI463" s="256" t="s">
        <v>153</v>
      </c>
      <c r="DJ463" s="257" t="s">
        <v>153</v>
      </c>
      <c r="DK463" s="258" t="s">
        <v>153</v>
      </c>
      <c r="DL463" s="259" t="s">
        <v>153</v>
      </c>
      <c r="DM463" s="260" t="s">
        <v>153</v>
      </c>
      <c r="DN463" s="261" t="s">
        <v>153</v>
      </c>
      <c r="DO463" s="262" t="s">
        <v>153</v>
      </c>
      <c r="DP463" s="263" t="s">
        <v>153</v>
      </c>
      <c r="DQ463" s="264" t="s">
        <v>153</v>
      </c>
      <c r="DR463" s="265" t="s">
        <v>153</v>
      </c>
      <c r="DS463" s="266" t="s">
        <v>153</v>
      </c>
      <c r="DT463" s="267" t="s">
        <v>153</v>
      </c>
      <c r="DU463" s="268" t="s">
        <v>153</v>
      </c>
      <c r="DV463" s="269" t="s">
        <v>153</v>
      </c>
      <c r="DW463" s="270" t="s">
        <v>153</v>
      </c>
      <c r="DX463" s="271" t="s">
        <v>153</v>
      </c>
      <c r="DY463" s="272" t="s">
        <v>153</v>
      </c>
      <c r="DZ463" s="273" t="s">
        <v>191</v>
      </c>
      <c r="EA463" s="274">
        <v>44147</v>
      </c>
      <c r="EB463" s="275">
        <v>9000</v>
      </c>
      <c r="EC463" s="276">
        <v>38702</v>
      </c>
      <c r="ED463" s="277" t="s">
        <v>226</v>
      </c>
      <c r="EE463" s="279" t="str">
        <f>HYPERLINK("https://my.pitchbook.com?c=90710-38", "View company online")</f>
        <v>View company online</v>
      </c>
    </row>
    <row r="464" spans="1:135" x14ac:dyDescent="0.45">
      <c r="A464" s="10" t="s">
        <v>9642</v>
      </c>
      <c r="B464" s="11" t="s">
        <v>9643</v>
      </c>
      <c r="C464" s="12" t="s">
        <v>153</v>
      </c>
      <c r="D464" s="13" t="s">
        <v>153</v>
      </c>
      <c r="E464" s="14" t="s">
        <v>153</v>
      </c>
      <c r="F464" s="15" t="s">
        <v>153</v>
      </c>
      <c r="G464" s="16" t="s">
        <v>153</v>
      </c>
      <c r="H464" s="17" t="s">
        <v>153</v>
      </c>
      <c r="I464" s="18" t="s">
        <v>9642</v>
      </c>
      <c r="J464" s="19" t="s">
        <v>9644</v>
      </c>
      <c r="K464" s="20" t="s">
        <v>198</v>
      </c>
      <c r="L464" s="21" t="s">
        <v>1589</v>
      </c>
      <c r="M464" s="22" t="s">
        <v>8618</v>
      </c>
      <c r="N464" s="23" t="s">
        <v>9645</v>
      </c>
      <c r="O464" s="24" t="s">
        <v>153</v>
      </c>
      <c r="P464" s="25" t="s">
        <v>9646</v>
      </c>
      <c r="Q464" s="26" t="s">
        <v>1487</v>
      </c>
      <c r="R464" s="27" t="s">
        <v>153</v>
      </c>
      <c r="S464" s="28" t="s">
        <v>163</v>
      </c>
      <c r="T464" s="29" t="s">
        <v>1488</v>
      </c>
      <c r="U464" s="30" t="s">
        <v>206</v>
      </c>
      <c r="V464" s="31" t="s">
        <v>153</v>
      </c>
      <c r="W464" s="32" t="s">
        <v>153</v>
      </c>
      <c r="X464" s="33" t="s">
        <v>153</v>
      </c>
      <c r="Y464" s="34" t="s">
        <v>153</v>
      </c>
      <c r="Z464" s="35" t="s">
        <v>153</v>
      </c>
      <c r="AA464" s="36" t="s">
        <v>153</v>
      </c>
      <c r="AB464" s="37" t="s">
        <v>153</v>
      </c>
      <c r="AC464" s="38" t="s">
        <v>153</v>
      </c>
      <c r="AD464" s="39" t="s">
        <v>570</v>
      </c>
      <c r="AE464" s="40" t="s">
        <v>153</v>
      </c>
      <c r="AF464" s="41" t="s">
        <v>153</v>
      </c>
      <c r="AG464" s="42" t="s">
        <v>153</v>
      </c>
      <c r="AH464" s="43" t="s">
        <v>153</v>
      </c>
      <c r="AI464" s="44" t="s">
        <v>153</v>
      </c>
      <c r="AJ464" s="45" t="s">
        <v>153</v>
      </c>
      <c r="AK464" s="46" t="s">
        <v>153</v>
      </c>
      <c r="AL464" s="47" t="s">
        <v>153</v>
      </c>
      <c r="AM464" s="48" t="s">
        <v>153</v>
      </c>
      <c r="AN464" s="49" t="s">
        <v>456</v>
      </c>
      <c r="AO464" s="50" t="s">
        <v>153</v>
      </c>
      <c r="AP464" s="51" t="s">
        <v>153</v>
      </c>
      <c r="AQ464" s="52" t="s">
        <v>153</v>
      </c>
      <c r="AR464" s="53" t="s">
        <v>153</v>
      </c>
      <c r="AS464" s="54" t="s">
        <v>153</v>
      </c>
      <c r="AT464" s="55" t="s">
        <v>2033</v>
      </c>
      <c r="AU464" s="56" t="s">
        <v>9647</v>
      </c>
      <c r="AV464" s="57" t="s">
        <v>153</v>
      </c>
      <c r="AW464" s="58" t="s">
        <v>2036</v>
      </c>
      <c r="AX464" s="59" t="s">
        <v>308</v>
      </c>
      <c r="AY464" s="60" t="s">
        <v>9648</v>
      </c>
      <c r="AZ464" s="61" t="s">
        <v>215</v>
      </c>
      <c r="BA464" s="62" t="s">
        <v>153</v>
      </c>
      <c r="BB464" s="63" t="s">
        <v>153</v>
      </c>
      <c r="BC464" s="64" t="s">
        <v>153</v>
      </c>
      <c r="BD464" s="65" t="s">
        <v>216</v>
      </c>
      <c r="BE464" s="66" t="s">
        <v>217</v>
      </c>
      <c r="BF464" s="67" t="s">
        <v>9649</v>
      </c>
      <c r="BG464" s="68" t="s">
        <v>4373</v>
      </c>
      <c r="BH464" s="69">
        <v>1</v>
      </c>
      <c r="BI464" s="70" t="s">
        <v>153</v>
      </c>
      <c r="BJ464" s="71" t="s">
        <v>153</v>
      </c>
      <c r="BK464" s="72" t="s">
        <v>9650</v>
      </c>
      <c r="BL464" s="73" t="s">
        <v>9651</v>
      </c>
      <c r="BM464" s="74" t="s">
        <v>153</v>
      </c>
      <c r="BN464" s="75" t="s">
        <v>9652</v>
      </c>
      <c r="BO464" s="76" t="s">
        <v>153</v>
      </c>
      <c r="BP464" s="77" t="s">
        <v>153</v>
      </c>
      <c r="BQ464" s="78">
        <v>44123</v>
      </c>
      <c r="BR464" s="79">
        <v>9000</v>
      </c>
      <c r="BS464" s="80" t="s">
        <v>186</v>
      </c>
      <c r="BT464" s="81">
        <v>9000</v>
      </c>
      <c r="BU464" s="82" t="s">
        <v>187</v>
      </c>
      <c r="BV464" s="83" t="s">
        <v>226</v>
      </c>
      <c r="BW464" s="84" t="s">
        <v>729</v>
      </c>
      <c r="BX464" s="85" t="s">
        <v>153</v>
      </c>
      <c r="BY464" s="86" t="s">
        <v>225</v>
      </c>
      <c r="BZ464" s="87" t="s">
        <v>153</v>
      </c>
      <c r="CA464" s="88" t="s">
        <v>1278</v>
      </c>
      <c r="CB464" s="89">
        <v>44123</v>
      </c>
      <c r="CC464" s="90">
        <v>9000</v>
      </c>
      <c r="CD464" s="91" t="s">
        <v>186</v>
      </c>
      <c r="CE464" s="92">
        <v>9000</v>
      </c>
      <c r="CF464" s="93" t="s">
        <v>187</v>
      </c>
      <c r="CG464" s="94" t="s">
        <v>226</v>
      </c>
      <c r="CH464" s="95" t="s">
        <v>729</v>
      </c>
      <c r="CI464" s="96" t="s">
        <v>153</v>
      </c>
      <c r="CJ464" s="97" t="s">
        <v>225</v>
      </c>
      <c r="CK464" s="98">
        <v>44123</v>
      </c>
      <c r="CL464" s="99" t="s">
        <v>153</v>
      </c>
      <c r="CM464" s="100" t="s">
        <v>153</v>
      </c>
      <c r="CN464" s="101" t="s">
        <v>1278</v>
      </c>
      <c r="CO464" s="102" t="s">
        <v>153</v>
      </c>
      <c r="CP464" s="103" t="s">
        <v>153</v>
      </c>
      <c r="CQ464" s="104" t="s">
        <v>153</v>
      </c>
      <c r="CR464" s="105" t="s">
        <v>153</v>
      </c>
      <c r="CS464" s="106" t="s">
        <v>153</v>
      </c>
      <c r="CT464" s="107" t="s">
        <v>153</v>
      </c>
      <c r="CU464" s="108" t="s">
        <v>153</v>
      </c>
      <c r="CV464" s="109" t="s">
        <v>153</v>
      </c>
      <c r="CW464" s="110" t="s">
        <v>153</v>
      </c>
      <c r="CX464" s="111" t="s">
        <v>153</v>
      </c>
      <c r="CY464" s="112" t="s">
        <v>153</v>
      </c>
      <c r="CZ464" s="113" t="s">
        <v>153</v>
      </c>
      <c r="DA464" s="114" t="s">
        <v>153</v>
      </c>
      <c r="DB464" s="115" t="s">
        <v>153</v>
      </c>
      <c r="DC464" s="116" t="s">
        <v>153</v>
      </c>
      <c r="DD464" s="117" t="s">
        <v>153</v>
      </c>
      <c r="DE464" s="118" t="s">
        <v>153</v>
      </c>
      <c r="DF464" s="119" t="s">
        <v>153</v>
      </c>
      <c r="DG464" s="120" t="s">
        <v>153</v>
      </c>
      <c r="DH464" s="121" t="s">
        <v>153</v>
      </c>
      <c r="DI464" s="122" t="s">
        <v>153</v>
      </c>
      <c r="DJ464" s="123" t="s">
        <v>153</v>
      </c>
      <c r="DK464" s="124" t="s">
        <v>153</v>
      </c>
      <c r="DL464" s="125" t="s">
        <v>153</v>
      </c>
      <c r="DM464" s="126" t="s">
        <v>153</v>
      </c>
      <c r="DN464" s="127" t="s">
        <v>153</v>
      </c>
      <c r="DO464" s="128" t="s">
        <v>153</v>
      </c>
      <c r="DP464" s="129" t="s">
        <v>153</v>
      </c>
      <c r="DQ464" s="130" t="s">
        <v>153</v>
      </c>
      <c r="DR464" s="131" t="s">
        <v>153</v>
      </c>
      <c r="DS464" s="132" t="s">
        <v>153</v>
      </c>
      <c r="DT464" s="133" t="s">
        <v>153</v>
      </c>
      <c r="DU464" s="134" t="s">
        <v>153</v>
      </c>
      <c r="DV464" s="135" t="s">
        <v>153</v>
      </c>
      <c r="DW464" s="136" t="s">
        <v>153</v>
      </c>
      <c r="DX464" s="137" t="s">
        <v>153</v>
      </c>
      <c r="DY464" s="138" t="s">
        <v>153</v>
      </c>
      <c r="DZ464" s="139" t="s">
        <v>191</v>
      </c>
      <c r="EA464" s="140">
        <v>44334</v>
      </c>
      <c r="EB464" s="141">
        <v>9000</v>
      </c>
      <c r="EC464" s="142">
        <v>44123</v>
      </c>
      <c r="ED464" s="143" t="s">
        <v>226</v>
      </c>
      <c r="EE464" s="278" t="str">
        <f>HYPERLINK("https://my.pitchbook.com?c=442708-12", "View company online")</f>
        <v>View company online</v>
      </c>
    </row>
    <row r="465" spans="1:135" x14ac:dyDescent="0.45">
      <c r="A465" s="144" t="s">
        <v>9653</v>
      </c>
      <c r="B465" s="145" t="s">
        <v>9654</v>
      </c>
      <c r="C465" s="146" t="s">
        <v>153</v>
      </c>
      <c r="D465" s="147" t="s">
        <v>153</v>
      </c>
      <c r="E465" s="148" t="s">
        <v>153</v>
      </c>
      <c r="F465" s="149" t="s">
        <v>9655</v>
      </c>
      <c r="G465" s="150" t="s">
        <v>9656</v>
      </c>
      <c r="H465" s="151" t="s">
        <v>9657</v>
      </c>
      <c r="I465" s="152" t="s">
        <v>9653</v>
      </c>
      <c r="J465" s="153" t="s">
        <v>9658</v>
      </c>
      <c r="K465" s="154" t="s">
        <v>882</v>
      </c>
      <c r="L465" s="155" t="s">
        <v>1231</v>
      </c>
      <c r="M465" s="156" t="s">
        <v>1997</v>
      </c>
      <c r="N465" s="157" t="s">
        <v>7739</v>
      </c>
      <c r="O465" s="158" t="s">
        <v>365</v>
      </c>
      <c r="P465" s="159" t="s">
        <v>9659</v>
      </c>
      <c r="Q465" s="160" t="s">
        <v>204</v>
      </c>
      <c r="R465" s="161" t="s">
        <v>153</v>
      </c>
      <c r="S465" s="162" t="s">
        <v>163</v>
      </c>
      <c r="T465" s="163" t="s">
        <v>205</v>
      </c>
      <c r="U465" s="164" t="s">
        <v>206</v>
      </c>
      <c r="V465" s="165" t="s">
        <v>9660</v>
      </c>
      <c r="W465" s="166">
        <v>17000</v>
      </c>
      <c r="X465" s="167" t="s">
        <v>9661</v>
      </c>
      <c r="Y465" s="168" t="s">
        <v>153</v>
      </c>
      <c r="Z465" s="169" t="s">
        <v>153</v>
      </c>
      <c r="AA465" s="170">
        <v>1923</v>
      </c>
      <c r="AB465" s="171" t="s">
        <v>153</v>
      </c>
      <c r="AC465" s="172" t="s">
        <v>153</v>
      </c>
      <c r="AD465" s="173" t="s">
        <v>153</v>
      </c>
      <c r="AE465" s="174" t="s">
        <v>153</v>
      </c>
      <c r="AF465" s="175" t="s">
        <v>153</v>
      </c>
      <c r="AG465" s="176" t="s">
        <v>153</v>
      </c>
      <c r="AH465" s="177" t="s">
        <v>153</v>
      </c>
      <c r="AI465" s="178" t="s">
        <v>153</v>
      </c>
      <c r="AJ465" s="179" t="s">
        <v>153</v>
      </c>
      <c r="AK465" s="180" t="s">
        <v>153</v>
      </c>
      <c r="AL465" s="181" t="s">
        <v>153</v>
      </c>
      <c r="AM465" s="182" t="s">
        <v>153</v>
      </c>
      <c r="AN465" s="183" t="s">
        <v>918</v>
      </c>
      <c r="AO465" s="184" t="s">
        <v>9662</v>
      </c>
      <c r="AP465" s="185" t="s">
        <v>9663</v>
      </c>
      <c r="AQ465" s="186" t="s">
        <v>9664</v>
      </c>
      <c r="AR465" s="187" t="s">
        <v>153</v>
      </c>
      <c r="AS465" s="188" t="s">
        <v>153</v>
      </c>
      <c r="AT465" s="189" t="s">
        <v>9665</v>
      </c>
      <c r="AU465" s="190" t="s">
        <v>9666</v>
      </c>
      <c r="AV465" s="191" t="s">
        <v>9667</v>
      </c>
      <c r="AW465" s="192" t="s">
        <v>9668</v>
      </c>
      <c r="AX465" s="193" t="s">
        <v>213</v>
      </c>
      <c r="AY465" s="194" t="s">
        <v>9669</v>
      </c>
      <c r="AZ465" s="195" t="s">
        <v>215</v>
      </c>
      <c r="BA465" s="196" t="s">
        <v>153</v>
      </c>
      <c r="BB465" s="197" t="s">
        <v>153</v>
      </c>
      <c r="BC465" s="198" t="s">
        <v>153</v>
      </c>
      <c r="BD465" s="199" t="s">
        <v>216</v>
      </c>
      <c r="BE465" s="200" t="s">
        <v>217</v>
      </c>
      <c r="BF465" s="201" t="s">
        <v>9670</v>
      </c>
      <c r="BG465" s="202" t="s">
        <v>153</v>
      </c>
      <c r="BH465" s="203" t="s">
        <v>153</v>
      </c>
      <c r="BI465" s="204" t="s">
        <v>9671</v>
      </c>
      <c r="BJ465" s="205" t="s">
        <v>1934</v>
      </c>
      <c r="BK465" s="206" t="s">
        <v>153</v>
      </c>
      <c r="BL465" s="207" t="s">
        <v>153</v>
      </c>
      <c r="BM465" s="208" t="s">
        <v>9672</v>
      </c>
      <c r="BN465" s="209" t="s">
        <v>153</v>
      </c>
      <c r="BO465" s="210" t="s">
        <v>9673</v>
      </c>
      <c r="BP465" s="211" t="s">
        <v>153</v>
      </c>
      <c r="BQ465" s="212">
        <v>42314</v>
      </c>
      <c r="BR465" s="213">
        <v>9000</v>
      </c>
      <c r="BS465" s="214" t="s">
        <v>186</v>
      </c>
      <c r="BT465" s="215">
        <v>9000</v>
      </c>
      <c r="BU465" s="216" t="s">
        <v>186</v>
      </c>
      <c r="BV465" s="217" t="s">
        <v>226</v>
      </c>
      <c r="BW465" s="218" t="s">
        <v>729</v>
      </c>
      <c r="BX465" s="219" t="s">
        <v>153</v>
      </c>
      <c r="BY465" s="220" t="s">
        <v>225</v>
      </c>
      <c r="BZ465" s="221" t="s">
        <v>153</v>
      </c>
      <c r="CA465" s="222" t="s">
        <v>190</v>
      </c>
      <c r="CB465" s="223">
        <v>42314</v>
      </c>
      <c r="CC465" s="224">
        <v>9000</v>
      </c>
      <c r="CD465" s="225" t="s">
        <v>186</v>
      </c>
      <c r="CE465" s="226">
        <v>9000</v>
      </c>
      <c r="CF465" s="227" t="s">
        <v>186</v>
      </c>
      <c r="CG465" s="228" t="s">
        <v>226</v>
      </c>
      <c r="CH465" s="229" t="s">
        <v>729</v>
      </c>
      <c r="CI465" s="230" t="s">
        <v>153</v>
      </c>
      <c r="CJ465" s="231" t="s">
        <v>225</v>
      </c>
      <c r="CK465" s="232">
        <v>42314</v>
      </c>
      <c r="CL465" s="233" t="s">
        <v>153</v>
      </c>
      <c r="CM465" s="234" t="s">
        <v>153</v>
      </c>
      <c r="CN465" s="235" t="s">
        <v>190</v>
      </c>
      <c r="CO465" s="236" t="s">
        <v>153</v>
      </c>
      <c r="CP465" s="237" t="s">
        <v>153</v>
      </c>
      <c r="CQ465" s="238" t="s">
        <v>153</v>
      </c>
      <c r="CR465" s="239" t="s">
        <v>153</v>
      </c>
      <c r="CS465" s="240" t="s">
        <v>153</v>
      </c>
      <c r="CT465" s="241" t="s">
        <v>153</v>
      </c>
      <c r="CU465" s="242" t="s">
        <v>153</v>
      </c>
      <c r="CV465" s="243" t="s">
        <v>153</v>
      </c>
      <c r="CW465" s="244" t="s">
        <v>153</v>
      </c>
      <c r="CX465" s="245" t="s">
        <v>153</v>
      </c>
      <c r="CY465" s="246" t="s">
        <v>153</v>
      </c>
      <c r="CZ465" s="247" t="s">
        <v>153</v>
      </c>
      <c r="DA465" s="248" t="s">
        <v>153</v>
      </c>
      <c r="DB465" s="249" t="s">
        <v>153</v>
      </c>
      <c r="DC465" s="250" t="s">
        <v>153</v>
      </c>
      <c r="DD465" s="251" t="s">
        <v>153</v>
      </c>
      <c r="DE465" s="252" t="s">
        <v>153</v>
      </c>
      <c r="DF465" s="253" t="s">
        <v>153</v>
      </c>
      <c r="DG465" s="254" t="s">
        <v>153</v>
      </c>
      <c r="DH465" s="255" t="s">
        <v>153</v>
      </c>
      <c r="DI465" s="256" t="s">
        <v>153</v>
      </c>
      <c r="DJ465" s="257" t="s">
        <v>153</v>
      </c>
      <c r="DK465" s="258" t="s">
        <v>153</v>
      </c>
      <c r="DL465" s="259" t="s">
        <v>153</v>
      </c>
      <c r="DM465" s="260" t="s">
        <v>153</v>
      </c>
      <c r="DN465" s="261" t="s">
        <v>153</v>
      </c>
      <c r="DO465" s="262" t="s">
        <v>153</v>
      </c>
      <c r="DP465" s="263" t="s">
        <v>153</v>
      </c>
      <c r="DQ465" s="264" t="s">
        <v>153</v>
      </c>
      <c r="DR465" s="265" t="s">
        <v>153</v>
      </c>
      <c r="DS465" s="266" t="s">
        <v>153</v>
      </c>
      <c r="DT465" s="267" t="s">
        <v>153</v>
      </c>
      <c r="DU465" s="268" t="s">
        <v>153</v>
      </c>
      <c r="DV465" s="269" t="s">
        <v>153</v>
      </c>
      <c r="DW465" s="270" t="s">
        <v>153</v>
      </c>
      <c r="DX465" s="271" t="s">
        <v>153</v>
      </c>
      <c r="DY465" s="272" t="s">
        <v>153</v>
      </c>
      <c r="DZ465" s="273" t="s">
        <v>191</v>
      </c>
      <c r="EA465" s="274">
        <v>44147</v>
      </c>
      <c r="EB465" s="275">
        <v>9000</v>
      </c>
      <c r="EC465" s="276">
        <v>42314</v>
      </c>
      <c r="ED465" s="277" t="s">
        <v>226</v>
      </c>
      <c r="EE465" s="279" t="str">
        <f>HYPERLINK("https://my.pitchbook.com?c=12036-25", "View company online")</f>
        <v>View company online</v>
      </c>
    </row>
    <row r="466" spans="1:135" x14ac:dyDescent="0.45">
      <c r="A466" s="10" t="s">
        <v>9674</v>
      </c>
      <c r="B466" s="11" t="s">
        <v>9675</v>
      </c>
      <c r="C466" s="12" t="s">
        <v>153</v>
      </c>
      <c r="D466" s="13" t="s">
        <v>153</v>
      </c>
      <c r="E466" s="14" t="s">
        <v>153</v>
      </c>
      <c r="F466" s="15" t="s">
        <v>9676</v>
      </c>
      <c r="G466" s="16" t="s">
        <v>153</v>
      </c>
      <c r="H466" s="17" t="s">
        <v>153</v>
      </c>
      <c r="I466" s="18" t="s">
        <v>9674</v>
      </c>
      <c r="J466" s="19" t="s">
        <v>9677</v>
      </c>
      <c r="K466" s="20" t="s">
        <v>232</v>
      </c>
      <c r="L466" s="21" t="s">
        <v>2162</v>
      </c>
      <c r="M466" s="22" t="s">
        <v>2163</v>
      </c>
      <c r="N466" s="23" t="s">
        <v>9678</v>
      </c>
      <c r="O466" s="24" t="s">
        <v>153</v>
      </c>
      <c r="P466" s="25" t="s">
        <v>9679</v>
      </c>
      <c r="Q466" s="26" t="s">
        <v>204</v>
      </c>
      <c r="R466" s="27" t="s">
        <v>153</v>
      </c>
      <c r="S466" s="28" t="s">
        <v>163</v>
      </c>
      <c r="T466" s="29" t="s">
        <v>164</v>
      </c>
      <c r="U466" s="30" t="s">
        <v>206</v>
      </c>
      <c r="V466" s="31" t="s">
        <v>9680</v>
      </c>
      <c r="W466" s="32">
        <v>900</v>
      </c>
      <c r="X466" s="33" t="s">
        <v>9681</v>
      </c>
      <c r="Y466" s="34" t="s">
        <v>153</v>
      </c>
      <c r="Z466" s="35" t="s">
        <v>153</v>
      </c>
      <c r="AA466" s="36">
        <v>1923</v>
      </c>
      <c r="AB466" s="37" t="s">
        <v>153</v>
      </c>
      <c r="AC466" s="38" t="s">
        <v>153</v>
      </c>
      <c r="AD466" s="39" t="s">
        <v>153</v>
      </c>
      <c r="AE466" s="40" t="s">
        <v>153</v>
      </c>
      <c r="AF466" s="41" t="s">
        <v>153</v>
      </c>
      <c r="AG466" s="42" t="s">
        <v>153</v>
      </c>
      <c r="AH466" s="43" t="s">
        <v>153</v>
      </c>
      <c r="AI466" s="44" t="s">
        <v>153</v>
      </c>
      <c r="AJ466" s="45" t="s">
        <v>153</v>
      </c>
      <c r="AK466" s="46" t="s">
        <v>153</v>
      </c>
      <c r="AL466" s="47" t="s">
        <v>153</v>
      </c>
      <c r="AM466" s="48" t="s">
        <v>153</v>
      </c>
      <c r="AN466" s="49" t="s">
        <v>868</v>
      </c>
      <c r="AO466" s="50" t="s">
        <v>9682</v>
      </c>
      <c r="AP466" s="51" t="s">
        <v>9683</v>
      </c>
      <c r="AQ466" s="52" t="s">
        <v>9684</v>
      </c>
      <c r="AR466" s="53" t="s">
        <v>9685</v>
      </c>
      <c r="AS466" s="54" t="s">
        <v>9686</v>
      </c>
      <c r="AT466" s="55" t="s">
        <v>9687</v>
      </c>
      <c r="AU466" s="56" t="s">
        <v>9688</v>
      </c>
      <c r="AV466" s="57" t="s">
        <v>9689</v>
      </c>
      <c r="AW466" s="58" t="s">
        <v>9690</v>
      </c>
      <c r="AX466" s="59" t="s">
        <v>4177</v>
      </c>
      <c r="AY466" s="60" t="s">
        <v>9691</v>
      </c>
      <c r="AZ466" s="61" t="s">
        <v>215</v>
      </c>
      <c r="BA466" s="62" t="s">
        <v>9686</v>
      </c>
      <c r="BB466" s="63" t="s">
        <v>153</v>
      </c>
      <c r="BC466" s="64" t="s">
        <v>153</v>
      </c>
      <c r="BD466" s="65" t="s">
        <v>216</v>
      </c>
      <c r="BE466" s="66" t="s">
        <v>217</v>
      </c>
      <c r="BF466" s="67" t="s">
        <v>9692</v>
      </c>
      <c r="BG466" s="68" t="s">
        <v>153</v>
      </c>
      <c r="BH466" s="69" t="s">
        <v>153</v>
      </c>
      <c r="BI466" s="70" t="s">
        <v>9693</v>
      </c>
      <c r="BJ466" s="71" t="s">
        <v>153</v>
      </c>
      <c r="BK466" s="72" t="s">
        <v>153</v>
      </c>
      <c r="BL466" s="73" t="s">
        <v>153</v>
      </c>
      <c r="BM466" s="74" t="s">
        <v>153</v>
      </c>
      <c r="BN466" s="75" t="s">
        <v>153</v>
      </c>
      <c r="BO466" s="76" t="s">
        <v>9694</v>
      </c>
      <c r="BP466" s="77" t="s">
        <v>9695</v>
      </c>
      <c r="BQ466" s="78">
        <v>43404</v>
      </c>
      <c r="BR466" s="79">
        <v>9000</v>
      </c>
      <c r="BS466" s="80" t="s">
        <v>186</v>
      </c>
      <c r="BT466" s="81">
        <v>9000</v>
      </c>
      <c r="BU466" s="82" t="s">
        <v>186</v>
      </c>
      <c r="BV466" s="83" t="s">
        <v>226</v>
      </c>
      <c r="BW466" s="84" t="s">
        <v>153</v>
      </c>
      <c r="BX466" s="85" t="s">
        <v>153</v>
      </c>
      <c r="BY466" s="86" t="s">
        <v>225</v>
      </c>
      <c r="BZ466" s="87" t="s">
        <v>153</v>
      </c>
      <c r="CA466" s="88" t="s">
        <v>190</v>
      </c>
      <c r="CB466" s="89">
        <v>43404</v>
      </c>
      <c r="CC466" s="90">
        <v>9000</v>
      </c>
      <c r="CD466" s="91" t="s">
        <v>186</v>
      </c>
      <c r="CE466" s="92">
        <v>9000</v>
      </c>
      <c r="CF466" s="93" t="s">
        <v>186</v>
      </c>
      <c r="CG466" s="94" t="s">
        <v>226</v>
      </c>
      <c r="CH466" s="95" t="s">
        <v>153</v>
      </c>
      <c r="CI466" s="96" t="s">
        <v>153</v>
      </c>
      <c r="CJ466" s="97" t="s">
        <v>225</v>
      </c>
      <c r="CK466" s="98">
        <v>43404</v>
      </c>
      <c r="CL466" s="99" t="s">
        <v>153</v>
      </c>
      <c r="CM466" s="100" t="s">
        <v>153</v>
      </c>
      <c r="CN466" s="101" t="s">
        <v>190</v>
      </c>
      <c r="CO466" s="102">
        <v>-0.02</v>
      </c>
      <c r="CP466" s="103">
        <v>10</v>
      </c>
      <c r="CQ466" s="104">
        <v>-0.03</v>
      </c>
      <c r="CR466" s="105">
        <v>-226.8</v>
      </c>
      <c r="CS466" s="106">
        <v>-0.02</v>
      </c>
      <c r="CT466" s="107">
        <v>8</v>
      </c>
      <c r="CU466" s="108" t="s">
        <v>153</v>
      </c>
      <c r="CV466" s="109" t="s">
        <v>153</v>
      </c>
      <c r="CW466" s="110">
        <v>0</v>
      </c>
      <c r="CX466" s="111">
        <v>21</v>
      </c>
      <c r="CY466" s="112">
        <v>-0.03</v>
      </c>
      <c r="CZ466" s="113">
        <v>5</v>
      </c>
      <c r="DA466" s="114" t="s">
        <v>153</v>
      </c>
      <c r="DB466" s="115" t="s">
        <v>153</v>
      </c>
      <c r="DC466" s="116">
        <v>49.96</v>
      </c>
      <c r="DD466" s="117">
        <v>98</v>
      </c>
      <c r="DE466" s="118">
        <v>0.03</v>
      </c>
      <c r="DF466" s="119">
        <v>0.06</v>
      </c>
      <c r="DG466" s="120">
        <v>49.96</v>
      </c>
      <c r="DH466" s="121">
        <v>98</v>
      </c>
      <c r="DI466" s="122" t="s">
        <v>153</v>
      </c>
      <c r="DJ466" s="123" t="s">
        <v>153</v>
      </c>
      <c r="DK466" s="124">
        <v>0.48</v>
      </c>
      <c r="DL466" s="125">
        <v>37</v>
      </c>
      <c r="DM466" s="126">
        <v>99.44</v>
      </c>
      <c r="DN466" s="127">
        <v>99</v>
      </c>
      <c r="DO466" s="128" t="s">
        <v>153</v>
      </c>
      <c r="DP466" s="129" t="s">
        <v>153</v>
      </c>
      <c r="DQ466" s="130">
        <v>271</v>
      </c>
      <c r="DR466" s="131">
        <v>52</v>
      </c>
      <c r="DS466" s="132">
        <v>23.74</v>
      </c>
      <c r="DT466" s="133">
        <v>1590</v>
      </c>
      <c r="DU466" s="134">
        <v>1</v>
      </c>
      <c r="DV466" s="135">
        <v>0.06</v>
      </c>
      <c r="DW466" s="136">
        <v>1113</v>
      </c>
      <c r="DX466" s="137">
        <v>0</v>
      </c>
      <c r="DY466" s="138">
        <v>0</v>
      </c>
      <c r="DZ466" s="139" t="s">
        <v>191</v>
      </c>
      <c r="EA466" s="140">
        <v>44083</v>
      </c>
      <c r="EB466" s="141">
        <v>9000</v>
      </c>
      <c r="EC466" s="142">
        <v>43404</v>
      </c>
      <c r="ED466" s="143" t="s">
        <v>226</v>
      </c>
      <c r="EE466" s="278" t="str">
        <f>HYPERLINK("https://my.pitchbook.com?c=111038-77", "View company online")</f>
        <v>View company online</v>
      </c>
    </row>
    <row r="467" spans="1:135" x14ac:dyDescent="0.45">
      <c r="A467" s="144" t="s">
        <v>9696</v>
      </c>
      <c r="B467" s="145" t="s">
        <v>9697</v>
      </c>
      <c r="C467" s="146" t="s">
        <v>153</v>
      </c>
      <c r="D467" s="147" t="s">
        <v>153</v>
      </c>
      <c r="E467" s="148" t="s">
        <v>153</v>
      </c>
      <c r="F467" s="149" t="s">
        <v>153</v>
      </c>
      <c r="G467" s="150" t="s">
        <v>9698</v>
      </c>
      <c r="H467" s="151" t="s">
        <v>153</v>
      </c>
      <c r="I467" s="152" t="s">
        <v>9696</v>
      </c>
      <c r="J467" s="153" t="s">
        <v>9699</v>
      </c>
      <c r="K467" s="154" t="s">
        <v>232</v>
      </c>
      <c r="L467" s="155" t="s">
        <v>362</v>
      </c>
      <c r="M467" s="156" t="s">
        <v>1059</v>
      </c>
      <c r="N467" s="157" t="s">
        <v>9700</v>
      </c>
      <c r="O467" s="158" t="s">
        <v>153</v>
      </c>
      <c r="P467" s="159" t="s">
        <v>9701</v>
      </c>
      <c r="Q467" s="160" t="s">
        <v>204</v>
      </c>
      <c r="R467" s="161" t="s">
        <v>153</v>
      </c>
      <c r="S467" s="162" t="s">
        <v>163</v>
      </c>
      <c r="T467" s="163" t="s">
        <v>205</v>
      </c>
      <c r="U467" s="164" t="s">
        <v>206</v>
      </c>
      <c r="V467" s="165" t="s">
        <v>9702</v>
      </c>
      <c r="W467" s="166">
        <v>600</v>
      </c>
      <c r="X467" s="167" t="s">
        <v>9703</v>
      </c>
      <c r="Y467" s="168" t="s">
        <v>153</v>
      </c>
      <c r="Z467" s="169" t="s">
        <v>153</v>
      </c>
      <c r="AA467" s="170">
        <v>2004</v>
      </c>
      <c r="AB467" s="171" t="s">
        <v>153</v>
      </c>
      <c r="AC467" s="172" t="s">
        <v>153</v>
      </c>
      <c r="AD467" s="173" t="s">
        <v>153</v>
      </c>
      <c r="AE467" s="174" t="s">
        <v>153</v>
      </c>
      <c r="AF467" s="175" t="s">
        <v>153</v>
      </c>
      <c r="AG467" s="176" t="s">
        <v>153</v>
      </c>
      <c r="AH467" s="177" t="s">
        <v>153</v>
      </c>
      <c r="AI467" s="178" t="s">
        <v>153</v>
      </c>
      <c r="AJ467" s="179" t="s">
        <v>153</v>
      </c>
      <c r="AK467" s="180" t="s">
        <v>153</v>
      </c>
      <c r="AL467" s="181" t="s">
        <v>153</v>
      </c>
      <c r="AM467" s="182" t="s">
        <v>153</v>
      </c>
      <c r="AN467" s="183" t="s">
        <v>153</v>
      </c>
      <c r="AO467" s="184" t="s">
        <v>153</v>
      </c>
      <c r="AP467" s="185" t="s">
        <v>153</v>
      </c>
      <c r="AQ467" s="186" t="s">
        <v>153</v>
      </c>
      <c r="AR467" s="187" t="s">
        <v>153</v>
      </c>
      <c r="AS467" s="188" t="s">
        <v>153</v>
      </c>
      <c r="AT467" s="189" t="s">
        <v>9704</v>
      </c>
      <c r="AU467" s="190" t="s">
        <v>9705</v>
      </c>
      <c r="AV467" s="191" t="s">
        <v>153</v>
      </c>
      <c r="AW467" s="192" t="s">
        <v>9706</v>
      </c>
      <c r="AX467" s="193" t="s">
        <v>213</v>
      </c>
      <c r="AY467" s="194" t="s">
        <v>9707</v>
      </c>
      <c r="AZ467" s="195" t="s">
        <v>215</v>
      </c>
      <c r="BA467" s="196" t="s">
        <v>153</v>
      </c>
      <c r="BB467" s="197" t="s">
        <v>153</v>
      </c>
      <c r="BC467" s="198" t="s">
        <v>153</v>
      </c>
      <c r="BD467" s="199" t="s">
        <v>216</v>
      </c>
      <c r="BE467" s="200" t="s">
        <v>217</v>
      </c>
      <c r="BF467" s="201" t="s">
        <v>9708</v>
      </c>
      <c r="BG467" s="202" t="s">
        <v>153</v>
      </c>
      <c r="BH467" s="203" t="s">
        <v>153</v>
      </c>
      <c r="BI467" s="204" t="s">
        <v>9709</v>
      </c>
      <c r="BJ467" s="205" t="s">
        <v>4717</v>
      </c>
      <c r="BK467" s="206" t="s">
        <v>153</v>
      </c>
      <c r="BL467" s="207" t="s">
        <v>153</v>
      </c>
      <c r="BM467" s="208" t="s">
        <v>4718</v>
      </c>
      <c r="BN467" s="209" t="s">
        <v>153</v>
      </c>
      <c r="BO467" s="210" t="s">
        <v>153</v>
      </c>
      <c r="BP467" s="211" t="s">
        <v>153</v>
      </c>
      <c r="BQ467" s="212">
        <v>42339</v>
      </c>
      <c r="BR467" s="213">
        <v>8900</v>
      </c>
      <c r="BS467" s="214" t="s">
        <v>186</v>
      </c>
      <c r="BT467" s="215">
        <v>8900</v>
      </c>
      <c r="BU467" s="216" t="s">
        <v>186</v>
      </c>
      <c r="BV467" s="217" t="s">
        <v>226</v>
      </c>
      <c r="BW467" s="218" t="s">
        <v>729</v>
      </c>
      <c r="BX467" s="219" t="s">
        <v>153</v>
      </c>
      <c r="BY467" s="220" t="s">
        <v>225</v>
      </c>
      <c r="BZ467" s="221" t="s">
        <v>153</v>
      </c>
      <c r="CA467" s="222" t="s">
        <v>190</v>
      </c>
      <c r="CB467" s="223">
        <v>42339</v>
      </c>
      <c r="CC467" s="224">
        <v>8900</v>
      </c>
      <c r="CD467" s="225" t="s">
        <v>186</v>
      </c>
      <c r="CE467" s="226">
        <v>8900</v>
      </c>
      <c r="CF467" s="227" t="s">
        <v>186</v>
      </c>
      <c r="CG467" s="228" t="s">
        <v>226</v>
      </c>
      <c r="CH467" s="229" t="s">
        <v>729</v>
      </c>
      <c r="CI467" s="230" t="s">
        <v>153</v>
      </c>
      <c r="CJ467" s="231" t="s">
        <v>225</v>
      </c>
      <c r="CK467" s="232">
        <v>42339</v>
      </c>
      <c r="CL467" s="233" t="s">
        <v>153</v>
      </c>
      <c r="CM467" s="234" t="s">
        <v>153</v>
      </c>
      <c r="CN467" s="235" t="s">
        <v>190</v>
      </c>
      <c r="CO467" s="236" t="s">
        <v>153</v>
      </c>
      <c r="CP467" s="237" t="s">
        <v>153</v>
      </c>
      <c r="CQ467" s="238" t="s">
        <v>153</v>
      </c>
      <c r="CR467" s="239" t="s">
        <v>153</v>
      </c>
      <c r="CS467" s="240" t="s">
        <v>153</v>
      </c>
      <c r="CT467" s="241" t="s">
        <v>153</v>
      </c>
      <c r="CU467" s="242" t="s">
        <v>153</v>
      </c>
      <c r="CV467" s="243" t="s">
        <v>153</v>
      </c>
      <c r="CW467" s="244" t="s">
        <v>153</v>
      </c>
      <c r="CX467" s="245" t="s">
        <v>153</v>
      </c>
      <c r="CY467" s="246" t="s">
        <v>153</v>
      </c>
      <c r="CZ467" s="247" t="s">
        <v>153</v>
      </c>
      <c r="DA467" s="248" t="s">
        <v>153</v>
      </c>
      <c r="DB467" s="249" t="s">
        <v>153</v>
      </c>
      <c r="DC467" s="250" t="s">
        <v>153</v>
      </c>
      <c r="DD467" s="251" t="s">
        <v>153</v>
      </c>
      <c r="DE467" s="252" t="s">
        <v>153</v>
      </c>
      <c r="DF467" s="253" t="s">
        <v>153</v>
      </c>
      <c r="DG467" s="254" t="s">
        <v>153</v>
      </c>
      <c r="DH467" s="255" t="s">
        <v>153</v>
      </c>
      <c r="DI467" s="256" t="s">
        <v>153</v>
      </c>
      <c r="DJ467" s="257" t="s">
        <v>153</v>
      </c>
      <c r="DK467" s="258" t="s">
        <v>153</v>
      </c>
      <c r="DL467" s="259" t="s">
        <v>153</v>
      </c>
      <c r="DM467" s="260" t="s">
        <v>153</v>
      </c>
      <c r="DN467" s="261" t="s">
        <v>153</v>
      </c>
      <c r="DO467" s="262" t="s">
        <v>153</v>
      </c>
      <c r="DP467" s="263" t="s">
        <v>153</v>
      </c>
      <c r="DQ467" s="264" t="s">
        <v>153</v>
      </c>
      <c r="DR467" s="265" t="s">
        <v>153</v>
      </c>
      <c r="DS467" s="266" t="s">
        <v>153</v>
      </c>
      <c r="DT467" s="267" t="s">
        <v>153</v>
      </c>
      <c r="DU467" s="268" t="s">
        <v>153</v>
      </c>
      <c r="DV467" s="269" t="s">
        <v>153</v>
      </c>
      <c r="DW467" s="270" t="s">
        <v>153</v>
      </c>
      <c r="DX467" s="271" t="s">
        <v>153</v>
      </c>
      <c r="DY467" s="272" t="s">
        <v>153</v>
      </c>
      <c r="DZ467" s="273" t="s">
        <v>191</v>
      </c>
      <c r="EA467" s="274">
        <v>44147</v>
      </c>
      <c r="EB467" s="275">
        <v>8900</v>
      </c>
      <c r="EC467" s="276">
        <v>42339</v>
      </c>
      <c r="ED467" s="277" t="s">
        <v>226</v>
      </c>
      <c r="EE467" s="279" t="str">
        <f>HYPERLINK("https://my.pitchbook.com?c=109125-82", "View company online")</f>
        <v>View company online</v>
      </c>
    </row>
    <row r="468" spans="1:135" x14ac:dyDescent="0.45">
      <c r="A468" s="10" t="s">
        <v>9710</v>
      </c>
      <c r="B468" s="11" t="s">
        <v>9711</v>
      </c>
      <c r="C468" s="12" t="s">
        <v>153</v>
      </c>
      <c r="D468" s="13" t="s">
        <v>153</v>
      </c>
      <c r="E468" s="14" t="s">
        <v>9712</v>
      </c>
      <c r="F468" s="15" t="s">
        <v>153</v>
      </c>
      <c r="G468" s="16" t="s">
        <v>9713</v>
      </c>
      <c r="H468" s="17" t="s">
        <v>9714</v>
      </c>
      <c r="I468" s="18" t="s">
        <v>9710</v>
      </c>
      <c r="J468" s="19" t="s">
        <v>9715</v>
      </c>
      <c r="K468" s="20" t="s">
        <v>559</v>
      </c>
      <c r="L468" s="21" t="s">
        <v>560</v>
      </c>
      <c r="M468" s="22" t="s">
        <v>4572</v>
      </c>
      <c r="N468" s="23" t="s">
        <v>9716</v>
      </c>
      <c r="O468" s="24" t="s">
        <v>261</v>
      </c>
      <c r="P468" s="25" t="s">
        <v>9717</v>
      </c>
      <c r="Q468" s="26" t="s">
        <v>564</v>
      </c>
      <c r="R468" s="27" t="s">
        <v>153</v>
      </c>
      <c r="S468" s="28" t="s">
        <v>290</v>
      </c>
      <c r="T468" s="29" t="s">
        <v>164</v>
      </c>
      <c r="U468" s="30" t="s">
        <v>565</v>
      </c>
      <c r="V468" s="31" t="s">
        <v>9718</v>
      </c>
      <c r="W468" s="32">
        <v>11000</v>
      </c>
      <c r="X468" s="33" t="s">
        <v>9719</v>
      </c>
      <c r="Y468" s="34" t="s">
        <v>153</v>
      </c>
      <c r="Z468" s="35" t="s">
        <v>153</v>
      </c>
      <c r="AA468" s="36">
        <v>1866</v>
      </c>
      <c r="AB468" s="37" t="s">
        <v>9720</v>
      </c>
      <c r="AC468" s="38" t="s">
        <v>153</v>
      </c>
      <c r="AD468" s="39" t="s">
        <v>428</v>
      </c>
      <c r="AE468" s="40" t="s">
        <v>153</v>
      </c>
      <c r="AF468" s="41" t="s">
        <v>153</v>
      </c>
      <c r="AG468" s="42" t="s">
        <v>153</v>
      </c>
      <c r="AH468" s="43" t="s">
        <v>153</v>
      </c>
      <c r="AI468" s="44" t="s">
        <v>153</v>
      </c>
      <c r="AJ468" s="45" t="s">
        <v>153</v>
      </c>
      <c r="AK468" s="46" t="s">
        <v>153</v>
      </c>
      <c r="AL468" s="47" t="s">
        <v>153</v>
      </c>
      <c r="AM468" s="48" t="s">
        <v>153</v>
      </c>
      <c r="AN468" s="49" t="s">
        <v>4877</v>
      </c>
      <c r="AO468" s="50" t="s">
        <v>9721</v>
      </c>
      <c r="AP468" s="51" t="s">
        <v>9722</v>
      </c>
      <c r="AQ468" s="52" t="s">
        <v>968</v>
      </c>
      <c r="AR468" s="53" t="s">
        <v>153</v>
      </c>
      <c r="AS468" s="54" t="s">
        <v>9723</v>
      </c>
      <c r="AT468" s="55" t="s">
        <v>8558</v>
      </c>
      <c r="AU468" s="56" t="s">
        <v>9724</v>
      </c>
      <c r="AV468" s="57" t="s">
        <v>153</v>
      </c>
      <c r="AW468" s="58" t="s">
        <v>8560</v>
      </c>
      <c r="AX468" s="59" t="s">
        <v>2760</v>
      </c>
      <c r="AY468" s="60" t="s">
        <v>8561</v>
      </c>
      <c r="AZ468" s="61" t="s">
        <v>215</v>
      </c>
      <c r="BA468" s="62" t="s">
        <v>9725</v>
      </c>
      <c r="BB468" s="63" t="s">
        <v>153</v>
      </c>
      <c r="BC468" s="64" t="s">
        <v>9726</v>
      </c>
      <c r="BD468" s="65" t="s">
        <v>216</v>
      </c>
      <c r="BE468" s="66" t="s">
        <v>217</v>
      </c>
      <c r="BF468" s="67" t="s">
        <v>9727</v>
      </c>
      <c r="BG468" s="68" t="s">
        <v>153</v>
      </c>
      <c r="BH468" s="69" t="s">
        <v>153</v>
      </c>
      <c r="BI468" s="70" t="s">
        <v>9720</v>
      </c>
      <c r="BJ468" s="71" t="s">
        <v>9728</v>
      </c>
      <c r="BK468" s="72" t="s">
        <v>153</v>
      </c>
      <c r="BL468" s="73" t="s">
        <v>153</v>
      </c>
      <c r="BM468" s="74" t="s">
        <v>9729</v>
      </c>
      <c r="BN468" s="75" t="s">
        <v>153</v>
      </c>
      <c r="BO468" s="76" t="s">
        <v>9730</v>
      </c>
      <c r="BP468" s="77" t="s">
        <v>9731</v>
      </c>
      <c r="BQ468" s="78">
        <v>28503</v>
      </c>
      <c r="BR468" s="79" t="s">
        <v>153</v>
      </c>
      <c r="BS468" s="80" t="s">
        <v>153</v>
      </c>
      <c r="BT468" s="81" t="s">
        <v>153</v>
      </c>
      <c r="BU468" s="82" t="s">
        <v>153</v>
      </c>
      <c r="BV468" s="83" t="s">
        <v>251</v>
      </c>
      <c r="BW468" s="84" t="s">
        <v>153</v>
      </c>
      <c r="BX468" s="85" t="s">
        <v>153</v>
      </c>
      <c r="BY468" s="86" t="s">
        <v>252</v>
      </c>
      <c r="BZ468" s="87" t="s">
        <v>153</v>
      </c>
      <c r="CA468" s="88" t="s">
        <v>190</v>
      </c>
      <c r="CB468" s="89">
        <v>42887</v>
      </c>
      <c r="CC468" s="90">
        <v>8900</v>
      </c>
      <c r="CD468" s="91" t="s">
        <v>186</v>
      </c>
      <c r="CE468" s="92">
        <v>8900</v>
      </c>
      <c r="CF468" s="93" t="s">
        <v>187</v>
      </c>
      <c r="CG468" s="94" t="s">
        <v>226</v>
      </c>
      <c r="CH468" s="95" t="s">
        <v>153</v>
      </c>
      <c r="CI468" s="96" t="s">
        <v>153</v>
      </c>
      <c r="CJ468" s="97" t="s">
        <v>225</v>
      </c>
      <c r="CK468" s="98">
        <v>42887</v>
      </c>
      <c r="CL468" s="99" t="s">
        <v>153</v>
      </c>
      <c r="CM468" s="100" t="s">
        <v>153</v>
      </c>
      <c r="CN468" s="101" t="s">
        <v>190</v>
      </c>
      <c r="CO468" s="102" t="s">
        <v>153</v>
      </c>
      <c r="CP468" s="103" t="s">
        <v>153</v>
      </c>
      <c r="CQ468" s="104" t="s">
        <v>153</v>
      </c>
      <c r="CR468" s="105" t="s">
        <v>153</v>
      </c>
      <c r="CS468" s="106" t="s">
        <v>153</v>
      </c>
      <c r="CT468" s="107" t="s">
        <v>153</v>
      </c>
      <c r="CU468" s="108" t="s">
        <v>153</v>
      </c>
      <c r="CV468" s="109" t="s">
        <v>153</v>
      </c>
      <c r="CW468" s="110" t="s">
        <v>153</v>
      </c>
      <c r="CX468" s="111" t="s">
        <v>153</v>
      </c>
      <c r="CY468" s="112" t="s">
        <v>153</v>
      </c>
      <c r="CZ468" s="113" t="s">
        <v>153</v>
      </c>
      <c r="DA468" s="114" t="s">
        <v>153</v>
      </c>
      <c r="DB468" s="115" t="s">
        <v>153</v>
      </c>
      <c r="DC468" s="116" t="s">
        <v>153</v>
      </c>
      <c r="DD468" s="117" t="s">
        <v>153</v>
      </c>
      <c r="DE468" s="118" t="s">
        <v>153</v>
      </c>
      <c r="DF468" s="119" t="s">
        <v>153</v>
      </c>
      <c r="DG468" s="120" t="s">
        <v>153</v>
      </c>
      <c r="DH468" s="121" t="s">
        <v>153</v>
      </c>
      <c r="DI468" s="122" t="s">
        <v>153</v>
      </c>
      <c r="DJ468" s="123" t="s">
        <v>153</v>
      </c>
      <c r="DK468" s="124" t="s">
        <v>153</v>
      </c>
      <c r="DL468" s="125" t="s">
        <v>153</v>
      </c>
      <c r="DM468" s="126" t="s">
        <v>153</v>
      </c>
      <c r="DN468" s="127" t="s">
        <v>153</v>
      </c>
      <c r="DO468" s="128" t="s">
        <v>153</v>
      </c>
      <c r="DP468" s="129" t="s">
        <v>153</v>
      </c>
      <c r="DQ468" s="130" t="s">
        <v>153</v>
      </c>
      <c r="DR468" s="131" t="s">
        <v>153</v>
      </c>
      <c r="DS468" s="132" t="s">
        <v>153</v>
      </c>
      <c r="DT468" s="133" t="s">
        <v>153</v>
      </c>
      <c r="DU468" s="134" t="s">
        <v>153</v>
      </c>
      <c r="DV468" s="135" t="s">
        <v>153</v>
      </c>
      <c r="DW468" s="136" t="s">
        <v>153</v>
      </c>
      <c r="DX468" s="137" t="s">
        <v>153</v>
      </c>
      <c r="DY468" s="138" t="s">
        <v>153</v>
      </c>
      <c r="DZ468" s="139" t="s">
        <v>191</v>
      </c>
      <c r="EA468" s="140">
        <v>44341</v>
      </c>
      <c r="EB468" s="141">
        <v>8900</v>
      </c>
      <c r="EC468" s="142">
        <v>42887</v>
      </c>
      <c r="ED468" s="143" t="s">
        <v>226</v>
      </c>
      <c r="EE468" s="278" t="str">
        <f>HYPERLINK("https://my.pitchbook.com?c=12661-12", "View company online")</f>
        <v>View company online</v>
      </c>
    </row>
    <row r="469" spans="1:135" x14ac:dyDescent="0.45">
      <c r="A469" s="144" t="s">
        <v>9732</v>
      </c>
      <c r="B469" s="145" t="s">
        <v>9733</v>
      </c>
      <c r="C469" s="146" t="s">
        <v>153</v>
      </c>
      <c r="D469" s="147" t="s">
        <v>153</v>
      </c>
      <c r="E469" s="148" t="s">
        <v>9734</v>
      </c>
      <c r="F469" s="149" t="s">
        <v>153</v>
      </c>
      <c r="G469" s="150" t="s">
        <v>9735</v>
      </c>
      <c r="H469" s="151" t="s">
        <v>9736</v>
      </c>
      <c r="I469" s="152" t="s">
        <v>9732</v>
      </c>
      <c r="J469" s="153" t="s">
        <v>9737</v>
      </c>
      <c r="K469" s="154" t="s">
        <v>157</v>
      </c>
      <c r="L469" s="155" t="s">
        <v>1667</v>
      </c>
      <c r="M469" s="156" t="s">
        <v>1668</v>
      </c>
      <c r="N469" s="157" t="s">
        <v>1669</v>
      </c>
      <c r="O469" s="158" t="s">
        <v>365</v>
      </c>
      <c r="P469" s="159" t="s">
        <v>9738</v>
      </c>
      <c r="Q469" s="160" t="s">
        <v>204</v>
      </c>
      <c r="R469" s="161" t="s">
        <v>153</v>
      </c>
      <c r="S469" s="162" t="s">
        <v>368</v>
      </c>
      <c r="T469" s="163" t="s">
        <v>164</v>
      </c>
      <c r="U469" s="164" t="s">
        <v>206</v>
      </c>
      <c r="V469" s="165" t="s">
        <v>9739</v>
      </c>
      <c r="W469" s="166">
        <v>1800</v>
      </c>
      <c r="X469" s="167" t="s">
        <v>9740</v>
      </c>
      <c r="Y469" s="168" t="s">
        <v>153</v>
      </c>
      <c r="Z469" s="169" t="s">
        <v>153</v>
      </c>
      <c r="AA469" s="170">
        <v>1963</v>
      </c>
      <c r="AB469" s="171" t="s">
        <v>9741</v>
      </c>
      <c r="AC469" s="172" t="s">
        <v>1540</v>
      </c>
      <c r="AD469" s="173" t="s">
        <v>9334</v>
      </c>
      <c r="AE469" s="174">
        <v>8469.5499999999993</v>
      </c>
      <c r="AF469" s="175" t="s">
        <v>153</v>
      </c>
      <c r="AG469" s="176" t="s">
        <v>153</v>
      </c>
      <c r="AH469" s="177" t="s">
        <v>153</v>
      </c>
      <c r="AI469" s="178" t="s">
        <v>153</v>
      </c>
      <c r="AJ469" s="179" t="s">
        <v>153</v>
      </c>
      <c r="AK469" s="180" t="s">
        <v>153</v>
      </c>
      <c r="AL469" s="181" t="s">
        <v>153</v>
      </c>
      <c r="AM469" s="182">
        <v>280.57</v>
      </c>
      <c r="AN469" s="183" t="s">
        <v>168</v>
      </c>
      <c r="AO469" s="184" t="s">
        <v>9742</v>
      </c>
      <c r="AP469" s="185" t="s">
        <v>9743</v>
      </c>
      <c r="AQ469" s="186" t="s">
        <v>9744</v>
      </c>
      <c r="AR469" s="187" t="s">
        <v>9745</v>
      </c>
      <c r="AS469" s="188" t="s">
        <v>9746</v>
      </c>
      <c r="AT469" s="189" t="s">
        <v>9747</v>
      </c>
      <c r="AU469" s="190" t="s">
        <v>9748</v>
      </c>
      <c r="AV469" s="191" t="s">
        <v>153</v>
      </c>
      <c r="AW469" s="192" t="s">
        <v>9749</v>
      </c>
      <c r="AX469" s="193" t="s">
        <v>153</v>
      </c>
      <c r="AY469" s="194" t="s">
        <v>9750</v>
      </c>
      <c r="AZ469" s="195" t="s">
        <v>681</v>
      </c>
      <c r="BA469" s="196" t="s">
        <v>9746</v>
      </c>
      <c r="BB469" s="197" t="s">
        <v>153</v>
      </c>
      <c r="BC469" s="198" t="s">
        <v>153</v>
      </c>
      <c r="BD469" s="199" t="s">
        <v>180</v>
      </c>
      <c r="BE469" s="200" t="s">
        <v>684</v>
      </c>
      <c r="BF469" s="201" t="s">
        <v>9751</v>
      </c>
      <c r="BG469" s="202" t="s">
        <v>9741</v>
      </c>
      <c r="BH469" s="203">
        <v>1</v>
      </c>
      <c r="BI469" s="204" t="s">
        <v>153</v>
      </c>
      <c r="BJ469" s="205" t="s">
        <v>9752</v>
      </c>
      <c r="BK469" s="206" t="s">
        <v>153</v>
      </c>
      <c r="BL469" s="207" t="s">
        <v>9753</v>
      </c>
      <c r="BM469" s="208" t="s">
        <v>9754</v>
      </c>
      <c r="BN469" s="209" t="s">
        <v>153</v>
      </c>
      <c r="BO469" s="210" t="s">
        <v>9755</v>
      </c>
      <c r="BP469" s="211" t="s">
        <v>153</v>
      </c>
      <c r="BQ469" s="212">
        <v>26299</v>
      </c>
      <c r="BR469" s="213">
        <v>0.6</v>
      </c>
      <c r="BS469" s="214" t="s">
        <v>186</v>
      </c>
      <c r="BT469" s="215">
        <v>1.18</v>
      </c>
      <c r="BU469" s="216" t="s">
        <v>187</v>
      </c>
      <c r="BV469" s="217" t="s">
        <v>226</v>
      </c>
      <c r="BW469" s="218" t="s">
        <v>153</v>
      </c>
      <c r="BX469" s="219" t="s">
        <v>153</v>
      </c>
      <c r="BY469" s="220" t="s">
        <v>318</v>
      </c>
      <c r="BZ469" s="221" t="s">
        <v>153</v>
      </c>
      <c r="CA469" s="222" t="s">
        <v>190</v>
      </c>
      <c r="CB469" s="223" t="s">
        <v>153</v>
      </c>
      <c r="CC469" s="224">
        <v>8885.02</v>
      </c>
      <c r="CD469" s="225" t="s">
        <v>186</v>
      </c>
      <c r="CE469" s="226">
        <v>8885.02</v>
      </c>
      <c r="CF469" s="227" t="s">
        <v>187</v>
      </c>
      <c r="CG469" s="228" t="s">
        <v>226</v>
      </c>
      <c r="CH469" s="229" t="s">
        <v>729</v>
      </c>
      <c r="CI469" s="230" t="s">
        <v>153</v>
      </c>
      <c r="CJ469" s="231" t="s">
        <v>225</v>
      </c>
      <c r="CK469" s="232" t="s">
        <v>153</v>
      </c>
      <c r="CL469" s="233" t="s">
        <v>153</v>
      </c>
      <c r="CM469" s="234" t="s">
        <v>153</v>
      </c>
      <c r="CN469" s="235" t="s">
        <v>1698</v>
      </c>
      <c r="CO469" s="236">
        <v>0.08</v>
      </c>
      <c r="CP469" s="237">
        <v>88</v>
      </c>
      <c r="CQ469" s="238">
        <v>0.08</v>
      </c>
      <c r="CR469" s="239">
        <v>1854.89</v>
      </c>
      <c r="CS469" s="240">
        <v>-0.5</v>
      </c>
      <c r="CT469" s="241">
        <v>5</v>
      </c>
      <c r="CU469" s="242">
        <v>0.04</v>
      </c>
      <c r="CV469" s="243">
        <v>80</v>
      </c>
      <c r="CW469" s="244">
        <v>-1.06</v>
      </c>
      <c r="CX469" s="245">
        <v>16</v>
      </c>
      <c r="CY469" s="246">
        <v>7.0000000000000007E-2</v>
      </c>
      <c r="CZ469" s="247">
        <v>90</v>
      </c>
      <c r="DA469" s="248">
        <v>0.04</v>
      </c>
      <c r="DB469" s="249">
        <v>80</v>
      </c>
      <c r="DC469" s="250">
        <v>1839.13</v>
      </c>
      <c r="DD469" s="251">
        <v>100</v>
      </c>
      <c r="DE469" s="252">
        <v>9.74</v>
      </c>
      <c r="DF469" s="253">
        <v>0.53</v>
      </c>
      <c r="DG469" s="254">
        <v>805.21</v>
      </c>
      <c r="DH469" s="255">
        <v>100</v>
      </c>
      <c r="DI469" s="256">
        <v>6501.01</v>
      </c>
      <c r="DJ469" s="257">
        <v>100</v>
      </c>
      <c r="DK469" s="258">
        <v>751.16</v>
      </c>
      <c r="DL469" s="259">
        <v>100</v>
      </c>
      <c r="DM469" s="260">
        <v>859.25</v>
      </c>
      <c r="DN469" s="261">
        <v>100</v>
      </c>
      <c r="DO469" s="262">
        <v>6501.01</v>
      </c>
      <c r="DP469" s="263">
        <v>100</v>
      </c>
      <c r="DQ469" s="264">
        <v>450367</v>
      </c>
      <c r="DR469" s="265">
        <v>-18075</v>
      </c>
      <c r="DS469" s="266">
        <v>-3.86</v>
      </c>
      <c r="DT469" s="267">
        <v>13777</v>
      </c>
      <c r="DU469" s="268">
        <v>-75</v>
      </c>
      <c r="DV469" s="269">
        <v>-0.54</v>
      </c>
      <c r="DW469" s="270">
        <v>2039909</v>
      </c>
      <c r="DX469" s="271">
        <v>3238</v>
      </c>
      <c r="DY469" s="272">
        <v>0.16</v>
      </c>
      <c r="DZ469" s="273" t="s">
        <v>191</v>
      </c>
      <c r="EA469" s="274">
        <v>44349</v>
      </c>
      <c r="EB469" s="275">
        <v>110</v>
      </c>
      <c r="EC469" s="276">
        <v>36003</v>
      </c>
      <c r="ED469" s="277" t="s">
        <v>226</v>
      </c>
      <c r="EE469" s="279" t="str">
        <f>HYPERLINK("https://my.pitchbook.com?c=117303-40", "View company online")</f>
        <v>View company online</v>
      </c>
    </row>
    <row r="470" spans="1:135" x14ac:dyDescent="0.45">
      <c r="A470" s="10" t="s">
        <v>9756</v>
      </c>
      <c r="B470" s="11" t="s">
        <v>9757</v>
      </c>
      <c r="C470" s="12" t="s">
        <v>153</v>
      </c>
      <c r="D470" s="13" t="s">
        <v>153</v>
      </c>
      <c r="E470" s="14" t="s">
        <v>153</v>
      </c>
      <c r="F470" s="15" t="s">
        <v>153</v>
      </c>
      <c r="G470" s="16" t="s">
        <v>153</v>
      </c>
      <c r="H470" s="17" t="s">
        <v>153</v>
      </c>
      <c r="I470" s="18" t="s">
        <v>9756</v>
      </c>
      <c r="J470" s="19" t="s">
        <v>9758</v>
      </c>
      <c r="K470" s="20" t="s">
        <v>792</v>
      </c>
      <c r="L470" s="21" t="s">
        <v>3864</v>
      </c>
      <c r="M470" s="22" t="s">
        <v>3865</v>
      </c>
      <c r="N470" s="23" t="s">
        <v>3866</v>
      </c>
      <c r="O470" s="24" t="s">
        <v>153</v>
      </c>
      <c r="P470" s="25" t="s">
        <v>9759</v>
      </c>
      <c r="Q470" s="26" t="s">
        <v>204</v>
      </c>
      <c r="R470" s="27" t="s">
        <v>153</v>
      </c>
      <c r="S470" s="28" t="s">
        <v>163</v>
      </c>
      <c r="T470" s="29" t="s">
        <v>205</v>
      </c>
      <c r="U470" s="30" t="s">
        <v>206</v>
      </c>
      <c r="V470" s="31" t="s">
        <v>153</v>
      </c>
      <c r="W470" s="32" t="s">
        <v>153</v>
      </c>
      <c r="X470" s="33" t="s">
        <v>153</v>
      </c>
      <c r="Y470" s="34" t="s">
        <v>153</v>
      </c>
      <c r="Z470" s="35" t="s">
        <v>153</v>
      </c>
      <c r="AA470" s="36" t="s">
        <v>153</v>
      </c>
      <c r="AB470" s="37" t="s">
        <v>153</v>
      </c>
      <c r="AC470" s="38" t="s">
        <v>153</v>
      </c>
      <c r="AD470" s="39" t="s">
        <v>153</v>
      </c>
      <c r="AE470" s="40" t="s">
        <v>153</v>
      </c>
      <c r="AF470" s="41" t="s">
        <v>153</v>
      </c>
      <c r="AG470" s="42" t="s">
        <v>153</v>
      </c>
      <c r="AH470" s="43" t="s">
        <v>153</v>
      </c>
      <c r="AI470" s="44" t="s">
        <v>153</v>
      </c>
      <c r="AJ470" s="45" t="s">
        <v>153</v>
      </c>
      <c r="AK470" s="46" t="s">
        <v>153</v>
      </c>
      <c r="AL470" s="47" t="s">
        <v>153</v>
      </c>
      <c r="AM470" s="48" t="s">
        <v>153</v>
      </c>
      <c r="AN470" s="49" t="s">
        <v>153</v>
      </c>
      <c r="AO470" s="50" t="s">
        <v>153</v>
      </c>
      <c r="AP470" s="51" t="s">
        <v>153</v>
      </c>
      <c r="AQ470" s="52" t="s">
        <v>153</v>
      </c>
      <c r="AR470" s="53" t="s">
        <v>153</v>
      </c>
      <c r="AS470" s="54" t="s">
        <v>153</v>
      </c>
      <c r="AT470" s="55" t="s">
        <v>179</v>
      </c>
      <c r="AU470" s="56" t="s">
        <v>153</v>
      </c>
      <c r="AV470" s="57" t="s">
        <v>153</v>
      </c>
      <c r="AW470" s="58" t="s">
        <v>153</v>
      </c>
      <c r="AX470" s="59" t="s">
        <v>177</v>
      </c>
      <c r="AY470" s="60" t="s">
        <v>153</v>
      </c>
      <c r="AZ470" s="61" t="s">
        <v>179</v>
      </c>
      <c r="BA470" s="62" t="s">
        <v>153</v>
      </c>
      <c r="BB470" s="63" t="s">
        <v>153</v>
      </c>
      <c r="BC470" s="64" t="s">
        <v>153</v>
      </c>
      <c r="BD470" s="65" t="s">
        <v>180</v>
      </c>
      <c r="BE470" s="66" t="s">
        <v>181</v>
      </c>
      <c r="BF470" s="67" t="s">
        <v>9760</v>
      </c>
      <c r="BG470" s="68" t="s">
        <v>153</v>
      </c>
      <c r="BH470" s="69" t="s">
        <v>153</v>
      </c>
      <c r="BI470" s="70" t="s">
        <v>9761</v>
      </c>
      <c r="BJ470" s="71" t="s">
        <v>153</v>
      </c>
      <c r="BK470" s="72" t="s">
        <v>153</v>
      </c>
      <c r="BL470" s="73" t="s">
        <v>153</v>
      </c>
      <c r="BM470" s="74" t="s">
        <v>153</v>
      </c>
      <c r="BN470" s="75" t="s">
        <v>153</v>
      </c>
      <c r="BO470" s="76" t="s">
        <v>9762</v>
      </c>
      <c r="BP470" s="77" t="s">
        <v>153</v>
      </c>
      <c r="BQ470" s="78">
        <v>40389</v>
      </c>
      <c r="BR470" s="79">
        <v>8863.3700000000008</v>
      </c>
      <c r="BS470" s="80" t="s">
        <v>186</v>
      </c>
      <c r="BT470" s="81">
        <v>8863.3700000000008</v>
      </c>
      <c r="BU470" s="82" t="s">
        <v>186</v>
      </c>
      <c r="BV470" s="83" t="s">
        <v>226</v>
      </c>
      <c r="BW470" s="84" t="s">
        <v>729</v>
      </c>
      <c r="BX470" s="85" t="s">
        <v>153</v>
      </c>
      <c r="BY470" s="86" t="s">
        <v>225</v>
      </c>
      <c r="BZ470" s="87" t="s">
        <v>153</v>
      </c>
      <c r="CA470" s="88" t="s">
        <v>190</v>
      </c>
      <c r="CB470" s="89">
        <v>40389</v>
      </c>
      <c r="CC470" s="90">
        <v>8863.3700000000008</v>
      </c>
      <c r="CD470" s="91" t="s">
        <v>186</v>
      </c>
      <c r="CE470" s="92">
        <v>8863.3700000000008</v>
      </c>
      <c r="CF470" s="93" t="s">
        <v>186</v>
      </c>
      <c r="CG470" s="94" t="s">
        <v>226</v>
      </c>
      <c r="CH470" s="95" t="s">
        <v>729</v>
      </c>
      <c r="CI470" s="96" t="s">
        <v>153</v>
      </c>
      <c r="CJ470" s="97" t="s">
        <v>225</v>
      </c>
      <c r="CK470" s="98">
        <v>40389</v>
      </c>
      <c r="CL470" s="99" t="s">
        <v>153</v>
      </c>
      <c r="CM470" s="100" t="s">
        <v>153</v>
      </c>
      <c r="CN470" s="101" t="s">
        <v>190</v>
      </c>
      <c r="CO470" s="102" t="s">
        <v>153</v>
      </c>
      <c r="CP470" s="103" t="s">
        <v>153</v>
      </c>
      <c r="CQ470" s="104" t="s">
        <v>153</v>
      </c>
      <c r="CR470" s="105" t="s">
        <v>153</v>
      </c>
      <c r="CS470" s="106" t="s">
        <v>153</v>
      </c>
      <c r="CT470" s="107" t="s">
        <v>153</v>
      </c>
      <c r="CU470" s="108" t="s">
        <v>153</v>
      </c>
      <c r="CV470" s="109" t="s">
        <v>153</v>
      </c>
      <c r="CW470" s="110" t="s">
        <v>153</v>
      </c>
      <c r="CX470" s="111" t="s">
        <v>153</v>
      </c>
      <c r="CY470" s="112" t="s">
        <v>153</v>
      </c>
      <c r="CZ470" s="113" t="s">
        <v>153</v>
      </c>
      <c r="DA470" s="114" t="s">
        <v>153</v>
      </c>
      <c r="DB470" s="115" t="s">
        <v>153</v>
      </c>
      <c r="DC470" s="116" t="s">
        <v>153</v>
      </c>
      <c r="DD470" s="117" t="s">
        <v>153</v>
      </c>
      <c r="DE470" s="118" t="s">
        <v>153</v>
      </c>
      <c r="DF470" s="119" t="s">
        <v>153</v>
      </c>
      <c r="DG470" s="120" t="s">
        <v>153</v>
      </c>
      <c r="DH470" s="121" t="s">
        <v>153</v>
      </c>
      <c r="DI470" s="122" t="s">
        <v>153</v>
      </c>
      <c r="DJ470" s="123" t="s">
        <v>153</v>
      </c>
      <c r="DK470" s="124" t="s">
        <v>153</v>
      </c>
      <c r="DL470" s="125" t="s">
        <v>153</v>
      </c>
      <c r="DM470" s="126" t="s">
        <v>153</v>
      </c>
      <c r="DN470" s="127" t="s">
        <v>153</v>
      </c>
      <c r="DO470" s="128" t="s">
        <v>153</v>
      </c>
      <c r="DP470" s="129" t="s">
        <v>153</v>
      </c>
      <c r="DQ470" s="130" t="s">
        <v>153</v>
      </c>
      <c r="DR470" s="131" t="s">
        <v>153</v>
      </c>
      <c r="DS470" s="132" t="s">
        <v>153</v>
      </c>
      <c r="DT470" s="133" t="s">
        <v>153</v>
      </c>
      <c r="DU470" s="134" t="s">
        <v>153</v>
      </c>
      <c r="DV470" s="135" t="s">
        <v>153</v>
      </c>
      <c r="DW470" s="136" t="s">
        <v>153</v>
      </c>
      <c r="DX470" s="137" t="s">
        <v>153</v>
      </c>
      <c r="DY470" s="138" t="s">
        <v>153</v>
      </c>
      <c r="DZ470" s="139" t="s">
        <v>191</v>
      </c>
      <c r="EA470" s="140">
        <v>44147</v>
      </c>
      <c r="EB470" s="141">
        <v>8863.3700000000008</v>
      </c>
      <c r="EC470" s="142">
        <v>40389</v>
      </c>
      <c r="ED470" s="143" t="s">
        <v>226</v>
      </c>
      <c r="EE470" s="278" t="str">
        <f>HYPERLINK("https://my.pitchbook.com?c=153824-86", "View company online")</f>
        <v>View company online</v>
      </c>
    </row>
    <row r="471" spans="1:135" x14ac:dyDescent="0.45">
      <c r="A471" s="144" t="s">
        <v>9763</v>
      </c>
      <c r="B471" s="145" t="s">
        <v>9764</v>
      </c>
      <c r="C471" s="146" t="s">
        <v>153</v>
      </c>
      <c r="D471" s="147" t="s">
        <v>153</v>
      </c>
      <c r="E471" s="148" t="s">
        <v>153</v>
      </c>
      <c r="F471" s="149" t="s">
        <v>153</v>
      </c>
      <c r="G471" s="150" t="s">
        <v>153</v>
      </c>
      <c r="H471" s="151" t="s">
        <v>153</v>
      </c>
      <c r="I471" s="152" t="s">
        <v>9763</v>
      </c>
      <c r="J471" s="153" t="s">
        <v>9765</v>
      </c>
      <c r="K471" s="154" t="s">
        <v>792</v>
      </c>
      <c r="L471" s="155" t="s">
        <v>3864</v>
      </c>
      <c r="M471" s="156" t="s">
        <v>3865</v>
      </c>
      <c r="N471" s="157" t="s">
        <v>9766</v>
      </c>
      <c r="O471" s="158" t="s">
        <v>153</v>
      </c>
      <c r="P471" s="159" t="s">
        <v>9767</v>
      </c>
      <c r="Q471" s="160" t="s">
        <v>204</v>
      </c>
      <c r="R471" s="161" t="s">
        <v>153</v>
      </c>
      <c r="S471" s="162" t="s">
        <v>290</v>
      </c>
      <c r="T471" s="163" t="s">
        <v>205</v>
      </c>
      <c r="U471" s="164" t="s">
        <v>206</v>
      </c>
      <c r="V471" s="165" t="s">
        <v>153</v>
      </c>
      <c r="W471" s="166" t="s">
        <v>153</v>
      </c>
      <c r="X471" s="167" t="s">
        <v>153</v>
      </c>
      <c r="Y471" s="168" t="s">
        <v>153</v>
      </c>
      <c r="Z471" s="169" t="s">
        <v>153</v>
      </c>
      <c r="AA471" s="170" t="s">
        <v>153</v>
      </c>
      <c r="AB471" s="171" t="s">
        <v>153</v>
      </c>
      <c r="AC471" s="172" t="s">
        <v>153</v>
      </c>
      <c r="AD471" s="173" t="s">
        <v>153</v>
      </c>
      <c r="AE471" s="174" t="s">
        <v>153</v>
      </c>
      <c r="AF471" s="175" t="s">
        <v>153</v>
      </c>
      <c r="AG471" s="176" t="s">
        <v>153</v>
      </c>
      <c r="AH471" s="177" t="s">
        <v>153</v>
      </c>
      <c r="AI471" s="178" t="s">
        <v>153</v>
      </c>
      <c r="AJ471" s="179" t="s">
        <v>153</v>
      </c>
      <c r="AK471" s="180" t="s">
        <v>153</v>
      </c>
      <c r="AL471" s="181" t="s">
        <v>153</v>
      </c>
      <c r="AM471" s="182" t="s">
        <v>153</v>
      </c>
      <c r="AN471" s="183" t="s">
        <v>3725</v>
      </c>
      <c r="AO471" s="184" t="s">
        <v>153</v>
      </c>
      <c r="AP471" s="185" t="s">
        <v>153</v>
      </c>
      <c r="AQ471" s="186" t="s">
        <v>153</v>
      </c>
      <c r="AR471" s="187" t="s">
        <v>153</v>
      </c>
      <c r="AS471" s="188" t="s">
        <v>153</v>
      </c>
      <c r="AT471" s="189" t="s">
        <v>179</v>
      </c>
      <c r="AU471" s="190" t="s">
        <v>153</v>
      </c>
      <c r="AV471" s="191" t="s">
        <v>153</v>
      </c>
      <c r="AW471" s="192" t="s">
        <v>153</v>
      </c>
      <c r="AX471" s="193" t="s">
        <v>177</v>
      </c>
      <c r="AY471" s="194" t="s">
        <v>153</v>
      </c>
      <c r="AZ471" s="195" t="s">
        <v>179</v>
      </c>
      <c r="BA471" s="196" t="s">
        <v>153</v>
      </c>
      <c r="BB471" s="197" t="s">
        <v>153</v>
      </c>
      <c r="BC471" s="198" t="s">
        <v>153</v>
      </c>
      <c r="BD471" s="199" t="s">
        <v>180</v>
      </c>
      <c r="BE471" s="200" t="s">
        <v>181</v>
      </c>
      <c r="BF471" s="201" t="s">
        <v>9768</v>
      </c>
      <c r="BG471" s="202" t="s">
        <v>9769</v>
      </c>
      <c r="BH471" s="203">
        <v>2</v>
      </c>
      <c r="BI471" s="204" t="s">
        <v>153</v>
      </c>
      <c r="BJ471" s="205" t="s">
        <v>9770</v>
      </c>
      <c r="BK471" s="206" t="s">
        <v>153</v>
      </c>
      <c r="BL471" s="207" t="s">
        <v>9771</v>
      </c>
      <c r="BM471" s="208" t="s">
        <v>9772</v>
      </c>
      <c r="BN471" s="209" t="s">
        <v>153</v>
      </c>
      <c r="BO471" s="210" t="s">
        <v>153</v>
      </c>
      <c r="BP471" s="211" t="s">
        <v>9773</v>
      </c>
      <c r="BQ471" s="212">
        <v>40389</v>
      </c>
      <c r="BR471" s="213">
        <v>8863.3700000000008</v>
      </c>
      <c r="BS471" s="214" t="s">
        <v>186</v>
      </c>
      <c r="BT471" s="215">
        <v>8863.3700000000008</v>
      </c>
      <c r="BU471" s="216" t="s">
        <v>186</v>
      </c>
      <c r="BV471" s="217" t="s">
        <v>226</v>
      </c>
      <c r="BW471" s="218" t="s">
        <v>729</v>
      </c>
      <c r="BX471" s="219" t="s">
        <v>153</v>
      </c>
      <c r="BY471" s="220" t="s">
        <v>225</v>
      </c>
      <c r="BZ471" s="221" t="s">
        <v>153</v>
      </c>
      <c r="CA471" s="222" t="s">
        <v>190</v>
      </c>
      <c r="CB471" s="223">
        <v>40389</v>
      </c>
      <c r="CC471" s="224">
        <v>8863.3700000000008</v>
      </c>
      <c r="CD471" s="225" t="s">
        <v>186</v>
      </c>
      <c r="CE471" s="226">
        <v>8863.3700000000008</v>
      </c>
      <c r="CF471" s="227" t="s">
        <v>186</v>
      </c>
      <c r="CG471" s="228" t="s">
        <v>226</v>
      </c>
      <c r="CH471" s="229" t="s">
        <v>729</v>
      </c>
      <c r="CI471" s="230" t="s">
        <v>153</v>
      </c>
      <c r="CJ471" s="231" t="s">
        <v>225</v>
      </c>
      <c r="CK471" s="232">
        <v>40389</v>
      </c>
      <c r="CL471" s="233" t="s">
        <v>153</v>
      </c>
      <c r="CM471" s="234" t="s">
        <v>153</v>
      </c>
      <c r="CN471" s="235" t="s">
        <v>190</v>
      </c>
      <c r="CO471" s="236" t="s">
        <v>153</v>
      </c>
      <c r="CP471" s="237" t="s">
        <v>153</v>
      </c>
      <c r="CQ471" s="238" t="s">
        <v>153</v>
      </c>
      <c r="CR471" s="239" t="s">
        <v>153</v>
      </c>
      <c r="CS471" s="240" t="s">
        <v>153</v>
      </c>
      <c r="CT471" s="241" t="s">
        <v>153</v>
      </c>
      <c r="CU471" s="242" t="s">
        <v>153</v>
      </c>
      <c r="CV471" s="243" t="s">
        <v>153</v>
      </c>
      <c r="CW471" s="244" t="s">
        <v>153</v>
      </c>
      <c r="CX471" s="245" t="s">
        <v>153</v>
      </c>
      <c r="CY471" s="246" t="s">
        <v>153</v>
      </c>
      <c r="CZ471" s="247" t="s">
        <v>153</v>
      </c>
      <c r="DA471" s="248" t="s">
        <v>153</v>
      </c>
      <c r="DB471" s="249" t="s">
        <v>153</v>
      </c>
      <c r="DC471" s="250" t="s">
        <v>153</v>
      </c>
      <c r="DD471" s="251" t="s">
        <v>153</v>
      </c>
      <c r="DE471" s="252" t="s">
        <v>153</v>
      </c>
      <c r="DF471" s="253" t="s">
        <v>153</v>
      </c>
      <c r="DG471" s="254" t="s">
        <v>153</v>
      </c>
      <c r="DH471" s="255" t="s">
        <v>153</v>
      </c>
      <c r="DI471" s="256" t="s">
        <v>153</v>
      </c>
      <c r="DJ471" s="257" t="s">
        <v>153</v>
      </c>
      <c r="DK471" s="258" t="s">
        <v>153</v>
      </c>
      <c r="DL471" s="259" t="s">
        <v>153</v>
      </c>
      <c r="DM471" s="260" t="s">
        <v>153</v>
      </c>
      <c r="DN471" s="261" t="s">
        <v>153</v>
      </c>
      <c r="DO471" s="262" t="s">
        <v>153</v>
      </c>
      <c r="DP471" s="263" t="s">
        <v>153</v>
      </c>
      <c r="DQ471" s="264" t="s">
        <v>153</v>
      </c>
      <c r="DR471" s="265" t="s">
        <v>153</v>
      </c>
      <c r="DS471" s="266" t="s">
        <v>153</v>
      </c>
      <c r="DT471" s="267" t="s">
        <v>153</v>
      </c>
      <c r="DU471" s="268" t="s">
        <v>153</v>
      </c>
      <c r="DV471" s="269" t="s">
        <v>153</v>
      </c>
      <c r="DW471" s="270" t="s">
        <v>153</v>
      </c>
      <c r="DX471" s="271" t="s">
        <v>153</v>
      </c>
      <c r="DY471" s="272" t="s">
        <v>153</v>
      </c>
      <c r="DZ471" s="273" t="s">
        <v>191</v>
      </c>
      <c r="EA471" s="274">
        <v>44147</v>
      </c>
      <c r="EB471" s="275">
        <v>8863.3700000000008</v>
      </c>
      <c r="EC471" s="276">
        <v>40389</v>
      </c>
      <c r="ED471" s="277" t="s">
        <v>226</v>
      </c>
      <c r="EE471" s="279" t="str">
        <f>HYPERLINK("https://my.pitchbook.com?c=115554-16", "View company online")</f>
        <v>View company online</v>
      </c>
    </row>
    <row r="472" spans="1:135" x14ac:dyDescent="0.45">
      <c r="A472" s="10" t="s">
        <v>9774</v>
      </c>
      <c r="B472" s="11" t="s">
        <v>9775</v>
      </c>
      <c r="C472" s="12" t="s">
        <v>153</v>
      </c>
      <c r="D472" s="13" t="s">
        <v>153</v>
      </c>
      <c r="E472" s="14" t="s">
        <v>9776</v>
      </c>
      <c r="F472" s="15" t="s">
        <v>9777</v>
      </c>
      <c r="G472" s="16" t="s">
        <v>9778</v>
      </c>
      <c r="H472" s="17" t="s">
        <v>9779</v>
      </c>
      <c r="I472" s="18" t="s">
        <v>9774</v>
      </c>
      <c r="J472" s="19" t="s">
        <v>9780</v>
      </c>
      <c r="K472" s="20" t="s">
        <v>157</v>
      </c>
      <c r="L472" s="21" t="s">
        <v>817</v>
      </c>
      <c r="M472" s="22" t="s">
        <v>1499</v>
      </c>
      <c r="N472" s="23" t="s">
        <v>6901</v>
      </c>
      <c r="O472" s="24" t="s">
        <v>153</v>
      </c>
      <c r="P472" s="25" t="s">
        <v>9781</v>
      </c>
      <c r="Q472" s="26" t="s">
        <v>204</v>
      </c>
      <c r="R472" s="27" t="s">
        <v>153</v>
      </c>
      <c r="S472" s="28" t="s">
        <v>290</v>
      </c>
      <c r="T472" s="29" t="s">
        <v>205</v>
      </c>
      <c r="U472" s="30" t="s">
        <v>206</v>
      </c>
      <c r="V472" s="31" t="s">
        <v>9782</v>
      </c>
      <c r="W472" s="32">
        <v>489</v>
      </c>
      <c r="X472" s="33" t="s">
        <v>9783</v>
      </c>
      <c r="Y472" s="34" t="s">
        <v>153</v>
      </c>
      <c r="Z472" s="35" t="s">
        <v>153</v>
      </c>
      <c r="AA472" s="36">
        <v>1917</v>
      </c>
      <c r="AB472" s="37" t="s">
        <v>153</v>
      </c>
      <c r="AC472" s="38" t="s">
        <v>153</v>
      </c>
      <c r="AD472" s="39" t="s">
        <v>153</v>
      </c>
      <c r="AE472" s="40" t="s">
        <v>153</v>
      </c>
      <c r="AF472" s="41" t="s">
        <v>153</v>
      </c>
      <c r="AG472" s="42" t="s">
        <v>153</v>
      </c>
      <c r="AH472" s="43" t="s">
        <v>153</v>
      </c>
      <c r="AI472" s="44" t="s">
        <v>153</v>
      </c>
      <c r="AJ472" s="45" t="s">
        <v>153</v>
      </c>
      <c r="AK472" s="46" t="s">
        <v>153</v>
      </c>
      <c r="AL472" s="47" t="s">
        <v>153</v>
      </c>
      <c r="AM472" s="48" t="s">
        <v>153</v>
      </c>
      <c r="AN472" s="49" t="s">
        <v>168</v>
      </c>
      <c r="AO472" s="50" t="s">
        <v>9784</v>
      </c>
      <c r="AP472" s="51" t="s">
        <v>9785</v>
      </c>
      <c r="AQ472" s="52" t="s">
        <v>9786</v>
      </c>
      <c r="AR472" s="53" t="s">
        <v>153</v>
      </c>
      <c r="AS472" s="54" t="s">
        <v>153</v>
      </c>
      <c r="AT472" s="55" t="s">
        <v>9135</v>
      </c>
      <c r="AU472" s="56" t="s">
        <v>9787</v>
      </c>
      <c r="AV472" s="57" t="s">
        <v>153</v>
      </c>
      <c r="AW472" s="58" t="s">
        <v>9137</v>
      </c>
      <c r="AX472" s="59" t="s">
        <v>153</v>
      </c>
      <c r="AY472" s="60" t="s">
        <v>9788</v>
      </c>
      <c r="AZ472" s="61" t="s">
        <v>8753</v>
      </c>
      <c r="BA472" s="62" t="s">
        <v>153</v>
      </c>
      <c r="BB472" s="63" t="s">
        <v>153</v>
      </c>
      <c r="BC472" s="64" t="s">
        <v>153</v>
      </c>
      <c r="BD472" s="65" t="s">
        <v>180</v>
      </c>
      <c r="BE472" s="66" t="s">
        <v>2051</v>
      </c>
      <c r="BF472" s="67" t="s">
        <v>9789</v>
      </c>
      <c r="BG472" s="68" t="s">
        <v>153</v>
      </c>
      <c r="BH472" s="69" t="s">
        <v>153</v>
      </c>
      <c r="BI472" s="70" t="s">
        <v>9790</v>
      </c>
      <c r="BJ472" s="71" t="s">
        <v>153</v>
      </c>
      <c r="BK472" s="72" t="s">
        <v>153</v>
      </c>
      <c r="BL472" s="73" t="s">
        <v>153</v>
      </c>
      <c r="BM472" s="74" t="s">
        <v>153</v>
      </c>
      <c r="BN472" s="75" t="s">
        <v>153</v>
      </c>
      <c r="BO472" s="76" t="s">
        <v>153</v>
      </c>
      <c r="BP472" s="77" t="s">
        <v>9791</v>
      </c>
      <c r="BQ472" s="78">
        <v>39653</v>
      </c>
      <c r="BR472" s="79">
        <v>8855.14</v>
      </c>
      <c r="BS472" s="80" t="s">
        <v>186</v>
      </c>
      <c r="BT472" s="81">
        <v>8855.14</v>
      </c>
      <c r="BU472" s="82" t="s">
        <v>186</v>
      </c>
      <c r="BV472" s="83" t="s">
        <v>226</v>
      </c>
      <c r="BW472" s="84" t="s">
        <v>153</v>
      </c>
      <c r="BX472" s="85" t="s">
        <v>153</v>
      </c>
      <c r="BY472" s="86" t="s">
        <v>225</v>
      </c>
      <c r="BZ472" s="87" t="s">
        <v>153</v>
      </c>
      <c r="CA472" s="88" t="s">
        <v>190</v>
      </c>
      <c r="CB472" s="89">
        <v>39653</v>
      </c>
      <c r="CC472" s="90">
        <v>8855.14</v>
      </c>
      <c r="CD472" s="91" t="s">
        <v>186</v>
      </c>
      <c r="CE472" s="92">
        <v>8855.14</v>
      </c>
      <c r="CF472" s="93" t="s">
        <v>186</v>
      </c>
      <c r="CG472" s="94" t="s">
        <v>226</v>
      </c>
      <c r="CH472" s="95" t="s">
        <v>153</v>
      </c>
      <c r="CI472" s="96" t="s">
        <v>153</v>
      </c>
      <c r="CJ472" s="97" t="s">
        <v>225</v>
      </c>
      <c r="CK472" s="98">
        <v>39653</v>
      </c>
      <c r="CL472" s="99" t="s">
        <v>153</v>
      </c>
      <c r="CM472" s="100" t="s">
        <v>153</v>
      </c>
      <c r="CN472" s="101" t="s">
        <v>190</v>
      </c>
      <c r="CO472" s="102" t="s">
        <v>153</v>
      </c>
      <c r="CP472" s="103" t="s">
        <v>153</v>
      </c>
      <c r="CQ472" s="104" t="s">
        <v>153</v>
      </c>
      <c r="CR472" s="105" t="s">
        <v>153</v>
      </c>
      <c r="CS472" s="106" t="s">
        <v>153</v>
      </c>
      <c r="CT472" s="107" t="s">
        <v>153</v>
      </c>
      <c r="CU472" s="108" t="s">
        <v>153</v>
      </c>
      <c r="CV472" s="109" t="s">
        <v>153</v>
      </c>
      <c r="CW472" s="110" t="s">
        <v>153</v>
      </c>
      <c r="CX472" s="111" t="s">
        <v>153</v>
      </c>
      <c r="CY472" s="112" t="s">
        <v>153</v>
      </c>
      <c r="CZ472" s="113" t="s">
        <v>153</v>
      </c>
      <c r="DA472" s="114" t="s">
        <v>153</v>
      </c>
      <c r="DB472" s="115" t="s">
        <v>153</v>
      </c>
      <c r="DC472" s="116" t="s">
        <v>153</v>
      </c>
      <c r="DD472" s="117" t="s">
        <v>153</v>
      </c>
      <c r="DE472" s="118" t="s">
        <v>153</v>
      </c>
      <c r="DF472" s="119" t="s">
        <v>153</v>
      </c>
      <c r="DG472" s="120" t="s">
        <v>153</v>
      </c>
      <c r="DH472" s="121" t="s">
        <v>153</v>
      </c>
      <c r="DI472" s="122" t="s">
        <v>153</v>
      </c>
      <c r="DJ472" s="123" t="s">
        <v>153</v>
      </c>
      <c r="DK472" s="124" t="s">
        <v>153</v>
      </c>
      <c r="DL472" s="125" t="s">
        <v>153</v>
      </c>
      <c r="DM472" s="126" t="s">
        <v>153</v>
      </c>
      <c r="DN472" s="127" t="s">
        <v>153</v>
      </c>
      <c r="DO472" s="128" t="s">
        <v>153</v>
      </c>
      <c r="DP472" s="129" t="s">
        <v>153</v>
      </c>
      <c r="DQ472" s="130" t="s">
        <v>153</v>
      </c>
      <c r="DR472" s="131" t="s">
        <v>153</v>
      </c>
      <c r="DS472" s="132" t="s">
        <v>153</v>
      </c>
      <c r="DT472" s="133" t="s">
        <v>153</v>
      </c>
      <c r="DU472" s="134" t="s">
        <v>153</v>
      </c>
      <c r="DV472" s="135" t="s">
        <v>153</v>
      </c>
      <c r="DW472" s="136" t="s">
        <v>153</v>
      </c>
      <c r="DX472" s="137" t="s">
        <v>153</v>
      </c>
      <c r="DY472" s="138" t="s">
        <v>153</v>
      </c>
      <c r="DZ472" s="139" t="s">
        <v>191</v>
      </c>
      <c r="EA472" s="140">
        <v>44400</v>
      </c>
      <c r="EB472" s="141">
        <v>8855.14</v>
      </c>
      <c r="EC472" s="142">
        <v>39653</v>
      </c>
      <c r="ED472" s="143" t="s">
        <v>226</v>
      </c>
      <c r="EE472" s="278" t="str">
        <f>HYPERLINK("https://my.pitchbook.com?c=10753-03", "View company online")</f>
        <v>View company online</v>
      </c>
    </row>
    <row r="473" spans="1:135" x14ac:dyDescent="0.45">
      <c r="A473" s="144" t="s">
        <v>9792</v>
      </c>
      <c r="B473" s="145" t="s">
        <v>9793</v>
      </c>
      <c r="C473" s="146" t="s">
        <v>153</v>
      </c>
      <c r="D473" s="147" t="s">
        <v>153</v>
      </c>
      <c r="E473" s="148" t="s">
        <v>153</v>
      </c>
      <c r="F473" s="149" t="s">
        <v>9794</v>
      </c>
      <c r="G473" s="150" t="s">
        <v>153</v>
      </c>
      <c r="H473" s="151" t="s">
        <v>153</v>
      </c>
      <c r="I473" s="152" t="s">
        <v>9792</v>
      </c>
      <c r="J473" s="153" t="s">
        <v>9795</v>
      </c>
      <c r="K473" s="154" t="s">
        <v>882</v>
      </c>
      <c r="L473" s="155" t="s">
        <v>2888</v>
      </c>
      <c r="M473" s="156" t="s">
        <v>2889</v>
      </c>
      <c r="N473" s="157" t="s">
        <v>9796</v>
      </c>
      <c r="O473" s="158" t="s">
        <v>153</v>
      </c>
      <c r="P473" s="159" t="s">
        <v>9797</v>
      </c>
      <c r="Q473" s="160" t="s">
        <v>162</v>
      </c>
      <c r="R473" s="161" t="s">
        <v>153</v>
      </c>
      <c r="S473" s="162" t="s">
        <v>163</v>
      </c>
      <c r="T473" s="163" t="s">
        <v>1392</v>
      </c>
      <c r="U473" s="164" t="s">
        <v>165</v>
      </c>
      <c r="V473" s="165" t="s">
        <v>153</v>
      </c>
      <c r="W473" s="166" t="s">
        <v>153</v>
      </c>
      <c r="X473" s="167" t="s">
        <v>153</v>
      </c>
      <c r="Y473" s="168" t="s">
        <v>153</v>
      </c>
      <c r="Z473" s="169" t="s">
        <v>153</v>
      </c>
      <c r="AA473" s="170" t="s">
        <v>153</v>
      </c>
      <c r="AB473" s="171" t="s">
        <v>153</v>
      </c>
      <c r="AC473" s="172" t="s">
        <v>153</v>
      </c>
      <c r="AD473" s="173" t="s">
        <v>153</v>
      </c>
      <c r="AE473" s="174" t="s">
        <v>153</v>
      </c>
      <c r="AF473" s="175" t="s">
        <v>153</v>
      </c>
      <c r="AG473" s="176" t="s">
        <v>153</v>
      </c>
      <c r="AH473" s="177" t="s">
        <v>153</v>
      </c>
      <c r="AI473" s="178" t="s">
        <v>153</v>
      </c>
      <c r="AJ473" s="179" t="s">
        <v>153</v>
      </c>
      <c r="AK473" s="180" t="s">
        <v>153</v>
      </c>
      <c r="AL473" s="181" t="s">
        <v>153</v>
      </c>
      <c r="AM473" s="182" t="s">
        <v>153</v>
      </c>
      <c r="AN473" s="183" t="s">
        <v>456</v>
      </c>
      <c r="AO473" s="184" t="s">
        <v>153</v>
      </c>
      <c r="AP473" s="185" t="s">
        <v>153</v>
      </c>
      <c r="AQ473" s="186" t="s">
        <v>153</v>
      </c>
      <c r="AR473" s="187" t="s">
        <v>153</v>
      </c>
      <c r="AS473" s="188" t="s">
        <v>153</v>
      </c>
      <c r="AT473" s="189" t="s">
        <v>9798</v>
      </c>
      <c r="AU473" s="190" t="s">
        <v>9799</v>
      </c>
      <c r="AV473" s="191" t="s">
        <v>9800</v>
      </c>
      <c r="AW473" s="192" t="s">
        <v>9801</v>
      </c>
      <c r="AX473" s="193" t="s">
        <v>153</v>
      </c>
      <c r="AY473" s="194" t="s">
        <v>9802</v>
      </c>
      <c r="AZ473" s="195" t="s">
        <v>2121</v>
      </c>
      <c r="BA473" s="196" t="s">
        <v>153</v>
      </c>
      <c r="BB473" s="197" t="s">
        <v>153</v>
      </c>
      <c r="BC473" s="198" t="s">
        <v>153</v>
      </c>
      <c r="BD473" s="199" t="s">
        <v>180</v>
      </c>
      <c r="BE473" s="200" t="s">
        <v>684</v>
      </c>
      <c r="BF473" s="201" t="s">
        <v>9803</v>
      </c>
      <c r="BG473" s="202" t="s">
        <v>2879</v>
      </c>
      <c r="BH473" s="203">
        <v>1</v>
      </c>
      <c r="BI473" s="204" t="s">
        <v>153</v>
      </c>
      <c r="BJ473" s="205" t="s">
        <v>9804</v>
      </c>
      <c r="BK473" s="206" t="s">
        <v>9805</v>
      </c>
      <c r="BL473" s="207" t="s">
        <v>2881</v>
      </c>
      <c r="BM473" s="208" t="s">
        <v>9806</v>
      </c>
      <c r="BN473" s="209" t="s">
        <v>9807</v>
      </c>
      <c r="BO473" s="210" t="s">
        <v>9808</v>
      </c>
      <c r="BP473" s="211" t="s">
        <v>153</v>
      </c>
      <c r="BQ473" s="212">
        <v>41837</v>
      </c>
      <c r="BR473" s="213">
        <v>8846.14</v>
      </c>
      <c r="BS473" s="214" t="s">
        <v>186</v>
      </c>
      <c r="BT473" s="215">
        <v>8846.14</v>
      </c>
      <c r="BU473" s="216" t="s">
        <v>153</v>
      </c>
      <c r="BV473" s="217" t="s">
        <v>188</v>
      </c>
      <c r="BW473" s="218" t="s">
        <v>1525</v>
      </c>
      <c r="BX473" s="219" t="s">
        <v>1526</v>
      </c>
      <c r="BY473" s="220" t="s">
        <v>165</v>
      </c>
      <c r="BZ473" s="221" t="s">
        <v>153</v>
      </c>
      <c r="CA473" s="222" t="s">
        <v>190</v>
      </c>
      <c r="CB473" s="223">
        <v>41837</v>
      </c>
      <c r="CC473" s="224">
        <v>8846.14</v>
      </c>
      <c r="CD473" s="225" t="s">
        <v>186</v>
      </c>
      <c r="CE473" s="226">
        <v>8846.14</v>
      </c>
      <c r="CF473" s="227" t="s">
        <v>153</v>
      </c>
      <c r="CG473" s="228" t="s">
        <v>188</v>
      </c>
      <c r="CH473" s="229" t="s">
        <v>1525</v>
      </c>
      <c r="CI473" s="230" t="s">
        <v>1526</v>
      </c>
      <c r="CJ473" s="231" t="s">
        <v>165</v>
      </c>
      <c r="CK473" s="232">
        <v>41837</v>
      </c>
      <c r="CL473" s="233" t="s">
        <v>153</v>
      </c>
      <c r="CM473" s="234" t="s">
        <v>153</v>
      </c>
      <c r="CN473" s="235" t="s">
        <v>190</v>
      </c>
      <c r="CO473" s="236" t="s">
        <v>153</v>
      </c>
      <c r="CP473" s="237" t="s">
        <v>153</v>
      </c>
      <c r="CQ473" s="238" t="s">
        <v>153</v>
      </c>
      <c r="CR473" s="239" t="s">
        <v>153</v>
      </c>
      <c r="CS473" s="240" t="s">
        <v>153</v>
      </c>
      <c r="CT473" s="241" t="s">
        <v>153</v>
      </c>
      <c r="CU473" s="242" t="s">
        <v>153</v>
      </c>
      <c r="CV473" s="243" t="s">
        <v>153</v>
      </c>
      <c r="CW473" s="244" t="s">
        <v>153</v>
      </c>
      <c r="CX473" s="245" t="s">
        <v>153</v>
      </c>
      <c r="CY473" s="246" t="s">
        <v>153</v>
      </c>
      <c r="CZ473" s="247" t="s">
        <v>153</v>
      </c>
      <c r="DA473" s="248" t="s">
        <v>153</v>
      </c>
      <c r="DB473" s="249" t="s">
        <v>153</v>
      </c>
      <c r="DC473" s="250" t="s">
        <v>153</v>
      </c>
      <c r="DD473" s="251" t="s">
        <v>153</v>
      </c>
      <c r="DE473" s="252" t="s">
        <v>153</v>
      </c>
      <c r="DF473" s="253" t="s">
        <v>153</v>
      </c>
      <c r="DG473" s="254" t="s">
        <v>153</v>
      </c>
      <c r="DH473" s="255" t="s">
        <v>153</v>
      </c>
      <c r="DI473" s="256" t="s">
        <v>153</v>
      </c>
      <c r="DJ473" s="257" t="s">
        <v>153</v>
      </c>
      <c r="DK473" s="258" t="s">
        <v>153</v>
      </c>
      <c r="DL473" s="259" t="s">
        <v>153</v>
      </c>
      <c r="DM473" s="260" t="s">
        <v>153</v>
      </c>
      <c r="DN473" s="261" t="s">
        <v>153</v>
      </c>
      <c r="DO473" s="262" t="s">
        <v>153</v>
      </c>
      <c r="DP473" s="263" t="s">
        <v>153</v>
      </c>
      <c r="DQ473" s="264" t="s">
        <v>153</v>
      </c>
      <c r="DR473" s="265" t="s">
        <v>153</v>
      </c>
      <c r="DS473" s="266" t="s">
        <v>153</v>
      </c>
      <c r="DT473" s="267" t="s">
        <v>153</v>
      </c>
      <c r="DU473" s="268" t="s">
        <v>153</v>
      </c>
      <c r="DV473" s="269" t="s">
        <v>153</v>
      </c>
      <c r="DW473" s="270" t="s">
        <v>153</v>
      </c>
      <c r="DX473" s="271" t="s">
        <v>153</v>
      </c>
      <c r="DY473" s="272" t="s">
        <v>153</v>
      </c>
      <c r="DZ473" s="273" t="s">
        <v>191</v>
      </c>
      <c r="EA473" s="274">
        <v>44147</v>
      </c>
      <c r="EB473" s="275">
        <v>8846.14</v>
      </c>
      <c r="EC473" s="276">
        <v>41837</v>
      </c>
      <c r="ED473" s="277" t="s">
        <v>188</v>
      </c>
      <c r="EE473" s="279" t="str">
        <f>HYPERLINK("https://my.pitchbook.com?c=65185-12", "View company online")</f>
        <v>View company online</v>
      </c>
    </row>
    <row r="474" spans="1:135" x14ac:dyDescent="0.45">
      <c r="A474" s="10" t="s">
        <v>9809</v>
      </c>
      <c r="B474" s="11" t="s">
        <v>9810</v>
      </c>
      <c r="C474" s="12" t="s">
        <v>153</v>
      </c>
      <c r="D474" s="13" t="s">
        <v>153</v>
      </c>
      <c r="E474" s="14" t="s">
        <v>9811</v>
      </c>
      <c r="F474" s="15" t="s">
        <v>153</v>
      </c>
      <c r="G474" s="16" t="s">
        <v>9812</v>
      </c>
      <c r="H474" s="17" t="s">
        <v>153</v>
      </c>
      <c r="I474" s="18" t="s">
        <v>9809</v>
      </c>
      <c r="J474" s="19" t="s">
        <v>9813</v>
      </c>
      <c r="K474" s="20" t="s">
        <v>257</v>
      </c>
      <c r="L474" s="21" t="s">
        <v>258</v>
      </c>
      <c r="M474" s="22" t="s">
        <v>259</v>
      </c>
      <c r="N474" s="23" t="s">
        <v>260</v>
      </c>
      <c r="O474" s="24" t="s">
        <v>261</v>
      </c>
      <c r="P474" s="25" t="s">
        <v>9814</v>
      </c>
      <c r="Q474" s="26" t="s">
        <v>204</v>
      </c>
      <c r="R474" s="27" t="s">
        <v>153</v>
      </c>
      <c r="S474" s="28" t="s">
        <v>290</v>
      </c>
      <c r="T474" s="29" t="s">
        <v>205</v>
      </c>
      <c r="U474" s="30" t="s">
        <v>237</v>
      </c>
      <c r="V474" s="31" t="s">
        <v>153</v>
      </c>
      <c r="W474" s="32">
        <v>5001</v>
      </c>
      <c r="X474" s="33" t="s">
        <v>9815</v>
      </c>
      <c r="Y474" s="34" t="s">
        <v>153</v>
      </c>
      <c r="Z474" s="35" t="s">
        <v>153</v>
      </c>
      <c r="AA474" s="36">
        <v>1970</v>
      </c>
      <c r="AB474" s="37" t="s">
        <v>153</v>
      </c>
      <c r="AC474" s="38" t="s">
        <v>153</v>
      </c>
      <c r="AD474" s="39" t="s">
        <v>153</v>
      </c>
      <c r="AE474" s="40" t="s">
        <v>153</v>
      </c>
      <c r="AF474" s="41" t="s">
        <v>153</v>
      </c>
      <c r="AG474" s="42" t="s">
        <v>153</v>
      </c>
      <c r="AH474" s="43" t="s">
        <v>153</v>
      </c>
      <c r="AI474" s="44" t="s">
        <v>153</v>
      </c>
      <c r="AJ474" s="45" t="s">
        <v>153</v>
      </c>
      <c r="AK474" s="46" t="s">
        <v>153</v>
      </c>
      <c r="AL474" s="47" t="s">
        <v>153</v>
      </c>
      <c r="AM474" s="48" t="s">
        <v>153</v>
      </c>
      <c r="AN474" s="49" t="s">
        <v>5196</v>
      </c>
      <c r="AO474" s="50" t="s">
        <v>9816</v>
      </c>
      <c r="AP474" s="51" t="s">
        <v>9817</v>
      </c>
      <c r="AQ474" s="52" t="s">
        <v>9818</v>
      </c>
      <c r="AR474" s="53" t="s">
        <v>153</v>
      </c>
      <c r="AS474" s="54" t="s">
        <v>153</v>
      </c>
      <c r="AT474" s="55" t="s">
        <v>9819</v>
      </c>
      <c r="AU474" s="56" t="s">
        <v>9820</v>
      </c>
      <c r="AV474" s="57" t="s">
        <v>153</v>
      </c>
      <c r="AW474" s="58" t="s">
        <v>9821</v>
      </c>
      <c r="AX474" s="59" t="s">
        <v>273</v>
      </c>
      <c r="AY474" s="60" t="s">
        <v>9822</v>
      </c>
      <c r="AZ474" s="61" t="s">
        <v>215</v>
      </c>
      <c r="BA474" s="62" t="s">
        <v>153</v>
      </c>
      <c r="BB474" s="63" t="s">
        <v>153</v>
      </c>
      <c r="BC474" s="64" t="s">
        <v>153</v>
      </c>
      <c r="BD474" s="65" t="s">
        <v>216</v>
      </c>
      <c r="BE474" s="66" t="s">
        <v>217</v>
      </c>
      <c r="BF474" s="67" t="s">
        <v>9823</v>
      </c>
      <c r="BG474" s="68" t="s">
        <v>153</v>
      </c>
      <c r="BH474" s="69" t="s">
        <v>153</v>
      </c>
      <c r="BI474" s="70" t="s">
        <v>1428</v>
      </c>
      <c r="BJ474" s="71" t="s">
        <v>153</v>
      </c>
      <c r="BK474" s="72" t="s">
        <v>153</v>
      </c>
      <c r="BL474" s="73" t="s">
        <v>153</v>
      </c>
      <c r="BM474" s="74" t="s">
        <v>153</v>
      </c>
      <c r="BN474" s="75" t="s">
        <v>153</v>
      </c>
      <c r="BO474" s="76" t="s">
        <v>9824</v>
      </c>
      <c r="BP474" s="77" t="s">
        <v>9825</v>
      </c>
      <c r="BQ474" s="78">
        <v>39805</v>
      </c>
      <c r="BR474" s="79">
        <v>8833</v>
      </c>
      <c r="BS474" s="80" t="s">
        <v>186</v>
      </c>
      <c r="BT474" s="81">
        <v>8833</v>
      </c>
      <c r="BU474" s="82" t="s">
        <v>186</v>
      </c>
      <c r="BV474" s="83" t="s">
        <v>226</v>
      </c>
      <c r="BW474" s="84" t="s">
        <v>153</v>
      </c>
      <c r="BX474" s="85" t="s">
        <v>153</v>
      </c>
      <c r="BY474" s="86" t="s">
        <v>225</v>
      </c>
      <c r="BZ474" s="87" t="s">
        <v>153</v>
      </c>
      <c r="CA474" s="88" t="s">
        <v>190</v>
      </c>
      <c r="CB474" s="89">
        <v>39805</v>
      </c>
      <c r="CC474" s="90">
        <v>8833</v>
      </c>
      <c r="CD474" s="91" t="s">
        <v>186</v>
      </c>
      <c r="CE474" s="92">
        <v>8833</v>
      </c>
      <c r="CF474" s="93" t="s">
        <v>186</v>
      </c>
      <c r="CG474" s="94" t="s">
        <v>226</v>
      </c>
      <c r="CH474" s="95" t="s">
        <v>153</v>
      </c>
      <c r="CI474" s="96" t="s">
        <v>153</v>
      </c>
      <c r="CJ474" s="97" t="s">
        <v>225</v>
      </c>
      <c r="CK474" s="98">
        <v>39805</v>
      </c>
      <c r="CL474" s="99" t="s">
        <v>153</v>
      </c>
      <c r="CM474" s="100" t="s">
        <v>153</v>
      </c>
      <c r="CN474" s="101" t="s">
        <v>190</v>
      </c>
      <c r="CO474" s="102" t="s">
        <v>153</v>
      </c>
      <c r="CP474" s="103" t="s">
        <v>153</v>
      </c>
      <c r="CQ474" s="104" t="s">
        <v>153</v>
      </c>
      <c r="CR474" s="105" t="s">
        <v>153</v>
      </c>
      <c r="CS474" s="106" t="s">
        <v>153</v>
      </c>
      <c r="CT474" s="107" t="s">
        <v>153</v>
      </c>
      <c r="CU474" s="108" t="s">
        <v>153</v>
      </c>
      <c r="CV474" s="109" t="s">
        <v>153</v>
      </c>
      <c r="CW474" s="110" t="s">
        <v>153</v>
      </c>
      <c r="CX474" s="111" t="s">
        <v>153</v>
      </c>
      <c r="CY474" s="112" t="s">
        <v>153</v>
      </c>
      <c r="CZ474" s="113" t="s">
        <v>153</v>
      </c>
      <c r="DA474" s="114" t="s">
        <v>153</v>
      </c>
      <c r="DB474" s="115" t="s">
        <v>153</v>
      </c>
      <c r="DC474" s="116" t="s">
        <v>153</v>
      </c>
      <c r="DD474" s="117" t="s">
        <v>153</v>
      </c>
      <c r="DE474" s="118" t="s">
        <v>153</v>
      </c>
      <c r="DF474" s="119" t="s">
        <v>153</v>
      </c>
      <c r="DG474" s="120" t="s">
        <v>153</v>
      </c>
      <c r="DH474" s="121" t="s">
        <v>153</v>
      </c>
      <c r="DI474" s="122" t="s">
        <v>153</v>
      </c>
      <c r="DJ474" s="123" t="s">
        <v>153</v>
      </c>
      <c r="DK474" s="124" t="s">
        <v>153</v>
      </c>
      <c r="DL474" s="125" t="s">
        <v>153</v>
      </c>
      <c r="DM474" s="126" t="s">
        <v>153</v>
      </c>
      <c r="DN474" s="127" t="s">
        <v>153</v>
      </c>
      <c r="DO474" s="128" t="s">
        <v>153</v>
      </c>
      <c r="DP474" s="129" t="s">
        <v>153</v>
      </c>
      <c r="DQ474" s="130" t="s">
        <v>153</v>
      </c>
      <c r="DR474" s="131" t="s">
        <v>153</v>
      </c>
      <c r="DS474" s="132" t="s">
        <v>153</v>
      </c>
      <c r="DT474" s="133" t="s">
        <v>153</v>
      </c>
      <c r="DU474" s="134" t="s">
        <v>153</v>
      </c>
      <c r="DV474" s="135" t="s">
        <v>153</v>
      </c>
      <c r="DW474" s="136" t="s">
        <v>153</v>
      </c>
      <c r="DX474" s="137" t="s">
        <v>153</v>
      </c>
      <c r="DY474" s="138" t="s">
        <v>153</v>
      </c>
      <c r="DZ474" s="139" t="s">
        <v>191</v>
      </c>
      <c r="EA474" s="140">
        <v>44295</v>
      </c>
      <c r="EB474" s="141">
        <v>8833</v>
      </c>
      <c r="EC474" s="142">
        <v>39805</v>
      </c>
      <c r="ED474" s="143" t="s">
        <v>226</v>
      </c>
      <c r="EE474" s="278" t="str">
        <f>HYPERLINK("https://my.pitchbook.com?c=41091-67", "View company online")</f>
        <v>View company online</v>
      </c>
    </row>
    <row r="475" spans="1:135" x14ac:dyDescent="0.45">
      <c r="A475" s="144" t="s">
        <v>9826</v>
      </c>
      <c r="B475" s="145" t="s">
        <v>9827</v>
      </c>
      <c r="C475" s="146" t="s">
        <v>153</v>
      </c>
      <c r="D475" s="147" t="s">
        <v>153</v>
      </c>
      <c r="E475" s="148" t="s">
        <v>153</v>
      </c>
      <c r="F475" s="149" t="s">
        <v>9828</v>
      </c>
      <c r="G475" s="150" t="s">
        <v>153</v>
      </c>
      <c r="H475" s="151" t="s">
        <v>153</v>
      </c>
      <c r="I475" s="152" t="s">
        <v>9826</v>
      </c>
      <c r="J475" s="153" t="s">
        <v>9829</v>
      </c>
      <c r="K475" s="154" t="s">
        <v>559</v>
      </c>
      <c r="L475" s="155" t="s">
        <v>3055</v>
      </c>
      <c r="M475" s="156" t="s">
        <v>9830</v>
      </c>
      <c r="N475" s="157" t="s">
        <v>9831</v>
      </c>
      <c r="O475" s="158" t="s">
        <v>261</v>
      </c>
      <c r="P475" s="159" t="s">
        <v>9832</v>
      </c>
      <c r="Q475" s="160" t="s">
        <v>367</v>
      </c>
      <c r="R475" s="161">
        <v>8820</v>
      </c>
      <c r="S475" s="162" t="s">
        <v>290</v>
      </c>
      <c r="T475" s="163" t="s">
        <v>205</v>
      </c>
      <c r="U475" s="164" t="s">
        <v>237</v>
      </c>
      <c r="V475" s="165" t="s">
        <v>9833</v>
      </c>
      <c r="W475" s="166">
        <v>27000</v>
      </c>
      <c r="X475" s="167" t="s">
        <v>9834</v>
      </c>
      <c r="Y475" s="168" t="s">
        <v>153</v>
      </c>
      <c r="Z475" s="169" t="s">
        <v>153</v>
      </c>
      <c r="AA475" s="170">
        <v>1973</v>
      </c>
      <c r="AB475" s="171" t="s">
        <v>153</v>
      </c>
      <c r="AC475" s="172" t="s">
        <v>153</v>
      </c>
      <c r="AD475" s="173" t="s">
        <v>153</v>
      </c>
      <c r="AE475" s="174" t="s">
        <v>153</v>
      </c>
      <c r="AF475" s="175" t="s">
        <v>153</v>
      </c>
      <c r="AG475" s="176" t="s">
        <v>153</v>
      </c>
      <c r="AH475" s="177" t="s">
        <v>153</v>
      </c>
      <c r="AI475" s="178" t="s">
        <v>153</v>
      </c>
      <c r="AJ475" s="179" t="s">
        <v>153</v>
      </c>
      <c r="AK475" s="180" t="s">
        <v>153</v>
      </c>
      <c r="AL475" s="181" t="s">
        <v>153</v>
      </c>
      <c r="AM475" s="182" t="s">
        <v>153</v>
      </c>
      <c r="AN475" s="183" t="s">
        <v>153</v>
      </c>
      <c r="AO475" s="184" t="s">
        <v>9835</v>
      </c>
      <c r="AP475" s="185" t="s">
        <v>9836</v>
      </c>
      <c r="AQ475" s="186" t="s">
        <v>9837</v>
      </c>
      <c r="AR475" s="187" t="s">
        <v>9838</v>
      </c>
      <c r="AS475" s="188" t="s">
        <v>9839</v>
      </c>
      <c r="AT475" s="189" t="s">
        <v>9840</v>
      </c>
      <c r="AU475" s="190" t="s">
        <v>9841</v>
      </c>
      <c r="AV475" s="191" t="s">
        <v>153</v>
      </c>
      <c r="AW475" s="192" t="s">
        <v>9842</v>
      </c>
      <c r="AX475" s="193" t="s">
        <v>408</v>
      </c>
      <c r="AY475" s="194" t="s">
        <v>9843</v>
      </c>
      <c r="AZ475" s="195" t="s">
        <v>215</v>
      </c>
      <c r="BA475" s="196" t="s">
        <v>153</v>
      </c>
      <c r="BB475" s="197" t="s">
        <v>153</v>
      </c>
      <c r="BC475" s="198" t="s">
        <v>153</v>
      </c>
      <c r="BD475" s="199" t="s">
        <v>216</v>
      </c>
      <c r="BE475" s="200" t="s">
        <v>217</v>
      </c>
      <c r="BF475" s="201" t="s">
        <v>9844</v>
      </c>
      <c r="BG475" s="202" t="s">
        <v>153</v>
      </c>
      <c r="BH475" s="203" t="s">
        <v>153</v>
      </c>
      <c r="BI475" s="204" t="s">
        <v>9845</v>
      </c>
      <c r="BJ475" s="205" t="s">
        <v>153</v>
      </c>
      <c r="BK475" s="206" t="s">
        <v>153</v>
      </c>
      <c r="BL475" s="207" t="s">
        <v>153</v>
      </c>
      <c r="BM475" s="208" t="s">
        <v>153</v>
      </c>
      <c r="BN475" s="209" t="s">
        <v>153</v>
      </c>
      <c r="BO475" s="210" t="s">
        <v>9846</v>
      </c>
      <c r="BP475" s="211" t="s">
        <v>9847</v>
      </c>
      <c r="BQ475" s="212">
        <v>28491</v>
      </c>
      <c r="BR475" s="213" t="s">
        <v>153</v>
      </c>
      <c r="BS475" s="214" t="s">
        <v>153</v>
      </c>
      <c r="BT475" s="215" t="s">
        <v>153</v>
      </c>
      <c r="BU475" s="216" t="s">
        <v>153</v>
      </c>
      <c r="BV475" s="217" t="s">
        <v>251</v>
      </c>
      <c r="BW475" s="218" t="s">
        <v>153</v>
      </c>
      <c r="BX475" s="219" t="s">
        <v>153</v>
      </c>
      <c r="BY475" s="220" t="s">
        <v>252</v>
      </c>
      <c r="BZ475" s="221" t="s">
        <v>153</v>
      </c>
      <c r="CA475" s="222" t="s">
        <v>190</v>
      </c>
      <c r="CB475" s="223">
        <v>42186</v>
      </c>
      <c r="CC475" s="224">
        <v>8820</v>
      </c>
      <c r="CD475" s="225" t="s">
        <v>186</v>
      </c>
      <c r="CE475" s="226">
        <v>16000</v>
      </c>
      <c r="CF475" s="227" t="s">
        <v>186</v>
      </c>
      <c r="CG475" s="228" t="s">
        <v>3319</v>
      </c>
      <c r="CH475" s="229" t="s">
        <v>153</v>
      </c>
      <c r="CI475" s="230" t="s">
        <v>153</v>
      </c>
      <c r="CJ475" s="231" t="s">
        <v>225</v>
      </c>
      <c r="CK475" s="232">
        <v>42186</v>
      </c>
      <c r="CL475" s="233" t="s">
        <v>153</v>
      </c>
      <c r="CM475" s="234" t="s">
        <v>153</v>
      </c>
      <c r="CN475" s="235" t="s">
        <v>190</v>
      </c>
      <c r="CO475" s="236" t="s">
        <v>153</v>
      </c>
      <c r="CP475" s="237" t="s">
        <v>153</v>
      </c>
      <c r="CQ475" s="238" t="s">
        <v>153</v>
      </c>
      <c r="CR475" s="239" t="s">
        <v>153</v>
      </c>
      <c r="CS475" s="240" t="s">
        <v>153</v>
      </c>
      <c r="CT475" s="241" t="s">
        <v>153</v>
      </c>
      <c r="CU475" s="242" t="s">
        <v>153</v>
      </c>
      <c r="CV475" s="243" t="s">
        <v>153</v>
      </c>
      <c r="CW475" s="244" t="s">
        <v>153</v>
      </c>
      <c r="CX475" s="245" t="s">
        <v>153</v>
      </c>
      <c r="CY475" s="246" t="s">
        <v>153</v>
      </c>
      <c r="CZ475" s="247" t="s">
        <v>153</v>
      </c>
      <c r="DA475" s="248" t="s">
        <v>153</v>
      </c>
      <c r="DB475" s="249" t="s">
        <v>153</v>
      </c>
      <c r="DC475" s="250" t="s">
        <v>153</v>
      </c>
      <c r="DD475" s="251" t="s">
        <v>153</v>
      </c>
      <c r="DE475" s="252" t="s">
        <v>153</v>
      </c>
      <c r="DF475" s="253" t="s">
        <v>153</v>
      </c>
      <c r="DG475" s="254" t="s">
        <v>153</v>
      </c>
      <c r="DH475" s="255" t="s">
        <v>153</v>
      </c>
      <c r="DI475" s="256" t="s">
        <v>153</v>
      </c>
      <c r="DJ475" s="257" t="s">
        <v>153</v>
      </c>
      <c r="DK475" s="258" t="s">
        <v>153</v>
      </c>
      <c r="DL475" s="259" t="s">
        <v>153</v>
      </c>
      <c r="DM475" s="260" t="s">
        <v>153</v>
      </c>
      <c r="DN475" s="261" t="s">
        <v>153</v>
      </c>
      <c r="DO475" s="262" t="s">
        <v>153</v>
      </c>
      <c r="DP475" s="263" t="s">
        <v>153</v>
      </c>
      <c r="DQ475" s="264" t="s">
        <v>153</v>
      </c>
      <c r="DR475" s="265" t="s">
        <v>153</v>
      </c>
      <c r="DS475" s="266" t="s">
        <v>153</v>
      </c>
      <c r="DT475" s="267" t="s">
        <v>153</v>
      </c>
      <c r="DU475" s="268" t="s">
        <v>153</v>
      </c>
      <c r="DV475" s="269" t="s">
        <v>153</v>
      </c>
      <c r="DW475" s="270" t="s">
        <v>153</v>
      </c>
      <c r="DX475" s="271" t="s">
        <v>153</v>
      </c>
      <c r="DY475" s="272" t="s">
        <v>153</v>
      </c>
      <c r="DZ475" s="273" t="s">
        <v>191</v>
      </c>
      <c r="EA475" s="274">
        <v>44147</v>
      </c>
      <c r="EB475" s="275">
        <v>16000</v>
      </c>
      <c r="EC475" s="276">
        <v>42186</v>
      </c>
      <c r="ED475" s="277" t="s">
        <v>3319</v>
      </c>
      <c r="EE475" s="279" t="str">
        <f>HYPERLINK("https://my.pitchbook.com?c=11721-52", "View company online")</f>
        <v>View company online</v>
      </c>
    </row>
    <row r="476" spans="1:135" x14ac:dyDescent="0.45">
      <c r="A476" s="10" t="s">
        <v>9848</v>
      </c>
      <c r="B476" s="11" t="s">
        <v>9849</v>
      </c>
      <c r="C476" s="12" t="s">
        <v>153</v>
      </c>
      <c r="D476" s="13" t="s">
        <v>153</v>
      </c>
      <c r="E476" s="14" t="s">
        <v>9850</v>
      </c>
      <c r="F476" s="15" t="s">
        <v>153</v>
      </c>
      <c r="G476" s="16" t="s">
        <v>9851</v>
      </c>
      <c r="H476" s="17" t="s">
        <v>9852</v>
      </c>
      <c r="I476" s="18" t="s">
        <v>9848</v>
      </c>
      <c r="J476" s="19" t="s">
        <v>9853</v>
      </c>
      <c r="K476" s="20" t="s">
        <v>198</v>
      </c>
      <c r="L476" s="21" t="s">
        <v>199</v>
      </c>
      <c r="M476" s="22" t="s">
        <v>344</v>
      </c>
      <c r="N476" s="23" t="s">
        <v>345</v>
      </c>
      <c r="O476" s="24" t="s">
        <v>399</v>
      </c>
      <c r="P476" s="25" t="s">
        <v>9854</v>
      </c>
      <c r="Q476" s="26" t="s">
        <v>204</v>
      </c>
      <c r="R476" s="27" t="s">
        <v>153</v>
      </c>
      <c r="S476" s="28" t="s">
        <v>163</v>
      </c>
      <c r="T476" s="29" t="s">
        <v>164</v>
      </c>
      <c r="U476" s="30" t="s">
        <v>206</v>
      </c>
      <c r="V476" s="31" t="s">
        <v>9855</v>
      </c>
      <c r="W476" s="32">
        <v>17000</v>
      </c>
      <c r="X476" s="33" t="s">
        <v>9856</v>
      </c>
      <c r="Y476" s="34" t="s">
        <v>153</v>
      </c>
      <c r="Z476" s="35" t="s">
        <v>153</v>
      </c>
      <c r="AA476" s="36" t="s">
        <v>153</v>
      </c>
      <c r="AB476" s="37" t="s">
        <v>4069</v>
      </c>
      <c r="AC476" s="38" t="s">
        <v>153</v>
      </c>
      <c r="AD476" s="39" t="s">
        <v>570</v>
      </c>
      <c r="AE476" s="40">
        <v>2279.83</v>
      </c>
      <c r="AF476" s="41" t="s">
        <v>153</v>
      </c>
      <c r="AG476" s="42" t="s">
        <v>153</v>
      </c>
      <c r="AH476" s="43" t="s">
        <v>153</v>
      </c>
      <c r="AI476" s="44" t="s">
        <v>153</v>
      </c>
      <c r="AJ476" s="45" t="s">
        <v>153</v>
      </c>
      <c r="AK476" s="46" t="s">
        <v>153</v>
      </c>
      <c r="AL476" s="47" t="s">
        <v>153</v>
      </c>
      <c r="AM476" s="48" t="s">
        <v>153</v>
      </c>
      <c r="AN476" s="49" t="s">
        <v>168</v>
      </c>
      <c r="AO476" s="50" t="s">
        <v>9857</v>
      </c>
      <c r="AP476" s="51" t="s">
        <v>9858</v>
      </c>
      <c r="AQ476" s="52" t="s">
        <v>9859</v>
      </c>
      <c r="AR476" s="53" t="s">
        <v>153</v>
      </c>
      <c r="AS476" s="54" t="s">
        <v>153</v>
      </c>
      <c r="AT476" s="55" t="s">
        <v>9860</v>
      </c>
      <c r="AU476" s="56" t="s">
        <v>153</v>
      </c>
      <c r="AV476" s="57" t="s">
        <v>153</v>
      </c>
      <c r="AW476" s="58" t="s">
        <v>9861</v>
      </c>
      <c r="AX476" s="59" t="s">
        <v>153</v>
      </c>
      <c r="AY476" s="60" t="s">
        <v>153</v>
      </c>
      <c r="AZ476" s="61" t="s">
        <v>9862</v>
      </c>
      <c r="BA476" s="62" t="s">
        <v>153</v>
      </c>
      <c r="BB476" s="63" t="s">
        <v>153</v>
      </c>
      <c r="BC476" s="64" t="s">
        <v>153</v>
      </c>
      <c r="BD476" s="65" t="s">
        <v>180</v>
      </c>
      <c r="BE476" s="66" t="s">
        <v>684</v>
      </c>
      <c r="BF476" s="67" t="s">
        <v>9863</v>
      </c>
      <c r="BG476" s="68" t="s">
        <v>153</v>
      </c>
      <c r="BH476" s="69" t="s">
        <v>153</v>
      </c>
      <c r="BI476" s="70" t="s">
        <v>4069</v>
      </c>
      <c r="BJ476" s="71" t="s">
        <v>9864</v>
      </c>
      <c r="BK476" s="72" t="s">
        <v>9865</v>
      </c>
      <c r="BL476" s="73" t="s">
        <v>153</v>
      </c>
      <c r="BM476" s="74" t="s">
        <v>9866</v>
      </c>
      <c r="BN476" s="75" t="s">
        <v>9867</v>
      </c>
      <c r="BO476" s="76" t="s">
        <v>153</v>
      </c>
      <c r="BP476" s="77" t="s">
        <v>153</v>
      </c>
      <c r="BQ476" s="78">
        <v>42157</v>
      </c>
      <c r="BR476" s="79">
        <v>8817.8799999999992</v>
      </c>
      <c r="BS476" s="80" t="s">
        <v>186</v>
      </c>
      <c r="BT476" s="81">
        <v>8817.8799999999992</v>
      </c>
      <c r="BU476" s="82" t="s">
        <v>186</v>
      </c>
      <c r="BV476" s="83" t="s">
        <v>226</v>
      </c>
      <c r="BW476" s="84" t="s">
        <v>729</v>
      </c>
      <c r="BX476" s="85" t="s">
        <v>153</v>
      </c>
      <c r="BY476" s="86" t="s">
        <v>225</v>
      </c>
      <c r="BZ476" s="87" t="s">
        <v>153</v>
      </c>
      <c r="CA476" s="88" t="s">
        <v>190</v>
      </c>
      <c r="CB476" s="89">
        <v>42157</v>
      </c>
      <c r="CC476" s="90">
        <v>8817.8799999999992</v>
      </c>
      <c r="CD476" s="91" t="s">
        <v>186</v>
      </c>
      <c r="CE476" s="92">
        <v>8817.8799999999992</v>
      </c>
      <c r="CF476" s="93" t="s">
        <v>186</v>
      </c>
      <c r="CG476" s="94" t="s">
        <v>226</v>
      </c>
      <c r="CH476" s="95" t="s">
        <v>729</v>
      </c>
      <c r="CI476" s="96" t="s">
        <v>153</v>
      </c>
      <c r="CJ476" s="97" t="s">
        <v>225</v>
      </c>
      <c r="CK476" s="98">
        <v>42157</v>
      </c>
      <c r="CL476" s="99" t="s">
        <v>153</v>
      </c>
      <c r="CM476" s="100" t="s">
        <v>153</v>
      </c>
      <c r="CN476" s="101" t="s">
        <v>190</v>
      </c>
      <c r="CO476" s="102">
        <v>1.93</v>
      </c>
      <c r="CP476" s="103">
        <v>98</v>
      </c>
      <c r="CQ476" s="104">
        <v>0.52</v>
      </c>
      <c r="CR476" s="105">
        <v>36.909999999999997</v>
      </c>
      <c r="CS476" s="106">
        <v>1.82</v>
      </c>
      <c r="CT476" s="107">
        <v>97</v>
      </c>
      <c r="CU476" s="108" t="s">
        <v>153</v>
      </c>
      <c r="CV476" s="109" t="s">
        <v>153</v>
      </c>
      <c r="CW476" s="110" t="s">
        <v>153</v>
      </c>
      <c r="CX476" s="111" t="s">
        <v>153</v>
      </c>
      <c r="CY476" s="112">
        <v>1.82</v>
      </c>
      <c r="CZ476" s="113">
        <v>100</v>
      </c>
      <c r="DA476" s="114" t="s">
        <v>153</v>
      </c>
      <c r="DB476" s="115" t="s">
        <v>153</v>
      </c>
      <c r="DC476" s="116">
        <v>387.51</v>
      </c>
      <c r="DD476" s="117">
        <v>100</v>
      </c>
      <c r="DE476" s="118">
        <v>8.25</v>
      </c>
      <c r="DF476" s="119">
        <v>2.1800000000000002</v>
      </c>
      <c r="DG476" s="120">
        <v>315.56</v>
      </c>
      <c r="DH476" s="121">
        <v>100</v>
      </c>
      <c r="DI476" s="122" t="s">
        <v>153</v>
      </c>
      <c r="DJ476" s="123" t="s">
        <v>153</v>
      </c>
      <c r="DK476" s="124" t="s">
        <v>153</v>
      </c>
      <c r="DL476" s="125" t="s">
        <v>153</v>
      </c>
      <c r="DM476" s="126">
        <v>315.56</v>
      </c>
      <c r="DN476" s="127">
        <v>100</v>
      </c>
      <c r="DO476" s="128" t="s">
        <v>153</v>
      </c>
      <c r="DP476" s="129" t="s">
        <v>153</v>
      </c>
      <c r="DQ476" s="130" t="s">
        <v>153</v>
      </c>
      <c r="DR476" s="131" t="s">
        <v>153</v>
      </c>
      <c r="DS476" s="132" t="s">
        <v>153</v>
      </c>
      <c r="DT476" s="133">
        <v>4939</v>
      </c>
      <c r="DU476" s="134">
        <v>286</v>
      </c>
      <c r="DV476" s="135">
        <v>6.15</v>
      </c>
      <c r="DW476" s="136" t="s">
        <v>153</v>
      </c>
      <c r="DX476" s="137" t="s">
        <v>153</v>
      </c>
      <c r="DY476" s="138" t="s">
        <v>153</v>
      </c>
      <c r="DZ476" s="139" t="s">
        <v>191</v>
      </c>
      <c r="EA476" s="140">
        <v>44369</v>
      </c>
      <c r="EB476" s="141">
        <v>8817.8799999999992</v>
      </c>
      <c r="EC476" s="142">
        <v>42157</v>
      </c>
      <c r="ED476" s="143" t="s">
        <v>226</v>
      </c>
      <c r="EE476" s="278" t="str">
        <f>HYPERLINK("https://my.pitchbook.com?c=107775-82", "View company online")</f>
        <v>View company online</v>
      </c>
    </row>
    <row r="477" spans="1:135" x14ac:dyDescent="0.45">
      <c r="A477" s="144" t="s">
        <v>9868</v>
      </c>
      <c r="B477" s="145" t="s">
        <v>9869</v>
      </c>
      <c r="C477" s="146" t="s">
        <v>153</v>
      </c>
      <c r="D477" s="147" t="s">
        <v>153</v>
      </c>
      <c r="E477" s="148" t="s">
        <v>9870</v>
      </c>
      <c r="F477" s="149" t="s">
        <v>9871</v>
      </c>
      <c r="G477" s="150" t="s">
        <v>9872</v>
      </c>
      <c r="H477" s="151" t="s">
        <v>9873</v>
      </c>
      <c r="I477" s="152" t="s">
        <v>9868</v>
      </c>
      <c r="J477" s="153" t="s">
        <v>9874</v>
      </c>
      <c r="K477" s="154" t="s">
        <v>559</v>
      </c>
      <c r="L477" s="155" t="s">
        <v>560</v>
      </c>
      <c r="M477" s="156" t="s">
        <v>561</v>
      </c>
      <c r="N477" s="157" t="s">
        <v>9875</v>
      </c>
      <c r="O477" s="158" t="s">
        <v>7996</v>
      </c>
      <c r="P477" s="159" t="s">
        <v>9876</v>
      </c>
      <c r="Q477" s="160" t="s">
        <v>204</v>
      </c>
      <c r="R477" s="161" t="s">
        <v>153</v>
      </c>
      <c r="S477" s="162" t="s">
        <v>368</v>
      </c>
      <c r="T477" s="163" t="s">
        <v>291</v>
      </c>
      <c r="U477" s="164" t="s">
        <v>237</v>
      </c>
      <c r="V477" s="165" t="s">
        <v>9877</v>
      </c>
      <c r="W477" s="166">
        <v>10896</v>
      </c>
      <c r="X477" s="167" t="s">
        <v>9878</v>
      </c>
      <c r="Y477" s="168" t="s">
        <v>3097</v>
      </c>
      <c r="Z477" s="169" t="s">
        <v>9879</v>
      </c>
      <c r="AA477" s="170">
        <v>1889</v>
      </c>
      <c r="AB477" s="171" t="s">
        <v>9880</v>
      </c>
      <c r="AC477" s="172" t="s">
        <v>153</v>
      </c>
      <c r="AD477" s="173" t="s">
        <v>570</v>
      </c>
      <c r="AE477" s="174">
        <v>2790.35</v>
      </c>
      <c r="AF477" s="175">
        <v>-1925.55</v>
      </c>
      <c r="AG477" s="176">
        <v>-1783.42</v>
      </c>
      <c r="AH477" s="177">
        <v>6038.28</v>
      </c>
      <c r="AI477" s="178">
        <v>-1903.54</v>
      </c>
      <c r="AJ477" s="179">
        <v>-1945.59</v>
      </c>
      <c r="AK477" s="180">
        <v>2732.06</v>
      </c>
      <c r="AL477" s="181">
        <v>4114.63</v>
      </c>
      <c r="AM477" s="182">
        <v>-1.45</v>
      </c>
      <c r="AN477" s="183" t="s">
        <v>376</v>
      </c>
      <c r="AO477" s="184" t="s">
        <v>9881</v>
      </c>
      <c r="AP477" s="185" t="s">
        <v>9882</v>
      </c>
      <c r="AQ477" s="186" t="s">
        <v>9883</v>
      </c>
      <c r="AR477" s="187" t="s">
        <v>9884</v>
      </c>
      <c r="AS477" s="188" t="s">
        <v>9885</v>
      </c>
      <c r="AT477" s="189" t="s">
        <v>9886</v>
      </c>
      <c r="AU477" s="190" t="s">
        <v>9887</v>
      </c>
      <c r="AV477" s="191" t="s">
        <v>153</v>
      </c>
      <c r="AW477" s="192" t="s">
        <v>9888</v>
      </c>
      <c r="AX477" s="193" t="s">
        <v>153</v>
      </c>
      <c r="AY477" s="194" t="s">
        <v>9889</v>
      </c>
      <c r="AZ477" s="195" t="s">
        <v>352</v>
      </c>
      <c r="BA477" s="196" t="s">
        <v>9885</v>
      </c>
      <c r="BB477" s="197" t="s">
        <v>9890</v>
      </c>
      <c r="BC477" s="198" t="s">
        <v>9891</v>
      </c>
      <c r="BD477" s="199" t="s">
        <v>180</v>
      </c>
      <c r="BE477" s="200" t="s">
        <v>181</v>
      </c>
      <c r="BF477" s="201" t="s">
        <v>9892</v>
      </c>
      <c r="BG477" s="202" t="s">
        <v>9257</v>
      </c>
      <c r="BH477" s="203">
        <v>1</v>
      </c>
      <c r="BI477" s="204" t="s">
        <v>9880</v>
      </c>
      <c r="BJ477" s="205" t="s">
        <v>153</v>
      </c>
      <c r="BK477" s="206" t="s">
        <v>9893</v>
      </c>
      <c r="BL477" s="207" t="s">
        <v>9894</v>
      </c>
      <c r="BM477" s="208" t="s">
        <v>153</v>
      </c>
      <c r="BN477" s="209" t="s">
        <v>9895</v>
      </c>
      <c r="BO477" s="210" t="s">
        <v>153</v>
      </c>
      <c r="BP477" s="211" t="s">
        <v>9896</v>
      </c>
      <c r="BQ477" s="212">
        <v>35796</v>
      </c>
      <c r="BR477" s="213" t="s">
        <v>153</v>
      </c>
      <c r="BS477" s="214" t="s">
        <v>153</v>
      </c>
      <c r="BT477" s="215" t="s">
        <v>153</v>
      </c>
      <c r="BU477" s="216" t="s">
        <v>153</v>
      </c>
      <c r="BV477" s="217" t="s">
        <v>226</v>
      </c>
      <c r="BW477" s="218" t="s">
        <v>153</v>
      </c>
      <c r="BX477" s="219" t="s">
        <v>153</v>
      </c>
      <c r="BY477" s="220" t="s">
        <v>225</v>
      </c>
      <c r="BZ477" s="221" t="s">
        <v>153</v>
      </c>
      <c r="CA477" s="222" t="s">
        <v>190</v>
      </c>
      <c r="CB477" s="223">
        <v>42187</v>
      </c>
      <c r="CC477" s="224">
        <v>8809.9500000000007</v>
      </c>
      <c r="CD477" s="225" t="s">
        <v>186</v>
      </c>
      <c r="CE477" s="226">
        <v>8809.9500000000007</v>
      </c>
      <c r="CF477" s="227" t="s">
        <v>186</v>
      </c>
      <c r="CG477" s="228" t="s">
        <v>226</v>
      </c>
      <c r="CH477" s="229" t="s">
        <v>153</v>
      </c>
      <c r="CI477" s="230" t="s">
        <v>153</v>
      </c>
      <c r="CJ477" s="231" t="s">
        <v>225</v>
      </c>
      <c r="CK477" s="232">
        <v>42187</v>
      </c>
      <c r="CL477" s="233" t="s">
        <v>153</v>
      </c>
      <c r="CM477" s="234" t="s">
        <v>153</v>
      </c>
      <c r="CN477" s="235" t="s">
        <v>394</v>
      </c>
      <c r="CO477" s="236">
        <v>0.06</v>
      </c>
      <c r="CP477" s="237">
        <v>88</v>
      </c>
      <c r="CQ477" s="238">
        <v>-0.06</v>
      </c>
      <c r="CR477" s="239">
        <v>-50.34</v>
      </c>
      <c r="CS477" s="240">
        <v>-0.59</v>
      </c>
      <c r="CT477" s="241">
        <v>5</v>
      </c>
      <c r="CU477" s="242">
        <v>0.93</v>
      </c>
      <c r="CV477" s="243">
        <v>98</v>
      </c>
      <c r="CW477" s="244">
        <v>-1.47</v>
      </c>
      <c r="CX477" s="245">
        <v>15</v>
      </c>
      <c r="CY477" s="246">
        <v>0.28999999999999998</v>
      </c>
      <c r="CZ477" s="247">
        <v>92</v>
      </c>
      <c r="DA477" s="248">
        <v>0.93</v>
      </c>
      <c r="DB477" s="249">
        <v>98</v>
      </c>
      <c r="DC477" s="250">
        <v>121.57</v>
      </c>
      <c r="DD477" s="251">
        <v>100</v>
      </c>
      <c r="DE477" s="252">
        <v>-0.15</v>
      </c>
      <c r="DF477" s="253">
        <v>-0.12</v>
      </c>
      <c r="DG477" s="254">
        <v>67.989999999999995</v>
      </c>
      <c r="DH477" s="255">
        <v>99</v>
      </c>
      <c r="DI477" s="256">
        <v>2.2400000000000002</v>
      </c>
      <c r="DJ477" s="257">
        <v>65</v>
      </c>
      <c r="DK477" s="258">
        <v>16.850000000000001</v>
      </c>
      <c r="DL477" s="259">
        <v>90</v>
      </c>
      <c r="DM477" s="260">
        <v>119.13</v>
      </c>
      <c r="DN477" s="261">
        <v>100</v>
      </c>
      <c r="DO477" s="262">
        <v>2.2400000000000002</v>
      </c>
      <c r="DP477" s="263">
        <v>65</v>
      </c>
      <c r="DQ477" s="264">
        <v>9937</v>
      </c>
      <c r="DR477" s="265">
        <v>209</v>
      </c>
      <c r="DS477" s="266">
        <v>2.15</v>
      </c>
      <c r="DT477" s="267">
        <v>1912</v>
      </c>
      <c r="DU477" s="268">
        <v>-9</v>
      </c>
      <c r="DV477" s="269">
        <v>-0.47</v>
      </c>
      <c r="DW477" s="270">
        <v>704</v>
      </c>
      <c r="DX477" s="271">
        <v>4</v>
      </c>
      <c r="DY477" s="272">
        <v>0.56999999999999995</v>
      </c>
      <c r="DZ477" s="273" t="s">
        <v>191</v>
      </c>
      <c r="EA477" s="274">
        <v>44335</v>
      </c>
      <c r="EB477" s="275">
        <v>8809.9500000000007</v>
      </c>
      <c r="EC477" s="276">
        <v>42187</v>
      </c>
      <c r="ED477" s="277" t="s">
        <v>226</v>
      </c>
      <c r="EE477" s="279" t="str">
        <f>HYPERLINK("https://my.pitchbook.com?c=59881-60", "View company online")</f>
        <v>View company online</v>
      </c>
    </row>
    <row r="478" spans="1:135" x14ac:dyDescent="0.45">
      <c r="A478" s="10" t="s">
        <v>9897</v>
      </c>
      <c r="B478" s="11" t="s">
        <v>9898</v>
      </c>
      <c r="C478" s="12" t="s">
        <v>153</v>
      </c>
      <c r="D478" s="13" t="s">
        <v>153</v>
      </c>
      <c r="E478" s="14" t="s">
        <v>153</v>
      </c>
      <c r="F478" s="15" t="s">
        <v>9899</v>
      </c>
      <c r="G478" s="16" t="s">
        <v>9900</v>
      </c>
      <c r="H478" s="17" t="s">
        <v>9901</v>
      </c>
      <c r="I478" s="18" t="s">
        <v>9897</v>
      </c>
      <c r="J478" s="19" t="s">
        <v>9902</v>
      </c>
      <c r="K478" s="20" t="s">
        <v>232</v>
      </c>
      <c r="L478" s="21" t="s">
        <v>233</v>
      </c>
      <c r="M478" s="22" t="s">
        <v>9903</v>
      </c>
      <c r="N478" s="23" t="s">
        <v>9904</v>
      </c>
      <c r="O478" s="24" t="s">
        <v>153</v>
      </c>
      <c r="P478" s="25" t="s">
        <v>9905</v>
      </c>
      <c r="Q478" s="26" t="s">
        <v>367</v>
      </c>
      <c r="R478" s="27">
        <v>157</v>
      </c>
      <c r="S478" s="28" t="s">
        <v>290</v>
      </c>
      <c r="T478" s="29" t="s">
        <v>291</v>
      </c>
      <c r="U478" s="30" t="s">
        <v>237</v>
      </c>
      <c r="V478" s="31" t="s">
        <v>9906</v>
      </c>
      <c r="W478" s="32">
        <v>632</v>
      </c>
      <c r="X478" s="33" t="s">
        <v>9907</v>
      </c>
      <c r="Y478" s="34" t="s">
        <v>9908</v>
      </c>
      <c r="Z478" s="35" t="s">
        <v>9909</v>
      </c>
      <c r="AA478" s="36">
        <v>2000</v>
      </c>
      <c r="AB478" s="37" t="s">
        <v>153</v>
      </c>
      <c r="AC478" s="38" t="s">
        <v>153</v>
      </c>
      <c r="AD478" s="39" t="s">
        <v>153</v>
      </c>
      <c r="AE478" s="40">
        <v>279.52999999999997</v>
      </c>
      <c r="AF478" s="41" t="s">
        <v>153</v>
      </c>
      <c r="AG478" s="42">
        <v>83.22</v>
      </c>
      <c r="AH478" s="43" t="s">
        <v>153</v>
      </c>
      <c r="AI478" s="44" t="s">
        <v>153</v>
      </c>
      <c r="AJ478" s="45" t="s">
        <v>153</v>
      </c>
      <c r="AK478" s="46">
        <v>2105.21</v>
      </c>
      <c r="AL478" s="47">
        <v>9858.0400000000009</v>
      </c>
      <c r="AM478" s="48">
        <v>-18.989999999999998</v>
      </c>
      <c r="AN478" s="49" t="s">
        <v>376</v>
      </c>
      <c r="AO478" s="50" t="s">
        <v>9910</v>
      </c>
      <c r="AP478" s="51" t="s">
        <v>9911</v>
      </c>
      <c r="AQ478" s="52" t="s">
        <v>9912</v>
      </c>
      <c r="AR478" s="53" t="s">
        <v>9913</v>
      </c>
      <c r="AS478" s="54" t="s">
        <v>9914</v>
      </c>
      <c r="AT478" s="55" t="s">
        <v>9915</v>
      </c>
      <c r="AU478" s="56" t="s">
        <v>9916</v>
      </c>
      <c r="AV478" s="57" t="s">
        <v>9917</v>
      </c>
      <c r="AW478" s="58" t="s">
        <v>9918</v>
      </c>
      <c r="AX478" s="59" t="s">
        <v>153</v>
      </c>
      <c r="AY478" s="60" t="s">
        <v>153</v>
      </c>
      <c r="AZ478" s="61" t="s">
        <v>9919</v>
      </c>
      <c r="BA478" s="62" t="s">
        <v>9914</v>
      </c>
      <c r="BB478" s="63" t="s">
        <v>9920</v>
      </c>
      <c r="BC478" s="64" t="s">
        <v>9921</v>
      </c>
      <c r="BD478" s="65" t="s">
        <v>248</v>
      </c>
      <c r="BE478" s="66" t="s">
        <v>248</v>
      </c>
      <c r="BF478" s="67" t="s">
        <v>9922</v>
      </c>
      <c r="BG478" s="68" t="s">
        <v>153</v>
      </c>
      <c r="BH478" s="69" t="s">
        <v>153</v>
      </c>
      <c r="BI478" s="70" t="s">
        <v>153</v>
      </c>
      <c r="BJ478" s="71" t="s">
        <v>153</v>
      </c>
      <c r="BK478" s="72" t="s">
        <v>9923</v>
      </c>
      <c r="BL478" s="73" t="s">
        <v>153</v>
      </c>
      <c r="BM478" s="74" t="s">
        <v>153</v>
      </c>
      <c r="BN478" s="75" t="s">
        <v>9924</v>
      </c>
      <c r="BO478" s="76" t="s">
        <v>9925</v>
      </c>
      <c r="BP478" s="77" t="s">
        <v>9926</v>
      </c>
      <c r="BQ478" s="78">
        <v>37073</v>
      </c>
      <c r="BR478" s="79">
        <v>157</v>
      </c>
      <c r="BS478" s="80" t="s">
        <v>153</v>
      </c>
      <c r="BT478" s="81" t="s">
        <v>153</v>
      </c>
      <c r="BU478" s="82" t="s">
        <v>153</v>
      </c>
      <c r="BV478" s="83" t="s">
        <v>251</v>
      </c>
      <c r="BW478" s="84" t="s">
        <v>153</v>
      </c>
      <c r="BX478" s="85" t="s">
        <v>153</v>
      </c>
      <c r="BY478" s="86" t="s">
        <v>252</v>
      </c>
      <c r="BZ478" s="87" t="s">
        <v>153</v>
      </c>
      <c r="CA478" s="88" t="s">
        <v>190</v>
      </c>
      <c r="CB478" s="89">
        <v>43304</v>
      </c>
      <c r="CC478" s="90">
        <v>8800</v>
      </c>
      <c r="CD478" s="91" t="s">
        <v>186</v>
      </c>
      <c r="CE478" s="92">
        <v>8800</v>
      </c>
      <c r="CF478" s="93" t="s">
        <v>187</v>
      </c>
      <c r="CG478" s="94" t="s">
        <v>226</v>
      </c>
      <c r="CH478" s="95" t="s">
        <v>153</v>
      </c>
      <c r="CI478" s="96" t="s">
        <v>153</v>
      </c>
      <c r="CJ478" s="97" t="s">
        <v>225</v>
      </c>
      <c r="CK478" s="98">
        <v>43304</v>
      </c>
      <c r="CL478" s="99" t="s">
        <v>153</v>
      </c>
      <c r="CM478" s="100" t="s">
        <v>153</v>
      </c>
      <c r="CN478" s="101" t="s">
        <v>1278</v>
      </c>
      <c r="CO478" s="102">
        <v>0.35</v>
      </c>
      <c r="CP478" s="103">
        <v>92</v>
      </c>
      <c r="CQ478" s="104">
        <v>0.56000000000000005</v>
      </c>
      <c r="CR478" s="105">
        <v>273.86</v>
      </c>
      <c r="CS478" s="106">
        <v>0.71</v>
      </c>
      <c r="CT478" s="107">
        <v>94</v>
      </c>
      <c r="CU478" s="108">
        <v>0</v>
      </c>
      <c r="CV478" s="109">
        <v>41</v>
      </c>
      <c r="CW478" s="110" t="s">
        <v>153</v>
      </c>
      <c r="CX478" s="111" t="s">
        <v>153</v>
      </c>
      <c r="CY478" s="112">
        <v>0.71</v>
      </c>
      <c r="CZ478" s="113">
        <v>96</v>
      </c>
      <c r="DA478" s="114">
        <v>0</v>
      </c>
      <c r="DB478" s="115">
        <v>41</v>
      </c>
      <c r="DC478" s="116">
        <v>112.93</v>
      </c>
      <c r="DD478" s="117">
        <v>100</v>
      </c>
      <c r="DE478" s="118">
        <v>5.38</v>
      </c>
      <c r="DF478" s="119">
        <v>5</v>
      </c>
      <c r="DG478" s="120">
        <v>225.56</v>
      </c>
      <c r="DH478" s="121">
        <v>100</v>
      </c>
      <c r="DI478" s="122">
        <v>0.3</v>
      </c>
      <c r="DJ478" s="123">
        <v>31</v>
      </c>
      <c r="DK478" s="124" t="s">
        <v>153</v>
      </c>
      <c r="DL478" s="125" t="s">
        <v>153</v>
      </c>
      <c r="DM478" s="126">
        <v>225.56</v>
      </c>
      <c r="DN478" s="127">
        <v>100</v>
      </c>
      <c r="DO478" s="128">
        <v>0.3</v>
      </c>
      <c r="DP478" s="129">
        <v>31</v>
      </c>
      <c r="DQ478" s="130" t="s">
        <v>153</v>
      </c>
      <c r="DR478" s="131" t="s">
        <v>153</v>
      </c>
      <c r="DS478" s="132" t="s">
        <v>153</v>
      </c>
      <c r="DT478" s="133">
        <v>3537</v>
      </c>
      <c r="DU478" s="134">
        <v>187</v>
      </c>
      <c r="DV478" s="135">
        <v>5.58</v>
      </c>
      <c r="DW478" s="136">
        <v>92</v>
      </c>
      <c r="DX478" s="137">
        <v>0</v>
      </c>
      <c r="DY478" s="138">
        <v>0</v>
      </c>
      <c r="DZ478" s="139" t="s">
        <v>191</v>
      </c>
      <c r="EA478" s="140">
        <v>44385</v>
      </c>
      <c r="EB478" s="141">
        <v>8800</v>
      </c>
      <c r="EC478" s="142">
        <v>43304</v>
      </c>
      <c r="ED478" s="143" t="s">
        <v>226</v>
      </c>
      <c r="EE478" s="278" t="str">
        <f>HYPERLINK("https://my.pitchbook.com?c=58925-80", "View company online")</f>
        <v>View company online</v>
      </c>
    </row>
    <row r="479" spans="1:135" x14ac:dyDescent="0.45">
      <c r="A479" s="144" t="s">
        <v>9927</v>
      </c>
      <c r="B479" s="145" t="s">
        <v>9928</v>
      </c>
      <c r="C479" s="146" t="s">
        <v>153</v>
      </c>
      <c r="D479" s="147" t="s">
        <v>153</v>
      </c>
      <c r="E479" s="148" t="s">
        <v>9929</v>
      </c>
      <c r="F479" s="149" t="s">
        <v>9930</v>
      </c>
      <c r="G479" s="150" t="s">
        <v>9931</v>
      </c>
      <c r="H479" s="151" t="s">
        <v>153</v>
      </c>
      <c r="I479" s="152" t="s">
        <v>9927</v>
      </c>
      <c r="J479" s="153" t="s">
        <v>9932</v>
      </c>
      <c r="K479" s="154" t="s">
        <v>882</v>
      </c>
      <c r="L479" s="155" t="s">
        <v>883</v>
      </c>
      <c r="M479" s="156" t="s">
        <v>3626</v>
      </c>
      <c r="N479" s="157" t="s">
        <v>3627</v>
      </c>
      <c r="O479" s="158" t="s">
        <v>365</v>
      </c>
      <c r="P479" s="159" t="s">
        <v>9933</v>
      </c>
      <c r="Q479" s="160" t="s">
        <v>564</v>
      </c>
      <c r="R479" s="161">
        <v>218.54</v>
      </c>
      <c r="S479" s="162" t="s">
        <v>290</v>
      </c>
      <c r="T479" s="163" t="s">
        <v>205</v>
      </c>
      <c r="U479" s="164" t="s">
        <v>2534</v>
      </c>
      <c r="V479" s="165" t="s">
        <v>153</v>
      </c>
      <c r="W479" s="166">
        <v>9800</v>
      </c>
      <c r="X479" s="167" t="s">
        <v>9934</v>
      </c>
      <c r="Y479" s="168" t="s">
        <v>153</v>
      </c>
      <c r="Z479" s="169" t="s">
        <v>153</v>
      </c>
      <c r="AA479" s="170">
        <v>1880</v>
      </c>
      <c r="AB479" s="171" t="s">
        <v>153</v>
      </c>
      <c r="AC479" s="172" t="s">
        <v>153</v>
      </c>
      <c r="AD479" s="173" t="s">
        <v>153</v>
      </c>
      <c r="AE479" s="174" t="s">
        <v>153</v>
      </c>
      <c r="AF479" s="175" t="s">
        <v>153</v>
      </c>
      <c r="AG479" s="176" t="s">
        <v>153</v>
      </c>
      <c r="AH479" s="177" t="s">
        <v>153</v>
      </c>
      <c r="AI479" s="178" t="s">
        <v>153</v>
      </c>
      <c r="AJ479" s="179" t="s">
        <v>153</v>
      </c>
      <c r="AK479" s="180" t="s">
        <v>153</v>
      </c>
      <c r="AL479" s="181" t="s">
        <v>153</v>
      </c>
      <c r="AM479" s="182" t="s">
        <v>153</v>
      </c>
      <c r="AN479" s="183" t="s">
        <v>9935</v>
      </c>
      <c r="AO479" s="184" t="s">
        <v>9936</v>
      </c>
      <c r="AP479" s="185" t="s">
        <v>9937</v>
      </c>
      <c r="AQ479" s="186" t="s">
        <v>2655</v>
      </c>
      <c r="AR479" s="187" t="s">
        <v>153</v>
      </c>
      <c r="AS479" s="188" t="s">
        <v>9938</v>
      </c>
      <c r="AT479" s="189" t="s">
        <v>9939</v>
      </c>
      <c r="AU479" s="190" t="s">
        <v>9940</v>
      </c>
      <c r="AV479" s="191" t="s">
        <v>153</v>
      </c>
      <c r="AW479" s="192" t="s">
        <v>9941</v>
      </c>
      <c r="AX479" s="193" t="s">
        <v>2422</v>
      </c>
      <c r="AY479" s="194" t="s">
        <v>9942</v>
      </c>
      <c r="AZ479" s="195" t="s">
        <v>215</v>
      </c>
      <c r="BA479" s="196" t="s">
        <v>9943</v>
      </c>
      <c r="BB479" s="197" t="s">
        <v>9944</v>
      </c>
      <c r="BC479" s="198" t="s">
        <v>153</v>
      </c>
      <c r="BD479" s="199" t="s">
        <v>216</v>
      </c>
      <c r="BE479" s="200" t="s">
        <v>217</v>
      </c>
      <c r="BF479" s="201" t="s">
        <v>9945</v>
      </c>
      <c r="BG479" s="202" t="s">
        <v>153</v>
      </c>
      <c r="BH479" s="203" t="s">
        <v>153</v>
      </c>
      <c r="BI479" s="204" t="s">
        <v>9946</v>
      </c>
      <c r="BJ479" s="205" t="s">
        <v>9947</v>
      </c>
      <c r="BK479" s="206" t="s">
        <v>153</v>
      </c>
      <c r="BL479" s="207" t="s">
        <v>153</v>
      </c>
      <c r="BM479" s="208" t="s">
        <v>9948</v>
      </c>
      <c r="BN479" s="209" t="s">
        <v>153</v>
      </c>
      <c r="BO479" s="210" t="s">
        <v>9949</v>
      </c>
      <c r="BP479" s="211" t="s">
        <v>9950</v>
      </c>
      <c r="BQ479" s="212">
        <v>35697</v>
      </c>
      <c r="BR479" s="213">
        <v>189.62</v>
      </c>
      <c r="BS479" s="214" t="s">
        <v>186</v>
      </c>
      <c r="BT479" s="215">
        <v>189.62</v>
      </c>
      <c r="BU479" s="216" t="s">
        <v>186</v>
      </c>
      <c r="BV479" s="217" t="s">
        <v>226</v>
      </c>
      <c r="BW479" s="218" t="s">
        <v>153</v>
      </c>
      <c r="BX479" s="219" t="s">
        <v>153</v>
      </c>
      <c r="BY479" s="220" t="s">
        <v>225</v>
      </c>
      <c r="BZ479" s="221" t="s">
        <v>153</v>
      </c>
      <c r="CA479" s="222" t="s">
        <v>190</v>
      </c>
      <c r="CB479" s="223">
        <v>40732</v>
      </c>
      <c r="CC479" s="224">
        <v>8800</v>
      </c>
      <c r="CD479" s="225" t="s">
        <v>186</v>
      </c>
      <c r="CE479" s="226">
        <v>8800</v>
      </c>
      <c r="CF479" s="227" t="s">
        <v>186</v>
      </c>
      <c r="CG479" s="228" t="s">
        <v>226</v>
      </c>
      <c r="CH479" s="229" t="s">
        <v>153</v>
      </c>
      <c r="CI479" s="230" t="s">
        <v>153</v>
      </c>
      <c r="CJ479" s="231" t="s">
        <v>225</v>
      </c>
      <c r="CK479" s="232">
        <v>40732</v>
      </c>
      <c r="CL479" s="233" t="s">
        <v>153</v>
      </c>
      <c r="CM479" s="234" t="s">
        <v>153</v>
      </c>
      <c r="CN479" s="235" t="s">
        <v>190</v>
      </c>
      <c r="CO479" s="236" t="s">
        <v>153</v>
      </c>
      <c r="CP479" s="237" t="s">
        <v>153</v>
      </c>
      <c r="CQ479" s="238" t="s">
        <v>153</v>
      </c>
      <c r="CR479" s="239" t="s">
        <v>153</v>
      </c>
      <c r="CS479" s="240" t="s">
        <v>153</v>
      </c>
      <c r="CT479" s="241" t="s">
        <v>153</v>
      </c>
      <c r="CU479" s="242" t="s">
        <v>153</v>
      </c>
      <c r="CV479" s="243" t="s">
        <v>153</v>
      </c>
      <c r="CW479" s="244" t="s">
        <v>153</v>
      </c>
      <c r="CX479" s="245" t="s">
        <v>153</v>
      </c>
      <c r="CY479" s="246" t="s">
        <v>153</v>
      </c>
      <c r="CZ479" s="247" t="s">
        <v>153</v>
      </c>
      <c r="DA479" s="248" t="s">
        <v>153</v>
      </c>
      <c r="DB479" s="249" t="s">
        <v>153</v>
      </c>
      <c r="DC479" s="250" t="s">
        <v>153</v>
      </c>
      <c r="DD479" s="251" t="s">
        <v>153</v>
      </c>
      <c r="DE479" s="252" t="s">
        <v>153</v>
      </c>
      <c r="DF479" s="253" t="s">
        <v>153</v>
      </c>
      <c r="DG479" s="254" t="s">
        <v>153</v>
      </c>
      <c r="DH479" s="255" t="s">
        <v>153</v>
      </c>
      <c r="DI479" s="256" t="s">
        <v>153</v>
      </c>
      <c r="DJ479" s="257" t="s">
        <v>153</v>
      </c>
      <c r="DK479" s="258" t="s">
        <v>153</v>
      </c>
      <c r="DL479" s="259" t="s">
        <v>153</v>
      </c>
      <c r="DM479" s="260" t="s">
        <v>153</v>
      </c>
      <c r="DN479" s="261" t="s">
        <v>153</v>
      </c>
      <c r="DO479" s="262" t="s">
        <v>153</v>
      </c>
      <c r="DP479" s="263" t="s">
        <v>153</v>
      </c>
      <c r="DQ479" s="264" t="s">
        <v>153</v>
      </c>
      <c r="DR479" s="265" t="s">
        <v>153</v>
      </c>
      <c r="DS479" s="266" t="s">
        <v>153</v>
      </c>
      <c r="DT479" s="267" t="s">
        <v>153</v>
      </c>
      <c r="DU479" s="268" t="s">
        <v>153</v>
      </c>
      <c r="DV479" s="269" t="s">
        <v>153</v>
      </c>
      <c r="DW479" s="270" t="s">
        <v>153</v>
      </c>
      <c r="DX479" s="271" t="s">
        <v>153</v>
      </c>
      <c r="DY479" s="272" t="s">
        <v>153</v>
      </c>
      <c r="DZ479" s="273" t="s">
        <v>191</v>
      </c>
      <c r="EA479" s="274">
        <v>44217</v>
      </c>
      <c r="EB479" s="275">
        <v>8800</v>
      </c>
      <c r="EC479" s="276">
        <v>40732</v>
      </c>
      <c r="ED479" s="277" t="s">
        <v>226</v>
      </c>
      <c r="EE479" s="279" t="str">
        <f>HYPERLINK("https://my.pitchbook.com?c=12126-61", "View company online")</f>
        <v>View company online</v>
      </c>
    </row>
    <row r="480" spans="1:135" x14ac:dyDescent="0.45">
      <c r="A480" s="10" t="s">
        <v>9951</v>
      </c>
      <c r="B480" s="11" t="s">
        <v>9952</v>
      </c>
      <c r="C480" s="12" t="s">
        <v>153</v>
      </c>
      <c r="D480" s="13" t="s">
        <v>153</v>
      </c>
      <c r="E480" s="14" t="s">
        <v>153</v>
      </c>
      <c r="F480" s="15" t="s">
        <v>153</v>
      </c>
      <c r="G480" s="16" t="s">
        <v>153</v>
      </c>
      <c r="H480" s="17" t="s">
        <v>153</v>
      </c>
      <c r="I480" s="18" t="s">
        <v>9951</v>
      </c>
      <c r="J480" s="19" t="s">
        <v>9953</v>
      </c>
      <c r="K480" s="20" t="s">
        <v>198</v>
      </c>
      <c r="L480" s="21" t="s">
        <v>984</v>
      </c>
      <c r="M480" s="22" t="s">
        <v>4960</v>
      </c>
      <c r="N480" s="23" t="s">
        <v>9954</v>
      </c>
      <c r="O480" s="24" t="s">
        <v>9955</v>
      </c>
      <c r="P480" s="25" t="s">
        <v>9956</v>
      </c>
      <c r="Q480" s="26" t="s">
        <v>204</v>
      </c>
      <c r="R480" s="27" t="s">
        <v>153</v>
      </c>
      <c r="S480" s="28" t="s">
        <v>290</v>
      </c>
      <c r="T480" s="29" t="s">
        <v>205</v>
      </c>
      <c r="U480" s="30" t="s">
        <v>206</v>
      </c>
      <c r="V480" s="31" t="s">
        <v>153</v>
      </c>
      <c r="W480" s="32" t="s">
        <v>153</v>
      </c>
      <c r="X480" s="33" t="s">
        <v>153</v>
      </c>
      <c r="Y480" s="34" t="s">
        <v>153</v>
      </c>
      <c r="Z480" s="35" t="s">
        <v>153</v>
      </c>
      <c r="AA480" s="36" t="s">
        <v>153</v>
      </c>
      <c r="AB480" s="37" t="s">
        <v>153</v>
      </c>
      <c r="AC480" s="38" t="s">
        <v>153</v>
      </c>
      <c r="AD480" s="39" t="s">
        <v>153</v>
      </c>
      <c r="AE480" s="40" t="s">
        <v>153</v>
      </c>
      <c r="AF480" s="41" t="s">
        <v>153</v>
      </c>
      <c r="AG480" s="42" t="s">
        <v>153</v>
      </c>
      <c r="AH480" s="43" t="s">
        <v>153</v>
      </c>
      <c r="AI480" s="44" t="s">
        <v>153</v>
      </c>
      <c r="AJ480" s="45" t="s">
        <v>153</v>
      </c>
      <c r="AK480" s="46" t="s">
        <v>153</v>
      </c>
      <c r="AL480" s="47" t="s">
        <v>153</v>
      </c>
      <c r="AM480" s="48" t="s">
        <v>153</v>
      </c>
      <c r="AN480" s="49" t="s">
        <v>868</v>
      </c>
      <c r="AO480" s="50" t="s">
        <v>153</v>
      </c>
      <c r="AP480" s="51" t="s">
        <v>153</v>
      </c>
      <c r="AQ480" s="52" t="s">
        <v>153</v>
      </c>
      <c r="AR480" s="53" t="s">
        <v>153</v>
      </c>
      <c r="AS480" s="54" t="s">
        <v>153</v>
      </c>
      <c r="AT480" s="55" t="s">
        <v>4559</v>
      </c>
      <c r="AU480" s="56" t="s">
        <v>9957</v>
      </c>
      <c r="AV480" s="57" t="s">
        <v>153</v>
      </c>
      <c r="AW480" s="58" t="s">
        <v>4562</v>
      </c>
      <c r="AX480" s="59" t="s">
        <v>308</v>
      </c>
      <c r="AY480" s="60" t="s">
        <v>153</v>
      </c>
      <c r="AZ480" s="61" t="s">
        <v>215</v>
      </c>
      <c r="BA480" s="62" t="s">
        <v>153</v>
      </c>
      <c r="BB480" s="63" t="s">
        <v>153</v>
      </c>
      <c r="BC480" s="64" t="s">
        <v>153</v>
      </c>
      <c r="BD480" s="65" t="s">
        <v>216</v>
      </c>
      <c r="BE480" s="66" t="s">
        <v>217</v>
      </c>
      <c r="BF480" s="67" t="s">
        <v>9958</v>
      </c>
      <c r="BG480" s="68" t="s">
        <v>153</v>
      </c>
      <c r="BH480" s="69" t="s">
        <v>153</v>
      </c>
      <c r="BI480" s="70" t="s">
        <v>9959</v>
      </c>
      <c r="BJ480" s="71" t="s">
        <v>9960</v>
      </c>
      <c r="BK480" s="72" t="s">
        <v>153</v>
      </c>
      <c r="BL480" s="73" t="s">
        <v>153</v>
      </c>
      <c r="BM480" s="74" t="s">
        <v>9961</v>
      </c>
      <c r="BN480" s="75" t="s">
        <v>153</v>
      </c>
      <c r="BO480" s="76" t="s">
        <v>9962</v>
      </c>
      <c r="BP480" s="77" t="s">
        <v>9963</v>
      </c>
      <c r="BQ480" s="78">
        <v>42979</v>
      </c>
      <c r="BR480" s="79">
        <v>8800</v>
      </c>
      <c r="BS480" s="80" t="s">
        <v>186</v>
      </c>
      <c r="BT480" s="81">
        <v>8800</v>
      </c>
      <c r="BU480" s="82" t="s">
        <v>186</v>
      </c>
      <c r="BV480" s="83" t="s">
        <v>226</v>
      </c>
      <c r="BW480" s="84" t="s">
        <v>729</v>
      </c>
      <c r="BX480" s="85" t="s">
        <v>153</v>
      </c>
      <c r="BY480" s="86" t="s">
        <v>225</v>
      </c>
      <c r="BZ480" s="87" t="s">
        <v>153</v>
      </c>
      <c r="CA480" s="88" t="s">
        <v>190</v>
      </c>
      <c r="CB480" s="89">
        <v>42979</v>
      </c>
      <c r="CC480" s="90">
        <v>8800</v>
      </c>
      <c r="CD480" s="91" t="s">
        <v>186</v>
      </c>
      <c r="CE480" s="92">
        <v>8800</v>
      </c>
      <c r="CF480" s="93" t="s">
        <v>186</v>
      </c>
      <c r="CG480" s="94" t="s">
        <v>226</v>
      </c>
      <c r="CH480" s="95" t="s">
        <v>729</v>
      </c>
      <c r="CI480" s="96" t="s">
        <v>153</v>
      </c>
      <c r="CJ480" s="97" t="s">
        <v>225</v>
      </c>
      <c r="CK480" s="98">
        <v>42979</v>
      </c>
      <c r="CL480" s="99" t="s">
        <v>153</v>
      </c>
      <c r="CM480" s="100" t="s">
        <v>153</v>
      </c>
      <c r="CN480" s="101" t="s">
        <v>190</v>
      </c>
      <c r="CO480" s="102" t="s">
        <v>153</v>
      </c>
      <c r="CP480" s="103" t="s">
        <v>153</v>
      </c>
      <c r="CQ480" s="104" t="s">
        <v>153</v>
      </c>
      <c r="CR480" s="105" t="s">
        <v>153</v>
      </c>
      <c r="CS480" s="106" t="s">
        <v>153</v>
      </c>
      <c r="CT480" s="107" t="s">
        <v>153</v>
      </c>
      <c r="CU480" s="108" t="s">
        <v>153</v>
      </c>
      <c r="CV480" s="109" t="s">
        <v>153</v>
      </c>
      <c r="CW480" s="110" t="s">
        <v>153</v>
      </c>
      <c r="CX480" s="111" t="s">
        <v>153</v>
      </c>
      <c r="CY480" s="112" t="s">
        <v>153</v>
      </c>
      <c r="CZ480" s="113" t="s">
        <v>153</v>
      </c>
      <c r="DA480" s="114" t="s">
        <v>153</v>
      </c>
      <c r="DB480" s="115" t="s">
        <v>153</v>
      </c>
      <c r="DC480" s="116" t="s">
        <v>153</v>
      </c>
      <c r="DD480" s="117" t="s">
        <v>153</v>
      </c>
      <c r="DE480" s="118" t="s">
        <v>153</v>
      </c>
      <c r="DF480" s="119" t="s">
        <v>153</v>
      </c>
      <c r="DG480" s="120" t="s">
        <v>153</v>
      </c>
      <c r="DH480" s="121" t="s">
        <v>153</v>
      </c>
      <c r="DI480" s="122" t="s">
        <v>153</v>
      </c>
      <c r="DJ480" s="123" t="s">
        <v>153</v>
      </c>
      <c r="DK480" s="124" t="s">
        <v>153</v>
      </c>
      <c r="DL480" s="125" t="s">
        <v>153</v>
      </c>
      <c r="DM480" s="126" t="s">
        <v>153</v>
      </c>
      <c r="DN480" s="127" t="s">
        <v>153</v>
      </c>
      <c r="DO480" s="128" t="s">
        <v>153</v>
      </c>
      <c r="DP480" s="129" t="s">
        <v>153</v>
      </c>
      <c r="DQ480" s="130" t="s">
        <v>153</v>
      </c>
      <c r="DR480" s="131" t="s">
        <v>153</v>
      </c>
      <c r="DS480" s="132" t="s">
        <v>153</v>
      </c>
      <c r="DT480" s="133" t="s">
        <v>153</v>
      </c>
      <c r="DU480" s="134" t="s">
        <v>153</v>
      </c>
      <c r="DV480" s="135" t="s">
        <v>153</v>
      </c>
      <c r="DW480" s="136" t="s">
        <v>153</v>
      </c>
      <c r="DX480" s="137" t="s">
        <v>153</v>
      </c>
      <c r="DY480" s="138" t="s">
        <v>153</v>
      </c>
      <c r="DZ480" s="139" t="s">
        <v>191</v>
      </c>
      <c r="EA480" s="140">
        <v>44376</v>
      </c>
      <c r="EB480" s="141">
        <v>8800</v>
      </c>
      <c r="EC480" s="142">
        <v>42979</v>
      </c>
      <c r="ED480" s="143" t="s">
        <v>226</v>
      </c>
      <c r="EE480" s="278" t="str">
        <f>HYPERLINK("https://my.pitchbook.com?c=166050-10", "View company online")</f>
        <v>View company online</v>
      </c>
    </row>
    <row r="481" spans="1:135" x14ac:dyDescent="0.45">
      <c r="A481" s="144" t="s">
        <v>9964</v>
      </c>
      <c r="B481" s="145" t="s">
        <v>9965</v>
      </c>
      <c r="C481" s="146" t="s">
        <v>153</v>
      </c>
      <c r="D481" s="147" t="s">
        <v>153</v>
      </c>
      <c r="E481" s="148" t="s">
        <v>153</v>
      </c>
      <c r="F481" s="149" t="s">
        <v>153</v>
      </c>
      <c r="G481" s="150" t="s">
        <v>153</v>
      </c>
      <c r="H481" s="151" t="s">
        <v>153</v>
      </c>
      <c r="I481" s="152" t="s">
        <v>9964</v>
      </c>
      <c r="J481" s="153" t="s">
        <v>9966</v>
      </c>
      <c r="K481" s="154" t="s">
        <v>257</v>
      </c>
      <c r="L481" s="155" t="s">
        <v>258</v>
      </c>
      <c r="M481" s="156" t="s">
        <v>259</v>
      </c>
      <c r="N481" s="157" t="s">
        <v>260</v>
      </c>
      <c r="O481" s="158" t="s">
        <v>153</v>
      </c>
      <c r="P481" s="159" t="s">
        <v>9967</v>
      </c>
      <c r="Q481" s="160" t="s">
        <v>564</v>
      </c>
      <c r="R481" s="161">
        <v>170.8</v>
      </c>
      <c r="S481" s="162" t="s">
        <v>163</v>
      </c>
      <c r="T481" s="163" t="s">
        <v>205</v>
      </c>
      <c r="U481" s="164" t="s">
        <v>452</v>
      </c>
      <c r="V481" s="165" t="s">
        <v>153</v>
      </c>
      <c r="W481" s="166">
        <v>560</v>
      </c>
      <c r="X481" s="167" t="s">
        <v>9968</v>
      </c>
      <c r="Y481" s="168" t="s">
        <v>153</v>
      </c>
      <c r="Z481" s="169" t="s">
        <v>153</v>
      </c>
      <c r="AA481" s="170">
        <v>1998</v>
      </c>
      <c r="AB481" s="171" t="s">
        <v>153</v>
      </c>
      <c r="AC481" s="172" t="s">
        <v>153</v>
      </c>
      <c r="AD481" s="173" t="s">
        <v>153</v>
      </c>
      <c r="AE481" s="174" t="s">
        <v>153</v>
      </c>
      <c r="AF481" s="175" t="s">
        <v>153</v>
      </c>
      <c r="AG481" s="176" t="s">
        <v>153</v>
      </c>
      <c r="AH481" s="177" t="s">
        <v>153</v>
      </c>
      <c r="AI481" s="178" t="s">
        <v>153</v>
      </c>
      <c r="AJ481" s="179" t="s">
        <v>153</v>
      </c>
      <c r="AK481" s="180" t="s">
        <v>153</v>
      </c>
      <c r="AL481" s="181" t="s">
        <v>153</v>
      </c>
      <c r="AM481" s="182" t="s">
        <v>153</v>
      </c>
      <c r="AN481" s="183" t="s">
        <v>5377</v>
      </c>
      <c r="AO481" s="184" t="s">
        <v>9969</v>
      </c>
      <c r="AP481" s="185" t="s">
        <v>9970</v>
      </c>
      <c r="AQ481" s="186" t="s">
        <v>1175</v>
      </c>
      <c r="AR481" s="187" t="s">
        <v>9971</v>
      </c>
      <c r="AS481" s="188" t="s">
        <v>9972</v>
      </c>
      <c r="AT481" s="189" t="s">
        <v>6240</v>
      </c>
      <c r="AU481" s="190" t="s">
        <v>9973</v>
      </c>
      <c r="AV481" s="191" t="s">
        <v>153</v>
      </c>
      <c r="AW481" s="192" t="s">
        <v>6242</v>
      </c>
      <c r="AX481" s="193" t="s">
        <v>308</v>
      </c>
      <c r="AY481" s="194" t="s">
        <v>6243</v>
      </c>
      <c r="AZ481" s="195" t="s">
        <v>215</v>
      </c>
      <c r="BA481" s="196" t="s">
        <v>9972</v>
      </c>
      <c r="BB481" s="197" t="s">
        <v>9974</v>
      </c>
      <c r="BC481" s="198" t="s">
        <v>9975</v>
      </c>
      <c r="BD481" s="199" t="s">
        <v>216</v>
      </c>
      <c r="BE481" s="200" t="s">
        <v>217</v>
      </c>
      <c r="BF481" s="201" t="s">
        <v>9976</v>
      </c>
      <c r="BG481" s="202" t="s">
        <v>153</v>
      </c>
      <c r="BH481" s="203" t="s">
        <v>153</v>
      </c>
      <c r="BI481" s="204" t="s">
        <v>1143</v>
      </c>
      <c r="BJ481" s="205" t="s">
        <v>9977</v>
      </c>
      <c r="BK481" s="206" t="s">
        <v>9978</v>
      </c>
      <c r="BL481" s="207" t="s">
        <v>153</v>
      </c>
      <c r="BM481" s="208" t="s">
        <v>9979</v>
      </c>
      <c r="BN481" s="209" t="s">
        <v>9980</v>
      </c>
      <c r="BO481" s="210" t="s">
        <v>9981</v>
      </c>
      <c r="BP481" s="211" t="s">
        <v>9982</v>
      </c>
      <c r="BQ481" s="212">
        <v>36069</v>
      </c>
      <c r="BR481" s="213">
        <v>11.2</v>
      </c>
      <c r="BS481" s="214" t="s">
        <v>186</v>
      </c>
      <c r="BT481" s="215" t="s">
        <v>153</v>
      </c>
      <c r="BU481" s="216" t="s">
        <v>153</v>
      </c>
      <c r="BV481" s="217" t="s">
        <v>471</v>
      </c>
      <c r="BW481" s="218" t="s">
        <v>1811</v>
      </c>
      <c r="BX481" s="219" t="s">
        <v>153</v>
      </c>
      <c r="BY481" s="220" t="s">
        <v>472</v>
      </c>
      <c r="BZ481" s="221" t="s">
        <v>153</v>
      </c>
      <c r="CA481" s="222" t="s">
        <v>190</v>
      </c>
      <c r="CB481" s="223">
        <v>41911</v>
      </c>
      <c r="CC481" s="224">
        <v>8800</v>
      </c>
      <c r="CD481" s="225" t="s">
        <v>186</v>
      </c>
      <c r="CE481" s="226">
        <v>8800</v>
      </c>
      <c r="CF481" s="227" t="s">
        <v>187</v>
      </c>
      <c r="CG481" s="228" t="s">
        <v>226</v>
      </c>
      <c r="CH481" s="229" t="s">
        <v>153</v>
      </c>
      <c r="CI481" s="230" t="s">
        <v>153</v>
      </c>
      <c r="CJ481" s="231" t="s">
        <v>225</v>
      </c>
      <c r="CK481" s="232">
        <v>41911</v>
      </c>
      <c r="CL481" s="233" t="s">
        <v>153</v>
      </c>
      <c r="CM481" s="234" t="s">
        <v>153</v>
      </c>
      <c r="CN481" s="235" t="s">
        <v>190</v>
      </c>
      <c r="CO481" s="236" t="s">
        <v>153</v>
      </c>
      <c r="CP481" s="237" t="s">
        <v>153</v>
      </c>
      <c r="CQ481" s="238" t="s">
        <v>153</v>
      </c>
      <c r="CR481" s="239" t="s">
        <v>153</v>
      </c>
      <c r="CS481" s="240" t="s">
        <v>153</v>
      </c>
      <c r="CT481" s="241" t="s">
        <v>153</v>
      </c>
      <c r="CU481" s="242" t="s">
        <v>153</v>
      </c>
      <c r="CV481" s="243" t="s">
        <v>153</v>
      </c>
      <c r="CW481" s="244" t="s">
        <v>153</v>
      </c>
      <c r="CX481" s="245" t="s">
        <v>153</v>
      </c>
      <c r="CY481" s="246" t="s">
        <v>153</v>
      </c>
      <c r="CZ481" s="247" t="s">
        <v>153</v>
      </c>
      <c r="DA481" s="248" t="s">
        <v>153</v>
      </c>
      <c r="DB481" s="249" t="s">
        <v>153</v>
      </c>
      <c r="DC481" s="250" t="s">
        <v>153</v>
      </c>
      <c r="DD481" s="251" t="s">
        <v>153</v>
      </c>
      <c r="DE481" s="252" t="s">
        <v>153</v>
      </c>
      <c r="DF481" s="253" t="s">
        <v>153</v>
      </c>
      <c r="DG481" s="254" t="s">
        <v>153</v>
      </c>
      <c r="DH481" s="255" t="s">
        <v>153</v>
      </c>
      <c r="DI481" s="256" t="s">
        <v>153</v>
      </c>
      <c r="DJ481" s="257" t="s">
        <v>153</v>
      </c>
      <c r="DK481" s="258" t="s">
        <v>153</v>
      </c>
      <c r="DL481" s="259" t="s">
        <v>153</v>
      </c>
      <c r="DM481" s="260" t="s">
        <v>153</v>
      </c>
      <c r="DN481" s="261" t="s">
        <v>153</v>
      </c>
      <c r="DO481" s="262" t="s">
        <v>153</v>
      </c>
      <c r="DP481" s="263" t="s">
        <v>153</v>
      </c>
      <c r="DQ481" s="264" t="s">
        <v>153</v>
      </c>
      <c r="DR481" s="265" t="s">
        <v>153</v>
      </c>
      <c r="DS481" s="266" t="s">
        <v>153</v>
      </c>
      <c r="DT481" s="267" t="s">
        <v>153</v>
      </c>
      <c r="DU481" s="268" t="s">
        <v>153</v>
      </c>
      <c r="DV481" s="269" t="s">
        <v>153</v>
      </c>
      <c r="DW481" s="270" t="s">
        <v>153</v>
      </c>
      <c r="DX481" s="271" t="s">
        <v>153</v>
      </c>
      <c r="DY481" s="272" t="s">
        <v>153</v>
      </c>
      <c r="DZ481" s="273" t="s">
        <v>191</v>
      </c>
      <c r="EA481" s="274">
        <v>44272</v>
      </c>
      <c r="EB481" s="275">
        <v>8800</v>
      </c>
      <c r="EC481" s="276">
        <v>41911</v>
      </c>
      <c r="ED481" s="277" t="s">
        <v>226</v>
      </c>
      <c r="EE481" s="279" t="str">
        <f>HYPERLINK("https://my.pitchbook.com?c=13109-86", "View company online")</f>
        <v>View company online</v>
      </c>
    </row>
    <row r="482" spans="1:135" x14ac:dyDescent="0.45">
      <c r="A482" s="10" t="s">
        <v>9983</v>
      </c>
      <c r="B482" s="11" t="s">
        <v>9984</v>
      </c>
      <c r="C482" s="12" t="s">
        <v>153</v>
      </c>
      <c r="D482" s="13" t="s">
        <v>153</v>
      </c>
      <c r="E482" s="14" t="s">
        <v>153</v>
      </c>
      <c r="F482" s="15" t="s">
        <v>153</v>
      </c>
      <c r="G482" s="16" t="s">
        <v>9985</v>
      </c>
      <c r="H482" s="17" t="s">
        <v>9986</v>
      </c>
      <c r="I482" s="18" t="s">
        <v>9983</v>
      </c>
      <c r="J482" s="19" t="s">
        <v>9987</v>
      </c>
      <c r="K482" s="20" t="s">
        <v>232</v>
      </c>
      <c r="L482" s="21" t="s">
        <v>233</v>
      </c>
      <c r="M482" s="22" t="s">
        <v>234</v>
      </c>
      <c r="N482" s="23" t="s">
        <v>9988</v>
      </c>
      <c r="O482" s="24" t="s">
        <v>153</v>
      </c>
      <c r="P482" s="25" t="s">
        <v>9989</v>
      </c>
      <c r="Q482" s="26" t="s">
        <v>204</v>
      </c>
      <c r="R482" s="27" t="s">
        <v>153</v>
      </c>
      <c r="S482" s="28" t="s">
        <v>290</v>
      </c>
      <c r="T482" s="29" t="s">
        <v>164</v>
      </c>
      <c r="U482" s="30" t="s">
        <v>206</v>
      </c>
      <c r="V482" s="31" t="s">
        <v>9990</v>
      </c>
      <c r="W482" s="32">
        <v>1500</v>
      </c>
      <c r="X482" s="33" t="s">
        <v>9991</v>
      </c>
      <c r="Y482" s="34" t="s">
        <v>153</v>
      </c>
      <c r="Z482" s="35" t="s">
        <v>153</v>
      </c>
      <c r="AA482" s="36">
        <v>1949</v>
      </c>
      <c r="AB482" s="37" t="s">
        <v>9992</v>
      </c>
      <c r="AC482" s="38" t="s">
        <v>153</v>
      </c>
      <c r="AD482" s="39" t="s">
        <v>153</v>
      </c>
      <c r="AE482" s="40" t="s">
        <v>153</v>
      </c>
      <c r="AF482" s="41" t="s">
        <v>153</v>
      </c>
      <c r="AG482" s="42" t="s">
        <v>153</v>
      </c>
      <c r="AH482" s="43" t="s">
        <v>153</v>
      </c>
      <c r="AI482" s="44" t="s">
        <v>153</v>
      </c>
      <c r="AJ482" s="45" t="s">
        <v>153</v>
      </c>
      <c r="AK482" s="46" t="s">
        <v>153</v>
      </c>
      <c r="AL482" s="47" t="s">
        <v>153</v>
      </c>
      <c r="AM482" s="48" t="s">
        <v>153</v>
      </c>
      <c r="AN482" s="49" t="s">
        <v>3725</v>
      </c>
      <c r="AO482" s="50" t="s">
        <v>9993</v>
      </c>
      <c r="AP482" s="51" t="s">
        <v>9994</v>
      </c>
      <c r="AQ482" s="52" t="s">
        <v>573</v>
      </c>
      <c r="AR482" s="53" t="s">
        <v>153</v>
      </c>
      <c r="AS482" s="54" t="s">
        <v>9995</v>
      </c>
      <c r="AT482" s="55" t="s">
        <v>9996</v>
      </c>
      <c r="AU482" s="56" t="s">
        <v>9997</v>
      </c>
      <c r="AV482" s="57" t="s">
        <v>153</v>
      </c>
      <c r="AW482" s="58" t="s">
        <v>9998</v>
      </c>
      <c r="AX482" s="59" t="s">
        <v>153</v>
      </c>
      <c r="AY482" s="60" t="s">
        <v>153</v>
      </c>
      <c r="AZ482" s="61" t="s">
        <v>6555</v>
      </c>
      <c r="BA482" s="62" t="s">
        <v>9995</v>
      </c>
      <c r="BB482" s="63" t="s">
        <v>9999</v>
      </c>
      <c r="BC482" s="64" t="s">
        <v>10000</v>
      </c>
      <c r="BD482" s="65" t="s">
        <v>1406</v>
      </c>
      <c r="BE482" s="66" t="s">
        <v>1407</v>
      </c>
      <c r="BF482" s="67" t="s">
        <v>10001</v>
      </c>
      <c r="BG482" s="68" t="s">
        <v>153</v>
      </c>
      <c r="BH482" s="69" t="s">
        <v>153</v>
      </c>
      <c r="BI482" s="70" t="s">
        <v>9992</v>
      </c>
      <c r="BJ482" s="71" t="s">
        <v>10002</v>
      </c>
      <c r="BK482" s="72" t="s">
        <v>153</v>
      </c>
      <c r="BL482" s="73" t="s">
        <v>153</v>
      </c>
      <c r="BM482" s="74" t="s">
        <v>10003</v>
      </c>
      <c r="BN482" s="75" t="s">
        <v>153</v>
      </c>
      <c r="BO482" s="76" t="s">
        <v>10004</v>
      </c>
      <c r="BP482" s="77" t="s">
        <v>1990</v>
      </c>
      <c r="BQ482" s="78">
        <v>42520</v>
      </c>
      <c r="BR482" s="79">
        <v>8800</v>
      </c>
      <c r="BS482" s="80" t="s">
        <v>186</v>
      </c>
      <c r="BT482" s="81">
        <v>8800</v>
      </c>
      <c r="BU482" s="82" t="s">
        <v>186</v>
      </c>
      <c r="BV482" s="83" t="s">
        <v>226</v>
      </c>
      <c r="BW482" s="84" t="s">
        <v>729</v>
      </c>
      <c r="BX482" s="85" t="s">
        <v>153</v>
      </c>
      <c r="BY482" s="86" t="s">
        <v>225</v>
      </c>
      <c r="BZ482" s="87" t="s">
        <v>153</v>
      </c>
      <c r="CA482" s="88" t="s">
        <v>190</v>
      </c>
      <c r="CB482" s="89">
        <v>42520</v>
      </c>
      <c r="CC482" s="90">
        <v>8800</v>
      </c>
      <c r="CD482" s="91" t="s">
        <v>186</v>
      </c>
      <c r="CE482" s="92">
        <v>8800</v>
      </c>
      <c r="CF482" s="93" t="s">
        <v>186</v>
      </c>
      <c r="CG482" s="94" t="s">
        <v>226</v>
      </c>
      <c r="CH482" s="95" t="s">
        <v>729</v>
      </c>
      <c r="CI482" s="96" t="s">
        <v>153</v>
      </c>
      <c r="CJ482" s="97" t="s">
        <v>225</v>
      </c>
      <c r="CK482" s="98">
        <v>42520</v>
      </c>
      <c r="CL482" s="99" t="s">
        <v>153</v>
      </c>
      <c r="CM482" s="100" t="s">
        <v>153</v>
      </c>
      <c r="CN482" s="101" t="s">
        <v>190</v>
      </c>
      <c r="CO482" s="102">
        <v>2.09</v>
      </c>
      <c r="CP482" s="103">
        <v>98</v>
      </c>
      <c r="CQ482" s="104">
        <v>-0.02</v>
      </c>
      <c r="CR482" s="105">
        <v>-0.92</v>
      </c>
      <c r="CS482" s="106">
        <v>2.09</v>
      </c>
      <c r="CT482" s="107">
        <v>98</v>
      </c>
      <c r="CU482" s="108" t="s">
        <v>153</v>
      </c>
      <c r="CV482" s="109" t="s">
        <v>153</v>
      </c>
      <c r="CW482" s="110">
        <v>3.99</v>
      </c>
      <c r="CX482" s="111">
        <v>92</v>
      </c>
      <c r="CY482" s="112">
        <v>0.19</v>
      </c>
      <c r="CZ482" s="113">
        <v>91</v>
      </c>
      <c r="DA482" s="114" t="s">
        <v>153</v>
      </c>
      <c r="DB482" s="115" t="s">
        <v>153</v>
      </c>
      <c r="DC482" s="116">
        <v>55.62</v>
      </c>
      <c r="DD482" s="117">
        <v>99</v>
      </c>
      <c r="DE482" s="118">
        <v>0</v>
      </c>
      <c r="DF482" s="119">
        <v>0</v>
      </c>
      <c r="DG482" s="120">
        <v>55.62</v>
      </c>
      <c r="DH482" s="121">
        <v>99</v>
      </c>
      <c r="DI482" s="122" t="s">
        <v>153</v>
      </c>
      <c r="DJ482" s="123" t="s">
        <v>153</v>
      </c>
      <c r="DK482" s="124">
        <v>49.86</v>
      </c>
      <c r="DL482" s="125">
        <v>95</v>
      </c>
      <c r="DM482" s="126">
        <v>61.38</v>
      </c>
      <c r="DN482" s="127">
        <v>99</v>
      </c>
      <c r="DO482" s="128" t="s">
        <v>153</v>
      </c>
      <c r="DP482" s="129" t="s">
        <v>153</v>
      </c>
      <c r="DQ482" s="130">
        <v>29180</v>
      </c>
      <c r="DR482" s="131">
        <v>1422</v>
      </c>
      <c r="DS482" s="132">
        <v>5.12</v>
      </c>
      <c r="DT482" s="133">
        <v>982</v>
      </c>
      <c r="DU482" s="134">
        <v>0</v>
      </c>
      <c r="DV482" s="135">
        <v>0</v>
      </c>
      <c r="DW482" s="136" t="s">
        <v>153</v>
      </c>
      <c r="DX482" s="137" t="s">
        <v>153</v>
      </c>
      <c r="DY482" s="138" t="s">
        <v>153</v>
      </c>
      <c r="DZ482" s="139" t="s">
        <v>191</v>
      </c>
      <c r="EA482" s="140">
        <v>44327</v>
      </c>
      <c r="EB482" s="141">
        <v>8800</v>
      </c>
      <c r="EC482" s="142">
        <v>42520</v>
      </c>
      <c r="ED482" s="143" t="s">
        <v>226</v>
      </c>
      <c r="EE482" s="278" t="str">
        <f>HYPERLINK("https://my.pitchbook.com?c=107617-33", "View company online")</f>
        <v>View company online</v>
      </c>
    </row>
    <row r="483" spans="1:135" x14ac:dyDescent="0.45">
      <c r="A483" s="144" t="s">
        <v>10005</v>
      </c>
      <c r="B483" s="145" t="s">
        <v>10006</v>
      </c>
      <c r="C483" s="146" t="s">
        <v>153</v>
      </c>
      <c r="D483" s="147" t="s">
        <v>153</v>
      </c>
      <c r="E483" s="148" t="s">
        <v>10007</v>
      </c>
      <c r="F483" s="149" t="s">
        <v>153</v>
      </c>
      <c r="G483" s="150" t="s">
        <v>10008</v>
      </c>
      <c r="H483" s="151" t="s">
        <v>10009</v>
      </c>
      <c r="I483" s="152" t="s">
        <v>10005</v>
      </c>
      <c r="J483" s="153" t="s">
        <v>10010</v>
      </c>
      <c r="K483" s="154" t="s">
        <v>257</v>
      </c>
      <c r="L483" s="155" t="s">
        <v>478</v>
      </c>
      <c r="M483" s="156" t="s">
        <v>1819</v>
      </c>
      <c r="N483" s="157" t="s">
        <v>10011</v>
      </c>
      <c r="O483" s="158" t="s">
        <v>10012</v>
      </c>
      <c r="P483" s="159" t="s">
        <v>10013</v>
      </c>
      <c r="Q483" s="160" t="s">
        <v>204</v>
      </c>
      <c r="R483" s="161">
        <v>79.95</v>
      </c>
      <c r="S483" s="162" t="s">
        <v>163</v>
      </c>
      <c r="T483" s="163" t="s">
        <v>164</v>
      </c>
      <c r="U483" s="164" t="s">
        <v>482</v>
      </c>
      <c r="V483" s="165" t="s">
        <v>153</v>
      </c>
      <c r="W483" s="166">
        <v>966</v>
      </c>
      <c r="X483" s="167" t="s">
        <v>10014</v>
      </c>
      <c r="Y483" s="168" t="s">
        <v>153</v>
      </c>
      <c r="Z483" s="169" t="s">
        <v>153</v>
      </c>
      <c r="AA483" s="170">
        <v>1993</v>
      </c>
      <c r="AB483" s="171" t="s">
        <v>763</v>
      </c>
      <c r="AC483" s="172" t="s">
        <v>153</v>
      </c>
      <c r="AD483" s="173" t="s">
        <v>153</v>
      </c>
      <c r="AE483" s="174" t="s">
        <v>153</v>
      </c>
      <c r="AF483" s="175" t="s">
        <v>153</v>
      </c>
      <c r="AG483" s="176" t="s">
        <v>153</v>
      </c>
      <c r="AH483" s="177" t="s">
        <v>153</v>
      </c>
      <c r="AI483" s="178" t="s">
        <v>153</v>
      </c>
      <c r="AJ483" s="179" t="s">
        <v>153</v>
      </c>
      <c r="AK483" s="180" t="s">
        <v>153</v>
      </c>
      <c r="AL483" s="181" t="s">
        <v>153</v>
      </c>
      <c r="AM483" s="182" t="s">
        <v>153</v>
      </c>
      <c r="AN483" s="183" t="s">
        <v>8980</v>
      </c>
      <c r="AO483" s="184" t="s">
        <v>10015</v>
      </c>
      <c r="AP483" s="185" t="s">
        <v>10016</v>
      </c>
      <c r="AQ483" s="186" t="s">
        <v>10017</v>
      </c>
      <c r="AR483" s="187" t="s">
        <v>10018</v>
      </c>
      <c r="AS483" s="188" t="s">
        <v>10019</v>
      </c>
      <c r="AT483" s="189" t="s">
        <v>3450</v>
      </c>
      <c r="AU483" s="190" t="s">
        <v>10020</v>
      </c>
      <c r="AV483" s="191" t="s">
        <v>153</v>
      </c>
      <c r="AW483" s="192" t="s">
        <v>3452</v>
      </c>
      <c r="AX483" s="193" t="s">
        <v>385</v>
      </c>
      <c r="AY483" s="194" t="s">
        <v>10021</v>
      </c>
      <c r="AZ483" s="195" t="s">
        <v>215</v>
      </c>
      <c r="BA483" s="196" t="s">
        <v>10019</v>
      </c>
      <c r="BB483" s="197" t="s">
        <v>10022</v>
      </c>
      <c r="BC483" s="198" t="s">
        <v>153</v>
      </c>
      <c r="BD483" s="199" t="s">
        <v>216</v>
      </c>
      <c r="BE483" s="200" t="s">
        <v>217</v>
      </c>
      <c r="BF483" s="201" t="s">
        <v>10023</v>
      </c>
      <c r="BG483" s="202" t="s">
        <v>3457</v>
      </c>
      <c r="BH483" s="203">
        <v>1</v>
      </c>
      <c r="BI483" s="204" t="s">
        <v>10024</v>
      </c>
      <c r="BJ483" s="205" t="s">
        <v>10025</v>
      </c>
      <c r="BK483" s="206" t="s">
        <v>153</v>
      </c>
      <c r="BL483" s="207" t="s">
        <v>3459</v>
      </c>
      <c r="BM483" s="208" t="s">
        <v>10026</v>
      </c>
      <c r="BN483" s="209" t="s">
        <v>153</v>
      </c>
      <c r="BO483" s="210" t="s">
        <v>153</v>
      </c>
      <c r="BP483" s="211" t="s">
        <v>10027</v>
      </c>
      <c r="BQ483" s="212">
        <v>34029</v>
      </c>
      <c r="BR483" s="213">
        <v>8.4499999999999993</v>
      </c>
      <c r="BS483" s="214" t="s">
        <v>186</v>
      </c>
      <c r="BT483" s="215" t="s">
        <v>153</v>
      </c>
      <c r="BU483" s="216" t="s">
        <v>153</v>
      </c>
      <c r="BV483" s="217" t="s">
        <v>471</v>
      </c>
      <c r="BW483" s="218" t="s">
        <v>1811</v>
      </c>
      <c r="BX483" s="219" t="s">
        <v>153</v>
      </c>
      <c r="BY483" s="220" t="s">
        <v>472</v>
      </c>
      <c r="BZ483" s="221" t="s">
        <v>153</v>
      </c>
      <c r="CA483" s="222" t="s">
        <v>190</v>
      </c>
      <c r="CB483" s="223">
        <v>39581</v>
      </c>
      <c r="CC483" s="224">
        <v>8800</v>
      </c>
      <c r="CD483" s="225" t="s">
        <v>186</v>
      </c>
      <c r="CE483" s="226">
        <v>8800</v>
      </c>
      <c r="CF483" s="227" t="s">
        <v>186</v>
      </c>
      <c r="CG483" s="228" t="s">
        <v>226</v>
      </c>
      <c r="CH483" s="229" t="s">
        <v>153</v>
      </c>
      <c r="CI483" s="230" t="s">
        <v>153</v>
      </c>
      <c r="CJ483" s="231" t="s">
        <v>225</v>
      </c>
      <c r="CK483" s="232">
        <v>39581</v>
      </c>
      <c r="CL483" s="233" t="s">
        <v>153</v>
      </c>
      <c r="CM483" s="234" t="s">
        <v>153</v>
      </c>
      <c r="CN483" s="235" t="s">
        <v>190</v>
      </c>
      <c r="CO483" s="236">
        <v>0.41</v>
      </c>
      <c r="CP483" s="237">
        <v>92</v>
      </c>
      <c r="CQ483" s="238">
        <v>-0.23</v>
      </c>
      <c r="CR483" s="239">
        <v>-35.49</v>
      </c>
      <c r="CS483" s="240">
        <v>0.41</v>
      </c>
      <c r="CT483" s="241">
        <v>92</v>
      </c>
      <c r="CU483" s="242" t="s">
        <v>153</v>
      </c>
      <c r="CV483" s="243" t="s">
        <v>153</v>
      </c>
      <c r="CW483" s="244" t="s">
        <v>153</v>
      </c>
      <c r="CX483" s="245" t="s">
        <v>153</v>
      </c>
      <c r="CY483" s="246">
        <v>0.41</v>
      </c>
      <c r="CZ483" s="247">
        <v>94</v>
      </c>
      <c r="DA483" s="248" t="s">
        <v>153</v>
      </c>
      <c r="DB483" s="249" t="s">
        <v>153</v>
      </c>
      <c r="DC483" s="250">
        <v>17.63</v>
      </c>
      <c r="DD483" s="251">
        <v>95</v>
      </c>
      <c r="DE483" s="252">
        <v>-0.13</v>
      </c>
      <c r="DF483" s="253">
        <v>-0.7</v>
      </c>
      <c r="DG483" s="254">
        <v>17.63</v>
      </c>
      <c r="DH483" s="255">
        <v>95</v>
      </c>
      <c r="DI483" s="256" t="s">
        <v>153</v>
      </c>
      <c r="DJ483" s="257" t="s">
        <v>153</v>
      </c>
      <c r="DK483" s="258" t="s">
        <v>153</v>
      </c>
      <c r="DL483" s="259" t="s">
        <v>153</v>
      </c>
      <c r="DM483" s="260">
        <v>17.63</v>
      </c>
      <c r="DN483" s="261">
        <v>94</v>
      </c>
      <c r="DO483" s="262" t="s">
        <v>153</v>
      </c>
      <c r="DP483" s="263" t="s">
        <v>153</v>
      </c>
      <c r="DQ483" s="264" t="s">
        <v>153</v>
      </c>
      <c r="DR483" s="265" t="s">
        <v>153</v>
      </c>
      <c r="DS483" s="266" t="s">
        <v>153</v>
      </c>
      <c r="DT483" s="267">
        <v>282</v>
      </c>
      <c r="DU483" s="268">
        <v>-2</v>
      </c>
      <c r="DV483" s="269">
        <v>-0.7</v>
      </c>
      <c r="DW483" s="270" t="s">
        <v>153</v>
      </c>
      <c r="DX483" s="271" t="s">
        <v>153</v>
      </c>
      <c r="DY483" s="272" t="s">
        <v>153</v>
      </c>
      <c r="DZ483" s="273" t="s">
        <v>191</v>
      </c>
      <c r="EA483" s="274">
        <v>44340</v>
      </c>
      <c r="EB483" s="275">
        <v>8800</v>
      </c>
      <c r="EC483" s="276">
        <v>39581</v>
      </c>
      <c r="ED483" s="277" t="s">
        <v>226</v>
      </c>
      <c r="EE483" s="279" t="str">
        <f>HYPERLINK("https://my.pitchbook.com?c=11733-22", "View company online")</f>
        <v>View company online</v>
      </c>
    </row>
    <row r="484" spans="1:135" x14ac:dyDescent="0.45">
      <c r="A484" s="10" t="s">
        <v>10028</v>
      </c>
      <c r="B484" s="11" t="s">
        <v>10029</v>
      </c>
      <c r="C484" s="12" t="s">
        <v>153</v>
      </c>
      <c r="D484" s="13" t="s">
        <v>153</v>
      </c>
      <c r="E484" s="14" t="s">
        <v>153</v>
      </c>
      <c r="F484" s="15" t="s">
        <v>153</v>
      </c>
      <c r="G484" s="16" t="s">
        <v>153</v>
      </c>
      <c r="H484" s="17" t="s">
        <v>153</v>
      </c>
      <c r="I484" s="18" t="s">
        <v>10028</v>
      </c>
      <c r="J484" s="19" t="s">
        <v>10030</v>
      </c>
      <c r="K484" s="20" t="s">
        <v>559</v>
      </c>
      <c r="L484" s="21" t="s">
        <v>641</v>
      </c>
      <c r="M484" s="22" t="s">
        <v>10031</v>
      </c>
      <c r="N484" s="23" t="s">
        <v>10032</v>
      </c>
      <c r="O484" s="24" t="s">
        <v>153</v>
      </c>
      <c r="P484" s="25" t="s">
        <v>10033</v>
      </c>
      <c r="Q484" s="26" t="s">
        <v>204</v>
      </c>
      <c r="R484" s="27" t="s">
        <v>153</v>
      </c>
      <c r="S484" s="28" t="s">
        <v>163</v>
      </c>
      <c r="T484" s="29" t="s">
        <v>205</v>
      </c>
      <c r="U484" s="30" t="s">
        <v>206</v>
      </c>
      <c r="V484" s="31" t="s">
        <v>153</v>
      </c>
      <c r="W484" s="32">
        <v>4500</v>
      </c>
      <c r="X484" s="33" t="s">
        <v>10034</v>
      </c>
      <c r="Y484" s="34" t="s">
        <v>153</v>
      </c>
      <c r="Z484" s="35" t="s">
        <v>153</v>
      </c>
      <c r="AA484" s="36" t="s">
        <v>153</v>
      </c>
      <c r="AB484" s="37" t="s">
        <v>153</v>
      </c>
      <c r="AC484" s="38" t="s">
        <v>153</v>
      </c>
      <c r="AD484" s="39" t="s">
        <v>153</v>
      </c>
      <c r="AE484" s="40" t="s">
        <v>153</v>
      </c>
      <c r="AF484" s="41" t="s">
        <v>153</v>
      </c>
      <c r="AG484" s="42" t="s">
        <v>153</v>
      </c>
      <c r="AH484" s="43" t="s">
        <v>153</v>
      </c>
      <c r="AI484" s="44" t="s">
        <v>153</v>
      </c>
      <c r="AJ484" s="45" t="s">
        <v>153</v>
      </c>
      <c r="AK484" s="46" t="s">
        <v>153</v>
      </c>
      <c r="AL484" s="47" t="s">
        <v>153</v>
      </c>
      <c r="AM484" s="48" t="s">
        <v>153</v>
      </c>
      <c r="AN484" s="49" t="s">
        <v>153</v>
      </c>
      <c r="AO484" s="50" t="s">
        <v>153</v>
      </c>
      <c r="AP484" s="51" t="s">
        <v>153</v>
      </c>
      <c r="AQ484" s="52" t="s">
        <v>153</v>
      </c>
      <c r="AR484" s="53" t="s">
        <v>153</v>
      </c>
      <c r="AS484" s="54" t="s">
        <v>153</v>
      </c>
      <c r="AT484" s="55" t="s">
        <v>9252</v>
      </c>
      <c r="AU484" s="56" t="s">
        <v>153</v>
      </c>
      <c r="AV484" s="57" t="s">
        <v>153</v>
      </c>
      <c r="AW484" s="58" t="s">
        <v>9254</v>
      </c>
      <c r="AX484" s="59" t="s">
        <v>153</v>
      </c>
      <c r="AY484" s="60" t="s">
        <v>9255</v>
      </c>
      <c r="AZ484" s="61" t="s">
        <v>352</v>
      </c>
      <c r="BA484" s="62" t="s">
        <v>153</v>
      </c>
      <c r="BB484" s="63" t="s">
        <v>153</v>
      </c>
      <c r="BC484" s="64" t="s">
        <v>153</v>
      </c>
      <c r="BD484" s="65" t="s">
        <v>180</v>
      </c>
      <c r="BE484" s="66" t="s">
        <v>181</v>
      </c>
      <c r="BF484" s="67" t="s">
        <v>10035</v>
      </c>
      <c r="BG484" s="68" t="s">
        <v>153</v>
      </c>
      <c r="BH484" s="69" t="s">
        <v>153</v>
      </c>
      <c r="BI484" s="70" t="s">
        <v>9257</v>
      </c>
      <c r="BJ484" s="71" t="s">
        <v>655</v>
      </c>
      <c r="BK484" s="72" t="s">
        <v>10036</v>
      </c>
      <c r="BL484" s="73" t="s">
        <v>153</v>
      </c>
      <c r="BM484" s="74" t="s">
        <v>9258</v>
      </c>
      <c r="BN484" s="75" t="s">
        <v>10037</v>
      </c>
      <c r="BO484" s="76" t="s">
        <v>153</v>
      </c>
      <c r="BP484" s="77" t="s">
        <v>153</v>
      </c>
      <c r="BQ484" s="78">
        <v>43329</v>
      </c>
      <c r="BR484" s="79">
        <v>8798.0400000000009</v>
      </c>
      <c r="BS484" s="80" t="s">
        <v>186</v>
      </c>
      <c r="BT484" s="81">
        <v>8798.0400000000009</v>
      </c>
      <c r="BU484" s="82" t="s">
        <v>153</v>
      </c>
      <c r="BV484" s="83" t="s">
        <v>226</v>
      </c>
      <c r="BW484" s="84" t="s">
        <v>729</v>
      </c>
      <c r="BX484" s="85" t="s">
        <v>153</v>
      </c>
      <c r="BY484" s="86" t="s">
        <v>225</v>
      </c>
      <c r="BZ484" s="87" t="s">
        <v>153</v>
      </c>
      <c r="CA484" s="88" t="s">
        <v>190</v>
      </c>
      <c r="CB484" s="89">
        <v>43329</v>
      </c>
      <c r="CC484" s="90">
        <v>8798.0400000000009</v>
      </c>
      <c r="CD484" s="91" t="s">
        <v>186</v>
      </c>
      <c r="CE484" s="92">
        <v>8798.0400000000009</v>
      </c>
      <c r="CF484" s="93" t="s">
        <v>153</v>
      </c>
      <c r="CG484" s="94" t="s">
        <v>226</v>
      </c>
      <c r="CH484" s="95" t="s">
        <v>729</v>
      </c>
      <c r="CI484" s="96" t="s">
        <v>153</v>
      </c>
      <c r="CJ484" s="97" t="s">
        <v>225</v>
      </c>
      <c r="CK484" s="98">
        <v>43329</v>
      </c>
      <c r="CL484" s="99" t="s">
        <v>153</v>
      </c>
      <c r="CM484" s="100" t="s">
        <v>153</v>
      </c>
      <c r="CN484" s="101" t="s">
        <v>190</v>
      </c>
      <c r="CO484" s="102" t="s">
        <v>153</v>
      </c>
      <c r="CP484" s="103" t="s">
        <v>153</v>
      </c>
      <c r="CQ484" s="104" t="s">
        <v>153</v>
      </c>
      <c r="CR484" s="105" t="s">
        <v>153</v>
      </c>
      <c r="CS484" s="106" t="s">
        <v>153</v>
      </c>
      <c r="CT484" s="107" t="s">
        <v>153</v>
      </c>
      <c r="CU484" s="108" t="s">
        <v>153</v>
      </c>
      <c r="CV484" s="109" t="s">
        <v>153</v>
      </c>
      <c r="CW484" s="110" t="s">
        <v>153</v>
      </c>
      <c r="CX484" s="111" t="s">
        <v>153</v>
      </c>
      <c r="CY484" s="112" t="s">
        <v>153</v>
      </c>
      <c r="CZ484" s="113" t="s">
        <v>153</v>
      </c>
      <c r="DA484" s="114" t="s">
        <v>153</v>
      </c>
      <c r="DB484" s="115" t="s">
        <v>153</v>
      </c>
      <c r="DC484" s="116" t="s">
        <v>153</v>
      </c>
      <c r="DD484" s="117" t="s">
        <v>153</v>
      </c>
      <c r="DE484" s="118" t="s">
        <v>153</v>
      </c>
      <c r="DF484" s="119" t="s">
        <v>153</v>
      </c>
      <c r="DG484" s="120" t="s">
        <v>153</v>
      </c>
      <c r="DH484" s="121" t="s">
        <v>153</v>
      </c>
      <c r="DI484" s="122" t="s">
        <v>153</v>
      </c>
      <c r="DJ484" s="123" t="s">
        <v>153</v>
      </c>
      <c r="DK484" s="124" t="s">
        <v>153</v>
      </c>
      <c r="DL484" s="125" t="s">
        <v>153</v>
      </c>
      <c r="DM484" s="126" t="s">
        <v>153</v>
      </c>
      <c r="DN484" s="127" t="s">
        <v>153</v>
      </c>
      <c r="DO484" s="128" t="s">
        <v>153</v>
      </c>
      <c r="DP484" s="129" t="s">
        <v>153</v>
      </c>
      <c r="DQ484" s="130" t="s">
        <v>153</v>
      </c>
      <c r="DR484" s="131" t="s">
        <v>153</v>
      </c>
      <c r="DS484" s="132" t="s">
        <v>153</v>
      </c>
      <c r="DT484" s="133" t="s">
        <v>153</v>
      </c>
      <c r="DU484" s="134" t="s">
        <v>153</v>
      </c>
      <c r="DV484" s="135" t="s">
        <v>153</v>
      </c>
      <c r="DW484" s="136" t="s">
        <v>153</v>
      </c>
      <c r="DX484" s="137" t="s">
        <v>153</v>
      </c>
      <c r="DY484" s="138" t="s">
        <v>153</v>
      </c>
      <c r="DZ484" s="139" t="s">
        <v>191</v>
      </c>
      <c r="EA484" s="140">
        <v>44336</v>
      </c>
      <c r="EB484" s="141">
        <v>8798.0400000000009</v>
      </c>
      <c r="EC484" s="142">
        <v>43329</v>
      </c>
      <c r="ED484" s="143" t="s">
        <v>226</v>
      </c>
      <c r="EE484" s="278" t="str">
        <f>HYPERLINK("https://my.pitchbook.com?c=226388-08", "View company online")</f>
        <v>View company online</v>
      </c>
    </row>
    <row r="485" spans="1:135" x14ac:dyDescent="0.45">
      <c r="A485" s="144" t="s">
        <v>10038</v>
      </c>
      <c r="B485" s="145" t="s">
        <v>10039</v>
      </c>
      <c r="C485" s="146" t="s">
        <v>153</v>
      </c>
      <c r="D485" s="147" t="s">
        <v>153</v>
      </c>
      <c r="E485" s="148" t="s">
        <v>10040</v>
      </c>
      <c r="F485" s="149" t="s">
        <v>153</v>
      </c>
      <c r="G485" s="150" t="s">
        <v>10041</v>
      </c>
      <c r="H485" s="151" t="s">
        <v>153</v>
      </c>
      <c r="I485" s="152" t="s">
        <v>10038</v>
      </c>
      <c r="J485" s="153" t="s">
        <v>10042</v>
      </c>
      <c r="K485" s="154" t="s">
        <v>157</v>
      </c>
      <c r="L485" s="155" t="s">
        <v>4190</v>
      </c>
      <c r="M485" s="156" t="s">
        <v>4191</v>
      </c>
      <c r="N485" s="157" t="s">
        <v>10043</v>
      </c>
      <c r="O485" s="158" t="s">
        <v>153</v>
      </c>
      <c r="P485" s="159" t="s">
        <v>10044</v>
      </c>
      <c r="Q485" s="160" t="s">
        <v>162</v>
      </c>
      <c r="R485" s="161">
        <v>1887.36</v>
      </c>
      <c r="S485" s="162" t="s">
        <v>290</v>
      </c>
      <c r="T485" s="163" t="s">
        <v>205</v>
      </c>
      <c r="U485" s="164" t="s">
        <v>1169</v>
      </c>
      <c r="V485" s="165" t="s">
        <v>10045</v>
      </c>
      <c r="W485" s="166">
        <v>1114</v>
      </c>
      <c r="X485" s="167" t="s">
        <v>10046</v>
      </c>
      <c r="Y485" s="168" t="s">
        <v>153</v>
      </c>
      <c r="Z485" s="169" t="s">
        <v>153</v>
      </c>
      <c r="AA485" s="170">
        <v>1950</v>
      </c>
      <c r="AB485" s="171" t="s">
        <v>153</v>
      </c>
      <c r="AC485" s="172" t="s">
        <v>153</v>
      </c>
      <c r="AD485" s="173" t="s">
        <v>428</v>
      </c>
      <c r="AE485" s="174">
        <v>1307.98</v>
      </c>
      <c r="AF485" s="175">
        <v>1236.52</v>
      </c>
      <c r="AG485" s="176">
        <v>220.25</v>
      </c>
      <c r="AH485" s="177">
        <v>9657.15</v>
      </c>
      <c r="AI485" s="178">
        <v>463.62</v>
      </c>
      <c r="AJ485" s="179">
        <v>417.3</v>
      </c>
      <c r="AK485" s="180" t="s">
        <v>153</v>
      </c>
      <c r="AL485" s="181">
        <v>2806.63</v>
      </c>
      <c r="AM485" s="182">
        <v>-3.39</v>
      </c>
      <c r="AN485" s="183" t="s">
        <v>5929</v>
      </c>
      <c r="AO485" s="184" t="s">
        <v>10047</v>
      </c>
      <c r="AP485" s="185" t="s">
        <v>10048</v>
      </c>
      <c r="AQ485" s="186" t="s">
        <v>10049</v>
      </c>
      <c r="AR485" s="187" t="s">
        <v>153</v>
      </c>
      <c r="AS485" s="188" t="s">
        <v>153</v>
      </c>
      <c r="AT485" s="189" t="s">
        <v>10050</v>
      </c>
      <c r="AU485" s="190" t="s">
        <v>10051</v>
      </c>
      <c r="AV485" s="191" t="s">
        <v>153</v>
      </c>
      <c r="AW485" s="192" t="s">
        <v>10052</v>
      </c>
      <c r="AX485" s="193" t="s">
        <v>385</v>
      </c>
      <c r="AY485" s="194" t="s">
        <v>10053</v>
      </c>
      <c r="AZ485" s="195" t="s">
        <v>215</v>
      </c>
      <c r="BA485" s="196" t="s">
        <v>153</v>
      </c>
      <c r="BB485" s="197" t="s">
        <v>153</v>
      </c>
      <c r="BC485" s="198" t="s">
        <v>153</v>
      </c>
      <c r="BD485" s="199" t="s">
        <v>216</v>
      </c>
      <c r="BE485" s="200" t="s">
        <v>217</v>
      </c>
      <c r="BF485" s="201" t="s">
        <v>10054</v>
      </c>
      <c r="BG485" s="202" t="s">
        <v>153</v>
      </c>
      <c r="BH485" s="203" t="s">
        <v>153</v>
      </c>
      <c r="BI485" s="204" t="s">
        <v>10055</v>
      </c>
      <c r="BJ485" s="205" t="s">
        <v>10056</v>
      </c>
      <c r="BK485" s="206" t="s">
        <v>10057</v>
      </c>
      <c r="BL485" s="207" t="s">
        <v>153</v>
      </c>
      <c r="BM485" s="208" t="s">
        <v>10058</v>
      </c>
      <c r="BN485" s="209" t="s">
        <v>10059</v>
      </c>
      <c r="BO485" s="210" t="s">
        <v>10060</v>
      </c>
      <c r="BP485" s="211" t="s">
        <v>10061</v>
      </c>
      <c r="BQ485" s="212">
        <v>32509</v>
      </c>
      <c r="BR485" s="213">
        <v>330</v>
      </c>
      <c r="BS485" s="214" t="s">
        <v>186</v>
      </c>
      <c r="BT485" s="215">
        <v>330</v>
      </c>
      <c r="BU485" s="216" t="s">
        <v>186</v>
      </c>
      <c r="BV485" s="217" t="s">
        <v>226</v>
      </c>
      <c r="BW485" s="218" t="s">
        <v>153</v>
      </c>
      <c r="BX485" s="219" t="s">
        <v>153</v>
      </c>
      <c r="BY485" s="220" t="s">
        <v>225</v>
      </c>
      <c r="BZ485" s="221" t="s">
        <v>153</v>
      </c>
      <c r="CA485" s="222" t="s">
        <v>190</v>
      </c>
      <c r="CB485" s="223">
        <v>44180</v>
      </c>
      <c r="CC485" s="224">
        <v>8760</v>
      </c>
      <c r="CD485" s="225" t="s">
        <v>186</v>
      </c>
      <c r="CE485" s="226">
        <v>8760</v>
      </c>
      <c r="CF485" s="227" t="s">
        <v>187</v>
      </c>
      <c r="CG485" s="228" t="s">
        <v>188</v>
      </c>
      <c r="CH485" s="229" t="s">
        <v>189</v>
      </c>
      <c r="CI485" s="230" t="s">
        <v>930</v>
      </c>
      <c r="CJ485" s="231" t="s">
        <v>165</v>
      </c>
      <c r="CK485" s="232">
        <v>44180</v>
      </c>
      <c r="CL485" s="233" t="s">
        <v>153</v>
      </c>
      <c r="CM485" s="234" t="s">
        <v>153</v>
      </c>
      <c r="CN485" s="235" t="s">
        <v>190</v>
      </c>
      <c r="CO485" s="236" t="s">
        <v>153</v>
      </c>
      <c r="CP485" s="237" t="s">
        <v>153</v>
      </c>
      <c r="CQ485" s="238" t="s">
        <v>153</v>
      </c>
      <c r="CR485" s="239" t="s">
        <v>153</v>
      </c>
      <c r="CS485" s="240" t="s">
        <v>153</v>
      </c>
      <c r="CT485" s="241" t="s">
        <v>153</v>
      </c>
      <c r="CU485" s="242" t="s">
        <v>153</v>
      </c>
      <c r="CV485" s="243" t="s">
        <v>153</v>
      </c>
      <c r="CW485" s="244" t="s">
        <v>153</v>
      </c>
      <c r="CX485" s="245" t="s">
        <v>153</v>
      </c>
      <c r="CY485" s="246" t="s">
        <v>153</v>
      </c>
      <c r="CZ485" s="247" t="s">
        <v>153</v>
      </c>
      <c r="DA485" s="248" t="s">
        <v>153</v>
      </c>
      <c r="DB485" s="249" t="s">
        <v>153</v>
      </c>
      <c r="DC485" s="250" t="s">
        <v>153</v>
      </c>
      <c r="DD485" s="251" t="s">
        <v>153</v>
      </c>
      <c r="DE485" s="252" t="s">
        <v>153</v>
      </c>
      <c r="DF485" s="253" t="s">
        <v>153</v>
      </c>
      <c r="DG485" s="254" t="s">
        <v>153</v>
      </c>
      <c r="DH485" s="255" t="s">
        <v>153</v>
      </c>
      <c r="DI485" s="256" t="s">
        <v>153</v>
      </c>
      <c r="DJ485" s="257" t="s">
        <v>153</v>
      </c>
      <c r="DK485" s="258" t="s">
        <v>153</v>
      </c>
      <c r="DL485" s="259" t="s">
        <v>153</v>
      </c>
      <c r="DM485" s="260" t="s">
        <v>153</v>
      </c>
      <c r="DN485" s="261" t="s">
        <v>153</v>
      </c>
      <c r="DO485" s="262" t="s">
        <v>153</v>
      </c>
      <c r="DP485" s="263" t="s">
        <v>153</v>
      </c>
      <c r="DQ485" s="264" t="s">
        <v>153</v>
      </c>
      <c r="DR485" s="265" t="s">
        <v>153</v>
      </c>
      <c r="DS485" s="266" t="s">
        <v>153</v>
      </c>
      <c r="DT485" s="267" t="s">
        <v>153</v>
      </c>
      <c r="DU485" s="268" t="s">
        <v>153</v>
      </c>
      <c r="DV485" s="269" t="s">
        <v>153</v>
      </c>
      <c r="DW485" s="270" t="s">
        <v>153</v>
      </c>
      <c r="DX485" s="271" t="s">
        <v>153</v>
      </c>
      <c r="DY485" s="272" t="s">
        <v>153</v>
      </c>
      <c r="DZ485" s="273" t="s">
        <v>191</v>
      </c>
      <c r="EA485" s="274">
        <v>44402</v>
      </c>
      <c r="EB485" s="275">
        <v>8760</v>
      </c>
      <c r="EC485" s="276">
        <v>44180</v>
      </c>
      <c r="ED485" s="277" t="s">
        <v>188</v>
      </c>
      <c r="EE485" s="279" t="str">
        <f>HYPERLINK("https://my.pitchbook.com?c=10060-48", "View company online")</f>
        <v>View company online</v>
      </c>
    </row>
    <row r="486" spans="1:135" x14ac:dyDescent="0.45">
      <c r="A486" s="10" t="s">
        <v>10062</v>
      </c>
      <c r="B486" s="11" t="s">
        <v>10063</v>
      </c>
      <c r="C486" s="12" t="s">
        <v>153</v>
      </c>
      <c r="D486" s="13" t="s">
        <v>153</v>
      </c>
      <c r="E486" s="14" t="s">
        <v>153</v>
      </c>
      <c r="F486" s="15" t="s">
        <v>153</v>
      </c>
      <c r="G486" s="16" t="s">
        <v>153</v>
      </c>
      <c r="H486" s="17" t="s">
        <v>10064</v>
      </c>
      <c r="I486" s="18" t="s">
        <v>10062</v>
      </c>
      <c r="J486" s="19" t="s">
        <v>10065</v>
      </c>
      <c r="K486" s="20" t="s">
        <v>882</v>
      </c>
      <c r="L486" s="21" t="s">
        <v>1257</v>
      </c>
      <c r="M486" s="22" t="s">
        <v>1258</v>
      </c>
      <c r="N486" s="23" t="s">
        <v>10066</v>
      </c>
      <c r="O486" s="24" t="s">
        <v>1234</v>
      </c>
      <c r="P486" s="25" t="s">
        <v>10067</v>
      </c>
      <c r="Q486" s="26" t="s">
        <v>564</v>
      </c>
      <c r="R486" s="27" t="s">
        <v>153</v>
      </c>
      <c r="S486" s="28" t="s">
        <v>290</v>
      </c>
      <c r="T486" s="29" t="s">
        <v>205</v>
      </c>
      <c r="U486" s="30" t="s">
        <v>369</v>
      </c>
      <c r="V486" s="31" t="s">
        <v>10068</v>
      </c>
      <c r="W486" s="32">
        <v>45</v>
      </c>
      <c r="X486" s="33" t="s">
        <v>10069</v>
      </c>
      <c r="Y486" s="34" t="s">
        <v>153</v>
      </c>
      <c r="Z486" s="35" t="s">
        <v>153</v>
      </c>
      <c r="AA486" s="36">
        <v>2010</v>
      </c>
      <c r="AB486" s="37" t="s">
        <v>153</v>
      </c>
      <c r="AC486" s="38" t="s">
        <v>153</v>
      </c>
      <c r="AD486" s="39" t="s">
        <v>153</v>
      </c>
      <c r="AE486" s="40" t="s">
        <v>153</v>
      </c>
      <c r="AF486" s="41" t="s">
        <v>153</v>
      </c>
      <c r="AG486" s="42" t="s">
        <v>153</v>
      </c>
      <c r="AH486" s="43" t="s">
        <v>153</v>
      </c>
      <c r="AI486" s="44" t="s">
        <v>153</v>
      </c>
      <c r="AJ486" s="45" t="s">
        <v>153</v>
      </c>
      <c r="AK486" s="46" t="s">
        <v>153</v>
      </c>
      <c r="AL486" s="47" t="s">
        <v>153</v>
      </c>
      <c r="AM486" s="48" t="s">
        <v>153</v>
      </c>
      <c r="AN486" s="49" t="s">
        <v>429</v>
      </c>
      <c r="AO486" s="50" t="s">
        <v>153</v>
      </c>
      <c r="AP486" s="51" t="s">
        <v>153</v>
      </c>
      <c r="AQ486" s="52" t="s">
        <v>153</v>
      </c>
      <c r="AR486" s="53" t="s">
        <v>153</v>
      </c>
      <c r="AS486" s="54" t="s">
        <v>153</v>
      </c>
      <c r="AT486" s="55" t="s">
        <v>433</v>
      </c>
      <c r="AU486" s="56" t="s">
        <v>10070</v>
      </c>
      <c r="AV486" s="57" t="s">
        <v>153</v>
      </c>
      <c r="AW486" s="58" t="s">
        <v>436</v>
      </c>
      <c r="AX486" s="59" t="s">
        <v>436</v>
      </c>
      <c r="AY486" s="60" t="s">
        <v>4477</v>
      </c>
      <c r="AZ486" s="61" t="s">
        <v>215</v>
      </c>
      <c r="BA486" s="62" t="s">
        <v>153</v>
      </c>
      <c r="BB486" s="63" t="s">
        <v>153</v>
      </c>
      <c r="BC486" s="64" t="s">
        <v>153</v>
      </c>
      <c r="BD486" s="65" t="s">
        <v>216</v>
      </c>
      <c r="BE486" s="66" t="s">
        <v>217</v>
      </c>
      <c r="BF486" s="67" t="s">
        <v>10071</v>
      </c>
      <c r="BG486" s="68" t="s">
        <v>153</v>
      </c>
      <c r="BH486" s="69" t="s">
        <v>153</v>
      </c>
      <c r="BI486" s="70" t="s">
        <v>10072</v>
      </c>
      <c r="BJ486" s="71" t="s">
        <v>153</v>
      </c>
      <c r="BK486" s="72" t="s">
        <v>153</v>
      </c>
      <c r="BL486" s="73" t="s">
        <v>153</v>
      </c>
      <c r="BM486" s="74" t="s">
        <v>153</v>
      </c>
      <c r="BN486" s="75" t="s">
        <v>153</v>
      </c>
      <c r="BO486" s="76" t="s">
        <v>10073</v>
      </c>
      <c r="BP486" s="77" t="s">
        <v>10074</v>
      </c>
      <c r="BQ486" s="78">
        <v>42005</v>
      </c>
      <c r="BR486" s="79">
        <v>18000</v>
      </c>
      <c r="BS486" s="80" t="s">
        <v>186</v>
      </c>
      <c r="BT486" s="81">
        <v>18000</v>
      </c>
      <c r="BU486" s="82" t="s">
        <v>186</v>
      </c>
      <c r="BV486" s="83" t="s">
        <v>589</v>
      </c>
      <c r="BW486" s="84" t="s">
        <v>153</v>
      </c>
      <c r="BX486" s="85" t="s">
        <v>153</v>
      </c>
      <c r="BY486" s="86" t="s">
        <v>225</v>
      </c>
      <c r="BZ486" s="87" t="s">
        <v>153</v>
      </c>
      <c r="CA486" s="88" t="s">
        <v>190</v>
      </c>
      <c r="CB486" s="89">
        <v>42373</v>
      </c>
      <c r="CC486" s="90">
        <v>8723</v>
      </c>
      <c r="CD486" s="91" t="s">
        <v>186</v>
      </c>
      <c r="CE486" s="92">
        <v>8723</v>
      </c>
      <c r="CF486" s="93" t="s">
        <v>186</v>
      </c>
      <c r="CG486" s="94" t="s">
        <v>226</v>
      </c>
      <c r="CH486" s="95" t="s">
        <v>153</v>
      </c>
      <c r="CI486" s="96" t="s">
        <v>153</v>
      </c>
      <c r="CJ486" s="97" t="s">
        <v>225</v>
      </c>
      <c r="CK486" s="98">
        <v>42373</v>
      </c>
      <c r="CL486" s="99" t="s">
        <v>153</v>
      </c>
      <c r="CM486" s="100" t="s">
        <v>153</v>
      </c>
      <c r="CN486" s="101" t="s">
        <v>190</v>
      </c>
      <c r="CO486" s="102" t="s">
        <v>153</v>
      </c>
      <c r="CP486" s="103" t="s">
        <v>153</v>
      </c>
      <c r="CQ486" s="104" t="s">
        <v>153</v>
      </c>
      <c r="CR486" s="105" t="s">
        <v>153</v>
      </c>
      <c r="CS486" s="106" t="s">
        <v>153</v>
      </c>
      <c r="CT486" s="107" t="s">
        <v>153</v>
      </c>
      <c r="CU486" s="108" t="s">
        <v>153</v>
      </c>
      <c r="CV486" s="109" t="s">
        <v>153</v>
      </c>
      <c r="CW486" s="110" t="s">
        <v>153</v>
      </c>
      <c r="CX486" s="111" t="s">
        <v>153</v>
      </c>
      <c r="CY486" s="112" t="s">
        <v>153</v>
      </c>
      <c r="CZ486" s="113" t="s">
        <v>153</v>
      </c>
      <c r="DA486" s="114" t="s">
        <v>153</v>
      </c>
      <c r="DB486" s="115" t="s">
        <v>153</v>
      </c>
      <c r="DC486" s="116" t="s">
        <v>153</v>
      </c>
      <c r="DD486" s="117" t="s">
        <v>153</v>
      </c>
      <c r="DE486" s="118" t="s">
        <v>153</v>
      </c>
      <c r="DF486" s="119" t="s">
        <v>153</v>
      </c>
      <c r="DG486" s="120" t="s">
        <v>153</v>
      </c>
      <c r="DH486" s="121" t="s">
        <v>153</v>
      </c>
      <c r="DI486" s="122" t="s">
        <v>153</v>
      </c>
      <c r="DJ486" s="123" t="s">
        <v>153</v>
      </c>
      <c r="DK486" s="124" t="s">
        <v>153</v>
      </c>
      <c r="DL486" s="125" t="s">
        <v>153</v>
      </c>
      <c r="DM486" s="126" t="s">
        <v>153</v>
      </c>
      <c r="DN486" s="127" t="s">
        <v>153</v>
      </c>
      <c r="DO486" s="128" t="s">
        <v>153</v>
      </c>
      <c r="DP486" s="129" t="s">
        <v>153</v>
      </c>
      <c r="DQ486" s="130" t="s">
        <v>153</v>
      </c>
      <c r="DR486" s="131" t="s">
        <v>153</v>
      </c>
      <c r="DS486" s="132" t="s">
        <v>153</v>
      </c>
      <c r="DT486" s="133" t="s">
        <v>153</v>
      </c>
      <c r="DU486" s="134" t="s">
        <v>153</v>
      </c>
      <c r="DV486" s="135" t="s">
        <v>153</v>
      </c>
      <c r="DW486" s="136" t="s">
        <v>153</v>
      </c>
      <c r="DX486" s="137" t="s">
        <v>153</v>
      </c>
      <c r="DY486" s="138" t="s">
        <v>153</v>
      </c>
      <c r="DZ486" s="139" t="s">
        <v>191</v>
      </c>
      <c r="EA486" s="140">
        <v>44364</v>
      </c>
      <c r="EB486" s="141">
        <v>8723</v>
      </c>
      <c r="EC486" s="142">
        <v>42373</v>
      </c>
      <c r="ED486" s="143" t="s">
        <v>226</v>
      </c>
      <c r="EE486" s="278" t="str">
        <f>HYPERLINK("https://my.pitchbook.com?c=54059-50", "View company online")</f>
        <v>View company online</v>
      </c>
    </row>
    <row r="487" spans="1:135" x14ac:dyDescent="0.45">
      <c r="A487" s="144" t="s">
        <v>10075</v>
      </c>
      <c r="B487" s="145" t="s">
        <v>10076</v>
      </c>
      <c r="C487" s="146" t="s">
        <v>153</v>
      </c>
      <c r="D487" s="147" t="s">
        <v>153</v>
      </c>
      <c r="E487" s="148" t="s">
        <v>10077</v>
      </c>
      <c r="F487" s="149" t="s">
        <v>153</v>
      </c>
      <c r="G487" s="150" t="s">
        <v>153</v>
      </c>
      <c r="H487" s="151" t="s">
        <v>10078</v>
      </c>
      <c r="I487" s="152" t="s">
        <v>10075</v>
      </c>
      <c r="J487" s="153" t="s">
        <v>10079</v>
      </c>
      <c r="K487" s="154" t="s">
        <v>257</v>
      </c>
      <c r="L487" s="155" t="s">
        <v>530</v>
      </c>
      <c r="M487" s="156" t="s">
        <v>531</v>
      </c>
      <c r="N487" s="157" t="s">
        <v>10080</v>
      </c>
      <c r="O487" s="158" t="s">
        <v>153</v>
      </c>
      <c r="P487" s="159" t="s">
        <v>10081</v>
      </c>
      <c r="Q487" s="160" t="s">
        <v>367</v>
      </c>
      <c r="R487" s="161">
        <v>168.5</v>
      </c>
      <c r="S487" s="162" t="s">
        <v>290</v>
      </c>
      <c r="T487" s="163" t="s">
        <v>164</v>
      </c>
      <c r="U487" s="164" t="s">
        <v>452</v>
      </c>
      <c r="V487" s="165" t="s">
        <v>10082</v>
      </c>
      <c r="W487" s="166">
        <v>250</v>
      </c>
      <c r="X487" s="167" t="s">
        <v>10083</v>
      </c>
      <c r="Y487" s="168" t="s">
        <v>153</v>
      </c>
      <c r="Z487" s="169" t="s">
        <v>153</v>
      </c>
      <c r="AA487" s="170">
        <v>1986</v>
      </c>
      <c r="AB487" s="171" t="s">
        <v>526</v>
      </c>
      <c r="AC487" s="172" t="s">
        <v>153</v>
      </c>
      <c r="AD487" s="173" t="s">
        <v>153</v>
      </c>
      <c r="AE487" s="174" t="s">
        <v>153</v>
      </c>
      <c r="AF487" s="175" t="s">
        <v>153</v>
      </c>
      <c r="AG487" s="176" t="s">
        <v>153</v>
      </c>
      <c r="AH487" s="177" t="s">
        <v>153</v>
      </c>
      <c r="AI487" s="178" t="s">
        <v>153</v>
      </c>
      <c r="AJ487" s="179" t="s">
        <v>153</v>
      </c>
      <c r="AK487" s="180" t="s">
        <v>153</v>
      </c>
      <c r="AL487" s="181" t="s">
        <v>153</v>
      </c>
      <c r="AM487" s="182" t="s">
        <v>153</v>
      </c>
      <c r="AN487" s="183" t="s">
        <v>10084</v>
      </c>
      <c r="AO487" s="184" t="s">
        <v>10085</v>
      </c>
      <c r="AP487" s="185" t="s">
        <v>10086</v>
      </c>
      <c r="AQ487" s="186" t="s">
        <v>994</v>
      </c>
      <c r="AR487" s="187" t="s">
        <v>10087</v>
      </c>
      <c r="AS487" s="188" t="s">
        <v>153</v>
      </c>
      <c r="AT487" s="189" t="s">
        <v>2479</v>
      </c>
      <c r="AU487" s="190" t="s">
        <v>10088</v>
      </c>
      <c r="AV487" s="191" t="s">
        <v>153</v>
      </c>
      <c r="AW487" s="192" t="s">
        <v>2481</v>
      </c>
      <c r="AX487" s="193" t="s">
        <v>2482</v>
      </c>
      <c r="AY487" s="194" t="s">
        <v>10089</v>
      </c>
      <c r="AZ487" s="195" t="s">
        <v>215</v>
      </c>
      <c r="BA487" s="196" t="s">
        <v>153</v>
      </c>
      <c r="BB487" s="197" t="s">
        <v>153</v>
      </c>
      <c r="BC487" s="198" t="s">
        <v>153</v>
      </c>
      <c r="BD487" s="199" t="s">
        <v>216</v>
      </c>
      <c r="BE487" s="200" t="s">
        <v>217</v>
      </c>
      <c r="BF487" s="201" t="s">
        <v>10090</v>
      </c>
      <c r="BG487" s="202" t="s">
        <v>153</v>
      </c>
      <c r="BH487" s="203" t="s">
        <v>153</v>
      </c>
      <c r="BI487" s="204" t="s">
        <v>526</v>
      </c>
      <c r="BJ487" s="205" t="s">
        <v>10091</v>
      </c>
      <c r="BK487" s="206" t="s">
        <v>153</v>
      </c>
      <c r="BL487" s="207" t="s">
        <v>153</v>
      </c>
      <c r="BM487" s="208" t="s">
        <v>10092</v>
      </c>
      <c r="BN487" s="209" t="s">
        <v>153</v>
      </c>
      <c r="BO487" s="210" t="s">
        <v>10093</v>
      </c>
      <c r="BP487" s="211" t="s">
        <v>10094</v>
      </c>
      <c r="BQ487" s="212">
        <v>32689</v>
      </c>
      <c r="BR487" s="213">
        <v>25</v>
      </c>
      <c r="BS487" s="214" t="s">
        <v>186</v>
      </c>
      <c r="BT487" s="215" t="s">
        <v>153</v>
      </c>
      <c r="BU487" s="216" t="s">
        <v>153</v>
      </c>
      <c r="BV487" s="217" t="s">
        <v>709</v>
      </c>
      <c r="BW487" s="218" t="s">
        <v>153</v>
      </c>
      <c r="BX487" s="219" t="s">
        <v>153</v>
      </c>
      <c r="BY487" s="220" t="s">
        <v>165</v>
      </c>
      <c r="BZ487" s="221" t="s">
        <v>153</v>
      </c>
      <c r="CA487" s="222" t="s">
        <v>190</v>
      </c>
      <c r="CB487" s="223">
        <v>41401</v>
      </c>
      <c r="CC487" s="224">
        <v>8700</v>
      </c>
      <c r="CD487" s="225" t="s">
        <v>186</v>
      </c>
      <c r="CE487" s="226">
        <v>8700</v>
      </c>
      <c r="CF487" s="227" t="s">
        <v>187</v>
      </c>
      <c r="CG487" s="228" t="s">
        <v>226</v>
      </c>
      <c r="CH487" s="229" t="s">
        <v>153</v>
      </c>
      <c r="CI487" s="230" t="s">
        <v>153</v>
      </c>
      <c r="CJ487" s="231" t="s">
        <v>225</v>
      </c>
      <c r="CK487" s="232">
        <v>41401</v>
      </c>
      <c r="CL487" s="233" t="s">
        <v>153</v>
      </c>
      <c r="CM487" s="234" t="s">
        <v>153</v>
      </c>
      <c r="CN487" s="235" t="s">
        <v>190</v>
      </c>
      <c r="CO487" s="236">
        <v>1.64</v>
      </c>
      <c r="CP487" s="237">
        <v>98</v>
      </c>
      <c r="CQ487" s="238">
        <v>-0.06</v>
      </c>
      <c r="CR487" s="239">
        <v>-3.26</v>
      </c>
      <c r="CS487" s="240">
        <v>1.64</v>
      </c>
      <c r="CT487" s="241">
        <v>97</v>
      </c>
      <c r="CU487" s="242" t="s">
        <v>153</v>
      </c>
      <c r="CV487" s="243" t="s">
        <v>153</v>
      </c>
      <c r="CW487" s="244">
        <v>2.38</v>
      </c>
      <c r="CX487" s="245">
        <v>87</v>
      </c>
      <c r="CY487" s="246">
        <v>0.9</v>
      </c>
      <c r="CZ487" s="247">
        <v>97</v>
      </c>
      <c r="DA487" s="248" t="s">
        <v>153</v>
      </c>
      <c r="DB487" s="249" t="s">
        <v>153</v>
      </c>
      <c r="DC487" s="250">
        <v>117.39</v>
      </c>
      <c r="DD487" s="251">
        <v>100</v>
      </c>
      <c r="DE487" s="252">
        <v>-0.28000000000000003</v>
      </c>
      <c r="DF487" s="253">
        <v>-0.24</v>
      </c>
      <c r="DG487" s="254">
        <v>117.39</v>
      </c>
      <c r="DH487" s="255">
        <v>100</v>
      </c>
      <c r="DI487" s="256" t="s">
        <v>153</v>
      </c>
      <c r="DJ487" s="257" t="s">
        <v>153</v>
      </c>
      <c r="DK487" s="258">
        <v>141.27000000000001</v>
      </c>
      <c r="DL487" s="259">
        <v>98</v>
      </c>
      <c r="DM487" s="260">
        <v>93.5</v>
      </c>
      <c r="DN487" s="261">
        <v>99</v>
      </c>
      <c r="DO487" s="262" t="s">
        <v>153</v>
      </c>
      <c r="DP487" s="263" t="s">
        <v>153</v>
      </c>
      <c r="DQ487" s="264">
        <v>82916</v>
      </c>
      <c r="DR487" s="265">
        <v>3147</v>
      </c>
      <c r="DS487" s="266">
        <v>3.95</v>
      </c>
      <c r="DT487" s="267">
        <v>1500</v>
      </c>
      <c r="DU487" s="268">
        <v>-9</v>
      </c>
      <c r="DV487" s="269">
        <v>-0.6</v>
      </c>
      <c r="DW487" s="270" t="s">
        <v>153</v>
      </c>
      <c r="DX487" s="271" t="s">
        <v>153</v>
      </c>
      <c r="DY487" s="272" t="s">
        <v>153</v>
      </c>
      <c r="DZ487" s="273" t="s">
        <v>191</v>
      </c>
      <c r="EA487" s="274">
        <v>44368</v>
      </c>
      <c r="EB487" s="275">
        <v>8700</v>
      </c>
      <c r="EC487" s="276">
        <v>41401</v>
      </c>
      <c r="ED487" s="277" t="s">
        <v>226</v>
      </c>
      <c r="EE487" s="279" t="str">
        <f>HYPERLINK("https://my.pitchbook.com?c=41038-12", "View company online")</f>
        <v>View company online</v>
      </c>
    </row>
    <row r="488" spans="1:135" x14ac:dyDescent="0.45">
      <c r="A488" s="10" t="s">
        <v>10095</v>
      </c>
      <c r="B488" s="11" t="s">
        <v>10096</v>
      </c>
      <c r="C488" s="12" t="s">
        <v>153</v>
      </c>
      <c r="D488" s="13" t="s">
        <v>153</v>
      </c>
      <c r="E488" s="14" t="s">
        <v>153</v>
      </c>
      <c r="F488" s="15" t="s">
        <v>10097</v>
      </c>
      <c r="G488" s="16" t="s">
        <v>10098</v>
      </c>
      <c r="H488" s="17" t="s">
        <v>10099</v>
      </c>
      <c r="I488" s="18" t="s">
        <v>10095</v>
      </c>
      <c r="J488" s="19" t="s">
        <v>10100</v>
      </c>
      <c r="K488" s="20" t="s">
        <v>232</v>
      </c>
      <c r="L488" s="21" t="s">
        <v>1016</v>
      </c>
      <c r="M488" s="22" t="s">
        <v>2416</v>
      </c>
      <c r="N488" s="23" t="s">
        <v>10101</v>
      </c>
      <c r="O488" s="24" t="s">
        <v>153</v>
      </c>
      <c r="P488" s="25" t="s">
        <v>10102</v>
      </c>
      <c r="Q488" s="26" t="s">
        <v>204</v>
      </c>
      <c r="R488" s="27" t="s">
        <v>153</v>
      </c>
      <c r="S488" s="28" t="s">
        <v>290</v>
      </c>
      <c r="T488" s="29" t="s">
        <v>164</v>
      </c>
      <c r="U488" s="30" t="s">
        <v>369</v>
      </c>
      <c r="V488" s="31" t="s">
        <v>10103</v>
      </c>
      <c r="W488" s="32">
        <v>1983</v>
      </c>
      <c r="X488" s="33" t="s">
        <v>10104</v>
      </c>
      <c r="Y488" s="34" t="s">
        <v>153</v>
      </c>
      <c r="Z488" s="35" t="s">
        <v>153</v>
      </c>
      <c r="AA488" s="36">
        <v>1924</v>
      </c>
      <c r="AB488" s="37" t="s">
        <v>974</v>
      </c>
      <c r="AC488" s="38" t="s">
        <v>508</v>
      </c>
      <c r="AD488" s="39" t="s">
        <v>9334</v>
      </c>
      <c r="AE488" s="40">
        <v>1766.76</v>
      </c>
      <c r="AF488" s="41">
        <v>667.19</v>
      </c>
      <c r="AG488" s="42">
        <v>124.45</v>
      </c>
      <c r="AH488" s="43">
        <v>9612.67</v>
      </c>
      <c r="AI488" s="44" t="s">
        <v>153</v>
      </c>
      <c r="AJ488" s="45">
        <v>319.92</v>
      </c>
      <c r="AK488" s="46" t="s">
        <v>153</v>
      </c>
      <c r="AL488" s="47">
        <v>689.36</v>
      </c>
      <c r="AM488" s="48">
        <v>2.16</v>
      </c>
      <c r="AN488" s="49" t="s">
        <v>376</v>
      </c>
      <c r="AO488" s="50" t="s">
        <v>10105</v>
      </c>
      <c r="AP488" s="51" t="s">
        <v>10106</v>
      </c>
      <c r="AQ488" s="52" t="s">
        <v>10107</v>
      </c>
      <c r="AR488" s="53" t="s">
        <v>10108</v>
      </c>
      <c r="AS488" s="54" t="s">
        <v>10109</v>
      </c>
      <c r="AT488" s="55" t="s">
        <v>826</v>
      </c>
      <c r="AU488" s="56" t="s">
        <v>10110</v>
      </c>
      <c r="AV488" s="57" t="s">
        <v>10111</v>
      </c>
      <c r="AW488" s="58" t="s">
        <v>828</v>
      </c>
      <c r="AX488" s="59" t="s">
        <v>385</v>
      </c>
      <c r="AY488" s="60" t="s">
        <v>1108</v>
      </c>
      <c r="AZ488" s="61" t="s">
        <v>215</v>
      </c>
      <c r="BA488" s="62" t="s">
        <v>10112</v>
      </c>
      <c r="BB488" s="63" t="s">
        <v>153</v>
      </c>
      <c r="BC488" s="64" t="s">
        <v>153</v>
      </c>
      <c r="BD488" s="65" t="s">
        <v>216</v>
      </c>
      <c r="BE488" s="66" t="s">
        <v>217</v>
      </c>
      <c r="BF488" s="67" t="s">
        <v>10113</v>
      </c>
      <c r="BG488" s="68" t="s">
        <v>153</v>
      </c>
      <c r="BH488" s="69" t="s">
        <v>153</v>
      </c>
      <c r="BI488" s="70" t="s">
        <v>974</v>
      </c>
      <c r="BJ488" s="71" t="s">
        <v>10114</v>
      </c>
      <c r="BK488" s="72" t="s">
        <v>153</v>
      </c>
      <c r="BL488" s="73" t="s">
        <v>153</v>
      </c>
      <c r="BM488" s="74" t="s">
        <v>10115</v>
      </c>
      <c r="BN488" s="75" t="s">
        <v>153</v>
      </c>
      <c r="BO488" s="76" t="s">
        <v>10116</v>
      </c>
      <c r="BP488" s="77" t="s">
        <v>10117</v>
      </c>
      <c r="BQ488" s="78">
        <v>32959</v>
      </c>
      <c r="BR488" s="79" t="s">
        <v>153</v>
      </c>
      <c r="BS488" s="80" t="s">
        <v>153</v>
      </c>
      <c r="BT488" s="81" t="s">
        <v>153</v>
      </c>
      <c r="BU488" s="82" t="s">
        <v>153</v>
      </c>
      <c r="BV488" s="83" t="s">
        <v>251</v>
      </c>
      <c r="BW488" s="84" t="s">
        <v>153</v>
      </c>
      <c r="BX488" s="85" t="s">
        <v>153</v>
      </c>
      <c r="BY488" s="86" t="s">
        <v>252</v>
      </c>
      <c r="BZ488" s="87" t="s">
        <v>153</v>
      </c>
      <c r="CA488" s="88" t="s">
        <v>190</v>
      </c>
      <c r="CB488" s="89">
        <v>44256</v>
      </c>
      <c r="CC488" s="90">
        <v>8700</v>
      </c>
      <c r="CD488" s="91" t="s">
        <v>187</v>
      </c>
      <c r="CE488" s="92">
        <v>8700</v>
      </c>
      <c r="CF488" s="93" t="s">
        <v>187</v>
      </c>
      <c r="CG488" s="94" t="s">
        <v>226</v>
      </c>
      <c r="CH488" s="95" t="s">
        <v>153</v>
      </c>
      <c r="CI488" s="96" t="s">
        <v>153</v>
      </c>
      <c r="CJ488" s="97" t="s">
        <v>225</v>
      </c>
      <c r="CK488" s="98">
        <v>44256</v>
      </c>
      <c r="CL488" s="99" t="s">
        <v>153</v>
      </c>
      <c r="CM488" s="100" t="s">
        <v>153</v>
      </c>
      <c r="CN488" s="101" t="s">
        <v>190</v>
      </c>
      <c r="CO488" s="102">
        <v>-0.49</v>
      </c>
      <c r="CP488" s="103">
        <v>5</v>
      </c>
      <c r="CQ488" s="104">
        <v>-0.01</v>
      </c>
      <c r="CR488" s="105">
        <v>-2.0299999999999998</v>
      </c>
      <c r="CS488" s="106">
        <v>-0.9</v>
      </c>
      <c r="CT488" s="107">
        <v>4</v>
      </c>
      <c r="CU488" s="108">
        <v>-0.08</v>
      </c>
      <c r="CV488" s="109">
        <v>24</v>
      </c>
      <c r="CW488" s="110">
        <v>-1.91</v>
      </c>
      <c r="CX488" s="111">
        <v>13</v>
      </c>
      <c r="CY488" s="112">
        <v>0.11</v>
      </c>
      <c r="CZ488" s="113">
        <v>91</v>
      </c>
      <c r="DA488" s="114">
        <v>-0.08</v>
      </c>
      <c r="DB488" s="115">
        <v>24</v>
      </c>
      <c r="DC488" s="116">
        <v>38.770000000000003</v>
      </c>
      <c r="DD488" s="117">
        <v>98</v>
      </c>
      <c r="DE488" s="118">
        <v>0.12</v>
      </c>
      <c r="DF488" s="119">
        <v>0.3</v>
      </c>
      <c r="DG488" s="120">
        <v>36.020000000000003</v>
      </c>
      <c r="DH488" s="121">
        <v>98</v>
      </c>
      <c r="DI488" s="122">
        <v>41.52</v>
      </c>
      <c r="DJ488" s="123">
        <v>95</v>
      </c>
      <c r="DK488" s="124">
        <v>10.029999999999999</v>
      </c>
      <c r="DL488" s="125">
        <v>86</v>
      </c>
      <c r="DM488" s="126">
        <v>62</v>
      </c>
      <c r="DN488" s="127">
        <v>99</v>
      </c>
      <c r="DO488" s="128">
        <v>41.52</v>
      </c>
      <c r="DP488" s="129">
        <v>95</v>
      </c>
      <c r="DQ488" s="130">
        <v>5895</v>
      </c>
      <c r="DR488" s="131">
        <v>198</v>
      </c>
      <c r="DS488" s="132">
        <v>3.48</v>
      </c>
      <c r="DT488" s="133">
        <v>992</v>
      </c>
      <c r="DU488" s="134">
        <v>-1</v>
      </c>
      <c r="DV488" s="135">
        <v>-0.1</v>
      </c>
      <c r="DW488" s="136">
        <v>13036</v>
      </c>
      <c r="DX488" s="137">
        <v>-1</v>
      </c>
      <c r="DY488" s="138">
        <v>-0.01</v>
      </c>
      <c r="DZ488" s="139" t="s">
        <v>191</v>
      </c>
      <c r="EA488" s="140">
        <v>44389</v>
      </c>
      <c r="EB488" s="141">
        <v>8700</v>
      </c>
      <c r="EC488" s="142">
        <v>44256</v>
      </c>
      <c r="ED488" s="143" t="s">
        <v>226</v>
      </c>
      <c r="EE488" s="278" t="str">
        <f>HYPERLINK("https://my.pitchbook.com?c=10641-07", "View company online")</f>
        <v>View company online</v>
      </c>
    </row>
    <row r="489" spans="1:135" x14ac:dyDescent="0.45">
      <c r="A489" s="144" t="s">
        <v>10118</v>
      </c>
      <c r="B489" s="145" t="s">
        <v>10119</v>
      </c>
      <c r="C489" s="146" t="s">
        <v>153</v>
      </c>
      <c r="D489" s="147" t="s">
        <v>153</v>
      </c>
      <c r="E489" s="148" t="s">
        <v>153</v>
      </c>
      <c r="F489" s="149" t="s">
        <v>153</v>
      </c>
      <c r="G489" s="150" t="s">
        <v>10120</v>
      </c>
      <c r="H489" s="151" t="s">
        <v>10121</v>
      </c>
      <c r="I489" s="152" t="s">
        <v>10118</v>
      </c>
      <c r="J489" s="153" t="s">
        <v>10122</v>
      </c>
      <c r="K489" s="154" t="s">
        <v>882</v>
      </c>
      <c r="L489" s="155" t="s">
        <v>883</v>
      </c>
      <c r="M489" s="156" t="s">
        <v>7704</v>
      </c>
      <c r="N489" s="157" t="s">
        <v>10123</v>
      </c>
      <c r="O489" s="158" t="s">
        <v>261</v>
      </c>
      <c r="P489" s="159" t="s">
        <v>153</v>
      </c>
      <c r="Q489" s="160" t="s">
        <v>204</v>
      </c>
      <c r="R489" s="161" t="s">
        <v>153</v>
      </c>
      <c r="S489" s="162" t="s">
        <v>290</v>
      </c>
      <c r="T489" s="163" t="s">
        <v>164</v>
      </c>
      <c r="U489" s="164" t="s">
        <v>237</v>
      </c>
      <c r="V489" s="165" t="s">
        <v>10124</v>
      </c>
      <c r="W489" s="166">
        <v>23095</v>
      </c>
      <c r="X489" s="167" t="s">
        <v>10125</v>
      </c>
      <c r="Y489" s="168" t="s">
        <v>153</v>
      </c>
      <c r="Z489" s="169" t="s">
        <v>153</v>
      </c>
      <c r="AA489" s="170">
        <v>1912</v>
      </c>
      <c r="AB489" s="171" t="s">
        <v>10126</v>
      </c>
      <c r="AC489" s="172" t="s">
        <v>153</v>
      </c>
      <c r="AD489" s="173" t="s">
        <v>153</v>
      </c>
      <c r="AE489" s="174">
        <v>5566.57</v>
      </c>
      <c r="AF489" s="175">
        <v>1352.31</v>
      </c>
      <c r="AG489" s="176">
        <v>73.14</v>
      </c>
      <c r="AH489" s="177" t="s">
        <v>153</v>
      </c>
      <c r="AI489" s="178">
        <v>562.44000000000005</v>
      </c>
      <c r="AJ489" s="179">
        <v>153.16</v>
      </c>
      <c r="AK489" s="180" t="s">
        <v>153</v>
      </c>
      <c r="AL489" s="181">
        <v>59.35</v>
      </c>
      <c r="AM489" s="182">
        <v>-9.9</v>
      </c>
      <c r="AN489" s="183" t="s">
        <v>376</v>
      </c>
      <c r="AO489" s="184" t="s">
        <v>10127</v>
      </c>
      <c r="AP489" s="185" t="s">
        <v>10128</v>
      </c>
      <c r="AQ489" s="186" t="s">
        <v>573</v>
      </c>
      <c r="AR489" s="187" t="s">
        <v>153</v>
      </c>
      <c r="AS489" s="188" t="s">
        <v>10129</v>
      </c>
      <c r="AT489" s="189" t="s">
        <v>1399</v>
      </c>
      <c r="AU489" s="190" t="s">
        <v>10130</v>
      </c>
      <c r="AV489" s="191" t="s">
        <v>10131</v>
      </c>
      <c r="AW489" s="192" t="s">
        <v>1402</v>
      </c>
      <c r="AX489" s="193" t="s">
        <v>153</v>
      </c>
      <c r="AY489" s="194" t="s">
        <v>10132</v>
      </c>
      <c r="AZ489" s="195" t="s">
        <v>1404</v>
      </c>
      <c r="BA489" s="196" t="s">
        <v>10129</v>
      </c>
      <c r="BB489" s="197" t="s">
        <v>10133</v>
      </c>
      <c r="BC489" s="198" t="s">
        <v>153</v>
      </c>
      <c r="BD489" s="199" t="s">
        <v>1406</v>
      </c>
      <c r="BE489" s="200" t="s">
        <v>1407</v>
      </c>
      <c r="BF489" s="201" t="s">
        <v>10134</v>
      </c>
      <c r="BG489" s="202" t="s">
        <v>153</v>
      </c>
      <c r="BH489" s="203" t="s">
        <v>153</v>
      </c>
      <c r="BI489" s="204" t="s">
        <v>10126</v>
      </c>
      <c r="BJ489" s="205" t="s">
        <v>10135</v>
      </c>
      <c r="BK489" s="206" t="s">
        <v>153</v>
      </c>
      <c r="BL489" s="207" t="s">
        <v>153</v>
      </c>
      <c r="BM489" s="208" t="s">
        <v>10136</v>
      </c>
      <c r="BN489" s="209" t="s">
        <v>153</v>
      </c>
      <c r="BO489" s="210" t="s">
        <v>153</v>
      </c>
      <c r="BP489" s="211" t="s">
        <v>1990</v>
      </c>
      <c r="BQ489" s="212">
        <v>25842</v>
      </c>
      <c r="BR489" s="213" t="s">
        <v>153</v>
      </c>
      <c r="BS489" s="214" t="s">
        <v>153</v>
      </c>
      <c r="BT489" s="215" t="s">
        <v>153</v>
      </c>
      <c r="BU489" s="216" t="s">
        <v>153</v>
      </c>
      <c r="BV489" s="217" t="s">
        <v>251</v>
      </c>
      <c r="BW489" s="218" t="s">
        <v>153</v>
      </c>
      <c r="BX489" s="219" t="s">
        <v>153</v>
      </c>
      <c r="BY489" s="220" t="s">
        <v>252</v>
      </c>
      <c r="BZ489" s="221" t="s">
        <v>153</v>
      </c>
      <c r="CA489" s="222" t="s">
        <v>190</v>
      </c>
      <c r="CB489" s="223">
        <v>43949</v>
      </c>
      <c r="CC489" s="224">
        <v>8700</v>
      </c>
      <c r="CD489" s="225" t="s">
        <v>186</v>
      </c>
      <c r="CE489" s="226">
        <v>8700</v>
      </c>
      <c r="CF489" s="227" t="s">
        <v>187</v>
      </c>
      <c r="CG489" s="228" t="s">
        <v>226</v>
      </c>
      <c r="CH489" s="229" t="s">
        <v>153</v>
      </c>
      <c r="CI489" s="230" t="s">
        <v>153</v>
      </c>
      <c r="CJ489" s="231" t="s">
        <v>225</v>
      </c>
      <c r="CK489" s="232">
        <v>43949</v>
      </c>
      <c r="CL489" s="233" t="s">
        <v>153</v>
      </c>
      <c r="CM489" s="234" t="s">
        <v>153</v>
      </c>
      <c r="CN489" s="235" t="s">
        <v>190</v>
      </c>
      <c r="CO489" s="236">
        <v>1.41</v>
      </c>
      <c r="CP489" s="237">
        <v>97</v>
      </c>
      <c r="CQ489" s="238">
        <v>-0.06</v>
      </c>
      <c r="CR489" s="239">
        <v>-3.92</v>
      </c>
      <c r="CS489" s="240">
        <v>1.41</v>
      </c>
      <c r="CT489" s="241">
        <v>96</v>
      </c>
      <c r="CU489" s="242" t="s">
        <v>153</v>
      </c>
      <c r="CV489" s="243" t="s">
        <v>153</v>
      </c>
      <c r="CW489" s="244">
        <v>3.06</v>
      </c>
      <c r="CX489" s="245">
        <v>89</v>
      </c>
      <c r="CY489" s="246">
        <v>-0.23</v>
      </c>
      <c r="CZ489" s="247">
        <v>3</v>
      </c>
      <c r="DA489" s="248" t="s">
        <v>153</v>
      </c>
      <c r="DB489" s="249" t="s">
        <v>153</v>
      </c>
      <c r="DC489" s="250">
        <v>36.18</v>
      </c>
      <c r="DD489" s="251">
        <v>98</v>
      </c>
      <c r="DE489" s="252">
        <v>-0.16</v>
      </c>
      <c r="DF489" s="253">
        <v>-0.43</v>
      </c>
      <c r="DG489" s="254">
        <v>36.18</v>
      </c>
      <c r="DH489" s="255">
        <v>98</v>
      </c>
      <c r="DI489" s="256" t="s">
        <v>153</v>
      </c>
      <c r="DJ489" s="257" t="s">
        <v>153</v>
      </c>
      <c r="DK489" s="258">
        <v>5.37</v>
      </c>
      <c r="DL489" s="259">
        <v>79</v>
      </c>
      <c r="DM489" s="260">
        <v>67</v>
      </c>
      <c r="DN489" s="261">
        <v>99</v>
      </c>
      <c r="DO489" s="262" t="s">
        <v>153</v>
      </c>
      <c r="DP489" s="263" t="s">
        <v>153</v>
      </c>
      <c r="DQ489" s="264">
        <v>3220</v>
      </c>
      <c r="DR489" s="265">
        <v>-140</v>
      </c>
      <c r="DS489" s="266">
        <v>-4.17</v>
      </c>
      <c r="DT489" s="267">
        <v>1074</v>
      </c>
      <c r="DU489" s="268">
        <v>-5</v>
      </c>
      <c r="DV489" s="269">
        <v>-0.46</v>
      </c>
      <c r="DW489" s="270" t="s">
        <v>153</v>
      </c>
      <c r="DX489" s="271" t="s">
        <v>153</v>
      </c>
      <c r="DY489" s="272" t="s">
        <v>153</v>
      </c>
      <c r="DZ489" s="273" t="s">
        <v>191</v>
      </c>
      <c r="EA489" s="274">
        <v>44379</v>
      </c>
      <c r="EB489" s="275">
        <v>8700</v>
      </c>
      <c r="EC489" s="276">
        <v>43949</v>
      </c>
      <c r="ED489" s="277" t="s">
        <v>226</v>
      </c>
      <c r="EE489" s="279" t="str">
        <f>HYPERLINK("https://my.pitchbook.com?c=55923-94", "View company online")</f>
        <v>View company online</v>
      </c>
    </row>
    <row r="490" spans="1:135" x14ac:dyDescent="0.45">
      <c r="A490" s="10" t="s">
        <v>10137</v>
      </c>
      <c r="B490" s="11" t="s">
        <v>10138</v>
      </c>
      <c r="C490" s="12" t="s">
        <v>153</v>
      </c>
      <c r="D490" s="13" t="s">
        <v>153</v>
      </c>
      <c r="E490" s="14" t="s">
        <v>10139</v>
      </c>
      <c r="F490" s="15" t="s">
        <v>153</v>
      </c>
      <c r="G490" s="16" t="s">
        <v>10140</v>
      </c>
      <c r="H490" s="17" t="s">
        <v>10141</v>
      </c>
      <c r="I490" s="18" t="s">
        <v>10137</v>
      </c>
      <c r="J490" s="19" t="s">
        <v>10142</v>
      </c>
      <c r="K490" s="20" t="s">
        <v>559</v>
      </c>
      <c r="L490" s="21" t="s">
        <v>560</v>
      </c>
      <c r="M490" s="22" t="s">
        <v>3573</v>
      </c>
      <c r="N490" s="23" t="s">
        <v>10143</v>
      </c>
      <c r="O490" s="24" t="s">
        <v>261</v>
      </c>
      <c r="P490" s="25" t="s">
        <v>10144</v>
      </c>
      <c r="Q490" s="26" t="s">
        <v>204</v>
      </c>
      <c r="R490" s="27" t="s">
        <v>153</v>
      </c>
      <c r="S490" s="28" t="s">
        <v>290</v>
      </c>
      <c r="T490" s="29" t="s">
        <v>164</v>
      </c>
      <c r="U490" s="30" t="s">
        <v>237</v>
      </c>
      <c r="V490" s="31" t="s">
        <v>10145</v>
      </c>
      <c r="W490" s="32">
        <v>8800</v>
      </c>
      <c r="X490" s="33" t="s">
        <v>10146</v>
      </c>
      <c r="Y490" s="34" t="s">
        <v>153</v>
      </c>
      <c r="Z490" s="35" t="s">
        <v>153</v>
      </c>
      <c r="AA490" s="36">
        <v>1928</v>
      </c>
      <c r="AB490" s="37" t="s">
        <v>1238</v>
      </c>
      <c r="AC490" s="38" t="s">
        <v>428</v>
      </c>
      <c r="AD490" s="39" t="s">
        <v>428</v>
      </c>
      <c r="AE490" s="40" t="s">
        <v>153</v>
      </c>
      <c r="AF490" s="41" t="s">
        <v>153</v>
      </c>
      <c r="AG490" s="42" t="s">
        <v>153</v>
      </c>
      <c r="AH490" s="43" t="s">
        <v>153</v>
      </c>
      <c r="AI490" s="44" t="s">
        <v>153</v>
      </c>
      <c r="AJ490" s="45" t="s">
        <v>153</v>
      </c>
      <c r="AK490" s="46" t="s">
        <v>153</v>
      </c>
      <c r="AL490" s="47" t="s">
        <v>153</v>
      </c>
      <c r="AM490" s="48" t="s">
        <v>153</v>
      </c>
      <c r="AN490" s="49" t="s">
        <v>10147</v>
      </c>
      <c r="AO490" s="50" t="s">
        <v>10148</v>
      </c>
      <c r="AP490" s="51" t="s">
        <v>10149</v>
      </c>
      <c r="AQ490" s="52" t="s">
        <v>10150</v>
      </c>
      <c r="AR490" s="53" t="s">
        <v>10151</v>
      </c>
      <c r="AS490" s="54" t="s">
        <v>10152</v>
      </c>
      <c r="AT490" s="55" t="s">
        <v>10153</v>
      </c>
      <c r="AU490" s="56" t="s">
        <v>10154</v>
      </c>
      <c r="AV490" s="57" t="s">
        <v>153</v>
      </c>
      <c r="AW490" s="58" t="s">
        <v>10155</v>
      </c>
      <c r="AX490" s="59" t="s">
        <v>724</v>
      </c>
      <c r="AY490" s="60" t="s">
        <v>10156</v>
      </c>
      <c r="AZ490" s="61" t="s">
        <v>215</v>
      </c>
      <c r="BA490" s="62" t="s">
        <v>10152</v>
      </c>
      <c r="BB490" s="63" t="s">
        <v>153</v>
      </c>
      <c r="BC490" s="64" t="s">
        <v>10157</v>
      </c>
      <c r="BD490" s="65" t="s">
        <v>216</v>
      </c>
      <c r="BE490" s="66" t="s">
        <v>217</v>
      </c>
      <c r="BF490" s="67" t="s">
        <v>10158</v>
      </c>
      <c r="BG490" s="68" t="s">
        <v>153</v>
      </c>
      <c r="BH490" s="69" t="s">
        <v>153</v>
      </c>
      <c r="BI490" s="70" t="s">
        <v>1238</v>
      </c>
      <c r="BJ490" s="71" t="s">
        <v>153</v>
      </c>
      <c r="BK490" s="72" t="s">
        <v>153</v>
      </c>
      <c r="BL490" s="73" t="s">
        <v>153</v>
      </c>
      <c r="BM490" s="74" t="s">
        <v>153</v>
      </c>
      <c r="BN490" s="75" t="s">
        <v>153</v>
      </c>
      <c r="BO490" s="76" t="s">
        <v>10159</v>
      </c>
      <c r="BP490" s="77" t="s">
        <v>10160</v>
      </c>
      <c r="BQ490" s="78">
        <v>24341</v>
      </c>
      <c r="BR490" s="79" t="s">
        <v>153</v>
      </c>
      <c r="BS490" s="80" t="s">
        <v>153</v>
      </c>
      <c r="BT490" s="81" t="s">
        <v>153</v>
      </c>
      <c r="BU490" s="82" t="s">
        <v>153</v>
      </c>
      <c r="BV490" s="83" t="s">
        <v>251</v>
      </c>
      <c r="BW490" s="84" t="s">
        <v>153</v>
      </c>
      <c r="BX490" s="85" t="s">
        <v>153</v>
      </c>
      <c r="BY490" s="86" t="s">
        <v>252</v>
      </c>
      <c r="BZ490" s="87" t="s">
        <v>153</v>
      </c>
      <c r="CA490" s="88" t="s">
        <v>190</v>
      </c>
      <c r="CB490" s="89">
        <v>40802</v>
      </c>
      <c r="CC490" s="90">
        <v>8700</v>
      </c>
      <c r="CD490" s="91" t="s">
        <v>187</v>
      </c>
      <c r="CE490" s="92">
        <v>8700</v>
      </c>
      <c r="CF490" s="93" t="s">
        <v>187</v>
      </c>
      <c r="CG490" s="94" t="s">
        <v>226</v>
      </c>
      <c r="CH490" s="95" t="s">
        <v>153</v>
      </c>
      <c r="CI490" s="96" t="s">
        <v>153</v>
      </c>
      <c r="CJ490" s="97" t="s">
        <v>225</v>
      </c>
      <c r="CK490" s="98">
        <v>40802</v>
      </c>
      <c r="CL490" s="99" t="s">
        <v>153</v>
      </c>
      <c r="CM490" s="100" t="s">
        <v>153</v>
      </c>
      <c r="CN490" s="101" t="s">
        <v>190</v>
      </c>
      <c r="CO490" s="102">
        <v>0.81</v>
      </c>
      <c r="CP490" s="103">
        <v>95</v>
      </c>
      <c r="CQ490" s="104">
        <v>0</v>
      </c>
      <c r="CR490" s="105">
        <v>-0.56999999999999995</v>
      </c>
      <c r="CS490" s="106">
        <v>2.2999999999999998</v>
      </c>
      <c r="CT490" s="107">
        <v>98</v>
      </c>
      <c r="CU490" s="108">
        <v>0.14000000000000001</v>
      </c>
      <c r="CV490" s="109">
        <v>88</v>
      </c>
      <c r="CW490" s="110">
        <v>4.33</v>
      </c>
      <c r="CX490" s="111">
        <v>93</v>
      </c>
      <c r="CY490" s="112">
        <v>0.26</v>
      </c>
      <c r="CZ490" s="113">
        <v>92</v>
      </c>
      <c r="DA490" s="114">
        <v>0.14000000000000001</v>
      </c>
      <c r="DB490" s="115">
        <v>88</v>
      </c>
      <c r="DC490" s="116">
        <v>124.06</v>
      </c>
      <c r="DD490" s="117">
        <v>100</v>
      </c>
      <c r="DE490" s="118">
        <v>-0.04</v>
      </c>
      <c r="DF490" s="119">
        <v>-0.04</v>
      </c>
      <c r="DG490" s="120">
        <v>120.43</v>
      </c>
      <c r="DH490" s="121">
        <v>100</v>
      </c>
      <c r="DI490" s="122">
        <v>13.92</v>
      </c>
      <c r="DJ490" s="123">
        <v>89</v>
      </c>
      <c r="DK490" s="124">
        <v>52.66</v>
      </c>
      <c r="DL490" s="125">
        <v>95</v>
      </c>
      <c r="DM490" s="126">
        <v>188.19</v>
      </c>
      <c r="DN490" s="127">
        <v>100</v>
      </c>
      <c r="DO490" s="128">
        <v>13.92</v>
      </c>
      <c r="DP490" s="129">
        <v>89</v>
      </c>
      <c r="DQ490" s="130">
        <v>30664</v>
      </c>
      <c r="DR490" s="131">
        <v>2075</v>
      </c>
      <c r="DS490" s="132">
        <v>7.26</v>
      </c>
      <c r="DT490" s="133">
        <v>3014</v>
      </c>
      <c r="DU490" s="134">
        <v>-9</v>
      </c>
      <c r="DV490" s="135">
        <v>-0.3</v>
      </c>
      <c r="DW490" s="136">
        <v>4366</v>
      </c>
      <c r="DX490" s="137">
        <v>10</v>
      </c>
      <c r="DY490" s="138">
        <v>0.23</v>
      </c>
      <c r="DZ490" s="139" t="s">
        <v>191</v>
      </c>
      <c r="EA490" s="140">
        <v>44384</v>
      </c>
      <c r="EB490" s="141">
        <v>8700</v>
      </c>
      <c r="EC490" s="142">
        <v>40802</v>
      </c>
      <c r="ED490" s="143" t="s">
        <v>226</v>
      </c>
      <c r="EE490" s="278" t="str">
        <f>HYPERLINK("https://my.pitchbook.com?c=55982-71", "View company online")</f>
        <v>View company online</v>
      </c>
    </row>
    <row r="491" spans="1:135" x14ac:dyDescent="0.45">
      <c r="A491" s="144" t="s">
        <v>10161</v>
      </c>
      <c r="B491" s="145" t="s">
        <v>10162</v>
      </c>
      <c r="C491" s="146" t="s">
        <v>153</v>
      </c>
      <c r="D491" s="147" t="s">
        <v>153</v>
      </c>
      <c r="E491" s="148" t="s">
        <v>10163</v>
      </c>
      <c r="F491" s="149" t="s">
        <v>153</v>
      </c>
      <c r="G491" s="150" t="s">
        <v>10164</v>
      </c>
      <c r="H491" s="151" t="s">
        <v>10165</v>
      </c>
      <c r="I491" s="152" t="s">
        <v>10161</v>
      </c>
      <c r="J491" s="153" t="s">
        <v>10166</v>
      </c>
      <c r="K491" s="154" t="s">
        <v>257</v>
      </c>
      <c r="L491" s="155" t="s">
        <v>258</v>
      </c>
      <c r="M491" s="156" t="s">
        <v>3389</v>
      </c>
      <c r="N491" s="157" t="s">
        <v>3390</v>
      </c>
      <c r="O491" s="158" t="s">
        <v>755</v>
      </c>
      <c r="P491" s="159" t="s">
        <v>10167</v>
      </c>
      <c r="Q491" s="160" t="s">
        <v>289</v>
      </c>
      <c r="R491" s="161">
        <v>314.93</v>
      </c>
      <c r="S491" s="162" t="s">
        <v>290</v>
      </c>
      <c r="T491" s="163" t="s">
        <v>164</v>
      </c>
      <c r="U491" s="164" t="s">
        <v>941</v>
      </c>
      <c r="V491" s="165" t="s">
        <v>10168</v>
      </c>
      <c r="W491" s="166">
        <v>1000</v>
      </c>
      <c r="X491" s="167" t="s">
        <v>10169</v>
      </c>
      <c r="Y491" s="168" t="s">
        <v>153</v>
      </c>
      <c r="Z491" s="169" t="s">
        <v>153</v>
      </c>
      <c r="AA491" s="170">
        <v>2010</v>
      </c>
      <c r="AB491" s="171" t="s">
        <v>4728</v>
      </c>
      <c r="AC491" s="172" t="s">
        <v>153</v>
      </c>
      <c r="AD491" s="173" t="s">
        <v>153</v>
      </c>
      <c r="AE491" s="174" t="s">
        <v>153</v>
      </c>
      <c r="AF491" s="175" t="s">
        <v>153</v>
      </c>
      <c r="AG491" s="176" t="s">
        <v>153</v>
      </c>
      <c r="AH491" s="177" t="s">
        <v>153</v>
      </c>
      <c r="AI491" s="178" t="s">
        <v>153</v>
      </c>
      <c r="AJ491" s="179" t="s">
        <v>153</v>
      </c>
      <c r="AK491" s="180" t="s">
        <v>153</v>
      </c>
      <c r="AL491" s="181" t="s">
        <v>153</v>
      </c>
      <c r="AM491" s="182" t="s">
        <v>153</v>
      </c>
      <c r="AN491" s="183" t="s">
        <v>1323</v>
      </c>
      <c r="AO491" s="184" t="s">
        <v>10170</v>
      </c>
      <c r="AP491" s="185" t="s">
        <v>10171</v>
      </c>
      <c r="AQ491" s="186" t="s">
        <v>5090</v>
      </c>
      <c r="AR491" s="187" t="s">
        <v>153</v>
      </c>
      <c r="AS491" s="188" t="s">
        <v>10172</v>
      </c>
      <c r="AT491" s="189" t="s">
        <v>1951</v>
      </c>
      <c r="AU491" s="190" t="s">
        <v>10173</v>
      </c>
      <c r="AV491" s="191" t="s">
        <v>10174</v>
      </c>
      <c r="AW491" s="192" t="s">
        <v>1953</v>
      </c>
      <c r="AX491" s="193" t="s">
        <v>783</v>
      </c>
      <c r="AY491" s="194" t="s">
        <v>1954</v>
      </c>
      <c r="AZ491" s="195" t="s">
        <v>215</v>
      </c>
      <c r="BA491" s="196" t="s">
        <v>153</v>
      </c>
      <c r="BB491" s="197" t="s">
        <v>153</v>
      </c>
      <c r="BC491" s="198" t="s">
        <v>153</v>
      </c>
      <c r="BD491" s="199" t="s">
        <v>216</v>
      </c>
      <c r="BE491" s="200" t="s">
        <v>217</v>
      </c>
      <c r="BF491" s="201" t="s">
        <v>10175</v>
      </c>
      <c r="BG491" s="202" t="s">
        <v>153</v>
      </c>
      <c r="BH491" s="203" t="s">
        <v>153</v>
      </c>
      <c r="BI491" s="204" t="s">
        <v>4728</v>
      </c>
      <c r="BJ491" s="205" t="s">
        <v>10176</v>
      </c>
      <c r="BK491" s="206" t="s">
        <v>153</v>
      </c>
      <c r="BL491" s="207" t="s">
        <v>153</v>
      </c>
      <c r="BM491" s="208" t="s">
        <v>10177</v>
      </c>
      <c r="BN491" s="209" t="s">
        <v>153</v>
      </c>
      <c r="BO491" s="210" t="s">
        <v>153</v>
      </c>
      <c r="BP491" s="211" t="s">
        <v>10178</v>
      </c>
      <c r="BQ491" s="212">
        <v>41750</v>
      </c>
      <c r="BR491" s="213">
        <v>8.5</v>
      </c>
      <c r="BS491" s="214" t="s">
        <v>186</v>
      </c>
      <c r="BT491" s="215" t="s">
        <v>153</v>
      </c>
      <c r="BU491" s="216" t="s">
        <v>153</v>
      </c>
      <c r="BV491" s="217" t="s">
        <v>471</v>
      </c>
      <c r="BW491" s="218" t="s">
        <v>10179</v>
      </c>
      <c r="BX491" s="219" t="s">
        <v>153</v>
      </c>
      <c r="BY491" s="220" t="s">
        <v>472</v>
      </c>
      <c r="BZ491" s="221" t="s">
        <v>153</v>
      </c>
      <c r="CA491" s="222" t="s">
        <v>190</v>
      </c>
      <c r="CB491" s="223">
        <v>43235</v>
      </c>
      <c r="CC491" s="224">
        <v>8700</v>
      </c>
      <c r="CD491" s="225" t="s">
        <v>186</v>
      </c>
      <c r="CE491" s="226">
        <v>8700</v>
      </c>
      <c r="CF491" s="227" t="s">
        <v>186</v>
      </c>
      <c r="CG491" s="228" t="s">
        <v>226</v>
      </c>
      <c r="CH491" s="229" t="s">
        <v>153</v>
      </c>
      <c r="CI491" s="230" t="s">
        <v>153</v>
      </c>
      <c r="CJ491" s="231" t="s">
        <v>225</v>
      </c>
      <c r="CK491" s="232">
        <v>43235</v>
      </c>
      <c r="CL491" s="233" t="s">
        <v>153</v>
      </c>
      <c r="CM491" s="234" t="s">
        <v>153</v>
      </c>
      <c r="CN491" s="235" t="s">
        <v>190</v>
      </c>
      <c r="CO491" s="236" t="s">
        <v>153</v>
      </c>
      <c r="CP491" s="237" t="s">
        <v>153</v>
      </c>
      <c r="CQ491" s="238" t="s">
        <v>153</v>
      </c>
      <c r="CR491" s="239" t="s">
        <v>153</v>
      </c>
      <c r="CS491" s="240" t="s">
        <v>153</v>
      </c>
      <c r="CT491" s="241" t="s">
        <v>153</v>
      </c>
      <c r="CU491" s="242" t="s">
        <v>153</v>
      </c>
      <c r="CV491" s="243" t="s">
        <v>153</v>
      </c>
      <c r="CW491" s="244" t="s">
        <v>153</v>
      </c>
      <c r="CX491" s="245" t="s">
        <v>153</v>
      </c>
      <c r="CY491" s="246" t="s">
        <v>153</v>
      </c>
      <c r="CZ491" s="247" t="s">
        <v>153</v>
      </c>
      <c r="DA491" s="248" t="s">
        <v>153</v>
      </c>
      <c r="DB491" s="249" t="s">
        <v>153</v>
      </c>
      <c r="DC491" s="250" t="s">
        <v>153</v>
      </c>
      <c r="DD491" s="251" t="s">
        <v>153</v>
      </c>
      <c r="DE491" s="252" t="s">
        <v>153</v>
      </c>
      <c r="DF491" s="253" t="s">
        <v>153</v>
      </c>
      <c r="DG491" s="254" t="s">
        <v>153</v>
      </c>
      <c r="DH491" s="255" t="s">
        <v>153</v>
      </c>
      <c r="DI491" s="256" t="s">
        <v>153</v>
      </c>
      <c r="DJ491" s="257" t="s">
        <v>153</v>
      </c>
      <c r="DK491" s="258" t="s">
        <v>153</v>
      </c>
      <c r="DL491" s="259" t="s">
        <v>153</v>
      </c>
      <c r="DM491" s="260" t="s">
        <v>153</v>
      </c>
      <c r="DN491" s="261" t="s">
        <v>153</v>
      </c>
      <c r="DO491" s="262" t="s">
        <v>153</v>
      </c>
      <c r="DP491" s="263" t="s">
        <v>153</v>
      </c>
      <c r="DQ491" s="264" t="s">
        <v>153</v>
      </c>
      <c r="DR491" s="265" t="s">
        <v>153</v>
      </c>
      <c r="DS491" s="266" t="s">
        <v>153</v>
      </c>
      <c r="DT491" s="267" t="s">
        <v>153</v>
      </c>
      <c r="DU491" s="268" t="s">
        <v>153</v>
      </c>
      <c r="DV491" s="269" t="s">
        <v>153</v>
      </c>
      <c r="DW491" s="270" t="s">
        <v>153</v>
      </c>
      <c r="DX491" s="271" t="s">
        <v>153</v>
      </c>
      <c r="DY491" s="272" t="s">
        <v>153</v>
      </c>
      <c r="DZ491" s="273" t="s">
        <v>191</v>
      </c>
      <c r="EA491" s="274">
        <v>44328</v>
      </c>
      <c r="EB491" s="275">
        <v>8700</v>
      </c>
      <c r="EC491" s="276">
        <v>43235</v>
      </c>
      <c r="ED491" s="277" t="s">
        <v>226</v>
      </c>
      <c r="EE491" s="279" t="str">
        <f>HYPERLINK("https://my.pitchbook.com?c=97284-61", "View company online")</f>
        <v>View company online</v>
      </c>
    </row>
    <row r="492" spans="1:135" x14ac:dyDescent="0.45">
      <c r="A492" s="10" t="s">
        <v>10180</v>
      </c>
      <c r="B492" s="11" t="s">
        <v>10181</v>
      </c>
      <c r="C492" s="12" t="s">
        <v>153</v>
      </c>
      <c r="D492" s="13" t="s">
        <v>153</v>
      </c>
      <c r="E492" s="14" t="s">
        <v>153</v>
      </c>
      <c r="F492" s="15" t="s">
        <v>10182</v>
      </c>
      <c r="G492" s="16" t="s">
        <v>10183</v>
      </c>
      <c r="H492" s="17" t="s">
        <v>153</v>
      </c>
      <c r="I492" s="18" t="s">
        <v>10180</v>
      </c>
      <c r="J492" s="19" t="s">
        <v>10184</v>
      </c>
      <c r="K492" s="20" t="s">
        <v>232</v>
      </c>
      <c r="L492" s="21" t="s">
        <v>1016</v>
      </c>
      <c r="M492" s="22" t="s">
        <v>2416</v>
      </c>
      <c r="N492" s="23" t="s">
        <v>10185</v>
      </c>
      <c r="O492" s="24" t="s">
        <v>153</v>
      </c>
      <c r="P492" s="25" t="s">
        <v>10186</v>
      </c>
      <c r="Q492" s="26" t="s">
        <v>204</v>
      </c>
      <c r="R492" s="27" t="s">
        <v>153</v>
      </c>
      <c r="S492" s="28" t="s">
        <v>290</v>
      </c>
      <c r="T492" s="29" t="s">
        <v>164</v>
      </c>
      <c r="U492" s="30" t="s">
        <v>237</v>
      </c>
      <c r="V492" s="31" t="s">
        <v>10187</v>
      </c>
      <c r="W492" s="32">
        <v>28400</v>
      </c>
      <c r="X492" s="33" t="s">
        <v>10188</v>
      </c>
      <c r="Y492" s="34" t="s">
        <v>153</v>
      </c>
      <c r="Z492" s="35" t="s">
        <v>153</v>
      </c>
      <c r="AA492" s="36">
        <v>1984</v>
      </c>
      <c r="AB492" s="37" t="s">
        <v>10189</v>
      </c>
      <c r="AC492" s="38" t="s">
        <v>153</v>
      </c>
      <c r="AD492" s="39" t="s">
        <v>153</v>
      </c>
      <c r="AE492" s="40">
        <v>42698.15</v>
      </c>
      <c r="AF492" s="41" t="s">
        <v>153</v>
      </c>
      <c r="AG492" s="42">
        <v>1520.85</v>
      </c>
      <c r="AH492" s="43" t="s">
        <v>153</v>
      </c>
      <c r="AI492" s="44">
        <v>3001.58</v>
      </c>
      <c r="AJ492" s="45">
        <v>3001.58</v>
      </c>
      <c r="AK492" s="46" t="s">
        <v>153</v>
      </c>
      <c r="AL492" s="47">
        <v>3140.69</v>
      </c>
      <c r="AM492" s="48">
        <v>17.88</v>
      </c>
      <c r="AN492" s="49" t="s">
        <v>5929</v>
      </c>
      <c r="AO492" s="50" t="s">
        <v>10190</v>
      </c>
      <c r="AP492" s="51" t="s">
        <v>10191</v>
      </c>
      <c r="AQ492" s="52" t="s">
        <v>10192</v>
      </c>
      <c r="AR492" s="53" t="s">
        <v>153</v>
      </c>
      <c r="AS492" s="54" t="s">
        <v>10193</v>
      </c>
      <c r="AT492" s="55" t="s">
        <v>1353</v>
      </c>
      <c r="AU492" s="56" t="s">
        <v>10194</v>
      </c>
      <c r="AV492" s="57" t="s">
        <v>153</v>
      </c>
      <c r="AW492" s="58" t="s">
        <v>1355</v>
      </c>
      <c r="AX492" s="59" t="s">
        <v>1356</v>
      </c>
      <c r="AY492" s="60" t="s">
        <v>10195</v>
      </c>
      <c r="AZ492" s="61" t="s">
        <v>1358</v>
      </c>
      <c r="BA492" s="62" t="s">
        <v>10196</v>
      </c>
      <c r="BB492" s="63" t="s">
        <v>153</v>
      </c>
      <c r="BC492" s="64" t="s">
        <v>153</v>
      </c>
      <c r="BD492" s="65" t="s">
        <v>216</v>
      </c>
      <c r="BE492" s="66" t="s">
        <v>217</v>
      </c>
      <c r="BF492" s="67" t="s">
        <v>10197</v>
      </c>
      <c r="BG492" s="68" t="s">
        <v>153</v>
      </c>
      <c r="BH492" s="69" t="s">
        <v>153</v>
      </c>
      <c r="BI492" s="70" t="s">
        <v>10189</v>
      </c>
      <c r="BJ492" s="71" t="s">
        <v>153</v>
      </c>
      <c r="BK492" s="72" t="s">
        <v>153</v>
      </c>
      <c r="BL492" s="73" t="s">
        <v>153</v>
      </c>
      <c r="BM492" s="74" t="s">
        <v>153</v>
      </c>
      <c r="BN492" s="75" t="s">
        <v>153</v>
      </c>
      <c r="BO492" s="76" t="s">
        <v>153</v>
      </c>
      <c r="BP492" s="77" t="s">
        <v>10198</v>
      </c>
      <c r="BQ492" s="78">
        <v>31048</v>
      </c>
      <c r="BR492" s="79" t="s">
        <v>153</v>
      </c>
      <c r="BS492" s="80" t="s">
        <v>153</v>
      </c>
      <c r="BT492" s="81" t="s">
        <v>153</v>
      </c>
      <c r="BU492" s="82" t="s">
        <v>153</v>
      </c>
      <c r="BV492" s="83" t="s">
        <v>251</v>
      </c>
      <c r="BW492" s="84" t="s">
        <v>524</v>
      </c>
      <c r="BX492" s="85" t="s">
        <v>153</v>
      </c>
      <c r="BY492" s="86" t="s">
        <v>252</v>
      </c>
      <c r="BZ492" s="87" t="s">
        <v>153</v>
      </c>
      <c r="CA492" s="88" t="s">
        <v>190</v>
      </c>
      <c r="CB492" s="89">
        <v>43874</v>
      </c>
      <c r="CC492" s="90">
        <v>8700</v>
      </c>
      <c r="CD492" s="91" t="s">
        <v>186</v>
      </c>
      <c r="CE492" s="92">
        <v>8700</v>
      </c>
      <c r="CF492" s="93" t="s">
        <v>187</v>
      </c>
      <c r="CG492" s="94" t="s">
        <v>226</v>
      </c>
      <c r="CH492" s="95" t="s">
        <v>930</v>
      </c>
      <c r="CI492" s="96" t="s">
        <v>153</v>
      </c>
      <c r="CJ492" s="97" t="s">
        <v>225</v>
      </c>
      <c r="CK492" s="98">
        <v>43874</v>
      </c>
      <c r="CL492" s="99" t="s">
        <v>153</v>
      </c>
      <c r="CM492" s="100" t="s">
        <v>153</v>
      </c>
      <c r="CN492" s="101" t="s">
        <v>190</v>
      </c>
      <c r="CO492" s="102">
        <v>-0.06</v>
      </c>
      <c r="CP492" s="103">
        <v>9</v>
      </c>
      <c r="CQ492" s="104">
        <v>-7.0000000000000007E-2</v>
      </c>
      <c r="CR492" s="105">
        <v>-3266.58</v>
      </c>
      <c r="CS492" s="106">
        <v>-0.06</v>
      </c>
      <c r="CT492" s="107">
        <v>8</v>
      </c>
      <c r="CU492" s="108" t="s">
        <v>153</v>
      </c>
      <c r="CV492" s="109" t="s">
        <v>153</v>
      </c>
      <c r="CW492" s="110" t="s">
        <v>153</v>
      </c>
      <c r="CX492" s="111" t="s">
        <v>153</v>
      </c>
      <c r="CY492" s="112">
        <v>-0.06</v>
      </c>
      <c r="CZ492" s="113">
        <v>5</v>
      </c>
      <c r="DA492" s="114" t="s">
        <v>153</v>
      </c>
      <c r="DB492" s="115" t="s">
        <v>153</v>
      </c>
      <c r="DC492" s="116">
        <v>11.94</v>
      </c>
      <c r="DD492" s="117">
        <v>93</v>
      </c>
      <c r="DE492" s="118">
        <v>-0.06</v>
      </c>
      <c r="DF492" s="119">
        <v>-0.52</v>
      </c>
      <c r="DG492" s="120">
        <v>11.94</v>
      </c>
      <c r="DH492" s="121">
        <v>93</v>
      </c>
      <c r="DI492" s="122" t="s">
        <v>153</v>
      </c>
      <c r="DJ492" s="123" t="s">
        <v>153</v>
      </c>
      <c r="DK492" s="124" t="s">
        <v>153</v>
      </c>
      <c r="DL492" s="125" t="s">
        <v>153</v>
      </c>
      <c r="DM492" s="126">
        <v>11.94</v>
      </c>
      <c r="DN492" s="127">
        <v>92</v>
      </c>
      <c r="DO492" s="128" t="s">
        <v>153</v>
      </c>
      <c r="DP492" s="129" t="s">
        <v>153</v>
      </c>
      <c r="DQ492" s="130" t="s">
        <v>153</v>
      </c>
      <c r="DR492" s="131" t="s">
        <v>153</v>
      </c>
      <c r="DS492" s="132" t="s">
        <v>153</v>
      </c>
      <c r="DT492" s="133">
        <v>191</v>
      </c>
      <c r="DU492" s="134">
        <v>-1</v>
      </c>
      <c r="DV492" s="135">
        <v>-0.52</v>
      </c>
      <c r="DW492" s="136" t="s">
        <v>153</v>
      </c>
      <c r="DX492" s="137" t="s">
        <v>153</v>
      </c>
      <c r="DY492" s="138" t="s">
        <v>153</v>
      </c>
      <c r="DZ492" s="139" t="s">
        <v>191</v>
      </c>
      <c r="EA492" s="140">
        <v>44384</v>
      </c>
      <c r="EB492" s="141">
        <v>8700</v>
      </c>
      <c r="EC492" s="142">
        <v>43874</v>
      </c>
      <c r="ED492" s="143" t="s">
        <v>226</v>
      </c>
      <c r="EE492" s="278" t="str">
        <f>HYPERLINK("https://my.pitchbook.com?c=59633-29", "View company online")</f>
        <v>View company online</v>
      </c>
    </row>
    <row r="493" spans="1:135" x14ac:dyDescent="0.45">
      <c r="A493" s="144" t="s">
        <v>10199</v>
      </c>
      <c r="B493" s="145" t="s">
        <v>10200</v>
      </c>
      <c r="C493" s="146" t="s">
        <v>153</v>
      </c>
      <c r="D493" s="147" t="s">
        <v>153</v>
      </c>
      <c r="E493" s="148" t="s">
        <v>153</v>
      </c>
      <c r="F493" s="149" t="s">
        <v>10201</v>
      </c>
      <c r="G493" s="150" t="s">
        <v>10202</v>
      </c>
      <c r="H493" s="151" t="s">
        <v>10203</v>
      </c>
      <c r="I493" s="152" t="s">
        <v>10199</v>
      </c>
      <c r="J493" s="153" t="s">
        <v>10204</v>
      </c>
      <c r="K493" s="154" t="s">
        <v>882</v>
      </c>
      <c r="L493" s="155" t="s">
        <v>883</v>
      </c>
      <c r="M493" s="156" t="s">
        <v>3501</v>
      </c>
      <c r="N493" s="157" t="s">
        <v>10205</v>
      </c>
      <c r="O493" s="158" t="s">
        <v>3141</v>
      </c>
      <c r="P493" s="159" t="s">
        <v>10206</v>
      </c>
      <c r="Q493" s="160" t="s">
        <v>564</v>
      </c>
      <c r="R493" s="161">
        <v>3642.7</v>
      </c>
      <c r="S493" s="162" t="s">
        <v>290</v>
      </c>
      <c r="T493" s="163" t="s">
        <v>164</v>
      </c>
      <c r="U493" s="164" t="s">
        <v>1063</v>
      </c>
      <c r="V493" s="165" t="s">
        <v>10207</v>
      </c>
      <c r="W493" s="166">
        <v>11500</v>
      </c>
      <c r="X493" s="167" t="s">
        <v>10208</v>
      </c>
      <c r="Y493" s="168" t="s">
        <v>153</v>
      </c>
      <c r="Z493" s="169" t="s">
        <v>153</v>
      </c>
      <c r="AA493" s="170">
        <v>1974</v>
      </c>
      <c r="AB493" s="171" t="s">
        <v>10209</v>
      </c>
      <c r="AC493" s="172" t="s">
        <v>153</v>
      </c>
      <c r="AD493" s="173" t="s">
        <v>153</v>
      </c>
      <c r="AE493" s="174">
        <v>5989</v>
      </c>
      <c r="AF493" s="175">
        <v>2323.4</v>
      </c>
      <c r="AG493" s="176">
        <v>1889.5</v>
      </c>
      <c r="AH493" s="177">
        <v>8651.64</v>
      </c>
      <c r="AI493" s="178">
        <v>716.2</v>
      </c>
      <c r="AJ493" s="179">
        <v>607.70000000000005</v>
      </c>
      <c r="AK493" s="180" t="s">
        <v>153</v>
      </c>
      <c r="AL493" s="181">
        <v>-815.9</v>
      </c>
      <c r="AM493" s="182">
        <v>54.67</v>
      </c>
      <c r="AN493" s="183" t="s">
        <v>3265</v>
      </c>
      <c r="AO493" s="184" t="s">
        <v>10210</v>
      </c>
      <c r="AP493" s="185" t="s">
        <v>10211</v>
      </c>
      <c r="AQ493" s="186" t="s">
        <v>10212</v>
      </c>
      <c r="AR493" s="187" t="s">
        <v>153</v>
      </c>
      <c r="AS493" s="188" t="s">
        <v>10213</v>
      </c>
      <c r="AT493" s="189" t="s">
        <v>404</v>
      </c>
      <c r="AU493" s="190" t="s">
        <v>10214</v>
      </c>
      <c r="AV493" s="191" t="s">
        <v>153</v>
      </c>
      <c r="AW493" s="192" t="s">
        <v>407</v>
      </c>
      <c r="AX493" s="193" t="s">
        <v>408</v>
      </c>
      <c r="AY493" s="194" t="s">
        <v>10215</v>
      </c>
      <c r="AZ493" s="195" t="s">
        <v>215</v>
      </c>
      <c r="BA493" s="196" t="s">
        <v>10213</v>
      </c>
      <c r="BB493" s="197" t="s">
        <v>153</v>
      </c>
      <c r="BC493" s="198" t="s">
        <v>153</v>
      </c>
      <c r="BD493" s="199" t="s">
        <v>216</v>
      </c>
      <c r="BE493" s="200" t="s">
        <v>217</v>
      </c>
      <c r="BF493" s="201" t="s">
        <v>10216</v>
      </c>
      <c r="BG493" s="202" t="s">
        <v>153</v>
      </c>
      <c r="BH493" s="203" t="s">
        <v>153</v>
      </c>
      <c r="BI493" s="204" t="s">
        <v>10209</v>
      </c>
      <c r="BJ493" s="205" t="s">
        <v>10217</v>
      </c>
      <c r="BK493" s="206" t="s">
        <v>153</v>
      </c>
      <c r="BL493" s="207" t="s">
        <v>153</v>
      </c>
      <c r="BM493" s="208" t="s">
        <v>10218</v>
      </c>
      <c r="BN493" s="209" t="s">
        <v>153</v>
      </c>
      <c r="BO493" s="210" t="s">
        <v>10219</v>
      </c>
      <c r="BP493" s="211" t="s">
        <v>10220</v>
      </c>
      <c r="BQ493" s="212">
        <v>39324</v>
      </c>
      <c r="BR493" s="213">
        <v>8500</v>
      </c>
      <c r="BS493" s="214" t="s">
        <v>186</v>
      </c>
      <c r="BT493" s="215">
        <v>9715</v>
      </c>
      <c r="BU493" s="216" t="s">
        <v>187</v>
      </c>
      <c r="BV493" s="217" t="s">
        <v>188</v>
      </c>
      <c r="BW493" s="218" t="s">
        <v>729</v>
      </c>
      <c r="BX493" s="219" t="s">
        <v>153</v>
      </c>
      <c r="BY493" s="220" t="s">
        <v>165</v>
      </c>
      <c r="BZ493" s="221" t="s">
        <v>1607</v>
      </c>
      <c r="CA493" s="222" t="s">
        <v>190</v>
      </c>
      <c r="CB493" s="223">
        <v>44189</v>
      </c>
      <c r="CC493" s="224">
        <v>8692</v>
      </c>
      <c r="CD493" s="225" t="s">
        <v>186</v>
      </c>
      <c r="CE493" s="226">
        <v>10484.92</v>
      </c>
      <c r="CF493" s="227" t="s">
        <v>187</v>
      </c>
      <c r="CG493" s="228" t="s">
        <v>226</v>
      </c>
      <c r="CH493" s="229" t="s">
        <v>153</v>
      </c>
      <c r="CI493" s="230" t="s">
        <v>153</v>
      </c>
      <c r="CJ493" s="231" t="s">
        <v>225</v>
      </c>
      <c r="CK493" s="232">
        <v>44189</v>
      </c>
      <c r="CL493" s="233" t="s">
        <v>153</v>
      </c>
      <c r="CM493" s="234" t="s">
        <v>153</v>
      </c>
      <c r="CN493" s="235" t="s">
        <v>190</v>
      </c>
      <c r="CO493" s="236" t="s">
        <v>153</v>
      </c>
      <c r="CP493" s="237" t="s">
        <v>153</v>
      </c>
      <c r="CQ493" s="238" t="s">
        <v>153</v>
      </c>
      <c r="CR493" s="239" t="s">
        <v>153</v>
      </c>
      <c r="CS493" s="240" t="s">
        <v>153</v>
      </c>
      <c r="CT493" s="241" t="s">
        <v>153</v>
      </c>
      <c r="CU493" s="242" t="s">
        <v>153</v>
      </c>
      <c r="CV493" s="243" t="s">
        <v>153</v>
      </c>
      <c r="CW493" s="244" t="s">
        <v>153</v>
      </c>
      <c r="CX493" s="245" t="s">
        <v>153</v>
      </c>
      <c r="CY493" s="246" t="s">
        <v>153</v>
      </c>
      <c r="CZ493" s="247" t="s">
        <v>153</v>
      </c>
      <c r="DA493" s="248" t="s">
        <v>153</v>
      </c>
      <c r="DB493" s="249" t="s">
        <v>153</v>
      </c>
      <c r="DC493" s="250" t="s">
        <v>153</v>
      </c>
      <c r="DD493" s="251" t="s">
        <v>153</v>
      </c>
      <c r="DE493" s="252" t="s">
        <v>153</v>
      </c>
      <c r="DF493" s="253" t="s">
        <v>153</v>
      </c>
      <c r="DG493" s="254" t="s">
        <v>153</v>
      </c>
      <c r="DH493" s="255" t="s">
        <v>153</v>
      </c>
      <c r="DI493" s="256" t="s">
        <v>153</v>
      </c>
      <c r="DJ493" s="257" t="s">
        <v>153</v>
      </c>
      <c r="DK493" s="258" t="s">
        <v>153</v>
      </c>
      <c r="DL493" s="259" t="s">
        <v>153</v>
      </c>
      <c r="DM493" s="260" t="s">
        <v>153</v>
      </c>
      <c r="DN493" s="261" t="s">
        <v>153</v>
      </c>
      <c r="DO493" s="262" t="s">
        <v>153</v>
      </c>
      <c r="DP493" s="263" t="s">
        <v>153</v>
      </c>
      <c r="DQ493" s="264" t="s">
        <v>153</v>
      </c>
      <c r="DR493" s="265" t="s">
        <v>153</v>
      </c>
      <c r="DS493" s="266" t="s">
        <v>153</v>
      </c>
      <c r="DT493" s="267" t="s">
        <v>153</v>
      </c>
      <c r="DU493" s="268" t="s">
        <v>153</v>
      </c>
      <c r="DV493" s="269" t="s">
        <v>153</v>
      </c>
      <c r="DW493" s="270" t="s">
        <v>153</v>
      </c>
      <c r="DX493" s="271" t="s">
        <v>153</v>
      </c>
      <c r="DY493" s="272" t="s">
        <v>153</v>
      </c>
      <c r="DZ493" s="273" t="s">
        <v>191</v>
      </c>
      <c r="EA493" s="274">
        <v>44368</v>
      </c>
      <c r="EB493" s="275">
        <v>10484.92</v>
      </c>
      <c r="EC493" s="276">
        <v>44189</v>
      </c>
      <c r="ED493" s="277" t="s">
        <v>226</v>
      </c>
      <c r="EE493" s="279" t="str">
        <f>HYPERLINK("https://my.pitchbook.com?c=10399-87", "View company online")</f>
        <v>View company online</v>
      </c>
    </row>
    <row r="494" spans="1:135" x14ac:dyDescent="0.45">
      <c r="A494" s="10" t="s">
        <v>10221</v>
      </c>
      <c r="B494" s="11" t="s">
        <v>10222</v>
      </c>
      <c r="C494" s="12" t="s">
        <v>153</v>
      </c>
      <c r="D494" s="13" t="s">
        <v>153</v>
      </c>
      <c r="E494" s="14" t="s">
        <v>153</v>
      </c>
      <c r="F494" s="15" t="s">
        <v>153</v>
      </c>
      <c r="G494" s="16" t="s">
        <v>153</v>
      </c>
      <c r="H494" s="17" t="s">
        <v>153</v>
      </c>
      <c r="I494" s="18" t="s">
        <v>10221</v>
      </c>
      <c r="J494" s="19" t="s">
        <v>10223</v>
      </c>
      <c r="K494" s="20" t="s">
        <v>882</v>
      </c>
      <c r="L494" s="21" t="s">
        <v>2888</v>
      </c>
      <c r="M494" s="22" t="s">
        <v>2889</v>
      </c>
      <c r="N494" s="23" t="s">
        <v>10224</v>
      </c>
      <c r="O494" s="24" t="s">
        <v>153</v>
      </c>
      <c r="P494" s="25" t="s">
        <v>10225</v>
      </c>
      <c r="Q494" s="26" t="s">
        <v>204</v>
      </c>
      <c r="R494" s="27" t="s">
        <v>153</v>
      </c>
      <c r="S494" s="28" t="s">
        <v>153</v>
      </c>
      <c r="T494" s="29" t="s">
        <v>205</v>
      </c>
      <c r="U494" s="30" t="s">
        <v>206</v>
      </c>
      <c r="V494" s="31" t="s">
        <v>153</v>
      </c>
      <c r="W494" s="32" t="s">
        <v>153</v>
      </c>
      <c r="X494" s="33" t="s">
        <v>153</v>
      </c>
      <c r="Y494" s="34" t="s">
        <v>153</v>
      </c>
      <c r="Z494" s="35" t="s">
        <v>153</v>
      </c>
      <c r="AA494" s="36" t="s">
        <v>153</v>
      </c>
      <c r="AB494" s="37" t="s">
        <v>153</v>
      </c>
      <c r="AC494" s="38" t="s">
        <v>153</v>
      </c>
      <c r="AD494" s="39" t="s">
        <v>153</v>
      </c>
      <c r="AE494" s="40" t="s">
        <v>153</v>
      </c>
      <c r="AF494" s="41" t="s">
        <v>153</v>
      </c>
      <c r="AG494" s="42" t="s">
        <v>153</v>
      </c>
      <c r="AH494" s="43" t="s">
        <v>153</v>
      </c>
      <c r="AI494" s="44" t="s">
        <v>153</v>
      </c>
      <c r="AJ494" s="45" t="s">
        <v>153</v>
      </c>
      <c r="AK494" s="46" t="s">
        <v>153</v>
      </c>
      <c r="AL494" s="47" t="s">
        <v>153</v>
      </c>
      <c r="AM494" s="48" t="s">
        <v>153</v>
      </c>
      <c r="AN494" s="49" t="s">
        <v>153</v>
      </c>
      <c r="AO494" s="50" t="s">
        <v>153</v>
      </c>
      <c r="AP494" s="51" t="s">
        <v>153</v>
      </c>
      <c r="AQ494" s="52" t="s">
        <v>153</v>
      </c>
      <c r="AR494" s="53" t="s">
        <v>153</v>
      </c>
      <c r="AS494" s="54" t="s">
        <v>153</v>
      </c>
      <c r="AT494" s="55" t="s">
        <v>153</v>
      </c>
      <c r="AU494" s="56" t="s">
        <v>153</v>
      </c>
      <c r="AV494" s="57" t="s">
        <v>153</v>
      </c>
      <c r="AW494" s="58" t="s">
        <v>153</v>
      </c>
      <c r="AX494" s="59" t="s">
        <v>153</v>
      </c>
      <c r="AY494" s="60" t="s">
        <v>153</v>
      </c>
      <c r="AZ494" s="61" t="s">
        <v>153</v>
      </c>
      <c r="BA494" s="62" t="s">
        <v>153</v>
      </c>
      <c r="BB494" s="63" t="s">
        <v>153</v>
      </c>
      <c r="BC494" s="64" t="s">
        <v>153</v>
      </c>
      <c r="BD494" s="65" t="s">
        <v>153</v>
      </c>
      <c r="BE494" s="66" t="s">
        <v>153</v>
      </c>
      <c r="BF494" s="67" t="s">
        <v>10226</v>
      </c>
      <c r="BG494" s="68" t="s">
        <v>153</v>
      </c>
      <c r="BH494" s="69" t="s">
        <v>153</v>
      </c>
      <c r="BI494" s="70" t="s">
        <v>10227</v>
      </c>
      <c r="BJ494" s="71" t="s">
        <v>10228</v>
      </c>
      <c r="BK494" s="72" t="s">
        <v>153</v>
      </c>
      <c r="BL494" s="73" t="s">
        <v>153</v>
      </c>
      <c r="BM494" s="74" t="s">
        <v>10229</v>
      </c>
      <c r="BN494" s="75" t="s">
        <v>153</v>
      </c>
      <c r="BO494" s="76" t="s">
        <v>153</v>
      </c>
      <c r="BP494" s="77" t="s">
        <v>10230</v>
      </c>
      <c r="BQ494" s="78">
        <v>44350</v>
      </c>
      <c r="BR494" s="79">
        <v>8634.3799999999992</v>
      </c>
      <c r="BS494" s="80" t="s">
        <v>187</v>
      </c>
      <c r="BT494" s="81">
        <v>8634.3799999999992</v>
      </c>
      <c r="BU494" s="82" t="s">
        <v>187</v>
      </c>
      <c r="BV494" s="83" t="s">
        <v>1524</v>
      </c>
      <c r="BW494" s="84" t="s">
        <v>1525</v>
      </c>
      <c r="BX494" s="85" t="s">
        <v>1526</v>
      </c>
      <c r="BY494" s="86" t="s">
        <v>225</v>
      </c>
      <c r="BZ494" s="87" t="s">
        <v>153</v>
      </c>
      <c r="CA494" s="88" t="s">
        <v>190</v>
      </c>
      <c r="CB494" s="89">
        <v>44350</v>
      </c>
      <c r="CC494" s="90">
        <v>8634.3799999999992</v>
      </c>
      <c r="CD494" s="91" t="s">
        <v>187</v>
      </c>
      <c r="CE494" s="92">
        <v>8634.3799999999992</v>
      </c>
      <c r="CF494" s="93" t="s">
        <v>187</v>
      </c>
      <c r="CG494" s="94" t="s">
        <v>1524</v>
      </c>
      <c r="CH494" s="95" t="s">
        <v>1525</v>
      </c>
      <c r="CI494" s="96" t="s">
        <v>1526</v>
      </c>
      <c r="CJ494" s="97" t="s">
        <v>225</v>
      </c>
      <c r="CK494" s="98">
        <v>44350</v>
      </c>
      <c r="CL494" s="99" t="s">
        <v>153</v>
      </c>
      <c r="CM494" s="100" t="s">
        <v>153</v>
      </c>
      <c r="CN494" s="101" t="s">
        <v>190</v>
      </c>
      <c r="CO494" s="102" t="s">
        <v>153</v>
      </c>
      <c r="CP494" s="103" t="s">
        <v>153</v>
      </c>
      <c r="CQ494" s="104" t="s">
        <v>153</v>
      </c>
      <c r="CR494" s="105" t="s">
        <v>153</v>
      </c>
      <c r="CS494" s="106" t="s">
        <v>153</v>
      </c>
      <c r="CT494" s="107" t="s">
        <v>153</v>
      </c>
      <c r="CU494" s="108" t="s">
        <v>153</v>
      </c>
      <c r="CV494" s="109" t="s">
        <v>153</v>
      </c>
      <c r="CW494" s="110" t="s">
        <v>153</v>
      </c>
      <c r="CX494" s="111" t="s">
        <v>153</v>
      </c>
      <c r="CY494" s="112" t="s">
        <v>153</v>
      </c>
      <c r="CZ494" s="113" t="s">
        <v>153</v>
      </c>
      <c r="DA494" s="114" t="s">
        <v>153</v>
      </c>
      <c r="DB494" s="115" t="s">
        <v>153</v>
      </c>
      <c r="DC494" s="116" t="s">
        <v>153</v>
      </c>
      <c r="DD494" s="117" t="s">
        <v>153</v>
      </c>
      <c r="DE494" s="118" t="s">
        <v>153</v>
      </c>
      <c r="DF494" s="119" t="s">
        <v>153</v>
      </c>
      <c r="DG494" s="120" t="s">
        <v>153</v>
      </c>
      <c r="DH494" s="121" t="s">
        <v>153</v>
      </c>
      <c r="DI494" s="122" t="s">
        <v>153</v>
      </c>
      <c r="DJ494" s="123" t="s">
        <v>153</v>
      </c>
      <c r="DK494" s="124" t="s">
        <v>153</v>
      </c>
      <c r="DL494" s="125" t="s">
        <v>153</v>
      </c>
      <c r="DM494" s="126" t="s">
        <v>153</v>
      </c>
      <c r="DN494" s="127" t="s">
        <v>153</v>
      </c>
      <c r="DO494" s="128" t="s">
        <v>153</v>
      </c>
      <c r="DP494" s="129" t="s">
        <v>153</v>
      </c>
      <c r="DQ494" s="130" t="s">
        <v>153</v>
      </c>
      <c r="DR494" s="131" t="s">
        <v>153</v>
      </c>
      <c r="DS494" s="132" t="s">
        <v>153</v>
      </c>
      <c r="DT494" s="133" t="s">
        <v>153</v>
      </c>
      <c r="DU494" s="134" t="s">
        <v>153</v>
      </c>
      <c r="DV494" s="135" t="s">
        <v>153</v>
      </c>
      <c r="DW494" s="136" t="s">
        <v>153</v>
      </c>
      <c r="DX494" s="137" t="s">
        <v>153</v>
      </c>
      <c r="DY494" s="138" t="s">
        <v>153</v>
      </c>
      <c r="DZ494" s="139" t="s">
        <v>191</v>
      </c>
      <c r="EA494" s="140">
        <v>44356</v>
      </c>
      <c r="EB494" s="141">
        <v>8634.3799999999992</v>
      </c>
      <c r="EC494" s="142">
        <v>44350</v>
      </c>
      <c r="ED494" s="143" t="s">
        <v>1524</v>
      </c>
      <c r="EE494" s="278" t="str">
        <f>HYPERLINK("https://my.pitchbook.com?c=458694-64", "View company online")</f>
        <v>View company online</v>
      </c>
    </row>
    <row r="495" spans="1:135" x14ac:dyDescent="0.45">
      <c r="A495" s="144" t="s">
        <v>10231</v>
      </c>
      <c r="B495" s="145" t="s">
        <v>10232</v>
      </c>
      <c r="C495" s="146" t="s">
        <v>153</v>
      </c>
      <c r="D495" s="147" t="s">
        <v>153</v>
      </c>
      <c r="E495" s="148" t="s">
        <v>10233</v>
      </c>
      <c r="F495" s="149" t="s">
        <v>153</v>
      </c>
      <c r="G495" s="150" t="s">
        <v>153</v>
      </c>
      <c r="H495" s="151" t="s">
        <v>153</v>
      </c>
      <c r="I495" s="152" t="s">
        <v>10231</v>
      </c>
      <c r="J495" s="153" t="s">
        <v>10234</v>
      </c>
      <c r="K495" s="154" t="s">
        <v>232</v>
      </c>
      <c r="L495" s="155" t="s">
        <v>362</v>
      </c>
      <c r="M495" s="156" t="s">
        <v>4656</v>
      </c>
      <c r="N495" s="157" t="s">
        <v>4657</v>
      </c>
      <c r="O495" s="158" t="s">
        <v>153</v>
      </c>
      <c r="P495" s="159" t="s">
        <v>10235</v>
      </c>
      <c r="Q495" s="160" t="s">
        <v>367</v>
      </c>
      <c r="R495" s="161" t="s">
        <v>153</v>
      </c>
      <c r="S495" s="162" t="s">
        <v>290</v>
      </c>
      <c r="T495" s="163" t="s">
        <v>205</v>
      </c>
      <c r="U495" s="164" t="s">
        <v>237</v>
      </c>
      <c r="V495" s="165" t="s">
        <v>10236</v>
      </c>
      <c r="W495" s="166" t="s">
        <v>153</v>
      </c>
      <c r="X495" s="167" t="s">
        <v>153</v>
      </c>
      <c r="Y495" s="168" t="s">
        <v>153</v>
      </c>
      <c r="Z495" s="169" t="s">
        <v>153</v>
      </c>
      <c r="AA495" s="170" t="s">
        <v>153</v>
      </c>
      <c r="AB495" s="171" t="s">
        <v>153</v>
      </c>
      <c r="AC495" s="172" t="s">
        <v>153</v>
      </c>
      <c r="AD495" s="173" t="s">
        <v>153</v>
      </c>
      <c r="AE495" s="174" t="s">
        <v>153</v>
      </c>
      <c r="AF495" s="175" t="s">
        <v>153</v>
      </c>
      <c r="AG495" s="176" t="s">
        <v>153</v>
      </c>
      <c r="AH495" s="177" t="s">
        <v>153</v>
      </c>
      <c r="AI495" s="178" t="s">
        <v>153</v>
      </c>
      <c r="AJ495" s="179" t="s">
        <v>153</v>
      </c>
      <c r="AK495" s="180" t="s">
        <v>153</v>
      </c>
      <c r="AL495" s="181" t="s">
        <v>153</v>
      </c>
      <c r="AM495" s="182" t="s">
        <v>153</v>
      </c>
      <c r="AN495" s="183" t="s">
        <v>3331</v>
      </c>
      <c r="AO495" s="184" t="s">
        <v>10237</v>
      </c>
      <c r="AP495" s="185" t="s">
        <v>10238</v>
      </c>
      <c r="AQ495" s="186" t="s">
        <v>10239</v>
      </c>
      <c r="AR495" s="187" t="s">
        <v>10240</v>
      </c>
      <c r="AS495" s="188" t="s">
        <v>153</v>
      </c>
      <c r="AT495" s="189" t="s">
        <v>2540</v>
      </c>
      <c r="AU495" s="190" t="s">
        <v>10241</v>
      </c>
      <c r="AV495" s="191" t="s">
        <v>10242</v>
      </c>
      <c r="AW495" s="192" t="s">
        <v>2543</v>
      </c>
      <c r="AX495" s="193" t="s">
        <v>2544</v>
      </c>
      <c r="AY495" s="194" t="s">
        <v>10243</v>
      </c>
      <c r="AZ495" s="195" t="s">
        <v>2546</v>
      </c>
      <c r="BA495" s="196" t="s">
        <v>153</v>
      </c>
      <c r="BB495" s="197" t="s">
        <v>153</v>
      </c>
      <c r="BC495" s="198" t="s">
        <v>153</v>
      </c>
      <c r="BD495" s="199" t="s">
        <v>2547</v>
      </c>
      <c r="BE495" s="200" t="s">
        <v>2547</v>
      </c>
      <c r="BF495" s="201" t="s">
        <v>10244</v>
      </c>
      <c r="BG495" s="202" t="s">
        <v>153</v>
      </c>
      <c r="BH495" s="203" t="s">
        <v>153</v>
      </c>
      <c r="BI495" s="204" t="s">
        <v>10245</v>
      </c>
      <c r="BJ495" s="205" t="s">
        <v>153</v>
      </c>
      <c r="BK495" s="206" t="s">
        <v>153</v>
      </c>
      <c r="BL495" s="207" t="s">
        <v>153</v>
      </c>
      <c r="BM495" s="208" t="s">
        <v>153</v>
      </c>
      <c r="BN495" s="209" t="s">
        <v>153</v>
      </c>
      <c r="BO495" s="210" t="s">
        <v>153</v>
      </c>
      <c r="BP495" s="211" t="s">
        <v>10246</v>
      </c>
      <c r="BQ495" s="212">
        <v>34431</v>
      </c>
      <c r="BR495" s="213" t="s">
        <v>153</v>
      </c>
      <c r="BS495" s="214" t="s">
        <v>153</v>
      </c>
      <c r="BT495" s="215" t="s">
        <v>153</v>
      </c>
      <c r="BU495" s="216" t="s">
        <v>153</v>
      </c>
      <c r="BV495" s="217" t="s">
        <v>251</v>
      </c>
      <c r="BW495" s="218" t="s">
        <v>153</v>
      </c>
      <c r="BX495" s="219" t="s">
        <v>153</v>
      </c>
      <c r="BY495" s="220" t="s">
        <v>252</v>
      </c>
      <c r="BZ495" s="221" t="s">
        <v>153</v>
      </c>
      <c r="CA495" s="222" t="s">
        <v>190</v>
      </c>
      <c r="CB495" s="223">
        <v>42166</v>
      </c>
      <c r="CC495" s="224">
        <v>8621.4599999999991</v>
      </c>
      <c r="CD495" s="225" t="s">
        <v>186</v>
      </c>
      <c r="CE495" s="226">
        <v>8621.4599999999991</v>
      </c>
      <c r="CF495" s="227" t="s">
        <v>153</v>
      </c>
      <c r="CG495" s="228" t="s">
        <v>226</v>
      </c>
      <c r="CH495" s="229" t="s">
        <v>153</v>
      </c>
      <c r="CI495" s="230" t="s">
        <v>153</v>
      </c>
      <c r="CJ495" s="231" t="s">
        <v>225</v>
      </c>
      <c r="CK495" s="232">
        <v>42166</v>
      </c>
      <c r="CL495" s="233" t="s">
        <v>153</v>
      </c>
      <c r="CM495" s="234" t="s">
        <v>153</v>
      </c>
      <c r="CN495" s="235" t="s">
        <v>190</v>
      </c>
      <c r="CO495" s="236" t="s">
        <v>153</v>
      </c>
      <c r="CP495" s="237" t="s">
        <v>153</v>
      </c>
      <c r="CQ495" s="238" t="s">
        <v>153</v>
      </c>
      <c r="CR495" s="239" t="s">
        <v>153</v>
      </c>
      <c r="CS495" s="240" t="s">
        <v>153</v>
      </c>
      <c r="CT495" s="241" t="s">
        <v>153</v>
      </c>
      <c r="CU495" s="242" t="s">
        <v>153</v>
      </c>
      <c r="CV495" s="243" t="s">
        <v>153</v>
      </c>
      <c r="CW495" s="244" t="s">
        <v>153</v>
      </c>
      <c r="CX495" s="245" t="s">
        <v>153</v>
      </c>
      <c r="CY495" s="246" t="s">
        <v>153</v>
      </c>
      <c r="CZ495" s="247" t="s">
        <v>153</v>
      </c>
      <c r="DA495" s="248" t="s">
        <v>153</v>
      </c>
      <c r="DB495" s="249" t="s">
        <v>153</v>
      </c>
      <c r="DC495" s="250" t="s">
        <v>153</v>
      </c>
      <c r="DD495" s="251" t="s">
        <v>153</v>
      </c>
      <c r="DE495" s="252" t="s">
        <v>153</v>
      </c>
      <c r="DF495" s="253" t="s">
        <v>153</v>
      </c>
      <c r="DG495" s="254" t="s">
        <v>153</v>
      </c>
      <c r="DH495" s="255" t="s">
        <v>153</v>
      </c>
      <c r="DI495" s="256" t="s">
        <v>153</v>
      </c>
      <c r="DJ495" s="257" t="s">
        <v>153</v>
      </c>
      <c r="DK495" s="258" t="s">
        <v>153</v>
      </c>
      <c r="DL495" s="259" t="s">
        <v>153</v>
      </c>
      <c r="DM495" s="260" t="s">
        <v>153</v>
      </c>
      <c r="DN495" s="261" t="s">
        <v>153</v>
      </c>
      <c r="DO495" s="262" t="s">
        <v>153</v>
      </c>
      <c r="DP495" s="263" t="s">
        <v>153</v>
      </c>
      <c r="DQ495" s="264" t="s">
        <v>153</v>
      </c>
      <c r="DR495" s="265" t="s">
        <v>153</v>
      </c>
      <c r="DS495" s="266" t="s">
        <v>153</v>
      </c>
      <c r="DT495" s="267" t="s">
        <v>153</v>
      </c>
      <c r="DU495" s="268" t="s">
        <v>153</v>
      </c>
      <c r="DV495" s="269" t="s">
        <v>153</v>
      </c>
      <c r="DW495" s="270" t="s">
        <v>153</v>
      </c>
      <c r="DX495" s="271" t="s">
        <v>153</v>
      </c>
      <c r="DY495" s="272" t="s">
        <v>153</v>
      </c>
      <c r="DZ495" s="273" t="s">
        <v>191</v>
      </c>
      <c r="EA495" s="274">
        <v>44264</v>
      </c>
      <c r="EB495" s="275">
        <v>8621.4599999999991</v>
      </c>
      <c r="EC495" s="276">
        <v>42166</v>
      </c>
      <c r="ED495" s="277" t="s">
        <v>226</v>
      </c>
      <c r="EE495" s="279" t="str">
        <f>HYPERLINK("https://my.pitchbook.com?c=51433-75", "View company online")</f>
        <v>View company online</v>
      </c>
    </row>
    <row r="496" spans="1:135" x14ac:dyDescent="0.45">
      <c r="A496" s="10" t="s">
        <v>10247</v>
      </c>
      <c r="B496" s="11" t="s">
        <v>10248</v>
      </c>
      <c r="C496" s="12" t="s">
        <v>153</v>
      </c>
      <c r="D496" s="13" t="s">
        <v>153</v>
      </c>
      <c r="E496" s="14" t="s">
        <v>153</v>
      </c>
      <c r="F496" s="15" t="s">
        <v>10249</v>
      </c>
      <c r="G496" s="16" t="s">
        <v>10250</v>
      </c>
      <c r="H496" s="17" t="s">
        <v>10251</v>
      </c>
      <c r="I496" s="18" t="s">
        <v>10247</v>
      </c>
      <c r="J496" s="19" t="s">
        <v>10252</v>
      </c>
      <c r="K496" s="20" t="s">
        <v>792</v>
      </c>
      <c r="L496" s="21" t="s">
        <v>793</v>
      </c>
      <c r="M496" s="22" t="s">
        <v>1211</v>
      </c>
      <c r="N496" s="23" t="s">
        <v>10253</v>
      </c>
      <c r="O496" s="24" t="s">
        <v>796</v>
      </c>
      <c r="P496" s="25" t="s">
        <v>10254</v>
      </c>
      <c r="Q496" s="26" t="s">
        <v>204</v>
      </c>
      <c r="R496" s="27">
        <v>156.93</v>
      </c>
      <c r="S496" s="28" t="s">
        <v>290</v>
      </c>
      <c r="T496" s="29" t="s">
        <v>164</v>
      </c>
      <c r="U496" s="30" t="s">
        <v>369</v>
      </c>
      <c r="V496" s="31" t="s">
        <v>10255</v>
      </c>
      <c r="W496" s="32">
        <v>1404</v>
      </c>
      <c r="X496" s="33" t="s">
        <v>10256</v>
      </c>
      <c r="Y496" s="34" t="s">
        <v>153</v>
      </c>
      <c r="Z496" s="35" t="s">
        <v>153</v>
      </c>
      <c r="AA496" s="36">
        <v>2002</v>
      </c>
      <c r="AB496" s="37" t="s">
        <v>2826</v>
      </c>
      <c r="AC496" s="38" t="s">
        <v>153</v>
      </c>
      <c r="AD496" s="39" t="s">
        <v>153</v>
      </c>
      <c r="AE496" s="40" t="s">
        <v>153</v>
      </c>
      <c r="AF496" s="41" t="s">
        <v>153</v>
      </c>
      <c r="AG496" s="42" t="s">
        <v>153</v>
      </c>
      <c r="AH496" s="43" t="s">
        <v>153</v>
      </c>
      <c r="AI496" s="44" t="s">
        <v>153</v>
      </c>
      <c r="AJ496" s="45" t="s">
        <v>153</v>
      </c>
      <c r="AK496" s="46" t="s">
        <v>153</v>
      </c>
      <c r="AL496" s="47" t="s">
        <v>153</v>
      </c>
      <c r="AM496" s="48" t="s">
        <v>153</v>
      </c>
      <c r="AN496" s="49" t="s">
        <v>1595</v>
      </c>
      <c r="AO496" s="50" t="s">
        <v>10257</v>
      </c>
      <c r="AP496" s="51" t="s">
        <v>10258</v>
      </c>
      <c r="AQ496" s="52" t="s">
        <v>3351</v>
      </c>
      <c r="AR496" s="53" t="s">
        <v>10259</v>
      </c>
      <c r="AS496" s="54" t="s">
        <v>10260</v>
      </c>
      <c r="AT496" s="55" t="s">
        <v>1287</v>
      </c>
      <c r="AU496" s="56" t="s">
        <v>10261</v>
      </c>
      <c r="AV496" s="57" t="s">
        <v>10262</v>
      </c>
      <c r="AW496" s="58" t="s">
        <v>1290</v>
      </c>
      <c r="AX496" s="59" t="s">
        <v>1291</v>
      </c>
      <c r="AY496" s="60" t="s">
        <v>1292</v>
      </c>
      <c r="AZ496" s="61" t="s">
        <v>215</v>
      </c>
      <c r="BA496" s="62" t="s">
        <v>10260</v>
      </c>
      <c r="BB496" s="63" t="s">
        <v>10263</v>
      </c>
      <c r="BC496" s="64" t="s">
        <v>153</v>
      </c>
      <c r="BD496" s="65" t="s">
        <v>216</v>
      </c>
      <c r="BE496" s="66" t="s">
        <v>217</v>
      </c>
      <c r="BF496" s="67" t="s">
        <v>10264</v>
      </c>
      <c r="BG496" s="68" t="s">
        <v>153</v>
      </c>
      <c r="BH496" s="69" t="s">
        <v>153</v>
      </c>
      <c r="BI496" s="70" t="s">
        <v>2826</v>
      </c>
      <c r="BJ496" s="71" t="s">
        <v>10265</v>
      </c>
      <c r="BK496" s="72" t="s">
        <v>153</v>
      </c>
      <c r="BL496" s="73" t="s">
        <v>153</v>
      </c>
      <c r="BM496" s="74" t="s">
        <v>8695</v>
      </c>
      <c r="BN496" s="75" t="s">
        <v>153</v>
      </c>
      <c r="BO496" s="76" t="s">
        <v>10266</v>
      </c>
      <c r="BP496" s="77" t="s">
        <v>10267</v>
      </c>
      <c r="BQ496" s="78">
        <v>37397</v>
      </c>
      <c r="BR496" s="79">
        <v>43.05</v>
      </c>
      <c r="BS496" s="80" t="s">
        <v>186</v>
      </c>
      <c r="BT496" s="81">
        <v>43.05</v>
      </c>
      <c r="BU496" s="82" t="s">
        <v>187</v>
      </c>
      <c r="BV496" s="83" t="s">
        <v>251</v>
      </c>
      <c r="BW496" s="84" t="s">
        <v>153</v>
      </c>
      <c r="BX496" s="85" t="s">
        <v>153</v>
      </c>
      <c r="BY496" s="86" t="s">
        <v>252</v>
      </c>
      <c r="BZ496" s="87" t="s">
        <v>153</v>
      </c>
      <c r="CA496" s="88" t="s">
        <v>190</v>
      </c>
      <c r="CB496" s="89">
        <v>42342</v>
      </c>
      <c r="CC496" s="90">
        <v>8606</v>
      </c>
      <c r="CD496" s="91" t="s">
        <v>186</v>
      </c>
      <c r="CE496" s="92">
        <v>8606</v>
      </c>
      <c r="CF496" s="93" t="s">
        <v>187</v>
      </c>
      <c r="CG496" s="94" t="s">
        <v>226</v>
      </c>
      <c r="CH496" s="95" t="s">
        <v>153</v>
      </c>
      <c r="CI496" s="96" t="s">
        <v>153</v>
      </c>
      <c r="CJ496" s="97" t="s">
        <v>225</v>
      </c>
      <c r="CK496" s="98">
        <v>42342</v>
      </c>
      <c r="CL496" s="99" t="s">
        <v>153</v>
      </c>
      <c r="CM496" s="100" t="s">
        <v>153</v>
      </c>
      <c r="CN496" s="101" t="s">
        <v>190</v>
      </c>
      <c r="CO496" s="102">
        <v>0.15</v>
      </c>
      <c r="CP496" s="103">
        <v>90</v>
      </c>
      <c r="CQ496" s="104">
        <v>0</v>
      </c>
      <c r="CR496" s="105">
        <v>0</v>
      </c>
      <c r="CS496" s="106">
        <v>0.15</v>
      </c>
      <c r="CT496" s="107">
        <v>90</v>
      </c>
      <c r="CU496" s="108" t="s">
        <v>153</v>
      </c>
      <c r="CV496" s="109" t="s">
        <v>153</v>
      </c>
      <c r="CW496" s="110">
        <v>0</v>
      </c>
      <c r="CX496" s="111">
        <v>21</v>
      </c>
      <c r="CY496" s="112">
        <v>0.3</v>
      </c>
      <c r="CZ496" s="113">
        <v>93</v>
      </c>
      <c r="DA496" s="114" t="s">
        <v>153</v>
      </c>
      <c r="DB496" s="115" t="s">
        <v>153</v>
      </c>
      <c r="DC496" s="116">
        <v>7.08</v>
      </c>
      <c r="DD496" s="117">
        <v>89</v>
      </c>
      <c r="DE496" s="118">
        <v>0</v>
      </c>
      <c r="DF496" s="119">
        <v>0</v>
      </c>
      <c r="DG496" s="120">
        <v>7.08</v>
      </c>
      <c r="DH496" s="121">
        <v>88</v>
      </c>
      <c r="DI496" s="122" t="s">
        <v>153</v>
      </c>
      <c r="DJ496" s="123" t="s">
        <v>153</v>
      </c>
      <c r="DK496" s="124">
        <v>0.79</v>
      </c>
      <c r="DL496" s="125">
        <v>46</v>
      </c>
      <c r="DM496" s="126">
        <v>13.38</v>
      </c>
      <c r="DN496" s="127">
        <v>92</v>
      </c>
      <c r="DO496" s="128" t="s">
        <v>153</v>
      </c>
      <c r="DP496" s="129" t="s">
        <v>153</v>
      </c>
      <c r="DQ496" s="130">
        <v>446</v>
      </c>
      <c r="DR496" s="131">
        <v>86</v>
      </c>
      <c r="DS496" s="132">
        <v>23.89</v>
      </c>
      <c r="DT496" s="133">
        <v>214</v>
      </c>
      <c r="DU496" s="134">
        <v>0</v>
      </c>
      <c r="DV496" s="135">
        <v>0</v>
      </c>
      <c r="DW496" s="136" t="s">
        <v>153</v>
      </c>
      <c r="DX496" s="137" t="s">
        <v>153</v>
      </c>
      <c r="DY496" s="138" t="s">
        <v>153</v>
      </c>
      <c r="DZ496" s="139" t="s">
        <v>191</v>
      </c>
      <c r="EA496" s="140">
        <v>44291</v>
      </c>
      <c r="EB496" s="141">
        <v>8606</v>
      </c>
      <c r="EC496" s="142">
        <v>42342</v>
      </c>
      <c r="ED496" s="143" t="s">
        <v>226</v>
      </c>
      <c r="EE496" s="278" t="str">
        <f>HYPERLINK("https://my.pitchbook.com?c=42011-02", "View company online")</f>
        <v>View company online</v>
      </c>
    </row>
    <row r="497" spans="1:135" x14ac:dyDescent="0.45">
      <c r="A497" s="144" t="s">
        <v>10268</v>
      </c>
      <c r="B497" s="145" t="s">
        <v>10269</v>
      </c>
      <c r="C497" s="146" t="s">
        <v>153</v>
      </c>
      <c r="D497" s="147" t="s">
        <v>153</v>
      </c>
      <c r="E497" s="148" t="s">
        <v>153</v>
      </c>
      <c r="F497" s="149" t="s">
        <v>10270</v>
      </c>
      <c r="G497" s="150" t="s">
        <v>10271</v>
      </c>
      <c r="H497" s="151" t="s">
        <v>153</v>
      </c>
      <c r="I497" s="152" t="s">
        <v>10268</v>
      </c>
      <c r="J497" s="153" t="s">
        <v>10272</v>
      </c>
      <c r="K497" s="154" t="s">
        <v>198</v>
      </c>
      <c r="L497" s="155" t="s">
        <v>984</v>
      </c>
      <c r="M497" s="156" t="s">
        <v>4960</v>
      </c>
      <c r="N497" s="157" t="s">
        <v>4961</v>
      </c>
      <c r="O497" s="158" t="s">
        <v>1849</v>
      </c>
      <c r="P497" s="159" t="s">
        <v>10273</v>
      </c>
      <c r="Q497" s="160" t="s">
        <v>289</v>
      </c>
      <c r="R497" s="161">
        <v>61.83</v>
      </c>
      <c r="S497" s="162" t="s">
        <v>163</v>
      </c>
      <c r="T497" s="163" t="s">
        <v>205</v>
      </c>
      <c r="U497" s="164" t="s">
        <v>452</v>
      </c>
      <c r="V497" s="165" t="s">
        <v>10274</v>
      </c>
      <c r="W497" s="166">
        <v>43</v>
      </c>
      <c r="X497" s="167" t="s">
        <v>10275</v>
      </c>
      <c r="Y497" s="168" t="s">
        <v>153</v>
      </c>
      <c r="Z497" s="169" t="s">
        <v>153</v>
      </c>
      <c r="AA497" s="170">
        <v>1995</v>
      </c>
      <c r="AB497" s="171" t="s">
        <v>8707</v>
      </c>
      <c r="AC497" s="172" t="s">
        <v>153</v>
      </c>
      <c r="AD497" s="173" t="s">
        <v>153</v>
      </c>
      <c r="AE497" s="174" t="s">
        <v>153</v>
      </c>
      <c r="AF497" s="175" t="s">
        <v>153</v>
      </c>
      <c r="AG497" s="176" t="s">
        <v>153</v>
      </c>
      <c r="AH497" s="177" t="s">
        <v>153</v>
      </c>
      <c r="AI497" s="178" t="s">
        <v>153</v>
      </c>
      <c r="AJ497" s="179" t="s">
        <v>153</v>
      </c>
      <c r="AK497" s="180" t="s">
        <v>153</v>
      </c>
      <c r="AL497" s="181" t="s">
        <v>153</v>
      </c>
      <c r="AM497" s="182" t="s">
        <v>153</v>
      </c>
      <c r="AN497" s="183" t="s">
        <v>1144</v>
      </c>
      <c r="AO497" s="184" t="s">
        <v>153</v>
      </c>
      <c r="AP497" s="185" t="s">
        <v>153</v>
      </c>
      <c r="AQ497" s="186" t="s">
        <v>153</v>
      </c>
      <c r="AR497" s="187" t="s">
        <v>153</v>
      </c>
      <c r="AS497" s="188" t="s">
        <v>153</v>
      </c>
      <c r="AT497" s="189" t="s">
        <v>1379</v>
      </c>
      <c r="AU497" s="190" t="s">
        <v>10276</v>
      </c>
      <c r="AV497" s="191" t="s">
        <v>153</v>
      </c>
      <c r="AW497" s="192" t="s">
        <v>1380</v>
      </c>
      <c r="AX497" s="193" t="s">
        <v>308</v>
      </c>
      <c r="AY497" s="194" t="s">
        <v>4229</v>
      </c>
      <c r="AZ497" s="195" t="s">
        <v>215</v>
      </c>
      <c r="BA497" s="196" t="s">
        <v>153</v>
      </c>
      <c r="BB497" s="197" t="s">
        <v>153</v>
      </c>
      <c r="BC497" s="198" t="s">
        <v>153</v>
      </c>
      <c r="BD497" s="199" t="s">
        <v>216</v>
      </c>
      <c r="BE497" s="200" t="s">
        <v>217</v>
      </c>
      <c r="BF497" s="201" t="s">
        <v>10277</v>
      </c>
      <c r="BG497" s="202" t="s">
        <v>10278</v>
      </c>
      <c r="BH497" s="203">
        <v>6</v>
      </c>
      <c r="BI497" s="204" t="s">
        <v>8707</v>
      </c>
      <c r="BJ497" s="205" t="s">
        <v>10279</v>
      </c>
      <c r="BK497" s="206" t="s">
        <v>153</v>
      </c>
      <c r="BL497" s="207" t="s">
        <v>10280</v>
      </c>
      <c r="BM497" s="208" t="s">
        <v>10281</v>
      </c>
      <c r="BN497" s="209" t="s">
        <v>153</v>
      </c>
      <c r="BO497" s="210" t="s">
        <v>10282</v>
      </c>
      <c r="BP497" s="211" t="s">
        <v>10283</v>
      </c>
      <c r="BQ497" s="212">
        <v>35522</v>
      </c>
      <c r="BR497" s="213">
        <v>49.03</v>
      </c>
      <c r="BS497" s="214" t="s">
        <v>186</v>
      </c>
      <c r="BT497" s="215">
        <v>63.27</v>
      </c>
      <c r="BU497" s="216" t="s">
        <v>186</v>
      </c>
      <c r="BV497" s="217" t="s">
        <v>471</v>
      </c>
      <c r="BW497" s="218" t="s">
        <v>153</v>
      </c>
      <c r="BX497" s="219" t="s">
        <v>153</v>
      </c>
      <c r="BY497" s="220" t="s">
        <v>472</v>
      </c>
      <c r="BZ497" s="221" t="s">
        <v>153</v>
      </c>
      <c r="CA497" s="222" t="s">
        <v>190</v>
      </c>
      <c r="CB497" s="223">
        <v>39567</v>
      </c>
      <c r="CC497" s="224">
        <v>8600</v>
      </c>
      <c r="CD497" s="225" t="s">
        <v>186</v>
      </c>
      <c r="CE497" s="226">
        <v>8600</v>
      </c>
      <c r="CF497" s="227" t="s">
        <v>186</v>
      </c>
      <c r="CG497" s="228" t="s">
        <v>226</v>
      </c>
      <c r="CH497" s="229" t="s">
        <v>153</v>
      </c>
      <c r="CI497" s="230" t="s">
        <v>153</v>
      </c>
      <c r="CJ497" s="231" t="s">
        <v>225</v>
      </c>
      <c r="CK497" s="232">
        <v>39567</v>
      </c>
      <c r="CL497" s="233" t="s">
        <v>153</v>
      </c>
      <c r="CM497" s="234" t="s">
        <v>153</v>
      </c>
      <c r="CN497" s="235" t="s">
        <v>190</v>
      </c>
      <c r="CO497" s="236" t="s">
        <v>153</v>
      </c>
      <c r="CP497" s="237" t="s">
        <v>153</v>
      </c>
      <c r="CQ497" s="238" t="s">
        <v>153</v>
      </c>
      <c r="CR497" s="239" t="s">
        <v>153</v>
      </c>
      <c r="CS497" s="240" t="s">
        <v>153</v>
      </c>
      <c r="CT497" s="241" t="s">
        <v>153</v>
      </c>
      <c r="CU497" s="242" t="s">
        <v>153</v>
      </c>
      <c r="CV497" s="243" t="s">
        <v>153</v>
      </c>
      <c r="CW497" s="244" t="s">
        <v>153</v>
      </c>
      <c r="CX497" s="245" t="s">
        <v>153</v>
      </c>
      <c r="CY497" s="246" t="s">
        <v>153</v>
      </c>
      <c r="CZ497" s="247" t="s">
        <v>153</v>
      </c>
      <c r="DA497" s="248" t="s">
        <v>153</v>
      </c>
      <c r="DB497" s="249" t="s">
        <v>153</v>
      </c>
      <c r="DC497" s="250" t="s">
        <v>153</v>
      </c>
      <c r="DD497" s="251" t="s">
        <v>153</v>
      </c>
      <c r="DE497" s="252" t="s">
        <v>153</v>
      </c>
      <c r="DF497" s="253" t="s">
        <v>153</v>
      </c>
      <c r="DG497" s="254" t="s">
        <v>153</v>
      </c>
      <c r="DH497" s="255" t="s">
        <v>153</v>
      </c>
      <c r="DI497" s="256" t="s">
        <v>153</v>
      </c>
      <c r="DJ497" s="257" t="s">
        <v>153</v>
      </c>
      <c r="DK497" s="258" t="s">
        <v>153</v>
      </c>
      <c r="DL497" s="259" t="s">
        <v>153</v>
      </c>
      <c r="DM497" s="260" t="s">
        <v>153</v>
      </c>
      <c r="DN497" s="261" t="s">
        <v>153</v>
      </c>
      <c r="DO497" s="262" t="s">
        <v>153</v>
      </c>
      <c r="DP497" s="263" t="s">
        <v>153</v>
      </c>
      <c r="DQ497" s="264" t="s">
        <v>153</v>
      </c>
      <c r="DR497" s="265" t="s">
        <v>153</v>
      </c>
      <c r="DS497" s="266" t="s">
        <v>153</v>
      </c>
      <c r="DT497" s="267" t="s">
        <v>153</v>
      </c>
      <c r="DU497" s="268" t="s">
        <v>153</v>
      </c>
      <c r="DV497" s="269" t="s">
        <v>153</v>
      </c>
      <c r="DW497" s="270" t="s">
        <v>153</v>
      </c>
      <c r="DX497" s="271" t="s">
        <v>153</v>
      </c>
      <c r="DY497" s="272" t="s">
        <v>153</v>
      </c>
      <c r="DZ497" s="273" t="s">
        <v>191</v>
      </c>
      <c r="EA497" s="274">
        <v>44294</v>
      </c>
      <c r="EB497" s="275">
        <v>8600</v>
      </c>
      <c r="EC497" s="276">
        <v>39567</v>
      </c>
      <c r="ED497" s="277" t="s">
        <v>226</v>
      </c>
      <c r="EE497" s="279" t="str">
        <f>HYPERLINK("https://my.pitchbook.com?c=10379-89", "View company online")</f>
        <v>View company online</v>
      </c>
    </row>
    <row r="498" spans="1:135" x14ac:dyDescent="0.45">
      <c r="A498" s="10" t="s">
        <v>10284</v>
      </c>
      <c r="B498" s="11" t="s">
        <v>10285</v>
      </c>
      <c r="C498" s="12" t="s">
        <v>153</v>
      </c>
      <c r="D498" s="13" t="s">
        <v>153</v>
      </c>
      <c r="E498" s="14" t="s">
        <v>153</v>
      </c>
      <c r="F498" s="15" t="s">
        <v>10286</v>
      </c>
      <c r="G498" s="16" t="s">
        <v>10287</v>
      </c>
      <c r="H498" s="17" t="s">
        <v>10288</v>
      </c>
      <c r="I498" s="18" t="s">
        <v>10284</v>
      </c>
      <c r="J498" s="19" t="s">
        <v>10289</v>
      </c>
      <c r="K498" s="20" t="s">
        <v>792</v>
      </c>
      <c r="L498" s="21" t="s">
        <v>841</v>
      </c>
      <c r="M498" s="22" t="s">
        <v>2326</v>
      </c>
      <c r="N498" s="23" t="s">
        <v>2327</v>
      </c>
      <c r="O498" s="24" t="s">
        <v>796</v>
      </c>
      <c r="P498" s="25" t="s">
        <v>10290</v>
      </c>
      <c r="Q498" s="26" t="s">
        <v>204</v>
      </c>
      <c r="R498" s="27" t="s">
        <v>153</v>
      </c>
      <c r="S498" s="28" t="s">
        <v>163</v>
      </c>
      <c r="T498" s="29" t="s">
        <v>205</v>
      </c>
      <c r="U498" s="30" t="s">
        <v>369</v>
      </c>
      <c r="V498" s="31" t="s">
        <v>153</v>
      </c>
      <c r="W498" s="32">
        <v>1355</v>
      </c>
      <c r="X498" s="33" t="s">
        <v>10291</v>
      </c>
      <c r="Y498" s="34" t="s">
        <v>153</v>
      </c>
      <c r="Z498" s="35" t="s">
        <v>153</v>
      </c>
      <c r="AA498" s="36">
        <v>2002</v>
      </c>
      <c r="AB498" s="37" t="s">
        <v>153</v>
      </c>
      <c r="AC498" s="38" t="s">
        <v>153</v>
      </c>
      <c r="AD498" s="39" t="s">
        <v>153</v>
      </c>
      <c r="AE498" s="40">
        <v>3985.2</v>
      </c>
      <c r="AF498" s="41">
        <v>918</v>
      </c>
      <c r="AG498" s="42" t="s">
        <v>153</v>
      </c>
      <c r="AH498" s="43" t="s">
        <v>153</v>
      </c>
      <c r="AI498" s="44">
        <v>663</v>
      </c>
      <c r="AJ498" s="45">
        <v>27.8</v>
      </c>
      <c r="AK498" s="46" t="s">
        <v>153</v>
      </c>
      <c r="AL498" s="47">
        <v>4588.2</v>
      </c>
      <c r="AM498" s="48">
        <v>-42.7</v>
      </c>
      <c r="AN498" s="49" t="s">
        <v>5929</v>
      </c>
      <c r="AO498" s="50" t="s">
        <v>153</v>
      </c>
      <c r="AP498" s="51" t="s">
        <v>153</v>
      </c>
      <c r="AQ498" s="52" t="s">
        <v>153</v>
      </c>
      <c r="AR498" s="53" t="s">
        <v>153</v>
      </c>
      <c r="AS498" s="54" t="s">
        <v>153</v>
      </c>
      <c r="AT498" s="55" t="s">
        <v>3124</v>
      </c>
      <c r="AU498" s="56" t="s">
        <v>10292</v>
      </c>
      <c r="AV498" s="57" t="s">
        <v>10293</v>
      </c>
      <c r="AW498" s="58" t="s">
        <v>3126</v>
      </c>
      <c r="AX498" s="59" t="s">
        <v>1128</v>
      </c>
      <c r="AY498" s="60" t="s">
        <v>3950</v>
      </c>
      <c r="AZ498" s="61" t="s">
        <v>215</v>
      </c>
      <c r="BA498" s="62" t="s">
        <v>153</v>
      </c>
      <c r="BB498" s="63" t="s">
        <v>153</v>
      </c>
      <c r="BC498" s="64" t="s">
        <v>153</v>
      </c>
      <c r="BD498" s="65" t="s">
        <v>216</v>
      </c>
      <c r="BE498" s="66" t="s">
        <v>217</v>
      </c>
      <c r="BF498" s="67" t="s">
        <v>10294</v>
      </c>
      <c r="BG498" s="68" t="s">
        <v>10295</v>
      </c>
      <c r="BH498" s="69">
        <v>1</v>
      </c>
      <c r="BI498" s="70" t="s">
        <v>10296</v>
      </c>
      <c r="BJ498" s="71" t="s">
        <v>10297</v>
      </c>
      <c r="BK498" s="72" t="s">
        <v>153</v>
      </c>
      <c r="BL498" s="73" t="s">
        <v>10298</v>
      </c>
      <c r="BM498" s="74" t="s">
        <v>10299</v>
      </c>
      <c r="BN498" s="75" t="s">
        <v>153</v>
      </c>
      <c r="BO498" s="76" t="s">
        <v>10300</v>
      </c>
      <c r="BP498" s="77" t="s">
        <v>10301</v>
      </c>
      <c r="BQ498" s="78">
        <v>37602</v>
      </c>
      <c r="BR498" s="79" t="s">
        <v>153</v>
      </c>
      <c r="BS498" s="80" t="s">
        <v>153</v>
      </c>
      <c r="BT498" s="81" t="s">
        <v>153</v>
      </c>
      <c r="BU498" s="82" t="s">
        <v>153</v>
      </c>
      <c r="BV498" s="83" t="s">
        <v>251</v>
      </c>
      <c r="BW498" s="84" t="s">
        <v>153</v>
      </c>
      <c r="BX498" s="85" t="s">
        <v>153</v>
      </c>
      <c r="BY498" s="86" t="s">
        <v>252</v>
      </c>
      <c r="BZ498" s="87" t="s">
        <v>153</v>
      </c>
      <c r="CA498" s="88" t="s">
        <v>190</v>
      </c>
      <c r="CB498" s="89">
        <v>43490</v>
      </c>
      <c r="CC498" s="90">
        <v>8600</v>
      </c>
      <c r="CD498" s="91" t="s">
        <v>186</v>
      </c>
      <c r="CE498" s="92">
        <v>10983.39</v>
      </c>
      <c r="CF498" s="93" t="s">
        <v>187</v>
      </c>
      <c r="CG498" s="94" t="s">
        <v>226</v>
      </c>
      <c r="CH498" s="95" t="s">
        <v>153</v>
      </c>
      <c r="CI498" s="96" t="s">
        <v>153</v>
      </c>
      <c r="CJ498" s="97" t="s">
        <v>225</v>
      </c>
      <c r="CK498" s="98">
        <v>43490</v>
      </c>
      <c r="CL498" s="99" t="s">
        <v>153</v>
      </c>
      <c r="CM498" s="100" t="s">
        <v>153</v>
      </c>
      <c r="CN498" s="101" t="s">
        <v>190</v>
      </c>
      <c r="CO498" s="102" t="s">
        <v>153</v>
      </c>
      <c r="CP498" s="103" t="s">
        <v>153</v>
      </c>
      <c r="CQ498" s="104" t="s">
        <v>153</v>
      </c>
      <c r="CR498" s="105" t="s">
        <v>153</v>
      </c>
      <c r="CS498" s="106" t="s">
        <v>153</v>
      </c>
      <c r="CT498" s="107" t="s">
        <v>153</v>
      </c>
      <c r="CU498" s="108" t="s">
        <v>153</v>
      </c>
      <c r="CV498" s="109" t="s">
        <v>153</v>
      </c>
      <c r="CW498" s="110" t="s">
        <v>153</v>
      </c>
      <c r="CX498" s="111" t="s">
        <v>153</v>
      </c>
      <c r="CY498" s="112" t="s">
        <v>153</v>
      </c>
      <c r="CZ498" s="113" t="s">
        <v>153</v>
      </c>
      <c r="DA498" s="114" t="s">
        <v>153</v>
      </c>
      <c r="DB498" s="115" t="s">
        <v>153</v>
      </c>
      <c r="DC498" s="116" t="s">
        <v>153</v>
      </c>
      <c r="DD498" s="117" t="s">
        <v>153</v>
      </c>
      <c r="DE498" s="118" t="s">
        <v>153</v>
      </c>
      <c r="DF498" s="119" t="s">
        <v>153</v>
      </c>
      <c r="DG498" s="120" t="s">
        <v>153</v>
      </c>
      <c r="DH498" s="121" t="s">
        <v>153</v>
      </c>
      <c r="DI498" s="122" t="s">
        <v>153</v>
      </c>
      <c r="DJ498" s="123" t="s">
        <v>153</v>
      </c>
      <c r="DK498" s="124" t="s">
        <v>153</v>
      </c>
      <c r="DL498" s="125" t="s">
        <v>153</v>
      </c>
      <c r="DM498" s="126" t="s">
        <v>153</v>
      </c>
      <c r="DN498" s="127" t="s">
        <v>153</v>
      </c>
      <c r="DO498" s="128" t="s">
        <v>153</v>
      </c>
      <c r="DP498" s="129" t="s">
        <v>153</v>
      </c>
      <c r="DQ498" s="130" t="s">
        <v>153</v>
      </c>
      <c r="DR498" s="131" t="s">
        <v>153</v>
      </c>
      <c r="DS498" s="132" t="s">
        <v>153</v>
      </c>
      <c r="DT498" s="133" t="s">
        <v>153</v>
      </c>
      <c r="DU498" s="134" t="s">
        <v>153</v>
      </c>
      <c r="DV498" s="135" t="s">
        <v>153</v>
      </c>
      <c r="DW498" s="136" t="s">
        <v>153</v>
      </c>
      <c r="DX498" s="137" t="s">
        <v>153</v>
      </c>
      <c r="DY498" s="138" t="s">
        <v>153</v>
      </c>
      <c r="DZ498" s="139" t="s">
        <v>191</v>
      </c>
      <c r="EA498" s="140">
        <v>44321</v>
      </c>
      <c r="EB498" s="141">
        <v>10983.39</v>
      </c>
      <c r="EC498" s="142">
        <v>43490</v>
      </c>
      <c r="ED498" s="143" t="s">
        <v>226</v>
      </c>
      <c r="EE498" s="278" t="str">
        <f>HYPERLINK("https://my.pitchbook.com?c=42121-99", "View company online")</f>
        <v>View company online</v>
      </c>
    </row>
    <row r="499" spans="1:135" x14ac:dyDescent="0.45">
      <c r="A499" s="144" t="s">
        <v>10302</v>
      </c>
      <c r="B499" s="145" t="s">
        <v>10303</v>
      </c>
      <c r="C499" s="146" t="s">
        <v>153</v>
      </c>
      <c r="D499" s="147" t="s">
        <v>153</v>
      </c>
      <c r="E499" s="148" t="s">
        <v>10304</v>
      </c>
      <c r="F499" s="149" t="s">
        <v>10305</v>
      </c>
      <c r="G499" s="150" t="s">
        <v>10306</v>
      </c>
      <c r="H499" s="151" t="s">
        <v>10307</v>
      </c>
      <c r="I499" s="152" t="s">
        <v>10302</v>
      </c>
      <c r="J499" s="153" t="s">
        <v>10308</v>
      </c>
      <c r="K499" s="154" t="s">
        <v>559</v>
      </c>
      <c r="L499" s="155" t="s">
        <v>1345</v>
      </c>
      <c r="M499" s="156" t="s">
        <v>8571</v>
      </c>
      <c r="N499" s="157" t="s">
        <v>10309</v>
      </c>
      <c r="O499" s="158" t="s">
        <v>153</v>
      </c>
      <c r="P499" s="159" t="s">
        <v>10310</v>
      </c>
      <c r="Q499" s="160" t="s">
        <v>367</v>
      </c>
      <c r="R499" s="161" t="s">
        <v>153</v>
      </c>
      <c r="S499" s="162" t="s">
        <v>163</v>
      </c>
      <c r="T499" s="163" t="s">
        <v>205</v>
      </c>
      <c r="U499" s="164" t="s">
        <v>237</v>
      </c>
      <c r="V499" s="165" t="s">
        <v>10311</v>
      </c>
      <c r="W499" s="166">
        <v>1352</v>
      </c>
      <c r="X499" s="167" t="s">
        <v>10312</v>
      </c>
      <c r="Y499" s="168" t="s">
        <v>153</v>
      </c>
      <c r="Z499" s="169" t="s">
        <v>153</v>
      </c>
      <c r="AA499" s="170">
        <v>1972</v>
      </c>
      <c r="AB499" s="171" t="s">
        <v>153</v>
      </c>
      <c r="AC499" s="172" t="s">
        <v>153</v>
      </c>
      <c r="AD499" s="173" t="s">
        <v>153</v>
      </c>
      <c r="AE499" s="174" t="s">
        <v>153</v>
      </c>
      <c r="AF499" s="175" t="s">
        <v>153</v>
      </c>
      <c r="AG499" s="176" t="s">
        <v>153</v>
      </c>
      <c r="AH499" s="177" t="s">
        <v>153</v>
      </c>
      <c r="AI499" s="178" t="s">
        <v>153</v>
      </c>
      <c r="AJ499" s="179" t="s">
        <v>153</v>
      </c>
      <c r="AK499" s="180" t="s">
        <v>153</v>
      </c>
      <c r="AL499" s="181" t="s">
        <v>153</v>
      </c>
      <c r="AM499" s="182" t="s">
        <v>153</v>
      </c>
      <c r="AN499" s="183" t="s">
        <v>403</v>
      </c>
      <c r="AO499" s="184" t="s">
        <v>10313</v>
      </c>
      <c r="AP499" s="185" t="s">
        <v>10314</v>
      </c>
      <c r="AQ499" s="186" t="s">
        <v>1241</v>
      </c>
      <c r="AR499" s="187" t="s">
        <v>153</v>
      </c>
      <c r="AS499" s="188" t="s">
        <v>153</v>
      </c>
      <c r="AT499" s="189" t="s">
        <v>10315</v>
      </c>
      <c r="AU499" s="190" t="s">
        <v>10316</v>
      </c>
      <c r="AV499" s="191" t="s">
        <v>10317</v>
      </c>
      <c r="AW499" s="192" t="s">
        <v>10318</v>
      </c>
      <c r="AX499" s="193" t="s">
        <v>10319</v>
      </c>
      <c r="AY499" s="194" t="s">
        <v>10320</v>
      </c>
      <c r="AZ499" s="195" t="s">
        <v>215</v>
      </c>
      <c r="BA499" s="196" t="s">
        <v>153</v>
      </c>
      <c r="BB499" s="197" t="s">
        <v>153</v>
      </c>
      <c r="BC499" s="198" t="s">
        <v>153</v>
      </c>
      <c r="BD499" s="199" t="s">
        <v>216</v>
      </c>
      <c r="BE499" s="200" t="s">
        <v>217</v>
      </c>
      <c r="BF499" s="201" t="s">
        <v>10321</v>
      </c>
      <c r="BG499" s="202" t="s">
        <v>153</v>
      </c>
      <c r="BH499" s="203" t="s">
        <v>153</v>
      </c>
      <c r="BI499" s="204" t="s">
        <v>8567</v>
      </c>
      <c r="BJ499" s="205" t="s">
        <v>153</v>
      </c>
      <c r="BK499" s="206" t="s">
        <v>153</v>
      </c>
      <c r="BL499" s="207" t="s">
        <v>153</v>
      </c>
      <c r="BM499" s="208" t="s">
        <v>153</v>
      </c>
      <c r="BN499" s="209" t="s">
        <v>153</v>
      </c>
      <c r="BO499" s="210" t="s">
        <v>153</v>
      </c>
      <c r="BP499" s="211" t="s">
        <v>153</v>
      </c>
      <c r="BQ499" s="212">
        <v>32958</v>
      </c>
      <c r="BR499" s="213" t="s">
        <v>153</v>
      </c>
      <c r="BS499" s="214" t="s">
        <v>153</v>
      </c>
      <c r="BT499" s="215" t="s">
        <v>153</v>
      </c>
      <c r="BU499" s="216" t="s">
        <v>153</v>
      </c>
      <c r="BV499" s="217" t="s">
        <v>251</v>
      </c>
      <c r="BW499" s="218" t="s">
        <v>153</v>
      </c>
      <c r="BX499" s="219" t="s">
        <v>153</v>
      </c>
      <c r="BY499" s="220" t="s">
        <v>252</v>
      </c>
      <c r="BZ499" s="221" t="s">
        <v>153</v>
      </c>
      <c r="CA499" s="222" t="s">
        <v>190</v>
      </c>
      <c r="CB499" s="223">
        <v>38295</v>
      </c>
      <c r="CC499" s="224">
        <v>8600</v>
      </c>
      <c r="CD499" s="225" t="s">
        <v>186</v>
      </c>
      <c r="CE499" s="226">
        <v>8600</v>
      </c>
      <c r="CF499" s="227" t="s">
        <v>187</v>
      </c>
      <c r="CG499" s="228" t="s">
        <v>226</v>
      </c>
      <c r="CH499" s="229" t="s">
        <v>153</v>
      </c>
      <c r="CI499" s="230" t="s">
        <v>153</v>
      </c>
      <c r="CJ499" s="231" t="s">
        <v>225</v>
      </c>
      <c r="CK499" s="232">
        <v>38295</v>
      </c>
      <c r="CL499" s="233" t="s">
        <v>153</v>
      </c>
      <c r="CM499" s="234" t="s">
        <v>153</v>
      </c>
      <c r="CN499" s="235" t="s">
        <v>190</v>
      </c>
      <c r="CO499" s="236" t="s">
        <v>153</v>
      </c>
      <c r="CP499" s="237" t="s">
        <v>153</v>
      </c>
      <c r="CQ499" s="238" t="s">
        <v>153</v>
      </c>
      <c r="CR499" s="239" t="s">
        <v>153</v>
      </c>
      <c r="CS499" s="240" t="s">
        <v>153</v>
      </c>
      <c r="CT499" s="241" t="s">
        <v>153</v>
      </c>
      <c r="CU499" s="242" t="s">
        <v>153</v>
      </c>
      <c r="CV499" s="243" t="s">
        <v>153</v>
      </c>
      <c r="CW499" s="244" t="s">
        <v>153</v>
      </c>
      <c r="CX499" s="245" t="s">
        <v>153</v>
      </c>
      <c r="CY499" s="246" t="s">
        <v>153</v>
      </c>
      <c r="CZ499" s="247" t="s">
        <v>153</v>
      </c>
      <c r="DA499" s="248" t="s">
        <v>153</v>
      </c>
      <c r="DB499" s="249" t="s">
        <v>153</v>
      </c>
      <c r="DC499" s="250" t="s">
        <v>153</v>
      </c>
      <c r="DD499" s="251" t="s">
        <v>153</v>
      </c>
      <c r="DE499" s="252" t="s">
        <v>153</v>
      </c>
      <c r="DF499" s="253" t="s">
        <v>153</v>
      </c>
      <c r="DG499" s="254" t="s">
        <v>153</v>
      </c>
      <c r="DH499" s="255" t="s">
        <v>153</v>
      </c>
      <c r="DI499" s="256" t="s">
        <v>153</v>
      </c>
      <c r="DJ499" s="257" t="s">
        <v>153</v>
      </c>
      <c r="DK499" s="258" t="s">
        <v>153</v>
      </c>
      <c r="DL499" s="259" t="s">
        <v>153</v>
      </c>
      <c r="DM499" s="260" t="s">
        <v>153</v>
      </c>
      <c r="DN499" s="261" t="s">
        <v>153</v>
      </c>
      <c r="DO499" s="262" t="s">
        <v>153</v>
      </c>
      <c r="DP499" s="263" t="s">
        <v>153</v>
      </c>
      <c r="DQ499" s="264" t="s">
        <v>153</v>
      </c>
      <c r="DR499" s="265" t="s">
        <v>153</v>
      </c>
      <c r="DS499" s="266" t="s">
        <v>153</v>
      </c>
      <c r="DT499" s="267" t="s">
        <v>153</v>
      </c>
      <c r="DU499" s="268" t="s">
        <v>153</v>
      </c>
      <c r="DV499" s="269" t="s">
        <v>153</v>
      </c>
      <c r="DW499" s="270" t="s">
        <v>153</v>
      </c>
      <c r="DX499" s="271" t="s">
        <v>153</v>
      </c>
      <c r="DY499" s="272" t="s">
        <v>153</v>
      </c>
      <c r="DZ499" s="273" t="s">
        <v>191</v>
      </c>
      <c r="EA499" s="274">
        <v>44217</v>
      </c>
      <c r="EB499" s="275">
        <v>8600</v>
      </c>
      <c r="EC499" s="276">
        <v>38295</v>
      </c>
      <c r="ED499" s="277" t="s">
        <v>226</v>
      </c>
      <c r="EE499" s="279" t="str">
        <f>HYPERLINK("https://my.pitchbook.com?c=151584-85", "View company online")</f>
        <v>View company online</v>
      </c>
    </row>
    <row r="500" spans="1:135" x14ac:dyDescent="0.45">
      <c r="A500" s="10" t="s">
        <v>10322</v>
      </c>
      <c r="B500" s="11" t="s">
        <v>10323</v>
      </c>
      <c r="C500" s="12" t="s">
        <v>153</v>
      </c>
      <c r="D500" s="13" t="s">
        <v>153</v>
      </c>
      <c r="E500" s="14" t="s">
        <v>153</v>
      </c>
      <c r="F500" s="15" t="s">
        <v>10324</v>
      </c>
      <c r="G500" s="16" t="s">
        <v>10325</v>
      </c>
      <c r="H500" s="17" t="s">
        <v>10326</v>
      </c>
      <c r="I500" s="18" t="s">
        <v>10322</v>
      </c>
      <c r="J500" s="19" t="s">
        <v>10327</v>
      </c>
      <c r="K500" s="20" t="s">
        <v>198</v>
      </c>
      <c r="L500" s="21" t="s">
        <v>984</v>
      </c>
      <c r="M500" s="22" t="s">
        <v>2281</v>
      </c>
      <c r="N500" s="23" t="s">
        <v>10328</v>
      </c>
      <c r="O500" s="24" t="s">
        <v>5594</v>
      </c>
      <c r="P500" s="25" t="s">
        <v>10329</v>
      </c>
      <c r="Q500" s="26" t="s">
        <v>564</v>
      </c>
      <c r="R500" s="27">
        <v>4</v>
      </c>
      <c r="S500" s="28" t="s">
        <v>290</v>
      </c>
      <c r="T500" s="29" t="s">
        <v>205</v>
      </c>
      <c r="U500" s="30" t="s">
        <v>10330</v>
      </c>
      <c r="V500" s="31" t="s">
        <v>10331</v>
      </c>
      <c r="W500" s="32" t="s">
        <v>153</v>
      </c>
      <c r="X500" s="33" t="s">
        <v>153</v>
      </c>
      <c r="Y500" s="34" t="s">
        <v>153</v>
      </c>
      <c r="Z500" s="35" t="s">
        <v>153</v>
      </c>
      <c r="AA500" s="36" t="s">
        <v>153</v>
      </c>
      <c r="AB500" s="37" t="s">
        <v>153</v>
      </c>
      <c r="AC500" s="38" t="s">
        <v>428</v>
      </c>
      <c r="AD500" s="39" t="s">
        <v>508</v>
      </c>
      <c r="AE500" s="40" t="s">
        <v>153</v>
      </c>
      <c r="AF500" s="41" t="s">
        <v>153</v>
      </c>
      <c r="AG500" s="42" t="s">
        <v>153</v>
      </c>
      <c r="AH500" s="43" t="s">
        <v>153</v>
      </c>
      <c r="AI500" s="44" t="s">
        <v>153</v>
      </c>
      <c r="AJ500" s="45" t="s">
        <v>153</v>
      </c>
      <c r="AK500" s="46" t="s">
        <v>153</v>
      </c>
      <c r="AL500" s="47" t="s">
        <v>153</v>
      </c>
      <c r="AM500" s="48" t="s">
        <v>153</v>
      </c>
      <c r="AN500" s="49" t="s">
        <v>484</v>
      </c>
      <c r="AO500" s="50" t="s">
        <v>10332</v>
      </c>
      <c r="AP500" s="51" t="s">
        <v>10333</v>
      </c>
      <c r="AQ500" s="52" t="s">
        <v>5090</v>
      </c>
      <c r="AR500" s="53" t="s">
        <v>10334</v>
      </c>
      <c r="AS500" s="54" t="s">
        <v>153</v>
      </c>
      <c r="AT500" s="55" t="s">
        <v>10335</v>
      </c>
      <c r="AU500" s="56" t="s">
        <v>10336</v>
      </c>
      <c r="AV500" s="57" t="s">
        <v>10337</v>
      </c>
      <c r="AW500" s="58" t="s">
        <v>10338</v>
      </c>
      <c r="AX500" s="59" t="s">
        <v>153</v>
      </c>
      <c r="AY500" s="60" t="s">
        <v>10339</v>
      </c>
      <c r="AZ500" s="61" t="s">
        <v>10338</v>
      </c>
      <c r="BA500" s="62" t="s">
        <v>10340</v>
      </c>
      <c r="BB500" s="63" t="s">
        <v>10341</v>
      </c>
      <c r="BC500" s="64" t="s">
        <v>153</v>
      </c>
      <c r="BD500" s="65" t="s">
        <v>180</v>
      </c>
      <c r="BE500" s="66" t="s">
        <v>181</v>
      </c>
      <c r="BF500" s="67" t="s">
        <v>10342</v>
      </c>
      <c r="BG500" s="68" t="s">
        <v>153</v>
      </c>
      <c r="BH500" s="69" t="s">
        <v>153</v>
      </c>
      <c r="BI500" s="70" t="s">
        <v>2373</v>
      </c>
      <c r="BJ500" s="71" t="s">
        <v>10343</v>
      </c>
      <c r="BK500" s="72" t="s">
        <v>153</v>
      </c>
      <c r="BL500" s="73" t="s">
        <v>153</v>
      </c>
      <c r="BM500" s="74" t="s">
        <v>10344</v>
      </c>
      <c r="BN500" s="75" t="s">
        <v>153</v>
      </c>
      <c r="BO500" s="76" t="s">
        <v>10345</v>
      </c>
      <c r="BP500" s="77" t="s">
        <v>10346</v>
      </c>
      <c r="BQ500" s="78">
        <v>37530</v>
      </c>
      <c r="BR500" s="79">
        <v>0.25</v>
      </c>
      <c r="BS500" s="80" t="s">
        <v>186</v>
      </c>
      <c r="BT500" s="81">
        <v>5</v>
      </c>
      <c r="BU500" s="82" t="s">
        <v>186</v>
      </c>
      <c r="BV500" s="83" t="s">
        <v>1007</v>
      </c>
      <c r="BW500" s="84" t="s">
        <v>1007</v>
      </c>
      <c r="BX500" s="85" t="s">
        <v>153</v>
      </c>
      <c r="BY500" s="86" t="s">
        <v>472</v>
      </c>
      <c r="BZ500" s="87" t="s">
        <v>153</v>
      </c>
      <c r="CA500" s="88" t="s">
        <v>190</v>
      </c>
      <c r="CB500" s="89">
        <v>40829</v>
      </c>
      <c r="CC500" s="90">
        <v>8600</v>
      </c>
      <c r="CD500" s="91" t="s">
        <v>186</v>
      </c>
      <c r="CE500" s="92">
        <v>8600</v>
      </c>
      <c r="CF500" s="93" t="s">
        <v>186</v>
      </c>
      <c r="CG500" s="94" t="s">
        <v>226</v>
      </c>
      <c r="CH500" s="95" t="s">
        <v>153</v>
      </c>
      <c r="CI500" s="96" t="s">
        <v>153</v>
      </c>
      <c r="CJ500" s="97" t="s">
        <v>225</v>
      </c>
      <c r="CK500" s="98">
        <v>40829</v>
      </c>
      <c r="CL500" s="99" t="s">
        <v>153</v>
      </c>
      <c r="CM500" s="100" t="s">
        <v>153</v>
      </c>
      <c r="CN500" s="101" t="s">
        <v>190</v>
      </c>
      <c r="CO500" s="102" t="s">
        <v>153</v>
      </c>
      <c r="CP500" s="103" t="s">
        <v>153</v>
      </c>
      <c r="CQ500" s="104" t="s">
        <v>153</v>
      </c>
      <c r="CR500" s="105" t="s">
        <v>153</v>
      </c>
      <c r="CS500" s="106" t="s">
        <v>153</v>
      </c>
      <c r="CT500" s="107" t="s">
        <v>153</v>
      </c>
      <c r="CU500" s="108" t="s">
        <v>153</v>
      </c>
      <c r="CV500" s="109" t="s">
        <v>153</v>
      </c>
      <c r="CW500" s="110" t="s">
        <v>153</v>
      </c>
      <c r="CX500" s="111" t="s">
        <v>153</v>
      </c>
      <c r="CY500" s="112" t="s">
        <v>153</v>
      </c>
      <c r="CZ500" s="113" t="s">
        <v>153</v>
      </c>
      <c r="DA500" s="114" t="s">
        <v>153</v>
      </c>
      <c r="DB500" s="115" t="s">
        <v>153</v>
      </c>
      <c r="DC500" s="116" t="s">
        <v>153</v>
      </c>
      <c r="DD500" s="117" t="s">
        <v>153</v>
      </c>
      <c r="DE500" s="118" t="s">
        <v>153</v>
      </c>
      <c r="DF500" s="119" t="s">
        <v>153</v>
      </c>
      <c r="DG500" s="120" t="s">
        <v>153</v>
      </c>
      <c r="DH500" s="121" t="s">
        <v>153</v>
      </c>
      <c r="DI500" s="122" t="s">
        <v>153</v>
      </c>
      <c r="DJ500" s="123" t="s">
        <v>153</v>
      </c>
      <c r="DK500" s="124" t="s">
        <v>153</v>
      </c>
      <c r="DL500" s="125" t="s">
        <v>153</v>
      </c>
      <c r="DM500" s="126" t="s">
        <v>153</v>
      </c>
      <c r="DN500" s="127" t="s">
        <v>153</v>
      </c>
      <c r="DO500" s="128" t="s">
        <v>153</v>
      </c>
      <c r="DP500" s="129" t="s">
        <v>153</v>
      </c>
      <c r="DQ500" s="130" t="s">
        <v>153</v>
      </c>
      <c r="DR500" s="131" t="s">
        <v>153</v>
      </c>
      <c r="DS500" s="132" t="s">
        <v>153</v>
      </c>
      <c r="DT500" s="133" t="s">
        <v>153</v>
      </c>
      <c r="DU500" s="134" t="s">
        <v>153</v>
      </c>
      <c r="DV500" s="135" t="s">
        <v>153</v>
      </c>
      <c r="DW500" s="136" t="s">
        <v>153</v>
      </c>
      <c r="DX500" s="137" t="s">
        <v>153</v>
      </c>
      <c r="DY500" s="138" t="s">
        <v>153</v>
      </c>
      <c r="DZ500" s="139" t="s">
        <v>191</v>
      </c>
      <c r="EA500" s="140">
        <v>44316</v>
      </c>
      <c r="EB500" s="141">
        <v>8600</v>
      </c>
      <c r="EC500" s="142">
        <v>40829</v>
      </c>
      <c r="ED500" s="143" t="s">
        <v>226</v>
      </c>
      <c r="EE500" s="278" t="str">
        <f>HYPERLINK("https://my.pitchbook.com?c=40617-19", "View company online")</f>
        <v>View company online</v>
      </c>
    </row>
    <row r="501" spans="1:135" x14ac:dyDescent="0.45">
      <c r="A501" s="144" t="s">
        <v>10347</v>
      </c>
      <c r="B501" s="145" t="s">
        <v>10348</v>
      </c>
      <c r="C501" s="146" t="s">
        <v>153</v>
      </c>
      <c r="D501" s="147" t="s">
        <v>153</v>
      </c>
      <c r="E501" s="148" t="s">
        <v>10349</v>
      </c>
      <c r="F501" s="149" t="s">
        <v>10350</v>
      </c>
      <c r="G501" s="150" t="s">
        <v>10351</v>
      </c>
      <c r="H501" s="151" t="s">
        <v>10352</v>
      </c>
      <c r="I501" s="152" t="s">
        <v>10347</v>
      </c>
      <c r="J501" s="153" t="s">
        <v>10353</v>
      </c>
      <c r="K501" s="154" t="s">
        <v>198</v>
      </c>
      <c r="L501" s="155" t="s">
        <v>199</v>
      </c>
      <c r="M501" s="156" t="s">
        <v>344</v>
      </c>
      <c r="N501" s="157" t="s">
        <v>345</v>
      </c>
      <c r="O501" s="158" t="s">
        <v>399</v>
      </c>
      <c r="P501" s="159" t="s">
        <v>10354</v>
      </c>
      <c r="Q501" s="160" t="s">
        <v>367</v>
      </c>
      <c r="R501" s="161">
        <v>49000</v>
      </c>
      <c r="S501" s="162" t="s">
        <v>290</v>
      </c>
      <c r="T501" s="163" t="s">
        <v>291</v>
      </c>
      <c r="U501" s="164" t="s">
        <v>10355</v>
      </c>
      <c r="V501" s="165" t="s">
        <v>10356</v>
      </c>
      <c r="W501" s="166">
        <v>132200</v>
      </c>
      <c r="X501" s="167" t="s">
        <v>10357</v>
      </c>
      <c r="Y501" s="168" t="s">
        <v>372</v>
      </c>
      <c r="Z501" s="169" t="s">
        <v>10358</v>
      </c>
      <c r="AA501" s="170" t="s">
        <v>153</v>
      </c>
      <c r="AB501" s="171" t="s">
        <v>153</v>
      </c>
      <c r="AC501" s="172" t="s">
        <v>4965</v>
      </c>
      <c r="AD501" s="173" t="s">
        <v>6785</v>
      </c>
      <c r="AE501" s="174">
        <v>132866</v>
      </c>
      <c r="AF501" s="175">
        <v>77933</v>
      </c>
      <c r="AG501" s="176">
        <v>19990</v>
      </c>
      <c r="AH501" s="177">
        <v>403017.99</v>
      </c>
      <c r="AI501" s="178">
        <v>47629</v>
      </c>
      <c r="AJ501" s="179">
        <v>31046</v>
      </c>
      <c r="AK501" s="180">
        <v>231346.98</v>
      </c>
      <c r="AL501" s="181">
        <v>174501</v>
      </c>
      <c r="AM501" s="182">
        <v>2.42</v>
      </c>
      <c r="AN501" s="183" t="s">
        <v>299</v>
      </c>
      <c r="AO501" s="184" t="s">
        <v>10359</v>
      </c>
      <c r="AP501" s="185" t="s">
        <v>10360</v>
      </c>
      <c r="AQ501" s="186" t="s">
        <v>2721</v>
      </c>
      <c r="AR501" s="187" t="s">
        <v>153</v>
      </c>
      <c r="AS501" s="188" t="s">
        <v>10361</v>
      </c>
      <c r="AT501" s="189" t="s">
        <v>433</v>
      </c>
      <c r="AU501" s="190" t="s">
        <v>10362</v>
      </c>
      <c r="AV501" s="191" t="s">
        <v>153</v>
      </c>
      <c r="AW501" s="192" t="s">
        <v>436</v>
      </c>
      <c r="AX501" s="193" t="s">
        <v>436</v>
      </c>
      <c r="AY501" s="194" t="s">
        <v>515</v>
      </c>
      <c r="AZ501" s="195" t="s">
        <v>215</v>
      </c>
      <c r="BA501" s="196" t="s">
        <v>10363</v>
      </c>
      <c r="BB501" s="197" t="s">
        <v>153</v>
      </c>
      <c r="BC501" s="198" t="s">
        <v>153</v>
      </c>
      <c r="BD501" s="199" t="s">
        <v>216</v>
      </c>
      <c r="BE501" s="200" t="s">
        <v>217</v>
      </c>
      <c r="BF501" s="201" t="s">
        <v>10364</v>
      </c>
      <c r="BG501" s="202" t="s">
        <v>10365</v>
      </c>
      <c r="BH501" s="203">
        <v>2</v>
      </c>
      <c r="BI501" s="204" t="s">
        <v>153</v>
      </c>
      <c r="BJ501" s="205" t="s">
        <v>10366</v>
      </c>
      <c r="BK501" s="206" t="s">
        <v>153</v>
      </c>
      <c r="BL501" s="207" t="s">
        <v>10367</v>
      </c>
      <c r="BM501" s="208" t="s">
        <v>10368</v>
      </c>
      <c r="BN501" s="209" t="s">
        <v>153</v>
      </c>
      <c r="BO501" s="210" t="s">
        <v>10369</v>
      </c>
      <c r="BP501" s="211" t="s">
        <v>10370</v>
      </c>
      <c r="BQ501" s="212">
        <v>30641</v>
      </c>
      <c r="BR501" s="213" t="s">
        <v>153</v>
      </c>
      <c r="BS501" s="214" t="s">
        <v>153</v>
      </c>
      <c r="BT501" s="215" t="s">
        <v>153</v>
      </c>
      <c r="BU501" s="216" t="s">
        <v>153</v>
      </c>
      <c r="BV501" s="217" t="s">
        <v>251</v>
      </c>
      <c r="BW501" s="218" t="s">
        <v>153</v>
      </c>
      <c r="BX501" s="219" t="s">
        <v>153</v>
      </c>
      <c r="BY501" s="220" t="s">
        <v>252</v>
      </c>
      <c r="BZ501" s="221" t="s">
        <v>153</v>
      </c>
      <c r="CA501" s="222" t="s">
        <v>190</v>
      </c>
      <c r="CB501" s="223">
        <v>44243</v>
      </c>
      <c r="CC501" s="224">
        <v>8600</v>
      </c>
      <c r="CD501" s="225" t="s">
        <v>186</v>
      </c>
      <c r="CE501" s="226" t="s">
        <v>153</v>
      </c>
      <c r="CF501" s="227" t="s">
        <v>153</v>
      </c>
      <c r="CG501" s="228" t="s">
        <v>906</v>
      </c>
      <c r="CH501" s="229" t="s">
        <v>153</v>
      </c>
      <c r="CI501" s="230" t="s">
        <v>153</v>
      </c>
      <c r="CJ501" s="231" t="s">
        <v>225</v>
      </c>
      <c r="CK501" s="232">
        <v>44243</v>
      </c>
      <c r="CL501" s="233" t="s">
        <v>153</v>
      </c>
      <c r="CM501" s="234" t="s">
        <v>153</v>
      </c>
      <c r="CN501" s="235" t="s">
        <v>190</v>
      </c>
      <c r="CO501" s="236">
        <v>0.47</v>
      </c>
      <c r="CP501" s="237">
        <v>93</v>
      </c>
      <c r="CQ501" s="238">
        <v>0</v>
      </c>
      <c r="CR501" s="239">
        <v>-0.97</v>
      </c>
      <c r="CS501" s="240">
        <v>1.28</v>
      </c>
      <c r="CT501" s="241">
        <v>96</v>
      </c>
      <c r="CU501" s="242">
        <v>-0.13</v>
      </c>
      <c r="CV501" s="243">
        <v>13</v>
      </c>
      <c r="CW501" s="244">
        <v>2.39</v>
      </c>
      <c r="CX501" s="245">
        <v>87</v>
      </c>
      <c r="CY501" s="246">
        <v>0.17</v>
      </c>
      <c r="CZ501" s="247">
        <v>91</v>
      </c>
      <c r="DA501" s="248">
        <v>-0.13</v>
      </c>
      <c r="DB501" s="249">
        <v>13</v>
      </c>
      <c r="DC501" s="250">
        <v>5407.61</v>
      </c>
      <c r="DD501" s="251">
        <v>100</v>
      </c>
      <c r="DE501" s="252">
        <v>13.2</v>
      </c>
      <c r="DF501" s="253">
        <v>0.24</v>
      </c>
      <c r="DG501" s="254">
        <v>10962.32</v>
      </c>
      <c r="DH501" s="255">
        <v>100</v>
      </c>
      <c r="DI501" s="256">
        <v>5258.05</v>
      </c>
      <c r="DJ501" s="257">
        <v>100</v>
      </c>
      <c r="DK501" s="258">
        <v>18304.52</v>
      </c>
      <c r="DL501" s="259">
        <v>100</v>
      </c>
      <c r="DM501" s="260">
        <v>3620.13</v>
      </c>
      <c r="DN501" s="261">
        <v>100</v>
      </c>
      <c r="DO501" s="262">
        <v>5258.05</v>
      </c>
      <c r="DP501" s="263">
        <v>100</v>
      </c>
      <c r="DQ501" s="264">
        <v>10801004</v>
      </c>
      <c r="DR501" s="265">
        <v>196438</v>
      </c>
      <c r="DS501" s="266">
        <v>1.85</v>
      </c>
      <c r="DT501" s="267">
        <v>57838</v>
      </c>
      <c r="DU501" s="268">
        <v>218</v>
      </c>
      <c r="DV501" s="269">
        <v>0.38</v>
      </c>
      <c r="DW501" s="270">
        <v>1651329</v>
      </c>
      <c r="DX501" s="271">
        <v>-1101</v>
      </c>
      <c r="DY501" s="272">
        <v>-7.0000000000000007E-2</v>
      </c>
      <c r="DZ501" s="273" t="s">
        <v>191</v>
      </c>
      <c r="EA501" s="274">
        <v>44402</v>
      </c>
      <c r="EB501" s="275" t="s">
        <v>153</v>
      </c>
      <c r="EC501" s="276" t="s">
        <v>153</v>
      </c>
      <c r="ED501" s="277" t="s">
        <v>153</v>
      </c>
      <c r="EE501" s="279" t="str">
        <f>HYPERLINK("https://my.pitchbook.com?c=10995-40", "View company online")</f>
        <v>View company online</v>
      </c>
    </row>
    <row r="502" spans="1:135" x14ac:dyDescent="0.45">
      <c r="A502" s="10" t="s">
        <v>10371</v>
      </c>
      <c r="B502" s="11" t="s">
        <v>10372</v>
      </c>
      <c r="C502" s="12" t="s">
        <v>153</v>
      </c>
      <c r="D502" s="13" t="s">
        <v>153</v>
      </c>
      <c r="E502" s="14" t="s">
        <v>153</v>
      </c>
      <c r="F502" s="15" t="s">
        <v>10373</v>
      </c>
      <c r="G502" s="16" t="s">
        <v>10374</v>
      </c>
      <c r="H502" s="17" t="s">
        <v>153</v>
      </c>
      <c r="I502" s="18" t="s">
        <v>10371</v>
      </c>
      <c r="J502" s="19" t="s">
        <v>10375</v>
      </c>
      <c r="K502" s="20" t="s">
        <v>792</v>
      </c>
      <c r="L502" s="21" t="s">
        <v>841</v>
      </c>
      <c r="M502" s="22" t="s">
        <v>913</v>
      </c>
      <c r="N502" s="23" t="s">
        <v>10376</v>
      </c>
      <c r="O502" s="24" t="s">
        <v>796</v>
      </c>
      <c r="P502" s="25" t="s">
        <v>153</v>
      </c>
      <c r="Q502" s="26" t="s">
        <v>204</v>
      </c>
      <c r="R502" s="27" t="s">
        <v>153</v>
      </c>
      <c r="S502" s="28" t="s">
        <v>163</v>
      </c>
      <c r="T502" s="29" t="s">
        <v>205</v>
      </c>
      <c r="U502" s="30" t="s">
        <v>206</v>
      </c>
      <c r="V502" s="31" t="s">
        <v>153</v>
      </c>
      <c r="W502" s="32" t="s">
        <v>153</v>
      </c>
      <c r="X502" s="33" t="s">
        <v>153</v>
      </c>
      <c r="Y502" s="34" t="s">
        <v>153</v>
      </c>
      <c r="Z502" s="35" t="s">
        <v>153</v>
      </c>
      <c r="AA502" s="36">
        <v>2004</v>
      </c>
      <c r="AB502" s="37" t="s">
        <v>153</v>
      </c>
      <c r="AC502" s="38" t="s">
        <v>153</v>
      </c>
      <c r="AD502" s="39" t="s">
        <v>153</v>
      </c>
      <c r="AE502" s="40" t="s">
        <v>153</v>
      </c>
      <c r="AF502" s="41" t="s">
        <v>153</v>
      </c>
      <c r="AG502" s="42" t="s">
        <v>153</v>
      </c>
      <c r="AH502" s="43" t="s">
        <v>153</v>
      </c>
      <c r="AI502" s="44" t="s">
        <v>153</v>
      </c>
      <c r="AJ502" s="45" t="s">
        <v>153</v>
      </c>
      <c r="AK502" s="46" t="s">
        <v>153</v>
      </c>
      <c r="AL502" s="47" t="s">
        <v>153</v>
      </c>
      <c r="AM502" s="48" t="s">
        <v>153</v>
      </c>
      <c r="AN502" s="49" t="s">
        <v>153</v>
      </c>
      <c r="AO502" s="50" t="s">
        <v>10377</v>
      </c>
      <c r="AP502" s="51" t="s">
        <v>10378</v>
      </c>
      <c r="AQ502" s="52" t="s">
        <v>512</v>
      </c>
      <c r="AR502" s="53" t="s">
        <v>153</v>
      </c>
      <c r="AS502" s="54" t="s">
        <v>153</v>
      </c>
      <c r="AT502" s="55" t="s">
        <v>7074</v>
      </c>
      <c r="AU502" s="56" t="s">
        <v>10379</v>
      </c>
      <c r="AV502" s="57" t="s">
        <v>10380</v>
      </c>
      <c r="AW502" s="58" t="s">
        <v>6555</v>
      </c>
      <c r="AX502" s="59" t="s">
        <v>153</v>
      </c>
      <c r="AY502" s="60" t="s">
        <v>153</v>
      </c>
      <c r="AZ502" s="61" t="s">
        <v>6555</v>
      </c>
      <c r="BA502" s="62" t="s">
        <v>153</v>
      </c>
      <c r="BB502" s="63" t="s">
        <v>153</v>
      </c>
      <c r="BC502" s="64" t="s">
        <v>153</v>
      </c>
      <c r="BD502" s="65" t="s">
        <v>1406</v>
      </c>
      <c r="BE502" s="66" t="s">
        <v>1407</v>
      </c>
      <c r="BF502" s="67" t="s">
        <v>10381</v>
      </c>
      <c r="BG502" s="68" t="s">
        <v>153</v>
      </c>
      <c r="BH502" s="69" t="s">
        <v>153</v>
      </c>
      <c r="BI502" s="70" t="s">
        <v>10382</v>
      </c>
      <c r="BJ502" s="71" t="s">
        <v>10383</v>
      </c>
      <c r="BK502" s="72" t="s">
        <v>153</v>
      </c>
      <c r="BL502" s="73" t="s">
        <v>153</v>
      </c>
      <c r="BM502" s="74" t="s">
        <v>153</v>
      </c>
      <c r="BN502" s="75" t="s">
        <v>153</v>
      </c>
      <c r="BO502" s="76" t="s">
        <v>1990</v>
      </c>
      <c r="BP502" s="77" t="s">
        <v>153</v>
      </c>
      <c r="BQ502" s="78">
        <v>37987</v>
      </c>
      <c r="BR502" s="79" t="s">
        <v>153</v>
      </c>
      <c r="BS502" s="80" t="s">
        <v>153</v>
      </c>
      <c r="BT502" s="81" t="s">
        <v>153</v>
      </c>
      <c r="BU502" s="82" t="s">
        <v>153</v>
      </c>
      <c r="BV502" s="83" t="s">
        <v>224</v>
      </c>
      <c r="BW502" s="84" t="s">
        <v>153</v>
      </c>
      <c r="BX502" s="85" t="s">
        <v>153</v>
      </c>
      <c r="BY502" s="86" t="s">
        <v>321</v>
      </c>
      <c r="BZ502" s="87" t="s">
        <v>153</v>
      </c>
      <c r="CA502" s="88" t="s">
        <v>190</v>
      </c>
      <c r="CB502" s="89">
        <v>40451</v>
      </c>
      <c r="CC502" s="90">
        <v>8544.07</v>
      </c>
      <c r="CD502" s="91" t="s">
        <v>186</v>
      </c>
      <c r="CE502" s="92">
        <v>15534.65</v>
      </c>
      <c r="CF502" s="93" t="s">
        <v>186</v>
      </c>
      <c r="CG502" s="94" t="s">
        <v>226</v>
      </c>
      <c r="CH502" s="95" t="s">
        <v>729</v>
      </c>
      <c r="CI502" s="96" t="s">
        <v>153</v>
      </c>
      <c r="CJ502" s="97" t="s">
        <v>225</v>
      </c>
      <c r="CK502" s="98">
        <v>40451</v>
      </c>
      <c r="CL502" s="99" t="s">
        <v>153</v>
      </c>
      <c r="CM502" s="100" t="s">
        <v>153</v>
      </c>
      <c r="CN502" s="101" t="s">
        <v>190</v>
      </c>
      <c r="CO502" s="102" t="s">
        <v>153</v>
      </c>
      <c r="CP502" s="103" t="s">
        <v>153</v>
      </c>
      <c r="CQ502" s="104" t="s">
        <v>153</v>
      </c>
      <c r="CR502" s="105" t="s">
        <v>153</v>
      </c>
      <c r="CS502" s="106" t="s">
        <v>153</v>
      </c>
      <c r="CT502" s="107" t="s">
        <v>153</v>
      </c>
      <c r="CU502" s="108" t="s">
        <v>153</v>
      </c>
      <c r="CV502" s="109" t="s">
        <v>153</v>
      </c>
      <c r="CW502" s="110" t="s">
        <v>153</v>
      </c>
      <c r="CX502" s="111" t="s">
        <v>153</v>
      </c>
      <c r="CY502" s="112" t="s">
        <v>153</v>
      </c>
      <c r="CZ502" s="113" t="s">
        <v>153</v>
      </c>
      <c r="DA502" s="114" t="s">
        <v>153</v>
      </c>
      <c r="DB502" s="115" t="s">
        <v>153</v>
      </c>
      <c r="DC502" s="116" t="s">
        <v>153</v>
      </c>
      <c r="DD502" s="117" t="s">
        <v>153</v>
      </c>
      <c r="DE502" s="118" t="s">
        <v>153</v>
      </c>
      <c r="DF502" s="119" t="s">
        <v>153</v>
      </c>
      <c r="DG502" s="120" t="s">
        <v>153</v>
      </c>
      <c r="DH502" s="121" t="s">
        <v>153</v>
      </c>
      <c r="DI502" s="122" t="s">
        <v>153</v>
      </c>
      <c r="DJ502" s="123" t="s">
        <v>153</v>
      </c>
      <c r="DK502" s="124" t="s">
        <v>153</v>
      </c>
      <c r="DL502" s="125" t="s">
        <v>153</v>
      </c>
      <c r="DM502" s="126" t="s">
        <v>153</v>
      </c>
      <c r="DN502" s="127" t="s">
        <v>153</v>
      </c>
      <c r="DO502" s="128" t="s">
        <v>153</v>
      </c>
      <c r="DP502" s="129" t="s">
        <v>153</v>
      </c>
      <c r="DQ502" s="130" t="s">
        <v>153</v>
      </c>
      <c r="DR502" s="131" t="s">
        <v>153</v>
      </c>
      <c r="DS502" s="132" t="s">
        <v>153</v>
      </c>
      <c r="DT502" s="133" t="s">
        <v>153</v>
      </c>
      <c r="DU502" s="134" t="s">
        <v>153</v>
      </c>
      <c r="DV502" s="135" t="s">
        <v>153</v>
      </c>
      <c r="DW502" s="136" t="s">
        <v>153</v>
      </c>
      <c r="DX502" s="137" t="s">
        <v>153</v>
      </c>
      <c r="DY502" s="138" t="s">
        <v>153</v>
      </c>
      <c r="DZ502" s="139" t="s">
        <v>191</v>
      </c>
      <c r="EA502" s="140">
        <v>44147</v>
      </c>
      <c r="EB502" s="141">
        <v>15534.65</v>
      </c>
      <c r="EC502" s="142">
        <v>40451</v>
      </c>
      <c r="ED502" s="143" t="s">
        <v>226</v>
      </c>
      <c r="EE502" s="278" t="str">
        <f>HYPERLINK("https://my.pitchbook.com?c=119353-78", "View company online")</f>
        <v>View company online</v>
      </c>
    </row>
    <row r="503" spans="1:135" x14ac:dyDescent="0.45">
      <c r="A503" s="144" t="s">
        <v>10384</v>
      </c>
      <c r="B503" s="145" t="s">
        <v>10385</v>
      </c>
      <c r="C503" s="146" t="s">
        <v>153</v>
      </c>
      <c r="D503" s="147" t="s">
        <v>153</v>
      </c>
      <c r="E503" s="148" t="s">
        <v>153</v>
      </c>
      <c r="F503" s="149" t="s">
        <v>153</v>
      </c>
      <c r="G503" s="150" t="s">
        <v>153</v>
      </c>
      <c r="H503" s="151" t="s">
        <v>153</v>
      </c>
      <c r="I503" s="152" t="s">
        <v>10384</v>
      </c>
      <c r="J503" s="153" t="s">
        <v>10386</v>
      </c>
      <c r="K503" s="154" t="s">
        <v>882</v>
      </c>
      <c r="L503" s="155" t="s">
        <v>2888</v>
      </c>
      <c r="M503" s="156" t="s">
        <v>2889</v>
      </c>
      <c r="N503" s="157" t="s">
        <v>10387</v>
      </c>
      <c r="O503" s="158" t="s">
        <v>450</v>
      </c>
      <c r="P503" s="159" t="s">
        <v>10388</v>
      </c>
      <c r="Q503" s="160" t="s">
        <v>204</v>
      </c>
      <c r="R503" s="161" t="s">
        <v>153</v>
      </c>
      <c r="S503" s="162" t="s">
        <v>153</v>
      </c>
      <c r="T503" s="163" t="s">
        <v>205</v>
      </c>
      <c r="U503" s="164" t="s">
        <v>206</v>
      </c>
      <c r="V503" s="165" t="s">
        <v>153</v>
      </c>
      <c r="W503" s="166" t="s">
        <v>153</v>
      </c>
      <c r="X503" s="167" t="s">
        <v>153</v>
      </c>
      <c r="Y503" s="168" t="s">
        <v>153</v>
      </c>
      <c r="Z503" s="169" t="s">
        <v>153</v>
      </c>
      <c r="AA503" s="170" t="s">
        <v>153</v>
      </c>
      <c r="AB503" s="171" t="s">
        <v>153</v>
      </c>
      <c r="AC503" s="172" t="s">
        <v>153</v>
      </c>
      <c r="AD503" s="173" t="s">
        <v>153</v>
      </c>
      <c r="AE503" s="174" t="s">
        <v>153</v>
      </c>
      <c r="AF503" s="175" t="s">
        <v>153</v>
      </c>
      <c r="AG503" s="176" t="s">
        <v>153</v>
      </c>
      <c r="AH503" s="177" t="s">
        <v>153</v>
      </c>
      <c r="AI503" s="178" t="s">
        <v>153</v>
      </c>
      <c r="AJ503" s="179" t="s">
        <v>153</v>
      </c>
      <c r="AK503" s="180" t="s">
        <v>153</v>
      </c>
      <c r="AL503" s="181" t="s">
        <v>153</v>
      </c>
      <c r="AM503" s="182" t="s">
        <v>153</v>
      </c>
      <c r="AN503" s="183" t="s">
        <v>868</v>
      </c>
      <c r="AO503" s="184" t="s">
        <v>153</v>
      </c>
      <c r="AP503" s="185" t="s">
        <v>153</v>
      </c>
      <c r="AQ503" s="186" t="s">
        <v>153</v>
      </c>
      <c r="AR503" s="187" t="s">
        <v>153</v>
      </c>
      <c r="AS503" s="188" t="s">
        <v>153</v>
      </c>
      <c r="AT503" s="189" t="s">
        <v>7051</v>
      </c>
      <c r="AU503" s="190" t="s">
        <v>10389</v>
      </c>
      <c r="AV503" s="191" t="s">
        <v>10390</v>
      </c>
      <c r="AW503" s="192" t="s">
        <v>3452</v>
      </c>
      <c r="AX503" s="193" t="s">
        <v>177</v>
      </c>
      <c r="AY503" s="194" t="s">
        <v>10391</v>
      </c>
      <c r="AZ503" s="195" t="s">
        <v>179</v>
      </c>
      <c r="BA503" s="196" t="s">
        <v>153</v>
      </c>
      <c r="BB503" s="197" t="s">
        <v>153</v>
      </c>
      <c r="BC503" s="198" t="s">
        <v>153</v>
      </c>
      <c r="BD503" s="199" t="s">
        <v>180</v>
      </c>
      <c r="BE503" s="200" t="s">
        <v>181</v>
      </c>
      <c r="BF503" s="201" t="s">
        <v>10392</v>
      </c>
      <c r="BG503" s="202" t="s">
        <v>153</v>
      </c>
      <c r="BH503" s="203" t="s">
        <v>153</v>
      </c>
      <c r="BI503" s="204" t="s">
        <v>1201</v>
      </c>
      <c r="BJ503" s="205" t="s">
        <v>1465</v>
      </c>
      <c r="BK503" s="206" t="s">
        <v>153</v>
      </c>
      <c r="BL503" s="207" t="s">
        <v>153</v>
      </c>
      <c r="BM503" s="208" t="s">
        <v>2271</v>
      </c>
      <c r="BN503" s="209" t="s">
        <v>153</v>
      </c>
      <c r="BO503" s="210" t="s">
        <v>153</v>
      </c>
      <c r="BP503" s="211" t="s">
        <v>153</v>
      </c>
      <c r="BQ503" s="212">
        <v>42942</v>
      </c>
      <c r="BR503" s="213">
        <v>8500</v>
      </c>
      <c r="BS503" s="214" t="s">
        <v>186</v>
      </c>
      <c r="BT503" s="215">
        <v>8500</v>
      </c>
      <c r="BU503" s="216" t="s">
        <v>186</v>
      </c>
      <c r="BV503" s="217" t="s">
        <v>1524</v>
      </c>
      <c r="BW503" s="218" t="s">
        <v>1525</v>
      </c>
      <c r="BX503" s="219" t="s">
        <v>1526</v>
      </c>
      <c r="BY503" s="220" t="s">
        <v>225</v>
      </c>
      <c r="BZ503" s="221" t="s">
        <v>153</v>
      </c>
      <c r="CA503" s="222" t="s">
        <v>190</v>
      </c>
      <c r="CB503" s="223">
        <v>42942</v>
      </c>
      <c r="CC503" s="224">
        <v>8500</v>
      </c>
      <c r="CD503" s="225" t="s">
        <v>186</v>
      </c>
      <c r="CE503" s="226">
        <v>8500</v>
      </c>
      <c r="CF503" s="227" t="s">
        <v>186</v>
      </c>
      <c r="CG503" s="228" t="s">
        <v>1524</v>
      </c>
      <c r="CH503" s="229" t="s">
        <v>1525</v>
      </c>
      <c r="CI503" s="230" t="s">
        <v>1526</v>
      </c>
      <c r="CJ503" s="231" t="s">
        <v>225</v>
      </c>
      <c r="CK503" s="232">
        <v>42942</v>
      </c>
      <c r="CL503" s="233" t="s">
        <v>153</v>
      </c>
      <c r="CM503" s="234" t="s">
        <v>153</v>
      </c>
      <c r="CN503" s="235" t="s">
        <v>190</v>
      </c>
      <c r="CO503" s="236" t="s">
        <v>153</v>
      </c>
      <c r="CP503" s="237" t="s">
        <v>153</v>
      </c>
      <c r="CQ503" s="238" t="s">
        <v>153</v>
      </c>
      <c r="CR503" s="239" t="s">
        <v>153</v>
      </c>
      <c r="CS503" s="240" t="s">
        <v>153</v>
      </c>
      <c r="CT503" s="241" t="s">
        <v>153</v>
      </c>
      <c r="CU503" s="242" t="s">
        <v>153</v>
      </c>
      <c r="CV503" s="243" t="s">
        <v>153</v>
      </c>
      <c r="CW503" s="244" t="s">
        <v>153</v>
      </c>
      <c r="CX503" s="245" t="s">
        <v>153</v>
      </c>
      <c r="CY503" s="246" t="s">
        <v>153</v>
      </c>
      <c r="CZ503" s="247" t="s">
        <v>153</v>
      </c>
      <c r="DA503" s="248" t="s">
        <v>153</v>
      </c>
      <c r="DB503" s="249" t="s">
        <v>153</v>
      </c>
      <c r="DC503" s="250" t="s">
        <v>153</v>
      </c>
      <c r="DD503" s="251" t="s">
        <v>153</v>
      </c>
      <c r="DE503" s="252" t="s">
        <v>153</v>
      </c>
      <c r="DF503" s="253" t="s">
        <v>153</v>
      </c>
      <c r="DG503" s="254" t="s">
        <v>153</v>
      </c>
      <c r="DH503" s="255" t="s">
        <v>153</v>
      </c>
      <c r="DI503" s="256" t="s">
        <v>153</v>
      </c>
      <c r="DJ503" s="257" t="s">
        <v>153</v>
      </c>
      <c r="DK503" s="258" t="s">
        <v>153</v>
      </c>
      <c r="DL503" s="259" t="s">
        <v>153</v>
      </c>
      <c r="DM503" s="260" t="s">
        <v>153</v>
      </c>
      <c r="DN503" s="261" t="s">
        <v>153</v>
      </c>
      <c r="DO503" s="262" t="s">
        <v>153</v>
      </c>
      <c r="DP503" s="263" t="s">
        <v>153</v>
      </c>
      <c r="DQ503" s="264" t="s">
        <v>153</v>
      </c>
      <c r="DR503" s="265" t="s">
        <v>153</v>
      </c>
      <c r="DS503" s="266" t="s">
        <v>153</v>
      </c>
      <c r="DT503" s="267" t="s">
        <v>153</v>
      </c>
      <c r="DU503" s="268" t="s">
        <v>153</v>
      </c>
      <c r="DV503" s="269" t="s">
        <v>153</v>
      </c>
      <c r="DW503" s="270" t="s">
        <v>153</v>
      </c>
      <c r="DX503" s="271" t="s">
        <v>153</v>
      </c>
      <c r="DY503" s="272" t="s">
        <v>153</v>
      </c>
      <c r="DZ503" s="273" t="s">
        <v>191</v>
      </c>
      <c r="EA503" s="274">
        <v>44292</v>
      </c>
      <c r="EB503" s="275">
        <v>8500</v>
      </c>
      <c r="EC503" s="276">
        <v>42942</v>
      </c>
      <c r="ED503" s="277" t="s">
        <v>1524</v>
      </c>
      <c r="EE503" s="279" t="str">
        <f>HYPERLINK("https://my.pitchbook.com?c=183991-42", "View company online")</f>
        <v>View company online</v>
      </c>
    </row>
    <row r="504" spans="1:135" x14ac:dyDescent="0.45">
      <c r="A504" s="10" t="s">
        <v>10393</v>
      </c>
      <c r="B504" s="11" t="s">
        <v>10394</v>
      </c>
      <c r="C504" s="12" t="s">
        <v>153</v>
      </c>
      <c r="D504" s="13" t="s">
        <v>153</v>
      </c>
      <c r="E504" s="14" t="s">
        <v>10395</v>
      </c>
      <c r="F504" s="15" t="s">
        <v>10396</v>
      </c>
      <c r="G504" s="16" t="s">
        <v>10397</v>
      </c>
      <c r="H504" s="17" t="s">
        <v>10398</v>
      </c>
      <c r="I504" s="18" t="s">
        <v>10393</v>
      </c>
      <c r="J504" s="19" t="s">
        <v>10399</v>
      </c>
      <c r="K504" s="20" t="s">
        <v>157</v>
      </c>
      <c r="L504" s="21" t="s">
        <v>4190</v>
      </c>
      <c r="M504" s="22" t="s">
        <v>8421</v>
      </c>
      <c r="N504" s="23" t="s">
        <v>10400</v>
      </c>
      <c r="O504" s="24" t="s">
        <v>153</v>
      </c>
      <c r="P504" s="25" t="s">
        <v>10401</v>
      </c>
      <c r="Q504" s="26" t="s">
        <v>204</v>
      </c>
      <c r="R504" s="27">
        <v>1675</v>
      </c>
      <c r="S504" s="28" t="s">
        <v>368</v>
      </c>
      <c r="T504" s="29" t="s">
        <v>205</v>
      </c>
      <c r="U504" s="30" t="s">
        <v>2534</v>
      </c>
      <c r="V504" s="31" t="s">
        <v>153</v>
      </c>
      <c r="W504" s="32">
        <v>15500</v>
      </c>
      <c r="X504" s="33" t="s">
        <v>10402</v>
      </c>
      <c r="Y504" s="34" t="s">
        <v>153</v>
      </c>
      <c r="Z504" s="35" t="s">
        <v>153</v>
      </c>
      <c r="AA504" s="36">
        <v>1937</v>
      </c>
      <c r="AB504" s="37" t="s">
        <v>153</v>
      </c>
      <c r="AC504" s="38" t="s">
        <v>428</v>
      </c>
      <c r="AD504" s="39" t="s">
        <v>622</v>
      </c>
      <c r="AE504" s="40" t="s">
        <v>153</v>
      </c>
      <c r="AF504" s="41" t="s">
        <v>153</v>
      </c>
      <c r="AG504" s="42" t="s">
        <v>153</v>
      </c>
      <c r="AH504" s="43" t="s">
        <v>153</v>
      </c>
      <c r="AI504" s="44" t="s">
        <v>153</v>
      </c>
      <c r="AJ504" s="45" t="s">
        <v>153</v>
      </c>
      <c r="AK504" s="46" t="s">
        <v>153</v>
      </c>
      <c r="AL504" s="47" t="s">
        <v>153</v>
      </c>
      <c r="AM504" s="48" t="s">
        <v>153</v>
      </c>
      <c r="AN504" s="49" t="s">
        <v>623</v>
      </c>
      <c r="AO504" s="50" t="s">
        <v>10403</v>
      </c>
      <c r="AP504" s="51" t="s">
        <v>10404</v>
      </c>
      <c r="AQ504" s="52" t="s">
        <v>10405</v>
      </c>
      <c r="AR504" s="53" t="s">
        <v>10406</v>
      </c>
      <c r="AS504" s="54" t="s">
        <v>10407</v>
      </c>
      <c r="AT504" s="55" t="s">
        <v>10408</v>
      </c>
      <c r="AU504" s="56" t="s">
        <v>10409</v>
      </c>
      <c r="AV504" s="57" t="s">
        <v>153</v>
      </c>
      <c r="AW504" s="58" t="s">
        <v>10410</v>
      </c>
      <c r="AX504" s="59" t="s">
        <v>10319</v>
      </c>
      <c r="AY504" s="60" t="s">
        <v>10411</v>
      </c>
      <c r="AZ504" s="61" t="s">
        <v>215</v>
      </c>
      <c r="BA504" s="62" t="s">
        <v>10407</v>
      </c>
      <c r="BB504" s="63" t="s">
        <v>153</v>
      </c>
      <c r="BC504" s="64" t="s">
        <v>153</v>
      </c>
      <c r="BD504" s="65" t="s">
        <v>216</v>
      </c>
      <c r="BE504" s="66" t="s">
        <v>217</v>
      </c>
      <c r="BF504" s="67" t="s">
        <v>10412</v>
      </c>
      <c r="BG504" s="68" t="s">
        <v>153</v>
      </c>
      <c r="BH504" s="69" t="s">
        <v>153</v>
      </c>
      <c r="BI504" s="70" t="s">
        <v>10413</v>
      </c>
      <c r="BJ504" s="71" t="s">
        <v>10414</v>
      </c>
      <c r="BK504" s="72" t="s">
        <v>153</v>
      </c>
      <c r="BL504" s="73" t="s">
        <v>153</v>
      </c>
      <c r="BM504" s="74" t="s">
        <v>10415</v>
      </c>
      <c r="BN504" s="75" t="s">
        <v>153</v>
      </c>
      <c r="BO504" s="76" t="s">
        <v>10416</v>
      </c>
      <c r="BP504" s="77" t="s">
        <v>10417</v>
      </c>
      <c r="BQ504" s="78" t="s">
        <v>153</v>
      </c>
      <c r="BR504" s="79" t="s">
        <v>153</v>
      </c>
      <c r="BS504" s="80" t="s">
        <v>153</v>
      </c>
      <c r="BT504" s="81" t="s">
        <v>153</v>
      </c>
      <c r="BU504" s="82" t="s">
        <v>153</v>
      </c>
      <c r="BV504" s="83" t="s">
        <v>251</v>
      </c>
      <c r="BW504" s="84" t="s">
        <v>153</v>
      </c>
      <c r="BX504" s="85" t="s">
        <v>153</v>
      </c>
      <c r="BY504" s="86" t="s">
        <v>252</v>
      </c>
      <c r="BZ504" s="87" t="s">
        <v>153</v>
      </c>
      <c r="CA504" s="88" t="s">
        <v>190</v>
      </c>
      <c r="CB504" s="89">
        <v>44032</v>
      </c>
      <c r="CC504" s="90">
        <v>8500</v>
      </c>
      <c r="CD504" s="91" t="s">
        <v>186</v>
      </c>
      <c r="CE504" s="92">
        <v>8500</v>
      </c>
      <c r="CF504" s="93" t="s">
        <v>187</v>
      </c>
      <c r="CG504" s="94" t="s">
        <v>226</v>
      </c>
      <c r="CH504" s="95" t="s">
        <v>153</v>
      </c>
      <c r="CI504" s="96" t="s">
        <v>153</v>
      </c>
      <c r="CJ504" s="97" t="s">
        <v>225</v>
      </c>
      <c r="CK504" s="98">
        <v>44032</v>
      </c>
      <c r="CL504" s="99" t="s">
        <v>153</v>
      </c>
      <c r="CM504" s="100" t="s">
        <v>153</v>
      </c>
      <c r="CN504" s="101" t="s">
        <v>190</v>
      </c>
      <c r="CO504" s="102" t="s">
        <v>153</v>
      </c>
      <c r="CP504" s="103" t="s">
        <v>153</v>
      </c>
      <c r="CQ504" s="104" t="s">
        <v>153</v>
      </c>
      <c r="CR504" s="105" t="s">
        <v>153</v>
      </c>
      <c r="CS504" s="106" t="s">
        <v>153</v>
      </c>
      <c r="CT504" s="107" t="s">
        <v>153</v>
      </c>
      <c r="CU504" s="108" t="s">
        <v>153</v>
      </c>
      <c r="CV504" s="109" t="s">
        <v>153</v>
      </c>
      <c r="CW504" s="110" t="s">
        <v>153</v>
      </c>
      <c r="CX504" s="111" t="s">
        <v>153</v>
      </c>
      <c r="CY504" s="112" t="s">
        <v>153</v>
      </c>
      <c r="CZ504" s="113" t="s">
        <v>153</v>
      </c>
      <c r="DA504" s="114" t="s">
        <v>153</v>
      </c>
      <c r="DB504" s="115" t="s">
        <v>153</v>
      </c>
      <c r="DC504" s="116" t="s">
        <v>153</v>
      </c>
      <c r="DD504" s="117" t="s">
        <v>153</v>
      </c>
      <c r="DE504" s="118" t="s">
        <v>153</v>
      </c>
      <c r="DF504" s="119" t="s">
        <v>153</v>
      </c>
      <c r="DG504" s="120" t="s">
        <v>153</v>
      </c>
      <c r="DH504" s="121" t="s">
        <v>153</v>
      </c>
      <c r="DI504" s="122" t="s">
        <v>153</v>
      </c>
      <c r="DJ504" s="123" t="s">
        <v>153</v>
      </c>
      <c r="DK504" s="124" t="s">
        <v>153</v>
      </c>
      <c r="DL504" s="125" t="s">
        <v>153</v>
      </c>
      <c r="DM504" s="126" t="s">
        <v>153</v>
      </c>
      <c r="DN504" s="127" t="s">
        <v>153</v>
      </c>
      <c r="DO504" s="128" t="s">
        <v>153</v>
      </c>
      <c r="DP504" s="129" t="s">
        <v>153</v>
      </c>
      <c r="DQ504" s="130" t="s">
        <v>153</v>
      </c>
      <c r="DR504" s="131" t="s">
        <v>153</v>
      </c>
      <c r="DS504" s="132" t="s">
        <v>153</v>
      </c>
      <c r="DT504" s="133" t="s">
        <v>153</v>
      </c>
      <c r="DU504" s="134" t="s">
        <v>153</v>
      </c>
      <c r="DV504" s="135" t="s">
        <v>153</v>
      </c>
      <c r="DW504" s="136" t="s">
        <v>153</v>
      </c>
      <c r="DX504" s="137" t="s">
        <v>153</v>
      </c>
      <c r="DY504" s="138" t="s">
        <v>153</v>
      </c>
      <c r="DZ504" s="139" t="s">
        <v>191</v>
      </c>
      <c r="EA504" s="140">
        <v>44386</v>
      </c>
      <c r="EB504" s="141">
        <v>8500</v>
      </c>
      <c r="EC504" s="142">
        <v>44032</v>
      </c>
      <c r="ED504" s="143" t="s">
        <v>226</v>
      </c>
      <c r="EE504" s="278" t="str">
        <f>HYPERLINK("https://my.pitchbook.com?c=10513-09", "View company online")</f>
        <v>View company online</v>
      </c>
    </row>
    <row r="505" spans="1:135" x14ac:dyDescent="0.45">
      <c r="A505" s="144" t="s">
        <v>10418</v>
      </c>
      <c r="B505" s="145" t="s">
        <v>10419</v>
      </c>
      <c r="C505" s="146" t="s">
        <v>153</v>
      </c>
      <c r="D505" s="147" t="s">
        <v>153</v>
      </c>
      <c r="E505" s="148" t="s">
        <v>153</v>
      </c>
      <c r="F505" s="149" t="s">
        <v>10420</v>
      </c>
      <c r="G505" s="150" t="s">
        <v>10421</v>
      </c>
      <c r="H505" s="151" t="s">
        <v>1022</v>
      </c>
      <c r="I505" s="152" t="s">
        <v>10418</v>
      </c>
      <c r="J505" s="153" t="s">
        <v>10422</v>
      </c>
      <c r="K505" s="154" t="s">
        <v>232</v>
      </c>
      <c r="L505" s="155" t="s">
        <v>233</v>
      </c>
      <c r="M505" s="156" t="s">
        <v>234</v>
      </c>
      <c r="N505" s="157" t="s">
        <v>235</v>
      </c>
      <c r="O505" s="158" t="s">
        <v>153</v>
      </c>
      <c r="P505" s="159" t="s">
        <v>10423</v>
      </c>
      <c r="Q505" s="160" t="s">
        <v>204</v>
      </c>
      <c r="R505" s="161" t="s">
        <v>153</v>
      </c>
      <c r="S505" s="162" t="s">
        <v>163</v>
      </c>
      <c r="T505" s="163" t="s">
        <v>205</v>
      </c>
      <c r="U505" s="164" t="s">
        <v>237</v>
      </c>
      <c r="V505" s="165" t="s">
        <v>10424</v>
      </c>
      <c r="W505" s="166">
        <v>12700</v>
      </c>
      <c r="X505" s="167" t="s">
        <v>10425</v>
      </c>
      <c r="Y505" s="168" t="s">
        <v>153</v>
      </c>
      <c r="Z505" s="169" t="s">
        <v>153</v>
      </c>
      <c r="AA505" s="170">
        <v>1973</v>
      </c>
      <c r="AB505" s="171" t="s">
        <v>153</v>
      </c>
      <c r="AC505" s="172" t="s">
        <v>153</v>
      </c>
      <c r="AD505" s="173" t="s">
        <v>153</v>
      </c>
      <c r="AE505" s="174" t="s">
        <v>153</v>
      </c>
      <c r="AF505" s="175" t="s">
        <v>153</v>
      </c>
      <c r="AG505" s="176" t="s">
        <v>153</v>
      </c>
      <c r="AH505" s="177" t="s">
        <v>153</v>
      </c>
      <c r="AI505" s="178" t="s">
        <v>153</v>
      </c>
      <c r="AJ505" s="179" t="s">
        <v>153</v>
      </c>
      <c r="AK505" s="180" t="s">
        <v>153</v>
      </c>
      <c r="AL505" s="181" t="s">
        <v>153</v>
      </c>
      <c r="AM505" s="182" t="s">
        <v>153</v>
      </c>
      <c r="AN505" s="183" t="s">
        <v>4414</v>
      </c>
      <c r="AO505" s="184" t="s">
        <v>10426</v>
      </c>
      <c r="AP505" s="185" t="s">
        <v>10427</v>
      </c>
      <c r="AQ505" s="186" t="s">
        <v>2928</v>
      </c>
      <c r="AR505" s="187" t="s">
        <v>153</v>
      </c>
      <c r="AS505" s="188" t="s">
        <v>153</v>
      </c>
      <c r="AT505" s="189" t="s">
        <v>10428</v>
      </c>
      <c r="AU505" s="190" t="s">
        <v>10429</v>
      </c>
      <c r="AV505" s="191" t="s">
        <v>10430</v>
      </c>
      <c r="AW505" s="192" t="s">
        <v>10431</v>
      </c>
      <c r="AX505" s="193" t="s">
        <v>273</v>
      </c>
      <c r="AY505" s="194" t="s">
        <v>10432</v>
      </c>
      <c r="AZ505" s="195" t="s">
        <v>215</v>
      </c>
      <c r="BA505" s="196" t="s">
        <v>153</v>
      </c>
      <c r="BB505" s="197" t="s">
        <v>153</v>
      </c>
      <c r="BC505" s="198" t="s">
        <v>153</v>
      </c>
      <c r="BD505" s="199" t="s">
        <v>216</v>
      </c>
      <c r="BE505" s="200" t="s">
        <v>217</v>
      </c>
      <c r="BF505" s="201" t="s">
        <v>10433</v>
      </c>
      <c r="BG505" s="202" t="s">
        <v>153</v>
      </c>
      <c r="BH505" s="203" t="s">
        <v>153</v>
      </c>
      <c r="BI505" s="204" t="s">
        <v>10434</v>
      </c>
      <c r="BJ505" s="205" t="s">
        <v>153</v>
      </c>
      <c r="BK505" s="206" t="s">
        <v>153</v>
      </c>
      <c r="BL505" s="207" t="s">
        <v>153</v>
      </c>
      <c r="BM505" s="208" t="s">
        <v>153</v>
      </c>
      <c r="BN505" s="209" t="s">
        <v>153</v>
      </c>
      <c r="BO505" s="210" t="s">
        <v>1110</v>
      </c>
      <c r="BP505" s="211" t="s">
        <v>10435</v>
      </c>
      <c r="BQ505" s="212">
        <v>30973</v>
      </c>
      <c r="BR505" s="213" t="s">
        <v>153</v>
      </c>
      <c r="BS505" s="214" t="s">
        <v>153</v>
      </c>
      <c r="BT505" s="215" t="s">
        <v>153</v>
      </c>
      <c r="BU505" s="216" t="s">
        <v>153</v>
      </c>
      <c r="BV505" s="217" t="s">
        <v>251</v>
      </c>
      <c r="BW505" s="218" t="s">
        <v>153</v>
      </c>
      <c r="BX505" s="219" t="s">
        <v>153</v>
      </c>
      <c r="BY505" s="220" t="s">
        <v>252</v>
      </c>
      <c r="BZ505" s="221" t="s">
        <v>153</v>
      </c>
      <c r="CA505" s="222" t="s">
        <v>190</v>
      </c>
      <c r="CB505" s="223">
        <v>39538</v>
      </c>
      <c r="CC505" s="224">
        <v>8500</v>
      </c>
      <c r="CD505" s="225" t="s">
        <v>186</v>
      </c>
      <c r="CE505" s="226">
        <v>8500</v>
      </c>
      <c r="CF505" s="227" t="s">
        <v>186</v>
      </c>
      <c r="CG505" s="228" t="s">
        <v>226</v>
      </c>
      <c r="CH505" s="229" t="s">
        <v>153</v>
      </c>
      <c r="CI505" s="230" t="s">
        <v>153</v>
      </c>
      <c r="CJ505" s="231" t="s">
        <v>225</v>
      </c>
      <c r="CK505" s="232">
        <v>39538</v>
      </c>
      <c r="CL505" s="233" t="s">
        <v>153</v>
      </c>
      <c r="CM505" s="234" t="s">
        <v>153</v>
      </c>
      <c r="CN505" s="235" t="s">
        <v>190</v>
      </c>
      <c r="CO505" s="236" t="s">
        <v>153</v>
      </c>
      <c r="CP505" s="237" t="s">
        <v>153</v>
      </c>
      <c r="CQ505" s="238" t="s">
        <v>153</v>
      </c>
      <c r="CR505" s="239" t="s">
        <v>153</v>
      </c>
      <c r="CS505" s="240" t="s">
        <v>153</v>
      </c>
      <c r="CT505" s="241" t="s">
        <v>153</v>
      </c>
      <c r="CU505" s="242" t="s">
        <v>153</v>
      </c>
      <c r="CV505" s="243" t="s">
        <v>153</v>
      </c>
      <c r="CW505" s="244" t="s">
        <v>153</v>
      </c>
      <c r="CX505" s="245" t="s">
        <v>153</v>
      </c>
      <c r="CY505" s="246" t="s">
        <v>153</v>
      </c>
      <c r="CZ505" s="247" t="s">
        <v>153</v>
      </c>
      <c r="DA505" s="248" t="s">
        <v>153</v>
      </c>
      <c r="DB505" s="249" t="s">
        <v>153</v>
      </c>
      <c r="DC505" s="250" t="s">
        <v>153</v>
      </c>
      <c r="DD505" s="251" t="s">
        <v>153</v>
      </c>
      <c r="DE505" s="252" t="s">
        <v>153</v>
      </c>
      <c r="DF505" s="253" t="s">
        <v>153</v>
      </c>
      <c r="DG505" s="254" t="s">
        <v>153</v>
      </c>
      <c r="DH505" s="255" t="s">
        <v>153</v>
      </c>
      <c r="DI505" s="256" t="s">
        <v>153</v>
      </c>
      <c r="DJ505" s="257" t="s">
        <v>153</v>
      </c>
      <c r="DK505" s="258" t="s">
        <v>153</v>
      </c>
      <c r="DL505" s="259" t="s">
        <v>153</v>
      </c>
      <c r="DM505" s="260" t="s">
        <v>153</v>
      </c>
      <c r="DN505" s="261" t="s">
        <v>153</v>
      </c>
      <c r="DO505" s="262" t="s">
        <v>153</v>
      </c>
      <c r="DP505" s="263" t="s">
        <v>153</v>
      </c>
      <c r="DQ505" s="264" t="s">
        <v>153</v>
      </c>
      <c r="DR505" s="265" t="s">
        <v>153</v>
      </c>
      <c r="DS505" s="266" t="s">
        <v>153</v>
      </c>
      <c r="DT505" s="267" t="s">
        <v>153</v>
      </c>
      <c r="DU505" s="268" t="s">
        <v>153</v>
      </c>
      <c r="DV505" s="269" t="s">
        <v>153</v>
      </c>
      <c r="DW505" s="270" t="s">
        <v>153</v>
      </c>
      <c r="DX505" s="271" t="s">
        <v>153</v>
      </c>
      <c r="DY505" s="272" t="s">
        <v>153</v>
      </c>
      <c r="DZ505" s="273" t="s">
        <v>191</v>
      </c>
      <c r="EA505" s="274">
        <v>44147</v>
      </c>
      <c r="EB505" s="275">
        <v>8500</v>
      </c>
      <c r="EC505" s="276">
        <v>39538</v>
      </c>
      <c r="ED505" s="277" t="s">
        <v>226</v>
      </c>
      <c r="EE505" s="279" t="str">
        <f>HYPERLINK("https://my.pitchbook.com?c=123921-28", "View company online")</f>
        <v>View company online</v>
      </c>
    </row>
    <row r="506" spans="1:135" x14ac:dyDescent="0.45">
      <c r="A506" s="10" t="s">
        <v>10436</v>
      </c>
      <c r="B506" s="11" t="s">
        <v>10437</v>
      </c>
      <c r="C506" s="12" t="s">
        <v>153</v>
      </c>
      <c r="D506" s="13" t="s">
        <v>153</v>
      </c>
      <c r="E506" s="14" t="s">
        <v>10438</v>
      </c>
      <c r="F506" s="15" t="s">
        <v>10439</v>
      </c>
      <c r="G506" s="16" t="s">
        <v>10440</v>
      </c>
      <c r="H506" s="17" t="s">
        <v>10441</v>
      </c>
      <c r="I506" s="18" t="s">
        <v>10436</v>
      </c>
      <c r="J506" s="19" t="s">
        <v>10442</v>
      </c>
      <c r="K506" s="20" t="s">
        <v>882</v>
      </c>
      <c r="L506" s="21" t="s">
        <v>2888</v>
      </c>
      <c r="M506" s="22" t="s">
        <v>2889</v>
      </c>
      <c r="N506" s="23" t="s">
        <v>10443</v>
      </c>
      <c r="O506" s="24" t="s">
        <v>153</v>
      </c>
      <c r="P506" s="25" t="s">
        <v>10444</v>
      </c>
      <c r="Q506" s="26" t="s">
        <v>204</v>
      </c>
      <c r="R506" s="27" t="s">
        <v>153</v>
      </c>
      <c r="S506" s="28" t="s">
        <v>290</v>
      </c>
      <c r="T506" s="29" t="s">
        <v>205</v>
      </c>
      <c r="U506" s="30" t="s">
        <v>237</v>
      </c>
      <c r="V506" s="31" t="s">
        <v>10445</v>
      </c>
      <c r="W506" s="32">
        <v>100</v>
      </c>
      <c r="X506" s="33" t="s">
        <v>10446</v>
      </c>
      <c r="Y506" s="34" t="s">
        <v>153</v>
      </c>
      <c r="Z506" s="35" t="s">
        <v>153</v>
      </c>
      <c r="AA506" s="36">
        <v>2002</v>
      </c>
      <c r="AB506" s="37" t="s">
        <v>153</v>
      </c>
      <c r="AC506" s="38" t="s">
        <v>153</v>
      </c>
      <c r="AD506" s="39" t="s">
        <v>153</v>
      </c>
      <c r="AE506" s="40" t="s">
        <v>153</v>
      </c>
      <c r="AF506" s="41" t="s">
        <v>153</v>
      </c>
      <c r="AG506" s="42" t="s">
        <v>153</v>
      </c>
      <c r="AH506" s="43" t="s">
        <v>153</v>
      </c>
      <c r="AI506" s="44" t="s">
        <v>153</v>
      </c>
      <c r="AJ506" s="45" t="s">
        <v>153</v>
      </c>
      <c r="AK506" s="46" t="s">
        <v>153</v>
      </c>
      <c r="AL506" s="47" t="s">
        <v>153</v>
      </c>
      <c r="AM506" s="48" t="s">
        <v>153</v>
      </c>
      <c r="AN506" s="49" t="s">
        <v>648</v>
      </c>
      <c r="AO506" s="50" t="s">
        <v>10447</v>
      </c>
      <c r="AP506" s="51" t="s">
        <v>10448</v>
      </c>
      <c r="AQ506" s="52" t="s">
        <v>512</v>
      </c>
      <c r="AR506" s="53" t="s">
        <v>10449</v>
      </c>
      <c r="AS506" s="54" t="s">
        <v>153</v>
      </c>
      <c r="AT506" s="55" t="s">
        <v>1287</v>
      </c>
      <c r="AU506" s="56" t="s">
        <v>10450</v>
      </c>
      <c r="AV506" s="57" t="s">
        <v>3949</v>
      </c>
      <c r="AW506" s="58" t="s">
        <v>1290</v>
      </c>
      <c r="AX506" s="59" t="s">
        <v>1291</v>
      </c>
      <c r="AY506" s="60" t="s">
        <v>1292</v>
      </c>
      <c r="AZ506" s="61" t="s">
        <v>215</v>
      </c>
      <c r="BA506" s="62" t="s">
        <v>153</v>
      </c>
      <c r="BB506" s="63" t="s">
        <v>153</v>
      </c>
      <c r="BC506" s="64" t="s">
        <v>153</v>
      </c>
      <c r="BD506" s="65" t="s">
        <v>216</v>
      </c>
      <c r="BE506" s="66" t="s">
        <v>217</v>
      </c>
      <c r="BF506" s="67" t="s">
        <v>10451</v>
      </c>
      <c r="BG506" s="68" t="s">
        <v>153</v>
      </c>
      <c r="BH506" s="69" t="s">
        <v>153</v>
      </c>
      <c r="BI506" s="70" t="s">
        <v>6409</v>
      </c>
      <c r="BJ506" s="71" t="s">
        <v>153</v>
      </c>
      <c r="BK506" s="72" t="s">
        <v>153</v>
      </c>
      <c r="BL506" s="73" t="s">
        <v>153</v>
      </c>
      <c r="BM506" s="74" t="s">
        <v>153</v>
      </c>
      <c r="BN506" s="75" t="s">
        <v>153</v>
      </c>
      <c r="BO506" s="76" t="s">
        <v>10452</v>
      </c>
      <c r="BP506" s="77" t="s">
        <v>10453</v>
      </c>
      <c r="BQ506" s="78">
        <v>37488</v>
      </c>
      <c r="BR506" s="79">
        <v>250</v>
      </c>
      <c r="BS506" s="80" t="s">
        <v>186</v>
      </c>
      <c r="BT506" s="81" t="s">
        <v>153</v>
      </c>
      <c r="BU506" s="82" t="s">
        <v>153</v>
      </c>
      <c r="BV506" s="83" t="s">
        <v>251</v>
      </c>
      <c r="BW506" s="84" t="s">
        <v>153</v>
      </c>
      <c r="BX506" s="85" t="s">
        <v>153</v>
      </c>
      <c r="BY506" s="86" t="s">
        <v>252</v>
      </c>
      <c r="BZ506" s="87" t="s">
        <v>153</v>
      </c>
      <c r="CA506" s="88" t="s">
        <v>190</v>
      </c>
      <c r="CB506" s="89">
        <v>43334</v>
      </c>
      <c r="CC506" s="90">
        <v>8500</v>
      </c>
      <c r="CD506" s="91" t="s">
        <v>186</v>
      </c>
      <c r="CE506" s="92">
        <v>8500</v>
      </c>
      <c r="CF506" s="93" t="s">
        <v>187</v>
      </c>
      <c r="CG506" s="94" t="s">
        <v>226</v>
      </c>
      <c r="CH506" s="95" t="s">
        <v>153</v>
      </c>
      <c r="CI506" s="96" t="s">
        <v>153</v>
      </c>
      <c r="CJ506" s="97" t="s">
        <v>225</v>
      </c>
      <c r="CK506" s="98">
        <v>43334</v>
      </c>
      <c r="CL506" s="99" t="s">
        <v>153</v>
      </c>
      <c r="CM506" s="100" t="s">
        <v>153</v>
      </c>
      <c r="CN506" s="101" t="s">
        <v>190</v>
      </c>
      <c r="CO506" s="102" t="s">
        <v>153</v>
      </c>
      <c r="CP506" s="103" t="s">
        <v>153</v>
      </c>
      <c r="CQ506" s="104" t="s">
        <v>153</v>
      </c>
      <c r="CR506" s="105" t="s">
        <v>153</v>
      </c>
      <c r="CS506" s="106" t="s">
        <v>153</v>
      </c>
      <c r="CT506" s="107" t="s">
        <v>153</v>
      </c>
      <c r="CU506" s="108" t="s">
        <v>153</v>
      </c>
      <c r="CV506" s="109" t="s">
        <v>153</v>
      </c>
      <c r="CW506" s="110" t="s">
        <v>153</v>
      </c>
      <c r="CX506" s="111" t="s">
        <v>153</v>
      </c>
      <c r="CY506" s="112" t="s">
        <v>153</v>
      </c>
      <c r="CZ506" s="113" t="s">
        <v>153</v>
      </c>
      <c r="DA506" s="114" t="s">
        <v>153</v>
      </c>
      <c r="DB506" s="115" t="s">
        <v>153</v>
      </c>
      <c r="DC506" s="116" t="s">
        <v>153</v>
      </c>
      <c r="DD506" s="117" t="s">
        <v>153</v>
      </c>
      <c r="DE506" s="118" t="s">
        <v>153</v>
      </c>
      <c r="DF506" s="119" t="s">
        <v>153</v>
      </c>
      <c r="DG506" s="120" t="s">
        <v>153</v>
      </c>
      <c r="DH506" s="121" t="s">
        <v>153</v>
      </c>
      <c r="DI506" s="122" t="s">
        <v>153</v>
      </c>
      <c r="DJ506" s="123" t="s">
        <v>153</v>
      </c>
      <c r="DK506" s="124" t="s">
        <v>153</v>
      </c>
      <c r="DL506" s="125" t="s">
        <v>153</v>
      </c>
      <c r="DM506" s="126" t="s">
        <v>153</v>
      </c>
      <c r="DN506" s="127" t="s">
        <v>153</v>
      </c>
      <c r="DO506" s="128" t="s">
        <v>153</v>
      </c>
      <c r="DP506" s="129" t="s">
        <v>153</v>
      </c>
      <c r="DQ506" s="130" t="s">
        <v>153</v>
      </c>
      <c r="DR506" s="131" t="s">
        <v>153</v>
      </c>
      <c r="DS506" s="132" t="s">
        <v>153</v>
      </c>
      <c r="DT506" s="133" t="s">
        <v>153</v>
      </c>
      <c r="DU506" s="134" t="s">
        <v>153</v>
      </c>
      <c r="DV506" s="135" t="s">
        <v>153</v>
      </c>
      <c r="DW506" s="136" t="s">
        <v>153</v>
      </c>
      <c r="DX506" s="137" t="s">
        <v>153</v>
      </c>
      <c r="DY506" s="138" t="s">
        <v>153</v>
      </c>
      <c r="DZ506" s="139" t="s">
        <v>191</v>
      </c>
      <c r="EA506" s="140">
        <v>44386</v>
      </c>
      <c r="EB506" s="141">
        <v>8500</v>
      </c>
      <c r="EC506" s="142">
        <v>43334</v>
      </c>
      <c r="ED506" s="143" t="s">
        <v>226</v>
      </c>
      <c r="EE506" s="278" t="str">
        <f>HYPERLINK("https://my.pitchbook.com?c=42316-84", "View company online")</f>
        <v>View company online</v>
      </c>
    </row>
    <row r="507" spans="1:135" x14ac:dyDescent="0.45">
      <c r="A507" s="144" t="s">
        <v>10454</v>
      </c>
      <c r="B507" s="145" t="s">
        <v>10455</v>
      </c>
      <c r="C507" s="146" t="s">
        <v>153</v>
      </c>
      <c r="D507" s="147" t="s">
        <v>153</v>
      </c>
      <c r="E507" s="148" t="s">
        <v>10456</v>
      </c>
      <c r="F507" s="149" t="s">
        <v>153</v>
      </c>
      <c r="G507" s="150" t="s">
        <v>10457</v>
      </c>
      <c r="H507" s="151" t="s">
        <v>10458</v>
      </c>
      <c r="I507" s="152" t="s">
        <v>10454</v>
      </c>
      <c r="J507" s="153" t="s">
        <v>10459</v>
      </c>
      <c r="K507" s="154" t="s">
        <v>198</v>
      </c>
      <c r="L507" s="155" t="s">
        <v>1846</v>
      </c>
      <c r="M507" s="156" t="s">
        <v>6687</v>
      </c>
      <c r="N507" s="157" t="s">
        <v>10460</v>
      </c>
      <c r="O507" s="158" t="s">
        <v>399</v>
      </c>
      <c r="P507" s="159" t="s">
        <v>10461</v>
      </c>
      <c r="Q507" s="160" t="s">
        <v>564</v>
      </c>
      <c r="R507" s="161">
        <v>1.72</v>
      </c>
      <c r="S507" s="162" t="s">
        <v>290</v>
      </c>
      <c r="T507" s="163" t="s">
        <v>164</v>
      </c>
      <c r="U507" s="164" t="s">
        <v>6127</v>
      </c>
      <c r="V507" s="165" t="s">
        <v>10462</v>
      </c>
      <c r="W507" s="166">
        <v>21000</v>
      </c>
      <c r="X507" s="167" t="s">
        <v>10463</v>
      </c>
      <c r="Y507" s="168" t="s">
        <v>153</v>
      </c>
      <c r="Z507" s="169" t="s">
        <v>153</v>
      </c>
      <c r="AA507" s="170">
        <v>2000</v>
      </c>
      <c r="AB507" s="171" t="s">
        <v>10135</v>
      </c>
      <c r="AC507" s="172" t="s">
        <v>153</v>
      </c>
      <c r="AD507" s="173" t="s">
        <v>153</v>
      </c>
      <c r="AE507" s="174">
        <v>1000</v>
      </c>
      <c r="AF507" s="175" t="s">
        <v>153</v>
      </c>
      <c r="AG507" s="176" t="s">
        <v>153</v>
      </c>
      <c r="AH507" s="177" t="s">
        <v>153</v>
      </c>
      <c r="AI507" s="178">
        <v>179</v>
      </c>
      <c r="AJ507" s="179" t="s">
        <v>153</v>
      </c>
      <c r="AK507" s="180" t="s">
        <v>153</v>
      </c>
      <c r="AL507" s="181" t="s">
        <v>153</v>
      </c>
      <c r="AM507" s="182" t="s">
        <v>153</v>
      </c>
      <c r="AN507" s="183" t="s">
        <v>1765</v>
      </c>
      <c r="AO507" s="184" t="s">
        <v>10464</v>
      </c>
      <c r="AP507" s="185" t="s">
        <v>10465</v>
      </c>
      <c r="AQ507" s="186" t="s">
        <v>3683</v>
      </c>
      <c r="AR507" s="187" t="s">
        <v>10466</v>
      </c>
      <c r="AS507" s="188" t="s">
        <v>10467</v>
      </c>
      <c r="AT507" s="189" t="s">
        <v>1379</v>
      </c>
      <c r="AU507" s="190" t="s">
        <v>10468</v>
      </c>
      <c r="AV507" s="191" t="s">
        <v>1577</v>
      </c>
      <c r="AW507" s="192" t="s">
        <v>1380</v>
      </c>
      <c r="AX507" s="193" t="s">
        <v>308</v>
      </c>
      <c r="AY507" s="194" t="s">
        <v>10469</v>
      </c>
      <c r="AZ507" s="195" t="s">
        <v>215</v>
      </c>
      <c r="BA507" s="196" t="s">
        <v>10467</v>
      </c>
      <c r="BB507" s="197" t="s">
        <v>153</v>
      </c>
      <c r="BC507" s="198" t="s">
        <v>10470</v>
      </c>
      <c r="BD507" s="199" t="s">
        <v>216</v>
      </c>
      <c r="BE507" s="200" t="s">
        <v>217</v>
      </c>
      <c r="BF507" s="201" t="s">
        <v>10471</v>
      </c>
      <c r="BG507" s="202" t="s">
        <v>153</v>
      </c>
      <c r="BH507" s="203" t="s">
        <v>153</v>
      </c>
      <c r="BI507" s="204" t="s">
        <v>10135</v>
      </c>
      <c r="BJ507" s="205" t="s">
        <v>10472</v>
      </c>
      <c r="BK507" s="206" t="s">
        <v>153</v>
      </c>
      <c r="BL507" s="207" t="s">
        <v>153</v>
      </c>
      <c r="BM507" s="208" t="s">
        <v>10473</v>
      </c>
      <c r="BN507" s="209" t="s">
        <v>153</v>
      </c>
      <c r="BO507" s="210" t="s">
        <v>7847</v>
      </c>
      <c r="BP507" s="211" t="s">
        <v>10474</v>
      </c>
      <c r="BQ507" s="212">
        <v>37603</v>
      </c>
      <c r="BR507" s="213">
        <v>1.66</v>
      </c>
      <c r="BS507" s="214" t="s">
        <v>186</v>
      </c>
      <c r="BT507" s="215">
        <v>6.44</v>
      </c>
      <c r="BU507" s="216" t="s">
        <v>186</v>
      </c>
      <c r="BV507" s="217" t="s">
        <v>471</v>
      </c>
      <c r="BW507" s="218" t="s">
        <v>1811</v>
      </c>
      <c r="BX507" s="219" t="s">
        <v>153</v>
      </c>
      <c r="BY507" s="220" t="s">
        <v>472</v>
      </c>
      <c r="BZ507" s="221" t="s">
        <v>153</v>
      </c>
      <c r="CA507" s="222" t="s">
        <v>190</v>
      </c>
      <c r="CB507" s="223">
        <v>44390</v>
      </c>
      <c r="CC507" s="224">
        <v>8500</v>
      </c>
      <c r="CD507" s="225" t="s">
        <v>186</v>
      </c>
      <c r="CE507" s="226">
        <v>8500</v>
      </c>
      <c r="CF507" s="227" t="s">
        <v>187</v>
      </c>
      <c r="CG507" s="228" t="s">
        <v>226</v>
      </c>
      <c r="CH507" s="229" t="s">
        <v>153</v>
      </c>
      <c r="CI507" s="230" t="s">
        <v>153</v>
      </c>
      <c r="CJ507" s="231" t="s">
        <v>225</v>
      </c>
      <c r="CK507" s="232">
        <v>44390</v>
      </c>
      <c r="CL507" s="233" t="s">
        <v>153</v>
      </c>
      <c r="CM507" s="234" t="s">
        <v>153</v>
      </c>
      <c r="CN507" s="235" t="s">
        <v>190</v>
      </c>
      <c r="CO507" s="236" t="s">
        <v>153</v>
      </c>
      <c r="CP507" s="237" t="s">
        <v>153</v>
      </c>
      <c r="CQ507" s="238" t="s">
        <v>153</v>
      </c>
      <c r="CR507" s="239" t="s">
        <v>153</v>
      </c>
      <c r="CS507" s="240" t="s">
        <v>153</v>
      </c>
      <c r="CT507" s="241" t="s">
        <v>153</v>
      </c>
      <c r="CU507" s="242" t="s">
        <v>153</v>
      </c>
      <c r="CV507" s="243" t="s">
        <v>153</v>
      </c>
      <c r="CW507" s="244" t="s">
        <v>153</v>
      </c>
      <c r="CX507" s="245" t="s">
        <v>153</v>
      </c>
      <c r="CY507" s="246" t="s">
        <v>153</v>
      </c>
      <c r="CZ507" s="247" t="s">
        <v>153</v>
      </c>
      <c r="DA507" s="248" t="s">
        <v>153</v>
      </c>
      <c r="DB507" s="249" t="s">
        <v>153</v>
      </c>
      <c r="DC507" s="250" t="s">
        <v>153</v>
      </c>
      <c r="DD507" s="251" t="s">
        <v>153</v>
      </c>
      <c r="DE507" s="252" t="s">
        <v>153</v>
      </c>
      <c r="DF507" s="253" t="s">
        <v>153</v>
      </c>
      <c r="DG507" s="254" t="s">
        <v>153</v>
      </c>
      <c r="DH507" s="255" t="s">
        <v>153</v>
      </c>
      <c r="DI507" s="256" t="s">
        <v>153</v>
      </c>
      <c r="DJ507" s="257" t="s">
        <v>153</v>
      </c>
      <c r="DK507" s="258" t="s">
        <v>153</v>
      </c>
      <c r="DL507" s="259" t="s">
        <v>153</v>
      </c>
      <c r="DM507" s="260" t="s">
        <v>153</v>
      </c>
      <c r="DN507" s="261" t="s">
        <v>153</v>
      </c>
      <c r="DO507" s="262" t="s">
        <v>153</v>
      </c>
      <c r="DP507" s="263" t="s">
        <v>153</v>
      </c>
      <c r="DQ507" s="264" t="s">
        <v>153</v>
      </c>
      <c r="DR507" s="265" t="s">
        <v>153</v>
      </c>
      <c r="DS507" s="266" t="s">
        <v>153</v>
      </c>
      <c r="DT507" s="267" t="s">
        <v>153</v>
      </c>
      <c r="DU507" s="268" t="s">
        <v>153</v>
      </c>
      <c r="DV507" s="269" t="s">
        <v>153</v>
      </c>
      <c r="DW507" s="270" t="s">
        <v>153</v>
      </c>
      <c r="DX507" s="271" t="s">
        <v>153</v>
      </c>
      <c r="DY507" s="272" t="s">
        <v>153</v>
      </c>
      <c r="DZ507" s="273" t="s">
        <v>191</v>
      </c>
      <c r="EA507" s="274">
        <v>44397</v>
      </c>
      <c r="EB507" s="275">
        <v>8500</v>
      </c>
      <c r="EC507" s="276">
        <v>44390</v>
      </c>
      <c r="ED507" s="277" t="s">
        <v>226</v>
      </c>
      <c r="EE507" s="279" t="str">
        <f>HYPERLINK("https://my.pitchbook.com?c=51187-96", "View company online")</f>
        <v>View company online</v>
      </c>
    </row>
    <row r="508" spans="1:135" x14ac:dyDescent="0.45">
      <c r="A508" s="10" t="s">
        <v>10475</v>
      </c>
      <c r="B508" s="11" t="s">
        <v>10476</v>
      </c>
      <c r="C508" s="12" t="s">
        <v>153</v>
      </c>
      <c r="D508" s="13" t="s">
        <v>153</v>
      </c>
      <c r="E508" s="14" t="s">
        <v>10477</v>
      </c>
      <c r="F508" s="15" t="s">
        <v>153</v>
      </c>
      <c r="G508" s="16" t="s">
        <v>10478</v>
      </c>
      <c r="H508" s="17" t="s">
        <v>153</v>
      </c>
      <c r="I508" s="18" t="s">
        <v>10475</v>
      </c>
      <c r="J508" s="19" t="s">
        <v>10479</v>
      </c>
      <c r="K508" s="20" t="s">
        <v>198</v>
      </c>
      <c r="L508" s="21" t="s">
        <v>199</v>
      </c>
      <c r="M508" s="22" t="s">
        <v>344</v>
      </c>
      <c r="N508" s="23" t="s">
        <v>345</v>
      </c>
      <c r="O508" s="24" t="s">
        <v>399</v>
      </c>
      <c r="P508" s="25" t="s">
        <v>10480</v>
      </c>
      <c r="Q508" s="26" t="s">
        <v>564</v>
      </c>
      <c r="R508" s="27" t="s">
        <v>153</v>
      </c>
      <c r="S508" s="28" t="s">
        <v>290</v>
      </c>
      <c r="T508" s="29" t="s">
        <v>164</v>
      </c>
      <c r="U508" s="30" t="s">
        <v>565</v>
      </c>
      <c r="V508" s="31" t="s">
        <v>10481</v>
      </c>
      <c r="W508" s="32">
        <v>1300</v>
      </c>
      <c r="X508" s="33" t="s">
        <v>10482</v>
      </c>
      <c r="Y508" s="34" t="s">
        <v>153</v>
      </c>
      <c r="Z508" s="35" t="s">
        <v>153</v>
      </c>
      <c r="AA508" s="36">
        <v>1998</v>
      </c>
      <c r="AB508" s="37" t="s">
        <v>10483</v>
      </c>
      <c r="AC508" s="38" t="s">
        <v>153</v>
      </c>
      <c r="AD508" s="39" t="s">
        <v>153</v>
      </c>
      <c r="AE508" s="40" t="s">
        <v>153</v>
      </c>
      <c r="AF508" s="41" t="s">
        <v>153</v>
      </c>
      <c r="AG508" s="42" t="s">
        <v>153</v>
      </c>
      <c r="AH508" s="43" t="s">
        <v>153</v>
      </c>
      <c r="AI508" s="44" t="s">
        <v>153</v>
      </c>
      <c r="AJ508" s="45" t="s">
        <v>153</v>
      </c>
      <c r="AK508" s="46" t="s">
        <v>153</v>
      </c>
      <c r="AL508" s="47" t="s">
        <v>153</v>
      </c>
      <c r="AM508" s="48" t="s">
        <v>153</v>
      </c>
      <c r="AN508" s="49" t="s">
        <v>3203</v>
      </c>
      <c r="AO508" s="50" t="s">
        <v>153</v>
      </c>
      <c r="AP508" s="51" t="s">
        <v>153</v>
      </c>
      <c r="AQ508" s="52" t="s">
        <v>153</v>
      </c>
      <c r="AR508" s="53" t="s">
        <v>153</v>
      </c>
      <c r="AS508" s="54" t="s">
        <v>153</v>
      </c>
      <c r="AT508" s="55" t="s">
        <v>10484</v>
      </c>
      <c r="AU508" s="56" t="s">
        <v>10485</v>
      </c>
      <c r="AV508" s="57" t="s">
        <v>153</v>
      </c>
      <c r="AW508" s="58" t="s">
        <v>10486</v>
      </c>
      <c r="AX508" s="59" t="s">
        <v>2093</v>
      </c>
      <c r="AY508" s="60" t="s">
        <v>10487</v>
      </c>
      <c r="AZ508" s="61" t="s">
        <v>215</v>
      </c>
      <c r="BA508" s="62" t="s">
        <v>153</v>
      </c>
      <c r="BB508" s="63" t="s">
        <v>153</v>
      </c>
      <c r="BC508" s="64" t="s">
        <v>153</v>
      </c>
      <c r="BD508" s="65" t="s">
        <v>216</v>
      </c>
      <c r="BE508" s="66" t="s">
        <v>217</v>
      </c>
      <c r="BF508" s="67" t="s">
        <v>10488</v>
      </c>
      <c r="BG508" s="68" t="s">
        <v>153</v>
      </c>
      <c r="BH508" s="69" t="s">
        <v>153</v>
      </c>
      <c r="BI508" s="70" t="s">
        <v>10483</v>
      </c>
      <c r="BJ508" s="71" t="s">
        <v>10489</v>
      </c>
      <c r="BK508" s="72" t="s">
        <v>153</v>
      </c>
      <c r="BL508" s="73" t="s">
        <v>153</v>
      </c>
      <c r="BM508" s="74" t="s">
        <v>10490</v>
      </c>
      <c r="BN508" s="75" t="s">
        <v>153</v>
      </c>
      <c r="BO508" s="76" t="s">
        <v>10491</v>
      </c>
      <c r="BP508" s="77" t="s">
        <v>10492</v>
      </c>
      <c r="BQ508" s="78" t="s">
        <v>153</v>
      </c>
      <c r="BR508" s="79" t="s">
        <v>153</v>
      </c>
      <c r="BS508" s="80" t="s">
        <v>153</v>
      </c>
      <c r="BT508" s="81" t="s">
        <v>153</v>
      </c>
      <c r="BU508" s="82" t="s">
        <v>153</v>
      </c>
      <c r="BV508" s="83" t="s">
        <v>8913</v>
      </c>
      <c r="BW508" s="84" t="s">
        <v>153</v>
      </c>
      <c r="BX508" s="85" t="s">
        <v>153</v>
      </c>
      <c r="BY508" s="86" t="s">
        <v>8927</v>
      </c>
      <c r="BZ508" s="87" t="s">
        <v>153</v>
      </c>
      <c r="CA508" s="88" t="s">
        <v>190</v>
      </c>
      <c r="CB508" s="89">
        <v>38723</v>
      </c>
      <c r="CC508" s="90">
        <v>8500</v>
      </c>
      <c r="CD508" s="91" t="s">
        <v>186</v>
      </c>
      <c r="CE508" s="92">
        <v>8500</v>
      </c>
      <c r="CF508" s="93" t="s">
        <v>186</v>
      </c>
      <c r="CG508" s="94" t="s">
        <v>226</v>
      </c>
      <c r="CH508" s="95" t="s">
        <v>930</v>
      </c>
      <c r="CI508" s="96" t="s">
        <v>153</v>
      </c>
      <c r="CJ508" s="97" t="s">
        <v>225</v>
      </c>
      <c r="CK508" s="98">
        <v>38723</v>
      </c>
      <c r="CL508" s="99" t="s">
        <v>153</v>
      </c>
      <c r="CM508" s="100" t="s">
        <v>153</v>
      </c>
      <c r="CN508" s="101" t="s">
        <v>190</v>
      </c>
      <c r="CO508" s="102" t="s">
        <v>153</v>
      </c>
      <c r="CP508" s="103" t="s">
        <v>153</v>
      </c>
      <c r="CQ508" s="104" t="s">
        <v>153</v>
      </c>
      <c r="CR508" s="105" t="s">
        <v>153</v>
      </c>
      <c r="CS508" s="106" t="s">
        <v>153</v>
      </c>
      <c r="CT508" s="107" t="s">
        <v>153</v>
      </c>
      <c r="CU508" s="108" t="s">
        <v>153</v>
      </c>
      <c r="CV508" s="109" t="s">
        <v>153</v>
      </c>
      <c r="CW508" s="110" t="s">
        <v>153</v>
      </c>
      <c r="CX508" s="111" t="s">
        <v>153</v>
      </c>
      <c r="CY508" s="112" t="s">
        <v>153</v>
      </c>
      <c r="CZ508" s="113" t="s">
        <v>153</v>
      </c>
      <c r="DA508" s="114" t="s">
        <v>153</v>
      </c>
      <c r="DB508" s="115" t="s">
        <v>153</v>
      </c>
      <c r="DC508" s="116" t="s">
        <v>153</v>
      </c>
      <c r="DD508" s="117" t="s">
        <v>153</v>
      </c>
      <c r="DE508" s="118" t="s">
        <v>153</v>
      </c>
      <c r="DF508" s="119" t="s">
        <v>153</v>
      </c>
      <c r="DG508" s="120" t="s">
        <v>153</v>
      </c>
      <c r="DH508" s="121" t="s">
        <v>153</v>
      </c>
      <c r="DI508" s="122" t="s">
        <v>153</v>
      </c>
      <c r="DJ508" s="123" t="s">
        <v>153</v>
      </c>
      <c r="DK508" s="124" t="s">
        <v>153</v>
      </c>
      <c r="DL508" s="125" t="s">
        <v>153</v>
      </c>
      <c r="DM508" s="126" t="s">
        <v>153</v>
      </c>
      <c r="DN508" s="127" t="s">
        <v>153</v>
      </c>
      <c r="DO508" s="128" t="s">
        <v>153</v>
      </c>
      <c r="DP508" s="129" t="s">
        <v>153</v>
      </c>
      <c r="DQ508" s="130" t="s">
        <v>153</v>
      </c>
      <c r="DR508" s="131" t="s">
        <v>153</v>
      </c>
      <c r="DS508" s="132" t="s">
        <v>153</v>
      </c>
      <c r="DT508" s="133" t="s">
        <v>153</v>
      </c>
      <c r="DU508" s="134" t="s">
        <v>153</v>
      </c>
      <c r="DV508" s="135" t="s">
        <v>153</v>
      </c>
      <c r="DW508" s="136" t="s">
        <v>153</v>
      </c>
      <c r="DX508" s="137" t="s">
        <v>153</v>
      </c>
      <c r="DY508" s="138" t="s">
        <v>153</v>
      </c>
      <c r="DZ508" s="139" t="s">
        <v>191</v>
      </c>
      <c r="EA508" s="140">
        <v>44244</v>
      </c>
      <c r="EB508" s="141">
        <v>8500</v>
      </c>
      <c r="EC508" s="142">
        <v>38723</v>
      </c>
      <c r="ED508" s="143" t="s">
        <v>226</v>
      </c>
      <c r="EE508" s="278" t="str">
        <f>HYPERLINK("https://my.pitchbook.com?c=11938-60", "View company online")</f>
        <v>View company online</v>
      </c>
    </row>
    <row r="509" spans="1:135" x14ac:dyDescent="0.45">
      <c r="A509" s="144" t="s">
        <v>10493</v>
      </c>
      <c r="B509" s="145" t="s">
        <v>10494</v>
      </c>
      <c r="C509" s="146" t="s">
        <v>153</v>
      </c>
      <c r="D509" s="147" t="s">
        <v>153</v>
      </c>
      <c r="E509" s="148" t="s">
        <v>153</v>
      </c>
      <c r="F509" s="149" t="s">
        <v>10495</v>
      </c>
      <c r="G509" s="150" t="s">
        <v>10496</v>
      </c>
      <c r="H509" s="151" t="s">
        <v>10497</v>
      </c>
      <c r="I509" s="152" t="s">
        <v>10493</v>
      </c>
      <c r="J509" s="153" t="s">
        <v>10498</v>
      </c>
      <c r="K509" s="154" t="s">
        <v>257</v>
      </c>
      <c r="L509" s="155" t="s">
        <v>258</v>
      </c>
      <c r="M509" s="156" t="s">
        <v>448</v>
      </c>
      <c r="N509" s="157" t="s">
        <v>10499</v>
      </c>
      <c r="O509" s="158" t="s">
        <v>755</v>
      </c>
      <c r="P509" s="159" t="s">
        <v>10500</v>
      </c>
      <c r="Q509" s="160" t="s">
        <v>162</v>
      </c>
      <c r="R509" s="161">
        <v>8.01</v>
      </c>
      <c r="S509" s="162" t="s">
        <v>290</v>
      </c>
      <c r="T509" s="163" t="s">
        <v>1392</v>
      </c>
      <c r="U509" s="164" t="s">
        <v>1791</v>
      </c>
      <c r="V509" s="165" t="s">
        <v>10501</v>
      </c>
      <c r="W509" s="166">
        <v>17000</v>
      </c>
      <c r="X509" s="167" t="s">
        <v>10502</v>
      </c>
      <c r="Y509" s="168" t="s">
        <v>153</v>
      </c>
      <c r="Z509" s="169" t="s">
        <v>153</v>
      </c>
      <c r="AA509" s="170">
        <v>1982</v>
      </c>
      <c r="AB509" s="171" t="s">
        <v>153</v>
      </c>
      <c r="AC509" s="172" t="s">
        <v>428</v>
      </c>
      <c r="AD509" s="173" t="s">
        <v>537</v>
      </c>
      <c r="AE509" s="174" t="s">
        <v>153</v>
      </c>
      <c r="AF509" s="175" t="s">
        <v>153</v>
      </c>
      <c r="AG509" s="176" t="s">
        <v>153</v>
      </c>
      <c r="AH509" s="177" t="s">
        <v>153</v>
      </c>
      <c r="AI509" s="178" t="s">
        <v>153</v>
      </c>
      <c r="AJ509" s="179" t="s">
        <v>153</v>
      </c>
      <c r="AK509" s="180" t="s">
        <v>153</v>
      </c>
      <c r="AL509" s="181" t="s">
        <v>153</v>
      </c>
      <c r="AM509" s="182" t="s">
        <v>153</v>
      </c>
      <c r="AN509" s="183" t="s">
        <v>868</v>
      </c>
      <c r="AO509" s="184" t="s">
        <v>10503</v>
      </c>
      <c r="AP509" s="185" t="s">
        <v>10504</v>
      </c>
      <c r="AQ509" s="186" t="s">
        <v>171</v>
      </c>
      <c r="AR509" s="187" t="s">
        <v>10505</v>
      </c>
      <c r="AS509" s="188" t="s">
        <v>10506</v>
      </c>
      <c r="AT509" s="189" t="s">
        <v>10507</v>
      </c>
      <c r="AU509" s="190" t="s">
        <v>10508</v>
      </c>
      <c r="AV509" s="191" t="s">
        <v>10509</v>
      </c>
      <c r="AW509" s="192" t="s">
        <v>10510</v>
      </c>
      <c r="AX509" s="193" t="s">
        <v>385</v>
      </c>
      <c r="AY509" s="194" t="s">
        <v>10511</v>
      </c>
      <c r="AZ509" s="195" t="s">
        <v>215</v>
      </c>
      <c r="BA509" s="196" t="s">
        <v>10506</v>
      </c>
      <c r="BB509" s="197" t="s">
        <v>153</v>
      </c>
      <c r="BC509" s="198" t="s">
        <v>10512</v>
      </c>
      <c r="BD509" s="199" t="s">
        <v>216</v>
      </c>
      <c r="BE509" s="200" t="s">
        <v>217</v>
      </c>
      <c r="BF509" s="201" t="s">
        <v>10513</v>
      </c>
      <c r="BG509" s="202" t="s">
        <v>10514</v>
      </c>
      <c r="BH509" s="203">
        <v>1</v>
      </c>
      <c r="BI509" s="204" t="s">
        <v>153</v>
      </c>
      <c r="BJ509" s="205" t="s">
        <v>10515</v>
      </c>
      <c r="BK509" s="206" t="s">
        <v>10516</v>
      </c>
      <c r="BL509" s="207" t="s">
        <v>10517</v>
      </c>
      <c r="BM509" s="208" t="s">
        <v>10518</v>
      </c>
      <c r="BN509" s="209" t="s">
        <v>10519</v>
      </c>
      <c r="BO509" s="210" t="s">
        <v>153</v>
      </c>
      <c r="BP509" s="211" t="s">
        <v>10520</v>
      </c>
      <c r="BQ509" s="212">
        <v>31564</v>
      </c>
      <c r="BR509" s="213" t="s">
        <v>153</v>
      </c>
      <c r="BS509" s="214" t="s">
        <v>153</v>
      </c>
      <c r="BT509" s="215" t="s">
        <v>153</v>
      </c>
      <c r="BU509" s="216" t="s">
        <v>153</v>
      </c>
      <c r="BV509" s="217" t="s">
        <v>1007</v>
      </c>
      <c r="BW509" s="218" t="s">
        <v>1007</v>
      </c>
      <c r="BX509" s="219" t="s">
        <v>153</v>
      </c>
      <c r="BY509" s="220" t="s">
        <v>472</v>
      </c>
      <c r="BZ509" s="221" t="s">
        <v>153</v>
      </c>
      <c r="CA509" s="222" t="s">
        <v>190</v>
      </c>
      <c r="CB509" s="223">
        <v>44379</v>
      </c>
      <c r="CC509" s="224">
        <v>8500</v>
      </c>
      <c r="CD509" s="225" t="s">
        <v>186</v>
      </c>
      <c r="CE509" s="226">
        <v>8500</v>
      </c>
      <c r="CF509" s="227" t="s">
        <v>187</v>
      </c>
      <c r="CG509" s="228" t="s">
        <v>188</v>
      </c>
      <c r="CH509" s="229" t="s">
        <v>5549</v>
      </c>
      <c r="CI509" s="230" t="s">
        <v>153</v>
      </c>
      <c r="CJ509" s="231" t="s">
        <v>165</v>
      </c>
      <c r="CK509" s="232">
        <v>44379</v>
      </c>
      <c r="CL509" s="233" t="s">
        <v>153</v>
      </c>
      <c r="CM509" s="234" t="s">
        <v>153</v>
      </c>
      <c r="CN509" s="235" t="s">
        <v>1278</v>
      </c>
      <c r="CO509" s="236">
        <v>0.23</v>
      </c>
      <c r="CP509" s="237">
        <v>91</v>
      </c>
      <c r="CQ509" s="238">
        <v>-0.08</v>
      </c>
      <c r="CR509" s="239">
        <v>-25.91</v>
      </c>
      <c r="CS509" s="240">
        <v>0.69</v>
      </c>
      <c r="CT509" s="241">
        <v>94</v>
      </c>
      <c r="CU509" s="242">
        <v>0.01</v>
      </c>
      <c r="CV509" s="243">
        <v>77</v>
      </c>
      <c r="CW509" s="244">
        <v>0.6</v>
      </c>
      <c r="CX509" s="245">
        <v>80</v>
      </c>
      <c r="CY509" s="246">
        <v>0.77</v>
      </c>
      <c r="CZ509" s="247">
        <v>96</v>
      </c>
      <c r="DA509" s="248">
        <v>0.01</v>
      </c>
      <c r="DB509" s="249">
        <v>77</v>
      </c>
      <c r="DC509" s="250">
        <v>143.61000000000001</v>
      </c>
      <c r="DD509" s="251">
        <v>100</v>
      </c>
      <c r="DE509" s="252">
        <v>-48.01</v>
      </c>
      <c r="DF509" s="253">
        <v>-25.05</v>
      </c>
      <c r="DG509" s="254">
        <v>79.72</v>
      </c>
      <c r="DH509" s="255">
        <v>99</v>
      </c>
      <c r="DI509" s="256">
        <v>35.21</v>
      </c>
      <c r="DJ509" s="257">
        <v>95</v>
      </c>
      <c r="DK509" s="258">
        <v>34</v>
      </c>
      <c r="DL509" s="259">
        <v>94</v>
      </c>
      <c r="DM509" s="260">
        <v>125.44</v>
      </c>
      <c r="DN509" s="261">
        <v>100</v>
      </c>
      <c r="DO509" s="262">
        <v>35.21</v>
      </c>
      <c r="DP509" s="263">
        <v>95</v>
      </c>
      <c r="DQ509" s="264">
        <v>20338</v>
      </c>
      <c r="DR509" s="265">
        <v>-646</v>
      </c>
      <c r="DS509" s="266">
        <v>-3.08</v>
      </c>
      <c r="DT509" s="267">
        <v>2016</v>
      </c>
      <c r="DU509" s="268">
        <v>-9</v>
      </c>
      <c r="DV509" s="269">
        <v>-0.44</v>
      </c>
      <c r="DW509" s="270">
        <v>11058</v>
      </c>
      <c r="DX509" s="271">
        <v>-5</v>
      </c>
      <c r="DY509" s="272">
        <v>-0.05</v>
      </c>
      <c r="DZ509" s="273" t="s">
        <v>191</v>
      </c>
      <c r="EA509" s="274">
        <v>44402</v>
      </c>
      <c r="EB509" s="275">
        <v>8500</v>
      </c>
      <c r="EC509" s="276">
        <v>44379</v>
      </c>
      <c r="ED509" s="277" t="s">
        <v>188</v>
      </c>
      <c r="EE509" s="279" t="str">
        <f>HYPERLINK("https://my.pitchbook.com?c=40464-46", "View company online")</f>
        <v>View company online</v>
      </c>
    </row>
    <row r="510" spans="1:135" x14ac:dyDescent="0.45">
      <c r="A510" s="10" t="s">
        <v>10521</v>
      </c>
      <c r="B510" s="11" t="s">
        <v>10522</v>
      </c>
      <c r="C510" s="12" t="s">
        <v>153</v>
      </c>
      <c r="D510" s="13" t="s">
        <v>153</v>
      </c>
      <c r="E510" s="14" t="s">
        <v>10523</v>
      </c>
      <c r="F510" s="15" t="s">
        <v>153</v>
      </c>
      <c r="G510" s="16" t="s">
        <v>10524</v>
      </c>
      <c r="H510" s="17" t="s">
        <v>10525</v>
      </c>
      <c r="I510" s="18" t="s">
        <v>10521</v>
      </c>
      <c r="J510" s="19" t="s">
        <v>10526</v>
      </c>
      <c r="K510" s="20" t="s">
        <v>157</v>
      </c>
      <c r="L510" s="21" t="s">
        <v>421</v>
      </c>
      <c r="M510" s="22" t="s">
        <v>9126</v>
      </c>
      <c r="N510" s="23" t="s">
        <v>10527</v>
      </c>
      <c r="O510" s="24" t="s">
        <v>7633</v>
      </c>
      <c r="P510" s="25" t="s">
        <v>10528</v>
      </c>
      <c r="Q510" s="26" t="s">
        <v>367</v>
      </c>
      <c r="R510" s="27" t="s">
        <v>153</v>
      </c>
      <c r="S510" s="28" t="s">
        <v>290</v>
      </c>
      <c r="T510" s="29" t="s">
        <v>291</v>
      </c>
      <c r="U510" s="30" t="s">
        <v>565</v>
      </c>
      <c r="V510" s="31" t="s">
        <v>10529</v>
      </c>
      <c r="W510" s="32">
        <v>6430</v>
      </c>
      <c r="X510" s="33" t="s">
        <v>10530</v>
      </c>
      <c r="Y510" s="34" t="s">
        <v>372</v>
      </c>
      <c r="Z510" s="35" t="s">
        <v>10531</v>
      </c>
      <c r="AA510" s="36">
        <v>1923</v>
      </c>
      <c r="AB510" s="37" t="s">
        <v>153</v>
      </c>
      <c r="AC510" s="38" t="s">
        <v>428</v>
      </c>
      <c r="AD510" s="39" t="s">
        <v>428</v>
      </c>
      <c r="AE510" s="40">
        <v>2980.64</v>
      </c>
      <c r="AF510" s="41">
        <v>1452.03</v>
      </c>
      <c r="AG510" s="42">
        <v>509.09</v>
      </c>
      <c r="AH510" s="43">
        <v>7780.92</v>
      </c>
      <c r="AI510" s="44">
        <v>1011.11</v>
      </c>
      <c r="AJ510" s="45">
        <v>878</v>
      </c>
      <c r="AK510" s="46">
        <v>3819.38</v>
      </c>
      <c r="AL510" s="47">
        <v>3601.67</v>
      </c>
      <c r="AM510" s="48">
        <v>20.82</v>
      </c>
      <c r="AN510" s="49" t="s">
        <v>376</v>
      </c>
      <c r="AO510" s="50" t="s">
        <v>10532</v>
      </c>
      <c r="AP510" s="51" t="s">
        <v>10533</v>
      </c>
      <c r="AQ510" s="52" t="s">
        <v>379</v>
      </c>
      <c r="AR510" s="53" t="s">
        <v>10534</v>
      </c>
      <c r="AS510" s="54" t="s">
        <v>10535</v>
      </c>
      <c r="AT510" s="55" t="s">
        <v>8532</v>
      </c>
      <c r="AU510" s="56" t="s">
        <v>10536</v>
      </c>
      <c r="AV510" s="57" t="s">
        <v>1179</v>
      </c>
      <c r="AW510" s="58" t="s">
        <v>8534</v>
      </c>
      <c r="AX510" s="59" t="s">
        <v>2093</v>
      </c>
      <c r="AY510" s="60" t="s">
        <v>8535</v>
      </c>
      <c r="AZ510" s="61" t="s">
        <v>215</v>
      </c>
      <c r="BA510" s="62" t="s">
        <v>10535</v>
      </c>
      <c r="BB510" s="63" t="s">
        <v>153</v>
      </c>
      <c r="BC510" s="64" t="s">
        <v>153</v>
      </c>
      <c r="BD510" s="65" t="s">
        <v>216</v>
      </c>
      <c r="BE510" s="66" t="s">
        <v>217</v>
      </c>
      <c r="BF510" s="67" t="s">
        <v>10537</v>
      </c>
      <c r="BG510" s="68" t="s">
        <v>153</v>
      </c>
      <c r="BH510" s="69" t="s">
        <v>153</v>
      </c>
      <c r="BI510" s="70" t="s">
        <v>153</v>
      </c>
      <c r="BJ510" s="71" t="s">
        <v>153</v>
      </c>
      <c r="BK510" s="72" t="s">
        <v>10538</v>
      </c>
      <c r="BL510" s="73" t="s">
        <v>153</v>
      </c>
      <c r="BM510" s="74" t="s">
        <v>153</v>
      </c>
      <c r="BN510" s="75" t="s">
        <v>10539</v>
      </c>
      <c r="BO510" s="76" t="s">
        <v>10540</v>
      </c>
      <c r="BP510" s="77" t="s">
        <v>10541</v>
      </c>
      <c r="BQ510" s="78">
        <v>29221</v>
      </c>
      <c r="BR510" s="79" t="s">
        <v>153</v>
      </c>
      <c r="BS510" s="80" t="s">
        <v>153</v>
      </c>
      <c r="BT510" s="81" t="s">
        <v>153</v>
      </c>
      <c r="BU510" s="82" t="s">
        <v>153</v>
      </c>
      <c r="BV510" s="83" t="s">
        <v>251</v>
      </c>
      <c r="BW510" s="84" t="s">
        <v>153</v>
      </c>
      <c r="BX510" s="85" t="s">
        <v>153</v>
      </c>
      <c r="BY510" s="86" t="s">
        <v>321</v>
      </c>
      <c r="BZ510" s="87" t="s">
        <v>153</v>
      </c>
      <c r="CA510" s="88" t="s">
        <v>190</v>
      </c>
      <c r="CB510" s="89">
        <v>43497</v>
      </c>
      <c r="CC510" s="90">
        <v>8500</v>
      </c>
      <c r="CD510" s="91" t="s">
        <v>187</v>
      </c>
      <c r="CE510" s="92">
        <v>8500</v>
      </c>
      <c r="CF510" s="93" t="s">
        <v>187</v>
      </c>
      <c r="CG510" s="94" t="s">
        <v>188</v>
      </c>
      <c r="CH510" s="95" t="s">
        <v>930</v>
      </c>
      <c r="CI510" s="96" t="s">
        <v>153</v>
      </c>
      <c r="CJ510" s="97" t="s">
        <v>165</v>
      </c>
      <c r="CK510" s="98">
        <v>43497</v>
      </c>
      <c r="CL510" s="99" t="s">
        <v>153</v>
      </c>
      <c r="CM510" s="100" t="s">
        <v>153</v>
      </c>
      <c r="CN510" s="101" t="s">
        <v>394</v>
      </c>
      <c r="CO510" s="102">
        <v>0.18</v>
      </c>
      <c r="CP510" s="103">
        <v>90</v>
      </c>
      <c r="CQ510" s="104">
        <v>-0.04</v>
      </c>
      <c r="CR510" s="105">
        <v>-19.2</v>
      </c>
      <c r="CS510" s="106">
        <v>0.28999999999999998</v>
      </c>
      <c r="CT510" s="107">
        <v>91</v>
      </c>
      <c r="CU510" s="108">
        <v>7.0000000000000007E-2</v>
      </c>
      <c r="CV510" s="109">
        <v>83</v>
      </c>
      <c r="CW510" s="110">
        <v>0.41</v>
      </c>
      <c r="CX510" s="111">
        <v>79</v>
      </c>
      <c r="CY510" s="112">
        <v>0.17</v>
      </c>
      <c r="CZ510" s="113">
        <v>91</v>
      </c>
      <c r="DA510" s="114">
        <v>7.0000000000000007E-2</v>
      </c>
      <c r="DB510" s="115">
        <v>83</v>
      </c>
      <c r="DC510" s="116">
        <v>31.58</v>
      </c>
      <c r="DD510" s="117">
        <v>97</v>
      </c>
      <c r="DE510" s="118">
        <v>0.02</v>
      </c>
      <c r="DF510" s="119">
        <v>0.08</v>
      </c>
      <c r="DG510" s="120">
        <v>36.56</v>
      </c>
      <c r="DH510" s="121">
        <v>98</v>
      </c>
      <c r="DI510" s="122">
        <v>26.6</v>
      </c>
      <c r="DJ510" s="123">
        <v>93</v>
      </c>
      <c r="DK510" s="124">
        <v>16.489999999999998</v>
      </c>
      <c r="DL510" s="125">
        <v>90</v>
      </c>
      <c r="DM510" s="126">
        <v>56.63</v>
      </c>
      <c r="DN510" s="127">
        <v>98</v>
      </c>
      <c r="DO510" s="128">
        <v>26.6</v>
      </c>
      <c r="DP510" s="129">
        <v>93</v>
      </c>
      <c r="DQ510" s="130">
        <v>9685</v>
      </c>
      <c r="DR510" s="131">
        <v>350</v>
      </c>
      <c r="DS510" s="132">
        <v>3.75</v>
      </c>
      <c r="DT510" s="133">
        <v>907</v>
      </c>
      <c r="DU510" s="134">
        <v>-4</v>
      </c>
      <c r="DV510" s="135">
        <v>-0.44</v>
      </c>
      <c r="DW510" s="136">
        <v>8351</v>
      </c>
      <c r="DX510" s="137">
        <v>3</v>
      </c>
      <c r="DY510" s="138">
        <v>0.04</v>
      </c>
      <c r="DZ510" s="139" t="s">
        <v>191</v>
      </c>
      <c r="EA510" s="140">
        <v>44390</v>
      </c>
      <c r="EB510" s="141">
        <v>8500</v>
      </c>
      <c r="EC510" s="142">
        <v>43497</v>
      </c>
      <c r="ED510" s="143" t="s">
        <v>188</v>
      </c>
      <c r="EE510" s="278" t="str">
        <f>HYPERLINK("https://my.pitchbook.com?c=65713-78", "View company online")</f>
        <v>View company online</v>
      </c>
    </row>
    <row r="511" spans="1:135" x14ac:dyDescent="0.45">
      <c r="A511" s="144" t="s">
        <v>10542</v>
      </c>
      <c r="B511" s="145" t="s">
        <v>10543</v>
      </c>
      <c r="C511" s="146" t="s">
        <v>153</v>
      </c>
      <c r="D511" s="147" t="s">
        <v>153</v>
      </c>
      <c r="E511" s="148" t="s">
        <v>10544</v>
      </c>
      <c r="F511" s="149" t="s">
        <v>10545</v>
      </c>
      <c r="G511" s="150" t="s">
        <v>10546</v>
      </c>
      <c r="H511" s="151" t="s">
        <v>10547</v>
      </c>
      <c r="I511" s="152" t="s">
        <v>10542</v>
      </c>
      <c r="J511" s="153" t="s">
        <v>10548</v>
      </c>
      <c r="K511" s="154" t="s">
        <v>157</v>
      </c>
      <c r="L511" s="155" t="s">
        <v>421</v>
      </c>
      <c r="M511" s="156" t="s">
        <v>503</v>
      </c>
      <c r="N511" s="157" t="s">
        <v>504</v>
      </c>
      <c r="O511" s="158" t="s">
        <v>399</v>
      </c>
      <c r="P511" s="159" t="s">
        <v>10549</v>
      </c>
      <c r="Q511" s="160" t="s">
        <v>564</v>
      </c>
      <c r="R511" s="161">
        <v>180</v>
      </c>
      <c r="S511" s="162" t="s">
        <v>163</v>
      </c>
      <c r="T511" s="163" t="s">
        <v>291</v>
      </c>
      <c r="U511" s="164" t="s">
        <v>2534</v>
      </c>
      <c r="V511" s="165" t="s">
        <v>10550</v>
      </c>
      <c r="W511" s="166">
        <v>3778</v>
      </c>
      <c r="X511" s="167" t="s">
        <v>10551</v>
      </c>
      <c r="Y511" s="168" t="s">
        <v>10552</v>
      </c>
      <c r="Z511" s="169" t="s">
        <v>10553</v>
      </c>
      <c r="AA511" s="170">
        <v>1924</v>
      </c>
      <c r="AB511" s="171" t="s">
        <v>153</v>
      </c>
      <c r="AC511" s="172" t="s">
        <v>153</v>
      </c>
      <c r="AD511" s="173" t="s">
        <v>622</v>
      </c>
      <c r="AE511" s="174" t="s">
        <v>153</v>
      </c>
      <c r="AF511" s="175" t="s">
        <v>153</v>
      </c>
      <c r="AG511" s="176" t="s">
        <v>153</v>
      </c>
      <c r="AH511" s="177" t="s">
        <v>153</v>
      </c>
      <c r="AI511" s="178" t="s">
        <v>153</v>
      </c>
      <c r="AJ511" s="179" t="s">
        <v>153</v>
      </c>
      <c r="AK511" s="180" t="s">
        <v>153</v>
      </c>
      <c r="AL511" s="181" t="s">
        <v>153</v>
      </c>
      <c r="AM511" s="182" t="s">
        <v>153</v>
      </c>
      <c r="AN511" s="183" t="s">
        <v>2438</v>
      </c>
      <c r="AO511" s="184" t="s">
        <v>10554</v>
      </c>
      <c r="AP511" s="185" t="s">
        <v>10555</v>
      </c>
      <c r="AQ511" s="186" t="s">
        <v>512</v>
      </c>
      <c r="AR511" s="187" t="s">
        <v>10556</v>
      </c>
      <c r="AS511" s="188" t="s">
        <v>10557</v>
      </c>
      <c r="AT511" s="189" t="s">
        <v>10558</v>
      </c>
      <c r="AU511" s="190" t="s">
        <v>10559</v>
      </c>
      <c r="AV511" s="191" t="s">
        <v>153</v>
      </c>
      <c r="AW511" s="192" t="s">
        <v>10560</v>
      </c>
      <c r="AX511" s="193" t="s">
        <v>308</v>
      </c>
      <c r="AY511" s="194" t="s">
        <v>10561</v>
      </c>
      <c r="AZ511" s="195" t="s">
        <v>215</v>
      </c>
      <c r="BA511" s="196" t="s">
        <v>10557</v>
      </c>
      <c r="BB511" s="197" t="s">
        <v>153</v>
      </c>
      <c r="BC511" s="198" t="s">
        <v>153</v>
      </c>
      <c r="BD511" s="199" t="s">
        <v>216</v>
      </c>
      <c r="BE511" s="200" t="s">
        <v>217</v>
      </c>
      <c r="BF511" s="201" t="s">
        <v>10562</v>
      </c>
      <c r="BG511" s="202" t="s">
        <v>10563</v>
      </c>
      <c r="BH511" s="203">
        <v>3</v>
      </c>
      <c r="BI511" s="204" t="s">
        <v>153</v>
      </c>
      <c r="BJ511" s="205" t="s">
        <v>10564</v>
      </c>
      <c r="BK511" s="206" t="s">
        <v>10565</v>
      </c>
      <c r="BL511" s="207" t="s">
        <v>10566</v>
      </c>
      <c r="BM511" s="208" t="s">
        <v>10567</v>
      </c>
      <c r="BN511" s="209" t="s">
        <v>10568</v>
      </c>
      <c r="BO511" s="210" t="s">
        <v>10569</v>
      </c>
      <c r="BP511" s="211" t="s">
        <v>10570</v>
      </c>
      <c r="BQ511" s="212" t="s">
        <v>153</v>
      </c>
      <c r="BR511" s="213" t="s">
        <v>153</v>
      </c>
      <c r="BS511" s="214" t="s">
        <v>153</v>
      </c>
      <c r="BT511" s="215" t="s">
        <v>153</v>
      </c>
      <c r="BU511" s="216" t="s">
        <v>153</v>
      </c>
      <c r="BV511" s="217" t="s">
        <v>251</v>
      </c>
      <c r="BW511" s="218" t="s">
        <v>153</v>
      </c>
      <c r="BX511" s="219" t="s">
        <v>153</v>
      </c>
      <c r="BY511" s="220" t="s">
        <v>252</v>
      </c>
      <c r="BZ511" s="221" t="s">
        <v>153</v>
      </c>
      <c r="CA511" s="222" t="s">
        <v>190</v>
      </c>
      <c r="CB511" s="223">
        <v>44342</v>
      </c>
      <c r="CC511" s="224">
        <v>8450</v>
      </c>
      <c r="CD511" s="225" t="s">
        <v>186</v>
      </c>
      <c r="CE511" s="226">
        <v>8450</v>
      </c>
      <c r="CF511" s="227" t="s">
        <v>187</v>
      </c>
      <c r="CG511" s="228" t="s">
        <v>226</v>
      </c>
      <c r="CH511" s="229" t="s">
        <v>153</v>
      </c>
      <c r="CI511" s="230" t="s">
        <v>153</v>
      </c>
      <c r="CJ511" s="231" t="s">
        <v>225</v>
      </c>
      <c r="CK511" s="232">
        <v>44342</v>
      </c>
      <c r="CL511" s="233" t="s">
        <v>153</v>
      </c>
      <c r="CM511" s="234" t="s">
        <v>153</v>
      </c>
      <c r="CN511" s="235" t="s">
        <v>1278</v>
      </c>
      <c r="CO511" s="236">
        <v>1.41</v>
      </c>
      <c r="CP511" s="237">
        <v>97</v>
      </c>
      <c r="CQ511" s="238">
        <v>-0.03</v>
      </c>
      <c r="CR511" s="239">
        <v>-1.85</v>
      </c>
      <c r="CS511" s="240">
        <v>2.31</v>
      </c>
      <c r="CT511" s="241">
        <v>98</v>
      </c>
      <c r="CU511" s="242">
        <v>1.76</v>
      </c>
      <c r="CV511" s="243">
        <v>100</v>
      </c>
      <c r="CW511" s="244">
        <v>4.6100000000000003</v>
      </c>
      <c r="CX511" s="245">
        <v>93</v>
      </c>
      <c r="CY511" s="246">
        <v>0</v>
      </c>
      <c r="CZ511" s="247">
        <v>5</v>
      </c>
      <c r="DA511" s="248">
        <v>1.76</v>
      </c>
      <c r="DB511" s="249">
        <v>100</v>
      </c>
      <c r="DC511" s="250">
        <v>117.52</v>
      </c>
      <c r="DD511" s="251">
        <v>100</v>
      </c>
      <c r="DE511" s="252">
        <v>-0.24</v>
      </c>
      <c r="DF511" s="253">
        <v>-0.2</v>
      </c>
      <c r="DG511" s="254">
        <v>250.09</v>
      </c>
      <c r="DH511" s="255">
        <v>100</v>
      </c>
      <c r="DI511" s="256">
        <v>0.37</v>
      </c>
      <c r="DJ511" s="257">
        <v>34</v>
      </c>
      <c r="DK511" s="258">
        <v>45.3</v>
      </c>
      <c r="DL511" s="259">
        <v>95</v>
      </c>
      <c r="DM511" s="260">
        <v>454.88</v>
      </c>
      <c r="DN511" s="261">
        <v>100</v>
      </c>
      <c r="DO511" s="262">
        <v>0.37</v>
      </c>
      <c r="DP511" s="263">
        <v>34</v>
      </c>
      <c r="DQ511" s="264">
        <v>28465</v>
      </c>
      <c r="DR511" s="265">
        <v>-5887</v>
      </c>
      <c r="DS511" s="266">
        <v>-17.14</v>
      </c>
      <c r="DT511" s="267">
        <v>7287</v>
      </c>
      <c r="DU511" s="268">
        <v>-36</v>
      </c>
      <c r="DV511" s="269">
        <v>-0.49</v>
      </c>
      <c r="DW511" s="270">
        <v>115</v>
      </c>
      <c r="DX511" s="271">
        <v>2</v>
      </c>
      <c r="DY511" s="272">
        <v>1.77</v>
      </c>
      <c r="DZ511" s="273" t="s">
        <v>191</v>
      </c>
      <c r="EA511" s="274">
        <v>44393</v>
      </c>
      <c r="EB511" s="275">
        <v>8450</v>
      </c>
      <c r="EC511" s="276">
        <v>44342</v>
      </c>
      <c r="ED511" s="277" t="s">
        <v>226</v>
      </c>
      <c r="EE511" s="279" t="str">
        <f>HYPERLINK("https://my.pitchbook.com?c=10688-68", "View company online")</f>
        <v>View company online</v>
      </c>
    </row>
    <row r="512" spans="1:135" x14ac:dyDescent="0.45">
      <c r="A512" s="10" t="s">
        <v>10571</v>
      </c>
      <c r="B512" s="11" t="s">
        <v>10572</v>
      </c>
      <c r="C512" s="12" t="s">
        <v>153</v>
      </c>
      <c r="D512" s="13" t="s">
        <v>153</v>
      </c>
      <c r="E512" s="14" t="s">
        <v>153</v>
      </c>
      <c r="F512" s="15" t="s">
        <v>10573</v>
      </c>
      <c r="G512" s="16" t="s">
        <v>10574</v>
      </c>
      <c r="H512" s="17" t="s">
        <v>10575</v>
      </c>
      <c r="I512" s="18" t="s">
        <v>10571</v>
      </c>
      <c r="J512" s="19" t="s">
        <v>10576</v>
      </c>
      <c r="K512" s="20" t="s">
        <v>882</v>
      </c>
      <c r="L512" s="21" t="s">
        <v>1257</v>
      </c>
      <c r="M512" s="22" t="s">
        <v>4242</v>
      </c>
      <c r="N512" s="23" t="s">
        <v>10577</v>
      </c>
      <c r="O512" s="24" t="s">
        <v>7633</v>
      </c>
      <c r="P512" s="25" t="s">
        <v>10578</v>
      </c>
      <c r="Q512" s="26" t="s">
        <v>204</v>
      </c>
      <c r="R512" s="27">
        <v>36.799999999999997</v>
      </c>
      <c r="S512" s="28" t="s">
        <v>290</v>
      </c>
      <c r="T512" s="29" t="s">
        <v>205</v>
      </c>
      <c r="U512" s="30" t="s">
        <v>369</v>
      </c>
      <c r="V512" s="31" t="s">
        <v>10579</v>
      </c>
      <c r="W512" s="32">
        <v>50000</v>
      </c>
      <c r="X512" s="33" t="s">
        <v>10580</v>
      </c>
      <c r="Y512" s="34" t="s">
        <v>153</v>
      </c>
      <c r="Z512" s="35" t="s">
        <v>153</v>
      </c>
      <c r="AA512" s="36">
        <v>1988</v>
      </c>
      <c r="AB512" s="37" t="s">
        <v>153</v>
      </c>
      <c r="AC512" s="38" t="s">
        <v>153</v>
      </c>
      <c r="AD512" s="39" t="s">
        <v>153</v>
      </c>
      <c r="AE512" s="40" t="s">
        <v>153</v>
      </c>
      <c r="AF512" s="41" t="s">
        <v>153</v>
      </c>
      <c r="AG512" s="42" t="s">
        <v>153</v>
      </c>
      <c r="AH512" s="43" t="s">
        <v>153</v>
      </c>
      <c r="AI512" s="44" t="s">
        <v>153</v>
      </c>
      <c r="AJ512" s="45" t="s">
        <v>153</v>
      </c>
      <c r="AK512" s="46" t="s">
        <v>153</v>
      </c>
      <c r="AL512" s="47" t="s">
        <v>153</v>
      </c>
      <c r="AM512" s="48" t="s">
        <v>153</v>
      </c>
      <c r="AN512" s="49" t="s">
        <v>8772</v>
      </c>
      <c r="AO512" s="50" t="s">
        <v>10581</v>
      </c>
      <c r="AP512" s="51" t="s">
        <v>10582</v>
      </c>
      <c r="AQ512" s="52" t="s">
        <v>968</v>
      </c>
      <c r="AR512" s="53" t="s">
        <v>10583</v>
      </c>
      <c r="AS512" s="54" t="s">
        <v>153</v>
      </c>
      <c r="AT512" s="55" t="s">
        <v>3124</v>
      </c>
      <c r="AU512" s="56" t="s">
        <v>10584</v>
      </c>
      <c r="AV512" s="57" t="s">
        <v>153</v>
      </c>
      <c r="AW512" s="58" t="s">
        <v>3126</v>
      </c>
      <c r="AX512" s="59" t="s">
        <v>1128</v>
      </c>
      <c r="AY512" s="60" t="s">
        <v>10585</v>
      </c>
      <c r="AZ512" s="61" t="s">
        <v>215</v>
      </c>
      <c r="BA512" s="62" t="s">
        <v>153</v>
      </c>
      <c r="BB512" s="63" t="s">
        <v>153</v>
      </c>
      <c r="BC512" s="64" t="s">
        <v>153</v>
      </c>
      <c r="BD512" s="65" t="s">
        <v>216</v>
      </c>
      <c r="BE512" s="66" t="s">
        <v>217</v>
      </c>
      <c r="BF512" s="67" t="s">
        <v>10586</v>
      </c>
      <c r="BG512" s="68" t="s">
        <v>153</v>
      </c>
      <c r="BH512" s="69" t="s">
        <v>153</v>
      </c>
      <c r="BI512" s="70" t="s">
        <v>10587</v>
      </c>
      <c r="BJ512" s="71" t="s">
        <v>153</v>
      </c>
      <c r="BK512" s="72" t="s">
        <v>10588</v>
      </c>
      <c r="BL512" s="73" t="s">
        <v>153</v>
      </c>
      <c r="BM512" s="74" t="s">
        <v>153</v>
      </c>
      <c r="BN512" s="75" t="s">
        <v>10589</v>
      </c>
      <c r="BO512" s="76" t="s">
        <v>10590</v>
      </c>
      <c r="BP512" s="77" t="s">
        <v>10591</v>
      </c>
      <c r="BQ512" s="78">
        <v>34603</v>
      </c>
      <c r="BR512" s="79">
        <v>36.799999999999997</v>
      </c>
      <c r="BS512" s="80" t="s">
        <v>186</v>
      </c>
      <c r="BT512" s="81" t="s">
        <v>153</v>
      </c>
      <c r="BU512" s="82" t="s">
        <v>153</v>
      </c>
      <c r="BV512" s="83" t="s">
        <v>251</v>
      </c>
      <c r="BW512" s="84" t="s">
        <v>153</v>
      </c>
      <c r="BX512" s="85" t="s">
        <v>153</v>
      </c>
      <c r="BY512" s="86" t="s">
        <v>252</v>
      </c>
      <c r="BZ512" s="87" t="s">
        <v>153</v>
      </c>
      <c r="CA512" s="88" t="s">
        <v>190</v>
      </c>
      <c r="CB512" s="89">
        <v>40217</v>
      </c>
      <c r="CC512" s="90">
        <v>8400</v>
      </c>
      <c r="CD512" s="91" t="s">
        <v>186</v>
      </c>
      <c r="CE512" s="92">
        <v>8400</v>
      </c>
      <c r="CF512" s="93" t="s">
        <v>153</v>
      </c>
      <c r="CG512" s="94" t="s">
        <v>226</v>
      </c>
      <c r="CH512" s="95" t="s">
        <v>153</v>
      </c>
      <c r="CI512" s="96" t="s">
        <v>153</v>
      </c>
      <c r="CJ512" s="97" t="s">
        <v>225</v>
      </c>
      <c r="CK512" s="98">
        <v>40217</v>
      </c>
      <c r="CL512" s="99" t="s">
        <v>153</v>
      </c>
      <c r="CM512" s="100" t="s">
        <v>153</v>
      </c>
      <c r="CN512" s="101" t="s">
        <v>190</v>
      </c>
      <c r="CO512" s="102" t="s">
        <v>153</v>
      </c>
      <c r="CP512" s="103" t="s">
        <v>153</v>
      </c>
      <c r="CQ512" s="104" t="s">
        <v>153</v>
      </c>
      <c r="CR512" s="105" t="s">
        <v>153</v>
      </c>
      <c r="CS512" s="106" t="s">
        <v>153</v>
      </c>
      <c r="CT512" s="107" t="s">
        <v>153</v>
      </c>
      <c r="CU512" s="108" t="s">
        <v>153</v>
      </c>
      <c r="CV512" s="109" t="s">
        <v>153</v>
      </c>
      <c r="CW512" s="110" t="s">
        <v>153</v>
      </c>
      <c r="CX512" s="111" t="s">
        <v>153</v>
      </c>
      <c r="CY512" s="112" t="s">
        <v>153</v>
      </c>
      <c r="CZ512" s="113" t="s">
        <v>153</v>
      </c>
      <c r="DA512" s="114" t="s">
        <v>153</v>
      </c>
      <c r="DB512" s="115" t="s">
        <v>153</v>
      </c>
      <c r="DC512" s="116" t="s">
        <v>153</v>
      </c>
      <c r="DD512" s="117" t="s">
        <v>153</v>
      </c>
      <c r="DE512" s="118" t="s">
        <v>153</v>
      </c>
      <c r="DF512" s="119" t="s">
        <v>153</v>
      </c>
      <c r="DG512" s="120" t="s">
        <v>153</v>
      </c>
      <c r="DH512" s="121" t="s">
        <v>153</v>
      </c>
      <c r="DI512" s="122" t="s">
        <v>153</v>
      </c>
      <c r="DJ512" s="123" t="s">
        <v>153</v>
      </c>
      <c r="DK512" s="124" t="s">
        <v>153</v>
      </c>
      <c r="DL512" s="125" t="s">
        <v>153</v>
      </c>
      <c r="DM512" s="126" t="s">
        <v>153</v>
      </c>
      <c r="DN512" s="127" t="s">
        <v>153</v>
      </c>
      <c r="DO512" s="128" t="s">
        <v>153</v>
      </c>
      <c r="DP512" s="129" t="s">
        <v>153</v>
      </c>
      <c r="DQ512" s="130" t="s">
        <v>153</v>
      </c>
      <c r="DR512" s="131" t="s">
        <v>153</v>
      </c>
      <c r="DS512" s="132" t="s">
        <v>153</v>
      </c>
      <c r="DT512" s="133" t="s">
        <v>153</v>
      </c>
      <c r="DU512" s="134" t="s">
        <v>153</v>
      </c>
      <c r="DV512" s="135" t="s">
        <v>153</v>
      </c>
      <c r="DW512" s="136" t="s">
        <v>153</v>
      </c>
      <c r="DX512" s="137" t="s">
        <v>153</v>
      </c>
      <c r="DY512" s="138" t="s">
        <v>153</v>
      </c>
      <c r="DZ512" s="139" t="s">
        <v>191</v>
      </c>
      <c r="EA512" s="140">
        <v>44217</v>
      </c>
      <c r="EB512" s="141">
        <v>8400</v>
      </c>
      <c r="EC512" s="142">
        <v>40217</v>
      </c>
      <c r="ED512" s="143" t="s">
        <v>226</v>
      </c>
      <c r="EE512" s="278" t="str">
        <f>HYPERLINK("https://my.pitchbook.com?c=10502-29", "View company online")</f>
        <v>View company online</v>
      </c>
    </row>
    <row r="513" spans="1:135" x14ac:dyDescent="0.45">
      <c r="A513" s="144" t="s">
        <v>10592</v>
      </c>
      <c r="B513" s="145" t="s">
        <v>10593</v>
      </c>
      <c r="C513" s="146" t="s">
        <v>153</v>
      </c>
      <c r="D513" s="147" t="s">
        <v>153</v>
      </c>
      <c r="E513" s="148" t="s">
        <v>10594</v>
      </c>
      <c r="F513" s="149" t="s">
        <v>10595</v>
      </c>
      <c r="G513" s="150" t="s">
        <v>10596</v>
      </c>
      <c r="H513" s="151" t="s">
        <v>10597</v>
      </c>
      <c r="I513" s="152" t="s">
        <v>10592</v>
      </c>
      <c r="J513" s="153" t="s">
        <v>10598</v>
      </c>
      <c r="K513" s="154" t="s">
        <v>882</v>
      </c>
      <c r="L513" s="155" t="s">
        <v>1231</v>
      </c>
      <c r="M513" s="156" t="s">
        <v>1232</v>
      </c>
      <c r="N513" s="157" t="s">
        <v>7632</v>
      </c>
      <c r="O513" s="158" t="s">
        <v>1234</v>
      </c>
      <c r="P513" s="159" t="s">
        <v>10599</v>
      </c>
      <c r="Q513" s="160" t="s">
        <v>162</v>
      </c>
      <c r="R513" s="161">
        <v>2975</v>
      </c>
      <c r="S513" s="162" t="s">
        <v>290</v>
      </c>
      <c r="T513" s="163" t="s">
        <v>1392</v>
      </c>
      <c r="U513" s="164" t="s">
        <v>565</v>
      </c>
      <c r="V513" s="165" t="s">
        <v>10600</v>
      </c>
      <c r="W513" s="166">
        <v>7300</v>
      </c>
      <c r="X513" s="167" t="s">
        <v>10601</v>
      </c>
      <c r="Y513" s="168" t="s">
        <v>153</v>
      </c>
      <c r="Z513" s="169" t="s">
        <v>153</v>
      </c>
      <c r="AA513" s="170">
        <v>1899</v>
      </c>
      <c r="AB513" s="171" t="s">
        <v>153</v>
      </c>
      <c r="AC513" s="172" t="s">
        <v>153</v>
      </c>
      <c r="AD513" s="173" t="s">
        <v>153</v>
      </c>
      <c r="AE513" s="174" t="s">
        <v>153</v>
      </c>
      <c r="AF513" s="175" t="s">
        <v>153</v>
      </c>
      <c r="AG513" s="176" t="s">
        <v>153</v>
      </c>
      <c r="AH513" s="177" t="s">
        <v>153</v>
      </c>
      <c r="AI513" s="178" t="s">
        <v>153</v>
      </c>
      <c r="AJ513" s="179" t="s">
        <v>153</v>
      </c>
      <c r="AK513" s="180" t="s">
        <v>153</v>
      </c>
      <c r="AL513" s="181" t="s">
        <v>153</v>
      </c>
      <c r="AM513" s="182" t="s">
        <v>153</v>
      </c>
      <c r="AN513" s="183" t="s">
        <v>1908</v>
      </c>
      <c r="AO513" s="184" t="s">
        <v>10602</v>
      </c>
      <c r="AP513" s="185" t="s">
        <v>10603</v>
      </c>
      <c r="AQ513" s="186" t="s">
        <v>512</v>
      </c>
      <c r="AR513" s="187" t="s">
        <v>10604</v>
      </c>
      <c r="AS513" s="188" t="s">
        <v>10605</v>
      </c>
      <c r="AT513" s="189" t="s">
        <v>10606</v>
      </c>
      <c r="AU513" s="190" t="s">
        <v>10607</v>
      </c>
      <c r="AV513" s="191" t="s">
        <v>153</v>
      </c>
      <c r="AW513" s="192" t="s">
        <v>10608</v>
      </c>
      <c r="AX513" s="193" t="s">
        <v>213</v>
      </c>
      <c r="AY513" s="194" t="s">
        <v>10609</v>
      </c>
      <c r="AZ513" s="195" t="s">
        <v>215</v>
      </c>
      <c r="BA513" s="196" t="s">
        <v>10605</v>
      </c>
      <c r="BB513" s="197" t="s">
        <v>153</v>
      </c>
      <c r="BC513" s="198" t="s">
        <v>10610</v>
      </c>
      <c r="BD513" s="199" t="s">
        <v>216</v>
      </c>
      <c r="BE513" s="200" t="s">
        <v>217</v>
      </c>
      <c r="BF513" s="201" t="s">
        <v>10611</v>
      </c>
      <c r="BG513" s="202" t="s">
        <v>10612</v>
      </c>
      <c r="BH513" s="203">
        <v>2</v>
      </c>
      <c r="BI513" s="204" t="s">
        <v>153</v>
      </c>
      <c r="BJ513" s="205" t="s">
        <v>10613</v>
      </c>
      <c r="BK513" s="206" t="s">
        <v>10614</v>
      </c>
      <c r="BL513" s="207" t="s">
        <v>10615</v>
      </c>
      <c r="BM513" s="208" t="s">
        <v>10616</v>
      </c>
      <c r="BN513" s="209" t="s">
        <v>10617</v>
      </c>
      <c r="BO513" s="210" t="s">
        <v>10618</v>
      </c>
      <c r="BP513" s="211" t="s">
        <v>10619</v>
      </c>
      <c r="BQ513" s="212">
        <v>38132</v>
      </c>
      <c r="BR513" s="213" t="s">
        <v>153</v>
      </c>
      <c r="BS513" s="214" t="s">
        <v>153</v>
      </c>
      <c r="BT513" s="215" t="s">
        <v>153</v>
      </c>
      <c r="BU513" s="216" t="s">
        <v>153</v>
      </c>
      <c r="BV513" s="217" t="s">
        <v>251</v>
      </c>
      <c r="BW513" s="218" t="s">
        <v>153</v>
      </c>
      <c r="BX513" s="219" t="s">
        <v>153</v>
      </c>
      <c r="BY513" s="220" t="s">
        <v>252</v>
      </c>
      <c r="BZ513" s="221" t="s">
        <v>153</v>
      </c>
      <c r="CA513" s="222" t="s">
        <v>190</v>
      </c>
      <c r="CB513" s="223">
        <v>43829</v>
      </c>
      <c r="CC513" s="224">
        <v>8400</v>
      </c>
      <c r="CD513" s="225" t="s">
        <v>186</v>
      </c>
      <c r="CE513" s="226">
        <v>8400</v>
      </c>
      <c r="CF513" s="227" t="s">
        <v>187</v>
      </c>
      <c r="CG513" s="228" t="s">
        <v>188</v>
      </c>
      <c r="CH513" s="229" t="s">
        <v>930</v>
      </c>
      <c r="CI513" s="230" t="s">
        <v>153</v>
      </c>
      <c r="CJ513" s="231" t="s">
        <v>165</v>
      </c>
      <c r="CK513" s="232">
        <v>43829</v>
      </c>
      <c r="CL513" s="233" t="s">
        <v>153</v>
      </c>
      <c r="CM513" s="234" t="s">
        <v>1607</v>
      </c>
      <c r="CN513" s="235" t="s">
        <v>190</v>
      </c>
      <c r="CO513" s="236">
        <v>0.55000000000000004</v>
      </c>
      <c r="CP513" s="237">
        <v>94</v>
      </c>
      <c r="CQ513" s="238">
        <v>0.04</v>
      </c>
      <c r="CR513" s="239">
        <v>8.85</v>
      </c>
      <c r="CS513" s="240">
        <v>1.1000000000000001</v>
      </c>
      <c r="CT513" s="241">
        <v>96</v>
      </c>
      <c r="CU513" s="242" t="s">
        <v>153</v>
      </c>
      <c r="CV513" s="243" t="s">
        <v>153</v>
      </c>
      <c r="CW513" s="244">
        <v>2.46</v>
      </c>
      <c r="CX513" s="245">
        <v>87</v>
      </c>
      <c r="CY513" s="246">
        <v>-0.25</v>
      </c>
      <c r="CZ513" s="247">
        <v>3</v>
      </c>
      <c r="DA513" s="248" t="s">
        <v>153</v>
      </c>
      <c r="DB513" s="249" t="s">
        <v>153</v>
      </c>
      <c r="DC513" s="250">
        <v>119.68</v>
      </c>
      <c r="DD513" s="251">
        <v>100</v>
      </c>
      <c r="DE513" s="252">
        <v>-0.03</v>
      </c>
      <c r="DF513" s="253">
        <v>-0.03</v>
      </c>
      <c r="DG513" s="254">
        <v>42.06</v>
      </c>
      <c r="DH513" s="255">
        <v>98</v>
      </c>
      <c r="DI513" s="256" t="s">
        <v>153</v>
      </c>
      <c r="DJ513" s="257" t="s">
        <v>153</v>
      </c>
      <c r="DK513" s="258">
        <v>13.24</v>
      </c>
      <c r="DL513" s="259">
        <v>88</v>
      </c>
      <c r="DM513" s="260">
        <v>70.88</v>
      </c>
      <c r="DN513" s="261">
        <v>99</v>
      </c>
      <c r="DO513" s="262" t="s">
        <v>153</v>
      </c>
      <c r="DP513" s="263" t="s">
        <v>153</v>
      </c>
      <c r="DQ513" s="264">
        <v>7856</v>
      </c>
      <c r="DR513" s="265">
        <v>-21</v>
      </c>
      <c r="DS513" s="266">
        <v>-0.27</v>
      </c>
      <c r="DT513" s="267">
        <v>1134</v>
      </c>
      <c r="DU513" s="268">
        <v>-3</v>
      </c>
      <c r="DV513" s="269">
        <v>-0.26</v>
      </c>
      <c r="DW513" s="270" t="s">
        <v>153</v>
      </c>
      <c r="DX513" s="271" t="s">
        <v>153</v>
      </c>
      <c r="DY513" s="272" t="s">
        <v>153</v>
      </c>
      <c r="DZ513" s="273" t="s">
        <v>191</v>
      </c>
      <c r="EA513" s="274">
        <v>44333</v>
      </c>
      <c r="EB513" s="275">
        <v>8400</v>
      </c>
      <c r="EC513" s="276">
        <v>43829</v>
      </c>
      <c r="ED513" s="277" t="s">
        <v>188</v>
      </c>
      <c r="EE513" s="279" t="str">
        <f>HYPERLINK("https://my.pitchbook.com?c=41351-14", "View company online")</f>
        <v>View company online</v>
      </c>
    </row>
    <row r="514" spans="1:135" x14ac:dyDescent="0.45">
      <c r="A514" s="10" t="s">
        <v>10620</v>
      </c>
      <c r="B514" s="11" t="s">
        <v>10621</v>
      </c>
      <c r="C514" s="12" t="s">
        <v>153</v>
      </c>
      <c r="D514" s="13" t="s">
        <v>153</v>
      </c>
      <c r="E514" s="14" t="s">
        <v>10622</v>
      </c>
      <c r="F514" s="15" t="s">
        <v>153</v>
      </c>
      <c r="G514" s="16" t="s">
        <v>10623</v>
      </c>
      <c r="H514" s="17" t="s">
        <v>10624</v>
      </c>
      <c r="I514" s="18" t="s">
        <v>10620</v>
      </c>
      <c r="J514" s="19" t="s">
        <v>10625</v>
      </c>
      <c r="K514" s="20" t="s">
        <v>157</v>
      </c>
      <c r="L514" s="21" t="s">
        <v>2713</v>
      </c>
      <c r="M514" s="22" t="s">
        <v>4514</v>
      </c>
      <c r="N514" s="23" t="s">
        <v>10626</v>
      </c>
      <c r="O514" s="24" t="s">
        <v>2839</v>
      </c>
      <c r="P514" s="25" t="s">
        <v>10627</v>
      </c>
      <c r="Q514" s="26" t="s">
        <v>367</v>
      </c>
      <c r="R514" s="27">
        <v>416</v>
      </c>
      <c r="S514" s="28" t="s">
        <v>368</v>
      </c>
      <c r="T514" s="29" t="s">
        <v>291</v>
      </c>
      <c r="U514" s="30" t="s">
        <v>1791</v>
      </c>
      <c r="V514" s="31" t="s">
        <v>10628</v>
      </c>
      <c r="W514" s="32">
        <v>62000</v>
      </c>
      <c r="X514" s="33" t="s">
        <v>10629</v>
      </c>
      <c r="Y514" s="34" t="s">
        <v>372</v>
      </c>
      <c r="Z514" s="35" t="s">
        <v>10630</v>
      </c>
      <c r="AA514" s="36">
        <v>1901</v>
      </c>
      <c r="AB514" s="37" t="s">
        <v>153</v>
      </c>
      <c r="AC514" s="38" t="s">
        <v>508</v>
      </c>
      <c r="AD514" s="39" t="s">
        <v>10631</v>
      </c>
      <c r="AE514" s="40">
        <v>11605</v>
      </c>
      <c r="AF514" s="41">
        <v>3796</v>
      </c>
      <c r="AG514" s="42">
        <v>-335</v>
      </c>
      <c r="AH514" s="43">
        <v>10322.02</v>
      </c>
      <c r="AI514" s="44">
        <v>509</v>
      </c>
      <c r="AJ514" s="45">
        <v>-319</v>
      </c>
      <c r="AK514" s="46">
        <v>4938.57</v>
      </c>
      <c r="AL514" s="47">
        <v>5078</v>
      </c>
      <c r="AM514" s="48">
        <v>-18.27</v>
      </c>
      <c r="AN514" s="49" t="s">
        <v>2288</v>
      </c>
      <c r="AO514" s="50" t="s">
        <v>10632</v>
      </c>
      <c r="AP514" s="51" t="s">
        <v>10633</v>
      </c>
      <c r="AQ514" s="52" t="s">
        <v>379</v>
      </c>
      <c r="AR514" s="53" t="s">
        <v>10634</v>
      </c>
      <c r="AS514" s="54" t="s">
        <v>153</v>
      </c>
      <c r="AT514" s="55" t="s">
        <v>4738</v>
      </c>
      <c r="AU514" s="56" t="s">
        <v>10635</v>
      </c>
      <c r="AV514" s="57" t="s">
        <v>10636</v>
      </c>
      <c r="AW514" s="58" t="s">
        <v>4740</v>
      </c>
      <c r="AX514" s="59" t="s">
        <v>4741</v>
      </c>
      <c r="AY514" s="60" t="s">
        <v>4742</v>
      </c>
      <c r="AZ514" s="61" t="s">
        <v>215</v>
      </c>
      <c r="BA514" s="62" t="s">
        <v>153</v>
      </c>
      <c r="BB514" s="63" t="s">
        <v>153</v>
      </c>
      <c r="BC514" s="64" t="s">
        <v>10637</v>
      </c>
      <c r="BD514" s="65" t="s">
        <v>216</v>
      </c>
      <c r="BE514" s="66" t="s">
        <v>217</v>
      </c>
      <c r="BF514" s="67" t="s">
        <v>10638</v>
      </c>
      <c r="BG514" s="68" t="s">
        <v>153</v>
      </c>
      <c r="BH514" s="69" t="s">
        <v>153</v>
      </c>
      <c r="BI514" s="70" t="s">
        <v>153</v>
      </c>
      <c r="BJ514" s="71" t="s">
        <v>10639</v>
      </c>
      <c r="BK514" s="72" t="s">
        <v>153</v>
      </c>
      <c r="BL514" s="73" t="s">
        <v>153</v>
      </c>
      <c r="BM514" s="74" t="s">
        <v>10640</v>
      </c>
      <c r="BN514" s="75" t="s">
        <v>153</v>
      </c>
      <c r="BO514" s="76" t="s">
        <v>10641</v>
      </c>
      <c r="BP514" s="77" t="s">
        <v>10642</v>
      </c>
      <c r="BQ514" s="78">
        <v>25934</v>
      </c>
      <c r="BR514" s="79" t="s">
        <v>153</v>
      </c>
      <c r="BS514" s="80" t="s">
        <v>153</v>
      </c>
      <c r="BT514" s="81" t="s">
        <v>153</v>
      </c>
      <c r="BU514" s="82" t="s">
        <v>153</v>
      </c>
      <c r="BV514" s="83" t="s">
        <v>251</v>
      </c>
      <c r="BW514" s="84" t="s">
        <v>153</v>
      </c>
      <c r="BX514" s="85" t="s">
        <v>153</v>
      </c>
      <c r="BY514" s="86" t="s">
        <v>252</v>
      </c>
      <c r="BZ514" s="87" t="s">
        <v>153</v>
      </c>
      <c r="CA514" s="88" t="s">
        <v>190</v>
      </c>
      <c r="CB514" s="89">
        <v>43164</v>
      </c>
      <c r="CC514" s="90">
        <v>8400</v>
      </c>
      <c r="CD514" s="91" t="s">
        <v>187</v>
      </c>
      <c r="CE514" s="92">
        <v>8400</v>
      </c>
      <c r="CF514" s="93" t="s">
        <v>187</v>
      </c>
      <c r="CG514" s="94" t="s">
        <v>188</v>
      </c>
      <c r="CH514" s="95" t="s">
        <v>930</v>
      </c>
      <c r="CI514" s="96" t="s">
        <v>153</v>
      </c>
      <c r="CJ514" s="97" t="s">
        <v>165</v>
      </c>
      <c r="CK514" s="98">
        <v>43164</v>
      </c>
      <c r="CL514" s="99" t="s">
        <v>153</v>
      </c>
      <c r="CM514" s="100" t="s">
        <v>153</v>
      </c>
      <c r="CN514" s="101" t="s">
        <v>394</v>
      </c>
      <c r="CO514" s="102">
        <v>0.72</v>
      </c>
      <c r="CP514" s="103">
        <v>95</v>
      </c>
      <c r="CQ514" s="104">
        <v>0</v>
      </c>
      <c r="CR514" s="105">
        <v>0.46</v>
      </c>
      <c r="CS514" s="106">
        <v>2.1</v>
      </c>
      <c r="CT514" s="107">
        <v>98</v>
      </c>
      <c r="CU514" s="108">
        <v>-0.19</v>
      </c>
      <c r="CV514" s="109">
        <v>6</v>
      </c>
      <c r="CW514" s="110">
        <v>2.1</v>
      </c>
      <c r="CX514" s="111">
        <v>86</v>
      </c>
      <c r="CY514" s="112" t="s">
        <v>153</v>
      </c>
      <c r="CZ514" s="113" t="s">
        <v>153</v>
      </c>
      <c r="DA514" s="114">
        <v>-0.19</v>
      </c>
      <c r="DB514" s="115">
        <v>6</v>
      </c>
      <c r="DC514" s="116">
        <v>10995.53</v>
      </c>
      <c r="DD514" s="117">
        <v>100</v>
      </c>
      <c r="DE514" s="118">
        <v>46.91</v>
      </c>
      <c r="DF514" s="119">
        <v>0.43</v>
      </c>
      <c r="DG514" s="120">
        <v>23.41</v>
      </c>
      <c r="DH514" s="121">
        <v>96</v>
      </c>
      <c r="DI514" s="122">
        <v>2239.54</v>
      </c>
      <c r="DJ514" s="123">
        <v>100</v>
      </c>
      <c r="DK514" s="124">
        <v>23.41</v>
      </c>
      <c r="DL514" s="125">
        <v>92</v>
      </c>
      <c r="DM514" s="126" t="s">
        <v>153</v>
      </c>
      <c r="DN514" s="127" t="s">
        <v>153</v>
      </c>
      <c r="DO514" s="128">
        <v>2239.54</v>
      </c>
      <c r="DP514" s="129">
        <v>100</v>
      </c>
      <c r="DQ514" s="130">
        <v>13835</v>
      </c>
      <c r="DR514" s="131">
        <v>169</v>
      </c>
      <c r="DS514" s="132">
        <v>1.24</v>
      </c>
      <c r="DT514" s="133" t="s">
        <v>153</v>
      </c>
      <c r="DU514" s="134" t="s">
        <v>153</v>
      </c>
      <c r="DV514" s="135" t="s">
        <v>153</v>
      </c>
      <c r="DW514" s="136">
        <v>703212</v>
      </c>
      <c r="DX514" s="137">
        <v>-81</v>
      </c>
      <c r="DY514" s="138">
        <v>-0.01</v>
      </c>
      <c r="DZ514" s="139" t="s">
        <v>191</v>
      </c>
      <c r="EA514" s="140">
        <v>44400</v>
      </c>
      <c r="EB514" s="141">
        <v>8400</v>
      </c>
      <c r="EC514" s="142">
        <v>43164</v>
      </c>
      <c r="ED514" s="143" t="s">
        <v>188</v>
      </c>
      <c r="EE514" s="278" t="str">
        <f>HYPERLINK("https://my.pitchbook.com?c=41113-90", "View company online")</f>
        <v>View company online</v>
      </c>
    </row>
    <row r="515" spans="1:135" x14ac:dyDescent="0.45">
      <c r="A515" s="144" t="s">
        <v>10643</v>
      </c>
      <c r="B515" s="145" t="s">
        <v>10644</v>
      </c>
      <c r="C515" s="146" t="s">
        <v>153</v>
      </c>
      <c r="D515" s="147" t="s">
        <v>153</v>
      </c>
      <c r="E515" s="148" t="s">
        <v>10645</v>
      </c>
      <c r="F515" s="149" t="s">
        <v>10646</v>
      </c>
      <c r="G515" s="150" t="s">
        <v>10647</v>
      </c>
      <c r="H515" s="151" t="s">
        <v>153</v>
      </c>
      <c r="I515" s="152" t="s">
        <v>10643</v>
      </c>
      <c r="J515" s="153" t="s">
        <v>10648</v>
      </c>
      <c r="K515" s="154" t="s">
        <v>232</v>
      </c>
      <c r="L515" s="155" t="s">
        <v>362</v>
      </c>
      <c r="M515" s="156" t="s">
        <v>4656</v>
      </c>
      <c r="N515" s="157" t="s">
        <v>10649</v>
      </c>
      <c r="O515" s="158" t="s">
        <v>1119</v>
      </c>
      <c r="P515" s="159" t="s">
        <v>10650</v>
      </c>
      <c r="Q515" s="160" t="s">
        <v>204</v>
      </c>
      <c r="R515" s="161" t="s">
        <v>153</v>
      </c>
      <c r="S515" s="162" t="s">
        <v>290</v>
      </c>
      <c r="T515" s="163" t="s">
        <v>205</v>
      </c>
      <c r="U515" s="164" t="s">
        <v>237</v>
      </c>
      <c r="V515" s="165" t="s">
        <v>153</v>
      </c>
      <c r="W515" s="166">
        <v>1265</v>
      </c>
      <c r="X515" s="167" t="s">
        <v>10651</v>
      </c>
      <c r="Y515" s="168" t="s">
        <v>153</v>
      </c>
      <c r="Z515" s="169" t="s">
        <v>153</v>
      </c>
      <c r="AA515" s="170">
        <v>1944</v>
      </c>
      <c r="AB515" s="171" t="s">
        <v>153</v>
      </c>
      <c r="AC515" s="172" t="s">
        <v>153</v>
      </c>
      <c r="AD515" s="173" t="s">
        <v>153</v>
      </c>
      <c r="AE515" s="174" t="s">
        <v>153</v>
      </c>
      <c r="AF515" s="175" t="s">
        <v>153</v>
      </c>
      <c r="AG515" s="176" t="s">
        <v>153</v>
      </c>
      <c r="AH515" s="177" t="s">
        <v>153</v>
      </c>
      <c r="AI515" s="178" t="s">
        <v>153</v>
      </c>
      <c r="AJ515" s="179" t="s">
        <v>153</v>
      </c>
      <c r="AK515" s="180" t="s">
        <v>153</v>
      </c>
      <c r="AL515" s="181" t="s">
        <v>153</v>
      </c>
      <c r="AM515" s="182" t="s">
        <v>153</v>
      </c>
      <c r="AN515" s="183" t="s">
        <v>918</v>
      </c>
      <c r="AO515" s="184" t="s">
        <v>10652</v>
      </c>
      <c r="AP515" s="185" t="s">
        <v>10653</v>
      </c>
      <c r="AQ515" s="186" t="s">
        <v>10654</v>
      </c>
      <c r="AR515" s="187" t="s">
        <v>153</v>
      </c>
      <c r="AS515" s="188" t="s">
        <v>10655</v>
      </c>
      <c r="AT515" s="189" t="s">
        <v>4738</v>
      </c>
      <c r="AU515" s="190" t="s">
        <v>10656</v>
      </c>
      <c r="AV515" s="191" t="s">
        <v>7381</v>
      </c>
      <c r="AW515" s="192" t="s">
        <v>4740</v>
      </c>
      <c r="AX515" s="193" t="s">
        <v>4741</v>
      </c>
      <c r="AY515" s="194" t="s">
        <v>10657</v>
      </c>
      <c r="AZ515" s="195" t="s">
        <v>215</v>
      </c>
      <c r="BA515" s="196" t="s">
        <v>153</v>
      </c>
      <c r="BB515" s="197" t="s">
        <v>153</v>
      </c>
      <c r="BC515" s="198" t="s">
        <v>153</v>
      </c>
      <c r="BD515" s="199" t="s">
        <v>216</v>
      </c>
      <c r="BE515" s="200" t="s">
        <v>217</v>
      </c>
      <c r="BF515" s="201" t="s">
        <v>10658</v>
      </c>
      <c r="BG515" s="202" t="s">
        <v>153</v>
      </c>
      <c r="BH515" s="203" t="s">
        <v>153</v>
      </c>
      <c r="BI515" s="204" t="s">
        <v>10659</v>
      </c>
      <c r="BJ515" s="205" t="s">
        <v>153</v>
      </c>
      <c r="BK515" s="206" t="s">
        <v>153</v>
      </c>
      <c r="BL515" s="207" t="s">
        <v>153</v>
      </c>
      <c r="BM515" s="208" t="s">
        <v>153</v>
      </c>
      <c r="BN515" s="209" t="s">
        <v>153</v>
      </c>
      <c r="BO515" s="210" t="s">
        <v>10660</v>
      </c>
      <c r="BP515" s="211" t="s">
        <v>10661</v>
      </c>
      <c r="BQ515" s="212">
        <v>32667</v>
      </c>
      <c r="BR515" s="213" t="s">
        <v>153</v>
      </c>
      <c r="BS515" s="214" t="s">
        <v>153</v>
      </c>
      <c r="BT515" s="215" t="s">
        <v>153</v>
      </c>
      <c r="BU515" s="216" t="s">
        <v>153</v>
      </c>
      <c r="BV515" s="217" t="s">
        <v>251</v>
      </c>
      <c r="BW515" s="218" t="s">
        <v>153</v>
      </c>
      <c r="BX515" s="219" t="s">
        <v>153</v>
      </c>
      <c r="BY515" s="220" t="s">
        <v>252</v>
      </c>
      <c r="BZ515" s="221" t="s">
        <v>153</v>
      </c>
      <c r="CA515" s="222" t="s">
        <v>190</v>
      </c>
      <c r="CB515" s="223">
        <v>42419</v>
      </c>
      <c r="CC515" s="224">
        <v>8400</v>
      </c>
      <c r="CD515" s="225" t="s">
        <v>186</v>
      </c>
      <c r="CE515" s="226">
        <v>8400</v>
      </c>
      <c r="CF515" s="227" t="s">
        <v>186</v>
      </c>
      <c r="CG515" s="228" t="s">
        <v>226</v>
      </c>
      <c r="CH515" s="229" t="s">
        <v>153</v>
      </c>
      <c r="CI515" s="230" t="s">
        <v>153</v>
      </c>
      <c r="CJ515" s="231" t="s">
        <v>225</v>
      </c>
      <c r="CK515" s="232">
        <v>42419</v>
      </c>
      <c r="CL515" s="233" t="s">
        <v>153</v>
      </c>
      <c r="CM515" s="234" t="s">
        <v>153</v>
      </c>
      <c r="CN515" s="235" t="s">
        <v>190</v>
      </c>
      <c r="CO515" s="236" t="s">
        <v>153</v>
      </c>
      <c r="CP515" s="237" t="s">
        <v>153</v>
      </c>
      <c r="CQ515" s="238" t="s">
        <v>153</v>
      </c>
      <c r="CR515" s="239" t="s">
        <v>153</v>
      </c>
      <c r="CS515" s="240" t="s">
        <v>153</v>
      </c>
      <c r="CT515" s="241" t="s">
        <v>153</v>
      </c>
      <c r="CU515" s="242" t="s">
        <v>153</v>
      </c>
      <c r="CV515" s="243" t="s">
        <v>153</v>
      </c>
      <c r="CW515" s="244" t="s">
        <v>153</v>
      </c>
      <c r="CX515" s="245" t="s">
        <v>153</v>
      </c>
      <c r="CY515" s="246" t="s">
        <v>153</v>
      </c>
      <c r="CZ515" s="247" t="s">
        <v>153</v>
      </c>
      <c r="DA515" s="248" t="s">
        <v>153</v>
      </c>
      <c r="DB515" s="249" t="s">
        <v>153</v>
      </c>
      <c r="DC515" s="250" t="s">
        <v>153</v>
      </c>
      <c r="DD515" s="251" t="s">
        <v>153</v>
      </c>
      <c r="DE515" s="252" t="s">
        <v>153</v>
      </c>
      <c r="DF515" s="253" t="s">
        <v>153</v>
      </c>
      <c r="DG515" s="254" t="s">
        <v>153</v>
      </c>
      <c r="DH515" s="255" t="s">
        <v>153</v>
      </c>
      <c r="DI515" s="256" t="s">
        <v>153</v>
      </c>
      <c r="DJ515" s="257" t="s">
        <v>153</v>
      </c>
      <c r="DK515" s="258" t="s">
        <v>153</v>
      </c>
      <c r="DL515" s="259" t="s">
        <v>153</v>
      </c>
      <c r="DM515" s="260" t="s">
        <v>153</v>
      </c>
      <c r="DN515" s="261" t="s">
        <v>153</v>
      </c>
      <c r="DO515" s="262" t="s">
        <v>153</v>
      </c>
      <c r="DP515" s="263" t="s">
        <v>153</v>
      </c>
      <c r="DQ515" s="264" t="s">
        <v>153</v>
      </c>
      <c r="DR515" s="265" t="s">
        <v>153</v>
      </c>
      <c r="DS515" s="266" t="s">
        <v>153</v>
      </c>
      <c r="DT515" s="267" t="s">
        <v>153</v>
      </c>
      <c r="DU515" s="268" t="s">
        <v>153</v>
      </c>
      <c r="DV515" s="269" t="s">
        <v>153</v>
      </c>
      <c r="DW515" s="270" t="s">
        <v>153</v>
      </c>
      <c r="DX515" s="271" t="s">
        <v>153</v>
      </c>
      <c r="DY515" s="272" t="s">
        <v>153</v>
      </c>
      <c r="DZ515" s="273" t="s">
        <v>191</v>
      </c>
      <c r="EA515" s="274">
        <v>44278</v>
      </c>
      <c r="EB515" s="275">
        <v>8400</v>
      </c>
      <c r="EC515" s="276">
        <v>42419</v>
      </c>
      <c r="ED515" s="277" t="s">
        <v>226</v>
      </c>
      <c r="EE515" s="279" t="str">
        <f>HYPERLINK("https://my.pitchbook.com?c=41260-24", "View company online")</f>
        <v>View company online</v>
      </c>
    </row>
    <row r="516" spans="1:135" x14ac:dyDescent="0.45">
      <c r="A516" s="10" t="s">
        <v>10662</v>
      </c>
      <c r="B516" s="11" t="s">
        <v>10663</v>
      </c>
      <c r="C516" s="12" t="s">
        <v>153</v>
      </c>
      <c r="D516" s="13" t="s">
        <v>153</v>
      </c>
      <c r="E516" s="14" t="s">
        <v>10664</v>
      </c>
      <c r="F516" s="15" t="s">
        <v>10665</v>
      </c>
      <c r="G516" s="16" t="s">
        <v>153</v>
      </c>
      <c r="H516" s="17" t="s">
        <v>153</v>
      </c>
      <c r="I516" s="18" t="s">
        <v>10662</v>
      </c>
      <c r="J516" s="19" t="s">
        <v>10666</v>
      </c>
      <c r="K516" s="20" t="s">
        <v>232</v>
      </c>
      <c r="L516" s="21" t="s">
        <v>362</v>
      </c>
      <c r="M516" s="22" t="s">
        <v>4656</v>
      </c>
      <c r="N516" s="23" t="s">
        <v>4657</v>
      </c>
      <c r="O516" s="24" t="s">
        <v>153</v>
      </c>
      <c r="P516" s="25" t="s">
        <v>10667</v>
      </c>
      <c r="Q516" s="26" t="s">
        <v>204</v>
      </c>
      <c r="R516" s="27" t="s">
        <v>153</v>
      </c>
      <c r="S516" s="28" t="s">
        <v>290</v>
      </c>
      <c r="T516" s="29" t="s">
        <v>205</v>
      </c>
      <c r="U516" s="30" t="s">
        <v>369</v>
      </c>
      <c r="V516" s="31" t="s">
        <v>10668</v>
      </c>
      <c r="W516" s="32" t="s">
        <v>153</v>
      </c>
      <c r="X516" s="33" t="s">
        <v>153</v>
      </c>
      <c r="Y516" s="34" t="s">
        <v>153</v>
      </c>
      <c r="Z516" s="35" t="s">
        <v>153</v>
      </c>
      <c r="AA516" s="36">
        <v>1946</v>
      </c>
      <c r="AB516" s="37" t="s">
        <v>153</v>
      </c>
      <c r="AC516" s="38" t="s">
        <v>153</v>
      </c>
      <c r="AD516" s="39" t="s">
        <v>153</v>
      </c>
      <c r="AE516" s="40" t="s">
        <v>153</v>
      </c>
      <c r="AF516" s="41" t="s">
        <v>153</v>
      </c>
      <c r="AG516" s="42" t="s">
        <v>153</v>
      </c>
      <c r="AH516" s="43" t="s">
        <v>153</v>
      </c>
      <c r="AI516" s="44" t="s">
        <v>153</v>
      </c>
      <c r="AJ516" s="45" t="s">
        <v>153</v>
      </c>
      <c r="AK516" s="46" t="s">
        <v>153</v>
      </c>
      <c r="AL516" s="47" t="s">
        <v>153</v>
      </c>
      <c r="AM516" s="48" t="s">
        <v>153</v>
      </c>
      <c r="AN516" s="49" t="s">
        <v>153</v>
      </c>
      <c r="AO516" s="50" t="s">
        <v>10669</v>
      </c>
      <c r="AP516" s="51" t="s">
        <v>10670</v>
      </c>
      <c r="AQ516" s="52" t="s">
        <v>3351</v>
      </c>
      <c r="AR516" s="53" t="s">
        <v>153</v>
      </c>
      <c r="AS516" s="54" t="s">
        <v>153</v>
      </c>
      <c r="AT516" s="55" t="s">
        <v>2089</v>
      </c>
      <c r="AU516" s="56" t="s">
        <v>10671</v>
      </c>
      <c r="AV516" s="57" t="s">
        <v>1126</v>
      </c>
      <c r="AW516" s="58" t="s">
        <v>2092</v>
      </c>
      <c r="AX516" s="59" t="s">
        <v>2093</v>
      </c>
      <c r="AY516" s="60" t="s">
        <v>10672</v>
      </c>
      <c r="AZ516" s="61" t="s">
        <v>215</v>
      </c>
      <c r="BA516" s="62" t="s">
        <v>153</v>
      </c>
      <c r="BB516" s="63" t="s">
        <v>153</v>
      </c>
      <c r="BC516" s="64" t="s">
        <v>153</v>
      </c>
      <c r="BD516" s="65" t="s">
        <v>216</v>
      </c>
      <c r="BE516" s="66" t="s">
        <v>217</v>
      </c>
      <c r="BF516" s="67" t="s">
        <v>10673</v>
      </c>
      <c r="BG516" s="68" t="s">
        <v>153</v>
      </c>
      <c r="BH516" s="69" t="s">
        <v>153</v>
      </c>
      <c r="BI516" s="70" t="s">
        <v>10674</v>
      </c>
      <c r="BJ516" s="71" t="s">
        <v>10675</v>
      </c>
      <c r="BK516" s="72" t="s">
        <v>153</v>
      </c>
      <c r="BL516" s="73" t="s">
        <v>153</v>
      </c>
      <c r="BM516" s="74" t="s">
        <v>10676</v>
      </c>
      <c r="BN516" s="75" t="s">
        <v>153</v>
      </c>
      <c r="BO516" s="76" t="s">
        <v>153</v>
      </c>
      <c r="BP516" s="77" t="s">
        <v>10677</v>
      </c>
      <c r="BQ516" s="78">
        <v>34486</v>
      </c>
      <c r="BR516" s="79" t="s">
        <v>153</v>
      </c>
      <c r="BS516" s="80" t="s">
        <v>153</v>
      </c>
      <c r="BT516" s="81" t="s">
        <v>153</v>
      </c>
      <c r="BU516" s="82" t="s">
        <v>153</v>
      </c>
      <c r="BV516" s="83" t="s">
        <v>251</v>
      </c>
      <c r="BW516" s="84" t="s">
        <v>153</v>
      </c>
      <c r="BX516" s="85" t="s">
        <v>153</v>
      </c>
      <c r="BY516" s="86" t="s">
        <v>252</v>
      </c>
      <c r="BZ516" s="87" t="s">
        <v>153</v>
      </c>
      <c r="CA516" s="88" t="s">
        <v>190</v>
      </c>
      <c r="CB516" s="89">
        <v>42674</v>
      </c>
      <c r="CC516" s="90">
        <v>8400</v>
      </c>
      <c r="CD516" s="91" t="s">
        <v>186</v>
      </c>
      <c r="CE516" s="92">
        <v>8400</v>
      </c>
      <c r="CF516" s="93" t="s">
        <v>187</v>
      </c>
      <c r="CG516" s="94" t="s">
        <v>226</v>
      </c>
      <c r="CH516" s="95" t="s">
        <v>729</v>
      </c>
      <c r="CI516" s="96" t="s">
        <v>153</v>
      </c>
      <c r="CJ516" s="97" t="s">
        <v>225</v>
      </c>
      <c r="CK516" s="98">
        <v>42674</v>
      </c>
      <c r="CL516" s="99" t="s">
        <v>153</v>
      </c>
      <c r="CM516" s="100" t="s">
        <v>153</v>
      </c>
      <c r="CN516" s="101" t="s">
        <v>190</v>
      </c>
      <c r="CO516" s="102" t="s">
        <v>153</v>
      </c>
      <c r="CP516" s="103" t="s">
        <v>153</v>
      </c>
      <c r="CQ516" s="104" t="s">
        <v>153</v>
      </c>
      <c r="CR516" s="105" t="s">
        <v>153</v>
      </c>
      <c r="CS516" s="106" t="s">
        <v>153</v>
      </c>
      <c r="CT516" s="107" t="s">
        <v>153</v>
      </c>
      <c r="CU516" s="108" t="s">
        <v>153</v>
      </c>
      <c r="CV516" s="109" t="s">
        <v>153</v>
      </c>
      <c r="CW516" s="110" t="s">
        <v>153</v>
      </c>
      <c r="CX516" s="111" t="s">
        <v>153</v>
      </c>
      <c r="CY516" s="112" t="s">
        <v>153</v>
      </c>
      <c r="CZ516" s="113" t="s">
        <v>153</v>
      </c>
      <c r="DA516" s="114" t="s">
        <v>153</v>
      </c>
      <c r="DB516" s="115" t="s">
        <v>153</v>
      </c>
      <c r="DC516" s="116" t="s">
        <v>153</v>
      </c>
      <c r="DD516" s="117" t="s">
        <v>153</v>
      </c>
      <c r="DE516" s="118" t="s">
        <v>153</v>
      </c>
      <c r="DF516" s="119" t="s">
        <v>153</v>
      </c>
      <c r="DG516" s="120" t="s">
        <v>153</v>
      </c>
      <c r="DH516" s="121" t="s">
        <v>153</v>
      </c>
      <c r="DI516" s="122" t="s">
        <v>153</v>
      </c>
      <c r="DJ516" s="123" t="s">
        <v>153</v>
      </c>
      <c r="DK516" s="124" t="s">
        <v>153</v>
      </c>
      <c r="DL516" s="125" t="s">
        <v>153</v>
      </c>
      <c r="DM516" s="126" t="s">
        <v>153</v>
      </c>
      <c r="DN516" s="127" t="s">
        <v>153</v>
      </c>
      <c r="DO516" s="128" t="s">
        <v>153</v>
      </c>
      <c r="DP516" s="129" t="s">
        <v>153</v>
      </c>
      <c r="DQ516" s="130" t="s">
        <v>153</v>
      </c>
      <c r="DR516" s="131" t="s">
        <v>153</v>
      </c>
      <c r="DS516" s="132" t="s">
        <v>153</v>
      </c>
      <c r="DT516" s="133" t="s">
        <v>153</v>
      </c>
      <c r="DU516" s="134" t="s">
        <v>153</v>
      </c>
      <c r="DV516" s="135" t="s">
        <v>153</v>
      </c>
      <c r="DW516" s="136" t="s">
        <v>153</v>
      </c>
      <c r="DX516" s="137" t="s">
        <v>153</v>
      </c>
      <c r="DY516" s="138" t="s">
        <v>153</v>
      </c>
      <c r="DZ516" s="139" t="s">
        <v>191</v>
      </c>
      <c r="EA516" s="140">
        <v>44147</v>
      </c>
      <c r="EB516" s="141">
        <v>8400</v>
      </c>
      <c r="EC516" s="142">
        <v>42674</v>
      </c>
      <c r="ED516" s="143" t="s">
        <v>226</v>
      </c>
      <c r="EE516" s="278" t="str">
        <f>HYPERLINK("https://my.pitchbook.com?c=167852-71", "View company online")</f>
        <v>View company online</v>
      </c>
    </row>
    <row r="517" spans="1:135" x14ac:dyDescent="0.45">
      <c r="A517" s="144" t="s">
        <v>10678</v>
      </c>
      <c r="B517" s="145" t="s">
        <v>10679</v>
      </c>
      <c r="C517" s="146" t="s">
        <v>153</v>
      </c>
      <c r="D517" s="147" t="s">
        <v>153</v>
      </c>
      <c r="E517" s="148" t="s">
        <v>10680</v>
      </c>
      <c r="F517" s="149" t="s">
        <v>153</v>
      </c>
      <c r="G517" s="150" t="s">
        <v>10681</v>
      </c>
      <c r="H517" s="151" t="s">
        <v>153</v>
      </c>
      <c r="I517" s="152" t="s">
        <v>10678</v>
      </c>
      <c r="J517" s="153" t="s">
        <v>10682</v>
      </c>
      <c r="K517" s="154" t="s">
        <v>882</v>
      </c>
      <c r="L517" s="155" t="s">
        <v>2888</v>
      </c>
      <c r="M517" s="156" t="s">
        <v>10683</v>
      </c>
      <c r="N517" s="157" t="s">
        <v>10684</v>
      </c>
      <c r="O517" s="158" t="s">
        <v>365</v>
      </c>
      <c r="P517" s="159" t="s">
        <v>10685</v>
      </c>
      <c r="Q517" s="160" t="s">
        <v>204</v>
      </c>
      <c r="R517" s="161">
        <v>8390.61</v>
      </c>
      <c r="S517" s="162" t="s">
        <v>290</v>
      </c>
      <c r="T517" s="163" t="s">
        <v>1392</v>
      </c>
      <c r="U517" s="164" t="s">
        <v>206</v>
      </c>
      <c r="V517" s="165" t="s">
        <v>10686</v>
      </c>
      <c r="W517" s="166" t="s">
        <v>153</v>
      </c>
      <c r="X517" s="167" t="s">
        <v>153</v>
      </c>
      <c r="Y517" s="168" t="s">
        <v>153</v>
      </c>
      <c r="Z517" s="169" t="s">
        <v>153</v>
      </c>
      <c r="AA517" s="170">
        <v>1979</v>
      </c>
      <c r="AB517" s="171" t="s">
        <v>153</v>
      </c>
      <c r="AC517" s="172" t="s">
        <v>153</v>
      </c>
      <c r="AD517" s="173" t="s">
        <v>153</v>
      </c>
      <c r="AE517" s="174" t="s">
        <v>153</v>
      </c>
      <c r="AF517" s="175" t="s">
        <v>153</v>
      </c>
      <c r="AG517" s="176" t="s">
        <v>153</v>
      </c>
      <c r="AH517" s="177" t="s">
        <v>153</v>
      </c>
      <c r="AI517" s="178" t="s">
        <v>153</v>
      </c>
      <c r="AJ517" s="179" t="s">
        <v>153</v>
      </c>
      <c r="AK517" s="180" t="s">
        <v>153</v>
      </c>
      <c r="AL517" s="181" t="s">
        <v>153</v>
      </c>
      <c r="AM517" s="182" t="s">
        <v>153</v>
      </c>
      <c r="AN517" s="183" t="s">
        <v>1442</v>
      </c>
      <c r="AO517" s="184" t="s">
        <v>10687</v>
      </c>
      <c r="AP517" s="185" t="s">
        <v>10688</v>
      </c>
      <c r="AQ517" s="186" t="s">
        <v>10689</v>
      </c>
      <c r="AR517" s="187" t="s">
        <v>10690</v>
      </c>
      <c r="AS517" s="188" t="s">
        <v>10691</v>
      </c>
      <c r="AT517" s="189" t="s">
        <v>3972</v>
      </c>
      <c r="AU517" s="190" t="s">
        <v>10692</v>
      </c>
      <c r="AV517" s="191" t="s">
        <v>10693</v>
      </c>
      <c r="AW517" s="192" t="s">
        <v>3974</v>
      </c>
      <c r="AX517" s="193" t="s">
        <v>6987</v>
      </c>
      <c r="AY517" s="194" t="s">
        <v>10694</v>
      </c>
      <c r="AZ517" s="195" t="s">
        <v>1519</v>
      </c>
      <c r="BA517" s="196" t="s">
        <v>10691</v>
      </c>
      <c r="BB517" s="197" t="s">
        <v>10695</v>
      </c>
      <c r="BC517" s="198" t="s">
        <v>153</v>
      </c>
      <c r="BD517" s="199" t="s">
        <v>1406</v>
      </c>
      <c r="BE517" s="200" t="s">
        <v>1407</v>
      </c>
      <c r="BF517" s="201" t="s">
        <v>10696</v>
      </c>
      <c r="BG517" s="202" t="s">
        <v>10697</v>
      </c>
      <c r="BH517" s="203">
        <v>2</v>
      </c>
      <c r="BI517" s="204" t="s">
        <v>153</v>
      </c>
      <c r="BJ517" s="205" t="s">
        <v>153</v>
      </c>
      <c r="BK517" s="206" t="s">
        <v>153</v>
      </c>
      <c r="BL517" s="207" t="s">
        <v>10698</v>
      </c>
      <c r="BM517" s="208" t="s">
        <v>153</v>
      </c>
      <c r="BN517" s="209" t="s">
        <v>153</v>
      </c>
      <c r="BO517" s="210" t="s">
        <v>153</v>
      </c>
      <c r="BP517" s="211" t="s">
        <v>153</v>
      </c>
      <c r="BQ517" s="212">
        <v>42024</v>
      </c>
      <c r="BR517" s="213">
        <v>8390.61</v>
      </c>
      <c r="BS517" s="214" t="s">
        <v>186</v>
      </c>
      <c r="BT517" s="215" t="s">
        <v>153</v>
      </c>
      <c r="BU517" s="216" t="s">
        <v>153</v>
      </c>
      <c r="BV517" s="217" t="s">
        <v>225</v>
      </c>
      <c r="BW517" s="218" t="s">
        <v>225</v>
      </c>
      <c r="BX517" s="219" t="s">
        <v>153</v>
      </c>
      <c r="BY517" s="220" t="s">
        <v>225</v>
      </c>
      <c r="BZ517" s="221" t="s">
        <v>153</v>
      </c>
      <c r="CA517" s="222" t="s">
        <v>190</v>
      </c>
      <c r="CB517" s="223">
        <v>42024</v>
      </c>
      <c r="CC517" s="224">
        <v>8390.61</v>
      </c>
      <c r="CD517" s="225" t="s">
        <v>186</v>
      </c>
      <c r="CE517" s="226" t="s">
        <v>153</v>
      </c>
      <c r="CF517" s="227" t="s">
        <v>153</v>
      </c>
      <c r="CG517" s="228" t="s">
        <v>225</v>
      </c>
      <c r="CH517" s="229" t="s">
        <v>225</v>
      </c>
      <c r="CI517" s="230" t="s">
        <v>153</v>
      </c>
      <c r="CJ517" s="231" t="s">
        <v>225</v>
      </c>
      <c r="CK517" s="232">
        <v>42024</v>
      </c>
      <c r="CL517" s="233" t="s">
        <v>153</v>
      </c>
      <c r="CM517" s="234" t="s">
        <v>153</v>
      </c>
      <c r="CN517" s="235" t="s">
        <v>190</v>
      </c>
      <c r="CO517" s="236">
        <v>0</v>
      </c>
      <c r="CP517" s="237">
        <v>11</v>
      </c>
      <c r="CQ517" s="238">
        <v>0</v>
      </c>
      <c r="CR517" s="239">
        <v>0</v>
      </c>
      <c r="CS517" s="240">
        <v>0</v>
      </c>
      <c r="CT517" s="241">
        <v>8</v>
      </c>
      <c r="CU517" s="242" t="s">
        <v>153</v>
      </c>
      <c r="CV517" s="243" t="s">
        <v>153</v>
      </c>
      <c r="CW517" s="244" t="s">
        <v>153</v>
      </c>
      <c r="CX517" s="245" t="s">
        <v>153</v>
      </c>
      <c r="CY517" s="246">
        <v>0</v>
      </c>
      <c r="CZ517" s="247">
        <v>5</v>
      </c>
      <c r="DA517" s="248" t="s">
        <v>153</v>
      </c>
      <c r="DB517" s="249" t="s">
        <v>153</v>
      </c>
      <c r="DC517" s="250">
        <v>0.13</v>
      </c>
      <c r="DD517" s="251">
        <v>8</v>
      </c>
      <c r="DE517" s="252">
        <v>0</v>
      </c>
      <c r="DF517" s="253">
        <v>0</v>
      </c>
      <c r="DG517" s="254">
        <v>0.13</v>
      </c>
      <c r="DH517" s="255">
        <v>8</v>
      </c>
      <c r="DI517" s="256" t="s">
        <v>153</v>
      </c>
      <c r="DJ517" s="257" t="s">
        <v>153</v>
      </c>
      <c r="DK517" s="258" t="s">
        <v>153</v>
      </c>
      <c r="DL517" s="259" t="s">
        <v>153</v>
      </c>
      <c r="DM517" s="260">
        <v>0.13</v>
      </c>
      <c r="DN517" s="261">
        <v>7</v>
      </c>
      <c r="DO517" s="262" t="s">
        <v>153</v>
      </c>
      <c r="DP517" s="263" t="s">
        <v>153</v>
      </c>
      <c r="DQ517" s="264" t="s">
        <v>153</v>
      </c>
      <c r="DR517" s="265" t="s">
        <v>153</v>
      </c>
      <c r="DS517" s="266" t="s">
        <v>153</v>
      </c>
      <c r="DT517" s="267">
        <v>2</v>
      </c>
      <c r="DU517" s="268">
        <v>0</v>
      </c>
      <c r="DV517" s="269">
        <v>0</v>
      </c>
      <c r="DW517" s="270" t="s">
        <v>153</v>
      </c>
      <c r="DX517" s="271" t="s">
        <v>153</v>
      </c>
      <c r="DY517" s="272" t="s">
        <v>153</v>
      </c>
      <c r="DZ517" s="273" t="s">
        <v>191</v>
      </c>
      <c r="EA517" s="274">
        <v>44147</v>
      </c>
      <c r="EB517" s="275" t="s">
        <v>153</v>
      </c>
      <c r="EC517" s="276" t="s">
        <v>153</v>
      </c>
      <c r="ED517" s="277" t="s">
        <v>153</v>
      </c>
      <c r="EE517" s="279" t="str">
        <f>HYPERLINK("https://my.pitchbook.com?c=63258-94", "View company online")</f>
        <v>View company online</v>
      </c>
    </row>
    <row r="518" spans="1:135" x14ac:dyDescent="0.45">
      <c r="A518" s="10" t="s">
        <v>10699</v>
      </c>
      <c r="B518" s="11" t="s">
        <v>10700</v>
      </c>
      <c r="C518" s="12" t="s">
        <v>153</v>
      </c>
      <c r="D518" s="13" t="s">
        <v>153</v>
      </c>
      <c r="E518" s="14" t="s">
        <v>10701</v>
      </c>
      <c r="F518" s="15" t="s">
        <v>153</v>
      </c>
      <c r="G518" s="16" t="s">
        <v>10702</v>
      </c>
      <c r="H518" s="17" t="s">
        <v>153</v>
      </c>
      <c r="I518" s="18" t="s">
        <v>10699</v>
      </c>
      <c r="J518" s="19" t="s">
        <v>10703</v>
      </c>
      <c r="K518" s="20" t="s">
        <v>882</v>
      </c>
      <c r="L518" s="21" t="s">
        <v>883</v>
      </c>
      <c r="M518" s="22" t="s">
        <v>3626</v>
      </c>
      <c r="N518" s="23" t="s">
        <v>10704</v>
      </c>
      <c r="O518" s="24" t="s">
        <v>1234</v>
      </c>
      <c r="P518" s="25" t="s">
        <v>10705</v>
      </c>
      <c r="Q518" s="26" t="s">
        <v>204</v>
      </c>
      <c r="R518" s="27">
        <v>221.21</v>
      </c>
      <c r="S518" s="28" t="s">
        <v>290</v>
      </c>
      <c r="T518" s="29" t="s">
        <v>1392</v>
      </c>
      <c r="U518" s="30" t="s">
        <v>237</v>
      </c>
      <c r="V518" s="31" t="s">
        <v>10706</v>
      </c>
      <c r="W518" s="32" t="s">
        <v>153</v>
      </c>
      <c r="X518" s="33" t="s">
        <v>153</v>
      </c>
      <c r="Y518" s="34" t="s">
        <v>153</v>
      </c>
      <c r="Z518" s="35" t="s">
        <v>153</v>
      </c>
      <c r="AA518" s="36">
        <v>1880</v>
      </c>
      <c r="AB518" s="37" t="s">
        <v>10707</v>
      </c>
      <c r="AC518" s="38" t="s">
        <v>153</v>
      </c>
      <c r="AD518" s="39" t="s">
        <v>153</v>
      </c>
      <c r="AE518" s="40" t="s">
        <v>153</v>
      </c>
      <c r="AF518" s="41" t="s">
        <v>153</v>
      </c>
      <c r="AG518" s="42" t="s">
        <v>153</v>
      </c>
      <c r="AH518" s="43" t="s">
        <v>153</v>
      </c>
      <c r="AI518" s="44" t="s">
        <v>153</v>
      </c>
      <c r="AJ518" s="45" t="s">
        <v>153</v>
      </c>
      <c r="AK518" s="46" t="s">
        <v>153</v>
      </c>
      <c r="AL518" s="47" t="s">
        <v>153</v>
      </c>
      <c r="AM518" s="48" t="s">
        <v>153</v>
      </c>
      <c r="AN518" s="49" t="s">
        <v>868</v>
      </c>
      <c r="AO518" s="50" t="s">
        <v>10708</v>
      </c>
      <c r="AP518" s="51" t="s">
        <v>10709</v>
      </c>
      <c r="AQ518" s="52" t="s">
        <v>512</v>
      </c>
      <c r="AR518" s="53" t="s">
        <v>10710</v>
      </c>
      <c r="AS518" s="54" t="s">
        <v>10711</v>
      </c>
      <c r="AT518" s="55" t="s">
        <v>10712</v>
      </c>
      <c r="AU518" s="56" t="s">
        <v>10713</v>
      </c>
      <c r="AV518" s="57" t="s">
        <v>153</v>
      </c>
      <c r="AW518" s="58" t="s">
        <v>10714</v>
      </c>
      <c r="AX518" s="59" t="s">
        <v>10715</v>
      </c>
      <c r="AY518" s="60" t="s">
        <v>10716</v>
      </c>
      <c r="AZ518" s="61" t="s">
        <v>2546</v>
      </c>
      <c r="BA518" s="62" t="s">
        <v>10711</v>
      </c>
      <c r="BB518" s="63" t="s">
        <v>153</v>
      </c>
      <c r="BC518" s="64" t="s">
        <v>153</v>
      </c>
      <c r="BD518" s="65" t="s">
        <v>2547</v>
      </c>
      <c r="BE518" s="66" t="s">
        <v>2547</v>
      </c>
      <c r="BF518" s="67" t="s">
        <v>10717</v>
      </c>
      <c r="BG518" s="68" t="s">
        <v>153</v>
      </c>
      <c r="BH518" s="69" t="s">
        <v>153</v>
      </c>
      <c r="BI518" s="70" t="s">
        <v>10707</v>
      </c>
      <c r="BJ518" s="71" t="s">
        <v>10718</v>
      </c>
      <c r="BK518" s="72" t="s">
        <v>10719</v>
      </c>
      <c r="BL518" s="73" t="s">
        <v>153</v>
      </c>
      <c r="BM518" s="74" t="s">
        <v>10720</v>
      </c>
      <c r="BN518" s="75" t="s">
        <v>10721</v>
      </c>
      <c r="BO518" s="76" t="s">
        <v>153</v>
      </c>
      <c r="BP518" s="77" t="s">
        <v>10722</v>
      </c>
      <c r="BQ518" s="78">
        <v>38540</v>
      </c>
      <c r="BR518" s="79">
        <v>232.03</v>
      </c>
      <c r="BS518" s="80" t="s">
        <v>186</v>
      </c>
      <c r="BT518" s="81">
        <v>1548.44</v>
      </c>
      <c r="BU518" s="82" t="s">
        <v>187</v>
      </c>
      <c r="BV518" s="83" t="s">
        <v>251</v>
      </c>
      <c r="BW518" s="84" t="s">
        <v>153</v>
      </c>
      <c r="BX518" s="85" t="s">
        <v>153</v>
      </c>
      <c r="BY518" s="86" t="s">
        <v>252</v>
      </c>
      <c r="BZ518" s="87" t="s">
        <v>153</v>
      </c>
      <c r="CA518" s="88" t="s">
        <v>190</v>
      </c>
      <c r="CB518" s="89">
        <v>43091</v>
      </c>
      <c r="CC518" s="90">
        <v>8364.68</v>
      </c>
      <c r="CD518" s="91" t="s">
        <v>186</v>
      </c>
      <c r="CE518" s="92">
        <v>8364.68</v>
      </c>
      <c r="CF518" s="93" t="s">
        <v>186</v>
      </c>
      <c r="CG518" s="94" t="s">
        <v>226</v>
      </c>
      <c r="CH518" s="95" t="s">
        <v>153</v>
      </c>
      <c r="CI518" s="96" t="s">
        <v>153</v>
      </c>
      <c r="CJ518" s="97" t="s">
        <v>225</v>
      </c>
      <c r="CK518" s="98">
        <v>43091</v>
      </c>
      <c r="CL518" s="99" t="s">
        <v>153</v>
      </c>
      <c r="CM518" s="100" t="s">
        <v>153</v>
      </c>
      <c r="CN518" s="101" t="s">
        <v>190</v>
      </c>
      <c r="CO518" s="102">
        <v>0.89</v>
      </c>
      <c r="CP518" s="103">
        <v>95</v>
      </c>
      <c r="CQ518" s="104">
        <v>-0.1</v>
      </c>
      <c r="CR518" s="105">
        <v>-10.47</v>
      </c>
      <c r="CS518" s="106">
        <v>0.89</v>
      </c>
      <c r="CT518" s="107">
        <v>95</v>
      </c>
      <c r="CU518" s="108" t="s">
        <v>153</v>
      </c>
      <c r="CV518" s="109" t="s">
        <v>153</v>
      </c>
      <c r="CW518" s="110" t="s">
        <v>153</v>
      </c>
      <c r="CX518" s="111" t="s">
        <v>153</v>
      </c>
      <c r="CY518" s="112">
        <v>0.89</v>
      </c>
      <c r="CZ518" s="113">
        <v>97</v>
      </c>
      <c r="DA518" s="114" t="s">
        <v>153</v>
      </c>
      <c r="DB518" s="115" t="s">
        <v>153</v>
      </c>
      <c r="DC518" s="116">
        <v>15.5</v>
      </c>
      <c r="DD518" s="117">
        <v>95</v>
      </c>
      <c r="DE518" s="118">
        <v>-0.13</v>
      </c>
      <c r="DF518" s="119">
        <v>-0.8</v>
      </c>
      <c r="DG518" s="120">
        <v>15.5</v>
      </c>
      <c r="DH518" s="121">
        <v>94</v>
      </c>
      <c r="DI518" s="122" t="s">
        <v>153</v>
      </c>
      <c r="DJ518" s="123" t="s">
        <v>153</v>
      </c>
      <c r="DK518" s="124" t="s">
        <v>153</v>
      </c>
      <c r="DL518" s="125" t="s">
        <v>153</v>
      </c>
      <c r="DM518" s="126">
        <v>15.5</v>
      </c>
      <c r="DN518" s="127">
        <v>93</v>
      </c>
      <c r="DO518" s="128" t="s">
        <v>153</v>
      </c>
      <c r="DP518" s="129" t="s">
        <v>153</v>
      </c>
      <c r="DQ518" s="130" t="s">
        <v>153</v>
      </c>
      <c r="DR518" s="131" t="s">
        <v>153</v>
      </c>
      <c r="DS518" s="132" t="s">
        <v>153</v>
      </c>
      <c r="DT518" s="133">
        <v>248</v>
      </c>
      <c r="DU518" s="134">
        <v>-1</v>
      </c>
      <c r="DV518" s="135">
        <v>-0.4</v>
      </c>
      <c r="DW518" s="136" t="s">
        <v>153</v>
      </c>
      <c r="DX518" s="137" t="s">
        <v>153</v>
      </c>
      <c r="DY518" s="138" t="s">
        <v>153</v>
      </c>
      <c r="DZ518" s="139" t="s">
        <v>191</v>
      </c>
      <c r="EA518" s="140">
        <v>44228</v>
      </c>
      <c r="EB518" s="141">
        <v>8364.68</v>
      </c>
      <c r="EC518" s="142">
        <v>43091</v>
      </c>
      <c r="ED518" s="143" t="s">
        <v>226</v>
      </c>
      <c r="EE518" s="278" t="str">
        <f>HYPERLINK("https://my.pitchbook.com?c=61657-39", "View company online")</f>
        <v>View company online</v>
      </c>
    </row>
    <row r="519" spans="1:135" x14ac:dyDescent="0.45">
      <c r="A519" s="144" t="s">
        <v>10723</v>
      </c>
      <c r="B519" s="145" t="s">
        <v>10724</v>
      </c>
      <c r="C519" s="146" t="s">
        <v>153</v>
      </c>
      <c r="D519" s="147" t="s">
        <v>153</v>
      </c>
      <c r="E519" s="148" t="s">
        <v>153</v>
      </c>
      <c r="F519" s="149" t="s">
        <v>153</v>
      </c>
      <c r="G519" s="150" t="s">
        <v>10725</v>
      </c>
      <c r="H519" s="151" t="s">
        <v>10726</v>
      </c>
      <c r="I519" s="152" t="s">
        <v>10723</v>
      </c>
      <c r="J519" s="153" t="s">
        <v>10727</v>
      </c>
      <c r="K519" s="154" t="s">
        <v>157</v>
      </c>
      <c r="L519" s="155" t="s">
        <v>817</v>
      </c>
      <c r="M519" s="156" t="s">
        <v>1499</v>
      </c>
      <c r="N519" s="157" t="s">
        <v>2944</v>
      </c>
      <c r="O519" s="158" t="s">
        <v>153</v>
      </c>
      <c r="P519" s="159" t="s">
        <v>10728</v>
      </c>
      <c r="Q519" s="160" t="s">
        <v>204</v>
      </c>
      <c r="R519" s="161" t="s">
        <v>153</v>
      </c>
      <c r="S519" s="162" t="s">
        <v>163</v>
      </c>
      <c r="T519" s="163" t="s">
        <v>205</v>
      </c>
      <c r="U519" s="164" t="s">
        <v>206</v>
      </c>
      <c r="V519" s="165" t="s">
        <v>10729</v>
      </c>
      <c r="W519" s="166" t="s">
        <v>153</v>
      </c>
      <c r="X519" s="167" t="s">
        <v>153</v>
      </c>
      <c r="Y519" s="168" t="s">
        <v>153</v>
      </c>
      <c r="Z519" s="169" t="s">
        <v>153</v>
      </c>
      <c r="AA519" s="170" t="s">
        <v>153</v>
      </c>
      <c r="AB519" s="171" t="s">
        <v>153</v>
      </c>
      <c r="AC519" s="172" t="s">
        <v>153</v>
      </c>
      <c r="AD519" s="173" t="s">
        <v>153</v>
      </c>
      <c r="AE519" s="174" t="s">
        <v>153</v>
      </c>
      <c r="AF519" s="175" t="s">
        <v>153</v>
      </c>
      <c r="AG519" s="176" t="s">
        <v>153</v>
      </c>
      <c r="AH519" s="177" t="s">
        <v>153</v>
      </c>
      <c r="AI519" s="178" t="s">
        <v>153</v>
      </c>
      <c r="AJ519" s="179" t="s">
        <v>153</v>
      </c>
      <c r="AK519" s="180" t="s">
        <v>153</v>
      </c>
      <c r="AL519" s="181" t="s">
        <v>153</v>
      </c>
      <c r="AM519" s="182" t="s">
        <v>153</v>
      </c>
      <c r="AN519" s="183" t="s">
        <v>153</v>
      </c>
      <c r="AO519" s="184" t="s">
        <v>10730</v>
      </c>
      <c r="AP519" s="185" t="s">
        <v>10731</v>
      </c>
      <c r="AQ519" s="186" t="s">
        <v>171</v>
      </c>
      <c r="AR519" s="187" t="s">
        <v>153</v>
      </c>
      <c r="AS519" s="188" t="s">
        <v>153</v>
      </c>
      <c r="AT519" s="189" t="s">
        <v>9135</v>
      </c>
      <c r="AU519" s="190" t="s">
        <v>10732</v>
      </c>
      <c r="AV519" s="191" t="s">
        <v>153</v>
      </c>
      <c r="AW519" s="192" t="s">
        <v>9137</v>
      </c>
      <c r="AX519" s="193" t="s">
        <v>153</v>
      </c>
      <c r="AY519" s="194" t="s">
        <v>9788</v>
      </c>
      <c r="AZ519" s="195" t="s">
        <v>8753</v>
      </c>
      <c r="BA519" s="196" t="s">
        <v>153</v>
      </c>
      <c r="BB519" s="197" t="s">
        <v>153</v>
      </c>
      <c r="BC519" s="198" t="s">
        <v>153</v>
      </c>
      <c r="BD519" s="199" t="s">
        <v>180</v>
      </c>
      <c r="BE519" s="200" t="s">
        <v>2051</v>
      </c>
      <c r="BF519" s="201" t="s">
        <v>10733</v>
      </c>
      <c r="BG519" s="202" t="s">
        <v>153</v>
      </c>
      <c r="BH519" s="203" t="s">
        <v>153</v>
      </c>
      <c r="BI519" s="204" t="s">
        <v>9790</v>
      </c>
      <c r="BJ519" s="205" t="s">
        <v>153</v>
      </c>
      <c r="BK519" s="206" t="s">
        <v>153</v>
      </c>
      <c r="BL519" s="207" t="s">
        <v>153</v>
      </c>
      <c r="BM519" s="208" t="s">
        <v>153</v>
      </c>
      <c r="BN519" s="209" t="s">
        <v>153</v>
      </c>
      <c r="BO519" s="210" t="s">
        <v>10734</v>
      </c>
      <c r="BP519" s="211" t="s">
        <v>153</v>
      </c>
      <c r="BQ519" s="212">
        <v>39538</v>
      </c>
      <c r="BR519" s="213">
        <v>8300</v>
      </c>
      <c r="BS519" s="214" t="s">
        <v>186</v>
      </c>
      <c r="BT519" s="215">
        <v>8300</v>
      </c>
      <c r="BU519" s="216" t="s">
        <v>187</v>
      </c>
      <c r="BV519" s="217" t="s">
        <v>226</v>
      </c>
      <c r="BW519" s="218" t="s">
        <v>729</v>
      </c>
      <c r="BX519" s="219" t="s">
        <v>153</v>
      </c>
      <c r="BY519" s="220" t="s">
        <v>225</v>
      </c>
      <c r="BZ519" s="221" t="s">
        <v>153</v>
      </c>
      <c r="CA519" s="222" t="s">
        <v>190</v>
      </c>
      <c r="CB519" s="223">
        <v>39538</v>
      </c>
      <c r="CC519" s="224">
        <v>8300</v>
      </c>
      <c r="CD519" s="225" t="s">
        <v>186</v>
      </c>
      <c r="CE519" s="226">
        <v>8300</v>
      </c>
      <c r="CF519" s="227" t="s">
        <v>187</v>
      </c>
      <c r="CG519" s="228" t="s">
        <v>226</v>
      </c>
      <c r="CH519" s="229" t="s">
        <v>729</v>
      </c>
      <c r="CI519" s="230" t="s">
        <v>153</v>
      </c>
      <c r="CJ519" s="231" t="s">
        <v>225</v>
      </c>
      <c r="CK519" s="232">
        <v>39538</v>
      </c>
      <c r="CL519" s="233" t="s">
        <v>153</v>
      </c>
      <c r="CM519" s="234" t="s">
        <v>153</v>
      </c>
      <c r="CN519" s="235" t="s">
        <v>190</v>
      </c>
      <c r="CO519" s="236" t="s">
        <v>153</v>
      </c>
      <c r="CP519" s="237" t="s">
        <v>153</v>
      </c>
      <c r="CQ519" s="238" t="s">
        <v>153</v>
      </c>
      <c r="CR519" s="239" t="s">
        <v>153</v>
      </c>
      <c r="CS519" s="240" t="s">
        <v>153</v>
      </c>
      <c r="CT519" s="241" t="s">
        <v>153</v>
      </c>
      <c r="CU519" s="242" t="s">
        <v>153</v>
      </c>
      <c r="CV519" s="243" t="s">
        <v>153</v>
      </c>
      <c r="CW519" s="244" t="s">
        <v>153</v>
      </c>
      <c r="CX519" s="245" t="s">
        <v>153</v>
      </c>
      <c r="CY519" s="246" t="s">
        <v>153</v>
      </c>
      <c r="CZ519" s="247" t="s">
        <v>153</v>
      </c>
      <c r="DA519" s="248" t="s">
        <v>153</v>
      </c>
      <c r="DB519" s="249" t="s">
        <v>153</v>
      </c>
      <c r="DC519" s="250" t="s">
        <v>153</v>
      </c>
      <c r="DD519" s="251" t="s">
        <v>153</v>
      </c>
      <c r="DE519" s="252" t="s">
        <v>153</v>
      </c>
      <c r="DF519" s="253" t="s">
        <v>153</v>
      </c>
      <c r="DG519" s="254" t="s">
        <v>153</v>
      </c>
      <c r="DH519" s="255" t="s">
        <v>153</v>
      </c>
      <c r="DI519" s="256" t="s">
        <v>153</v>
      </c>
      <c r="DJ519" s="257" t="s">
        <v>153</v>
      </c>
      <c r="DK519" s="258" t="s">
        <v>153</v>
      </c>
      <c r="DL519" s="259" t="s">
        <v>153</v>
      </c>
      <c r="DM519" s="260" t="s">
        <v>153</v>
      </c>
      <c r="DN519" s="261" t="s">
        <v>153</v>
      </c>
      <c r="DO519" s="262" t="s">
        <v>153</v>
      </c>
      <c r="DP519" s="263" t="s">
        <v>153</v>
      </c>
      <c r="DQ519" s="264" t="s">
        <v>153</v>
      </c>
      <c r="DR519" s="265" t="s">
        <v>153</v>
      </c>
      <c r="DS519" s="266" t="s">
        <v>153</v>
      </c>
      <c r="DT519" s="267" t="s">
        <v>153</v>
      </c>
      <c r="DU519" s="268" t="s">
        <v>153</v>
      </c>
      <c r="DV519" s="269" t="s">
        <v>153</v>
      </c>
      <c r="DW519" s="270" t="s">
        <v>153</v>
      </c>
      <c r="DX519" s="271" t="s">
        <v>153</v>
      </c>
      <c r="DY519" s="272" t="s">
        <v>153</v>
      </c>
      <c r="DZ519" s="273" t="s">
        <v>191</v>
      </c>
      <c r="EA519" s="274">
        <v>44257</v>
      </c>
      <c r="EB519" s="275">
        <v>8300</v>
      </c>
      <c r="EC519" s="276">
        <v>39538</v>
      </c>
      <c r="ED519" s="277" t="s">
        <v>226</v>
      </c>
      <c r="EE519" s="279" t="str">
        <f>HYPERLINK("https://my.pitchbook.com?c=111569-68", "View company online")</f>
        <v>View company online</v>
      </c>
    </row>
    <row r="520" spans="1:135" x14ac:dyDescent="0.45">
      <c r="A520" s="10" t="s">
        <v>10735</v>
      </c>
      <c r="B520" s="11" t="s">
        <v>10736</v>
      </c>
      <c r="C520" s="12" t="s">
        <v>153</v>
      </c>
      <c r="D520" s="13" t="s">
        <v>153</v>
      </c>
      <c r="E520" s="14" t="s">
        <v>10737</v>
      </c>
      <c r="F520" s="15" t="s">
        <v>10738</v>
      </c>
      <c r="G520" s="16" t="s">
        <v>10739</v>
      </c>
      <c r="H520" s="17" t="s">
        <v>10740</v>
      </c>
      <c r="I520" s="18" t="s">
        <v>10735</v>
      </c>
      <c r="J520" s="19" t="s">
        <v>10741</v>
      </c>
      <c r="K520" s="20" t="s">
        <v>232</v>
      </c>
      <c r="L520" s="21" t="s">
        <v>1016</v>
      </c>
      <c r="M520" s="22" t="s">
        <v>165</v>
      </c>
      <c r="N520" s="23" t="s">
        <v>10742</v>
      </c>
      <c r="O520" s="24" t="s">
        <v>153</v>
      </c>
      <c r="P520" s="25" t="s">
        <v>10743</v>
      </c>
      <c r="Q520" s="26" t="s">
        <v>367</v>
      </c>
      <c r="R520" s="27">
        <v>8300</v>
      </c>
      <c r="S520" s="28" t="s">
        <v>163</v>
      </c>
      <c r="T520" s="29" t="s">
        <v>291</v>
      </c>
      <c r="U520" s="30" t="s">
        <v>565</v>
      </c>
      <c r="V520" s="31" t="s">
        <v>10744</v>
      </c>
      <c r="W520" s="32">
        <v>250</v>
      </c>
      <c r="X520" s="33" t="s">
        <v>10745</v>
      </c>
      <c r="Y520" s="34" t="s">
        <v>372</v>
      </c>
      <c r="Z520" s="35" t="s">
        <v>10746</v>
      </c>
      <c r="AA520" s="36">
        <v>2011</v>
      </c>
      <c r="AB520" s="37" t="s">
        <v>153</v>
      </c>
      <c r="AC520" s="38" t="s">
        <v>153</v>
      </c>
      <c r="AD520" s="39" t="s">
        <v>428</v>
      </c>
      <c r="AE520" s="40" t="s">
        <v>153</v>
      </c>
      <c r="AF520" s="41" t="s">
        <v>153</v>
      </c>
      <c r="AG520" s="42" t="s">
        <v>153</v>
      </c>
      <c r="AH520" s="43" t="s">
        <v>153</v>
      </c>
      <c r="AI520" s="44" t="s">
        <v>153</v>
      </c>
      <c r="AJ520" s="45" t="s">
        <v>153</v>
      </c>
      <c r="AK520" s="46" t="s">
        <v>153</v>
      </c>
      <c r="AL520" s="47" t="s">
        <v>153</v>
      </c>
      <c r="AM520" s="48" t="s">
        <v>153</v>
      </c>
      <c r="AN520" s="49" t="s">
        <v>153</v>
      </c>
      <c r="AO520" s="50" t="s">
        <v>10747</v>
      </c>
      <c r="AP520" s="51" t="s">
        <v>10748</v>
      </c>
      <c r="AQ520" s="52" t="s">
        <v>10749</v>
      </c>
      <c r="AR520" s="53" t="s">
        <v>10750</v>
      </c>
      <c r="AS520" s="54" t="s">
        <v>10751</v>
      </c>
      <c r="AT520" s="55" t="s">
        <v>433</v>
      </c>
      <c r="AU520" s="56" t="s">
        <v>10752</v>
      </c>
      <c r="AV520" s="57" t="s">
        <v>153</v>
      </c>
      <c r="AW520" s="58" t="s">
        <v>436</v>
      </c>
      <c r="AX520" s="59" t="s">
        <v>436</v>
      </c>
      <c r="AY520" s="60" t="s">
        <v>10753</v>
      </c>
      <c r="AZ520" s="61" t="s">
        <v>215</v>
      </c>
      <c r="BA520" s="62" t="s">
        <v>10751</v>
      </c>
      <c r="BB520" s="63" t="s">
        <v>153</v>
      </c>
      <c r="BC520" s="64" t="s">
        <v>10754</v>
      </c>
      <c r="BD520" s="65" t="s">
        <v>216</v>
      </c>
      <c r="BE520" s="66" t="s">
        <v>217</v>
      </c>
      <c r="BF520" s="67" t="s">
        <v>10755</v>
      </c>
      <c r="BG520" s="68" t="s">
        <v>10756</v>
      </c>
      <c r="BH520" s="69">
        <v>6</v>
      </c>
      <c r="BI520" s="70" t="s">
        <v>153</v>
      </c>
      <c r="BJ520" s="71" t="s">
        <v>10757</v>
      </c>
      <c r="BK520" s="72" t="s">
        <v>153</v>
      </c>
      <c r="BL520" s="73" t="s">
        <v>10758</v>
      </c>
      <c r="BM520" s="74" t="s">
        <v>10759</v>
      </c>
      <c r="BN520" s="75" t="s">
        <v>153</v>
      </c>
      <c r="BO520" s="76" t="s">
        <v>153</v>
      </c>
      <c r="BP520" s="77" t="s">
        <v>10760</v>
      </c>
      <c r="BQ520" s="78" t="s">
        <v>153</v>
      </c>
      <c r="BR520" s="79" t="s">
        <v>153</v>
      </c>
      <c r="BS520" s="80" t="s">
        <v>153</v>
      </c>
      <c r="BT520" s="81" t="s">
        <v>153</v>
      </c>
      <c r="BU520" s="82" t="s">
        <v>153</v>
      </c>
      <c r="BV520" s="83" t="s">
        <v>709</v>
      </c>
      <c r="BW520" s="84" t="s">
        <v>153</v>
      </c>
      <c r="BX520" s="85" t="s">
        <v>153</v>
      </c>
      <c r="BY520" s="86" t="s">
        <v>165</v>
      </c>
      <c r="BZ520" s="87" t="s">
        <v>153</v>
      </c>
      <c r="CA520" s="88" t="s">
        <v>190</v>
      </c>
      <c r="CB520" s="89">
        <v>44336</v>
      </c>
      <c r="CC520" s="90">
        <v>8300</v>
      </c>
      <c r="CD520" s="91" t="s">
        <v>187</v>
      </c>
      <c r="CE520" s="92" t="s">
        <v>153</v>
      </c>
      <c r="CF520" s="93" t="s">
        <v>153</v>
      </c>
      <c r="CG520" s="94" t="s">
        <v>393</v>
      </c>
      <c r="CH520" s="95" t="s">
        <v>153</v>
      </c>
      <c r="CI520" s="96" t="s">
        <v>153</v>
      </c>
      <c r="CJ520" s="97" t="s">
        <v>165</v>
      </c>
      <c r="CK520" s="98">
        <v>44336</v>
      </c>
      <c r="CL520" s="99" t="s">
        <v>153</v>
      </c>
      <c r="CM520" s="100" t="s">
        <v>153</v>
      </c>
      <c r="CN520" s="101" t="s">
        <v>190</v>
      </c>
      <c r="CO520" s="102">
        <v>20.05</v>
      </c>
      <c r="CP520" s="103">
        <v>100</v>
      </c>
      <c r="CQ520" s="104">
        <v>-8.74</v>
      </c>
      <c r="CR520" s="105">
        <v>-30.35</v>
      </c>
      <c r="CS520" s="106">
        <v>20.05</v>
      </c>
      <c r="CT520" s="107">
        <v>100</v>
      </c>
      <c r="CU520" s="108" t="s">
        <v>153</v>
      </c>
      <c r="CV520" s="109" t="s">
        <v>153</v>
      </c>
      <c r="CW520" s="110">
        <v>28.78</v>
      </c>
      <c r="CX520" s="111">
        <v>100</v>
      </c>
      <c r="CY520" s="112">
        <v>11.31</v>
      </c>
      <c r="CZ520" s="113">
        <v>100</v>
      </c>
      <c r="DA520" s="114" t="s">
        <v>153</v>
      </c>
      <c r="DB520" s="115" t="s">
        <v>153</v>
      </c>
      <c r="DC520" s="116">
        <v>10.41</v>
      </c>
      <c r="DD520" s="117">
        <v>92</v>
      </c>
      <c r="DE520" s="118">
        <v>-2.41</v>
      </c>
      <c r="DF520" s="119">
        <v>-18.79</v>
      </c>
      <c r="DG520" s="120">
        <v>10.41</v>
      </c>
      <c r="DH520" s="121">
        <v>92</v>
      </c>
      <c r="DI520" s="122" t="s">
        <v>153</v>
      </c>
      <c r="DJ520" s="123" t="s">
        <v>153</v>
      </c>
      <c r="DK520" s="124">
        <v>12.81</v>
      </c>
      <c r="DL520" s="125">
        <v>88</v>
      </c>
      <c r="DM520" s="126">
        <v>8</v>
      </c>
      <c r="DN520" s="127">
        <v>88</v>
      </c>
      <c r="DO520" s="128" t="s">
        <v>153</v>
      </c>
      <c r="DP520" s="129" t="s">
        <v>153</v>
      </c>
      <c r="DQ520" s="130">
        <v>7374</v>
      </c>
      <c r="DR520" s="131">
        <v>823</v>
      </c>
      <c r="DS520" s="132">
        <v>12.56</v>
      </c>
      <c r="DT520" s="133">
        <v>154</v>
      </c>
      <c r="DU520" s="134">
        <v>-45</v>
      </c>
      <c r="DV520" s="135">
        <v>-22.61</v>
      </c>
      <c r="DW520" s="136" t="s">
        <v>153</v>
      </c>
      <c r="DX520" s="137" t="s">
        <v>153</v>
      </c>
      <c r="DY520" s="138" t="s">
        <v>153</v>
      </c>
      <c r="DZ520" s="139" t="s">
        <v>191</v>
      </c>
      <c r="EA520" s="140">
        <v>44397</v>
      </c>
      <c r="EB520" s="141" t="s">
        <v>153</v>
      </c>
      <c r="EC520" s="142" t="s">
        <v>153</v>
      </c>
      <c r="ED520" s="143" t="s">
        <v>153</v>
      </c>
      <c r="EE520" s="278" t="str">
        <f>HYPERLINK("https://my.pitchbook.com?c=55785-97", "View company online")</f>
        <v>View company online</v>
      </c>
    </row>
    <row r="521" spans="1:135" x14ac:dyDescent="0.45">
      <c r="A521" s="144" t="s">
        <v>10761</v>
      </c>
      <c r="B521" s="145" t="s">
        <v>10762</v>
      </c>
      <c r="C521" s="146" t="s">
        <v>153</v>
      </c>
      <c r="D521" s="147" t="s">
        <v>153</v>
      </c>
      <c r="E521" s="148" t="s">
        <v>153</v>
      </c>
      <c r="F521" s="149" t="s">
        <v>10763</v>
      </c>
      <c r="G521" s="150" t="s">
        <v>10764</v>
      </c>
      <c r="H521" s="151" t="s">
        <v>10765</v>
      </c>
      <c r="I521" s="152" t="s">
        <v>10761</v>
      </c>
      <c r="J521" s="153" t="s">
        <v>10766</v>
      </c>
      <c r="K521" s="154" t="s">
        <v>198</v>
      </c>
      <c r="L521" s="155" t="s">
        <v>984</v>
      </c>
      <c r="M521" s="156" t="s">
        <v>3544</v>
      </c>
      <c r="N521" s="157" t="s">
        <v>10767</v>
      </c>
      <c r="O521" s="158" t="s">
        <v>399</v>
      </c>
      <c r="P521" s="159" t="s">
        <v>10768</v>
      </c>
      <c r="Q521" s="160" t="s">
        <v>289</v>
      </c>
      <c r="R521" s="161">
        <v>918.08</v>
      </c>
      <c r="S521" s="162" t="s">
        <v>163</v>
      </c>
      <c r="T521" s="163" t="s">
        <v>164</v>
      </c>
      <c r="U521" s="164" t="s">
        <v>292</v>
      </c>
      <c r="V521" s="165" t="s">
        <v>10769</v>
      </c>
      <c r="W521" s="166">
        <v>304</v>
      </c>
      <c r="X521" s="167" t="s">
        <v>10770</v>
      </c>
      <c r="Y521" s="168" t="s">
        <v>153</v>
      </c>
      <c r="Z521" s="169" t="s">
        <v>153</v>
      </c>
      <c r="AA521" s="170">
        <v>1993</v>
      </c>
      <c r="AB521" s="171" t="s">
        <v>10771</v>
      </c>
      <c r="AC521" s="172" t="s">
        <v>153</v>
      </c>
      <c r="AD521" s="173" t="s">
        <v>153</v>
      </c>
      <c r="AE521" s="174" t="s">
        <v>153</v>
      </c>
      <c r="AF521" s="175" t="s">
        <v>153</v>
      </c>
      <c r="AG521" s="176" t="s">
        <v>153</v>
      </c>
      <c r="AH521" s="177" t="s">
        <v>153</v>
      </c>
      <c r="AI521" s="178" t="s">
        <v>153</v>
      </c>
      <c r="AJ521" s="179" t="s">
        <v>153</v>
      </c>
      <c r="AK521" s="180" t="s">
        <v>153</v>
      </c>
      <c r="AL521" s="181" t="s">
        <v>153</v>
      </c>
      <c r="AM521" s="182" t="s">
        <v>153</v>
      </c>
      <c r="AN521" s="183" t="s">
        <v>484</v>
      </c>
      <c r="AO521" s="184" t="s">
        <v>10772</v>
      </c>
      <c r="AP521" s="185" t="s">
        <v>10773</v>
      </c>
      <c r="AQ521" s="186" t="s">
        <v>10774</v>
      </c>
      <c r="AR521" s="187" t="s">
        <v>153</v>
      </c>
      <c r="AS521" s="188" t="s">
        <v>10775</v>
      </c>
      <c r="AT521" s="189" t="s">
        <v>10776</v>
      </c>
      <c r="AU521" s="190" t="s">
        <v>10777</v>
      </c>
      <c r="AV521" s="191" t="s">
        <v>1126</v>
      </c>
      <c r="AW521" s="192" t="s">
        <v>10778</v>
      </c>
      <c r="AX521" s="193" t="s">
        <v>4741</v>
      </c>
      <c r="AY521" s="194" t="s">
        <v>10779</v>
      </c>
      <c r="AZ521" s="195" t="s">
        <v>215</v>
      </c>
      <c r="BA521" s="196" t="s">
        <v>10775</v>
      </c>
      <c r="BB521" s="197" t="s">
        <v>10780</v>
      </c>
      <c r="BC521" s="198" t="s">
        <v>153</v>
      </c>
      <c r="BD521" s="199" t="s">
        <v>216</v>
      </c>
      <c r="BE521" s="200" t="s">
        <v>217</v>
      </c>
      <c r="BF521" s="201" t="s">
        <v>10781</v>
      </c>
      <c r="BG521" s="202" t="s">
        <v>153</v>
      </c>
      <c r="BH521" s="203" t="s">
        <v>153</v>
      </c>
      <c r="BI521" s="204" t="s">
        <v>10771</v>
      </c>
      <c r="BJ521" s="205" t="s">
        <v>10782</v>
      </c>
      <c r="BK521" s="206" t="s">
        <v>153</v>
      </c>
      <c r="BL521" s="207" t="s">
        <v>153</v>
      </c>
      <c r="BM521" s="208" t="s">
        <v>10783</v>
      </c>
      <c r="BN521" s="209" t="s">
        <v>153</v>
      </c>
      <c r="BO521" s="210" t="s">
        <v>10784</v>
      </c>
      <c r="BP521" s="211" t="s">
        <v>10785</v>
      </c>
      <c r="BQ521" s="212" t="s">
        <v>153</v>
      </c>
      <c r="BR521" s="213" t="s">
        <v>153</v>
      </c>
      <c r="BS521" s="214" t="s">
        <v>153</v>
      </c>
      <c r="BT521" s="215" t="s">
        <v>153</v>
      </c>
      <c r="BU521" s="216" t="s">
        <v>153</v>
      </c>
      <c r="BV521" s="217" t="s">
        <v>471</v>
      </c>
      <c r="BW521" s="218" t="s">
        <v>153</v>
      </c>
      <c r="BX521" s="219" t="s">
        <v>153</v>
      </c>
      <c r="BY521" s="220" t="s">
        <v>472</v>
      </c>
      <c r="BZ521" s="221" t="s">
        <v>153</v>
      </c>
      <c r="CA521" s="222" t="s">
        <v>190</v>
      </c>
      <c r="CB521" s="223">
        <v>41977</v>
      </c>
      <c r="CC521" s="224">
        <v>8300</v>
      </c>
      <c r="CD521" s="225" t="s">
        <v>186</v>
      </c>
      <c r="CE521" s="226">
        <v>8300</v>
      </c>
      <c r="CF521" s="227" t="s">
        <v>186</v>
      </c>
      <c r="CG521" s="228" t="s">
        <v>226</v>
      </c>
      <c r="CH521" s="229" t="s">
        <v>153</v>
      </c>
      <c r="CI521" s="230" t="s">
        <v>153</v>
      </c>
      <c r="CJ521" s="231" t="s">
        <v>225</v>
      </c>
      <c r="CK521" s="232">
        <v>41977</v>
      </c>
      <c r="CL521" s="233" t="s">
        <v>153</v>
      </c>
      <c r="CM521" s="234" t="s">
        <v>153</v>
      </c>
      <c r="CN521" s="235" t="s">
        <v>190</v>
      </c>
      <c r="CO521" s="236" t="s">
        <v>153</v>
      </c>
      <c r="CP521" s="237" t="s">
        <v>153</v>
      </c>
      <c r="CQ521" s="238" t="s">
        <v>153</v>
      </c>
      <c r="CR521" s="239" t="s">
        <v>153</v>
      </c>
      <c r="CS521" s="240" t="s">
        <v>153</v>
      </c>
      <c r="CT521" s="241" t="s">
        <v>153</v>
      </c>
      <c r="CU521" s="242" t="s">
        <v>153</v>
      </c>
      <c r="CV521" s="243" t="s">
        <v>153</v>
      </c>
      <c r="CW521" s="244" t="s">
        <v>153</v>
      </c>
      <c r="CX521" s="245" t="s">
        <v>153</v>
      </c>
      <c r="CY521" s="246" t="s">
        <v>153</v>
      </c>
      <c r="CZ521" s="247" t="s">
        <v>153</v>
      </c>
      <c r="DA521" s="248" t="s">
        <v>153</v>
      </c>
      <c r="DB521" s="249" t="s">
        <v>153</v>
      </c>
      <c r="DC521" s="250" t="s">
        <v>153</v>
      </c>
      <c r="DD521" s="251" t="s">
        <v>153</v>
      </c>
      <c r="DE521" s="252" t="s">
        <v>153</v>
      </c>
      <c r="DF521" s="253" t="s">
        <v>153</v>
      </c>
      <c r="DG521" s="254" t="s">
        <v>153</v>
      </c>
      <c r="DH521" s="255" t="s">
        <v>153</v>
      </c>
      <c r="DI521" s="256" t="s">
        <v>153</v>
      </c>
      <c r="DJ521" s="257" t="s">
        <v>153</v>
      </c>
      <c r="DK521" s="258" t="s">
        <v>153</v>
      </c>
      <c r="DL521" s="259" t="s">
        <v>153</v>
      </c>
      <c r="DM521" s="260" t="s">
        <v>153</v>
      </c>
      <c r="DN521" s="261" t="s">
        <v>153</v>
      </c>
      <c r="DO521" s="262" t="s">
        <v>153</v>
      </c>
      <c r="DP521" s="263" t="s">
        <v>153</v>
      </c>
      <c r="DQ521" s="264" t="s">
        <v>153</v>
      </c>
      <c r="DR521" s="265" t="s">
        <v>153</v>
      </c>
      <c r="DS521" s="266" t="s">
        <v>153</v>
      </c>
      <c r="DT521" s="267" t="s">
        <v>153</v>
      </c>
      <c r="DU521" s="268" t="s">
        <v>153</v>
      </c>
      <c r="DV521" s="269" t="s">
        <v>153</v>
      </c>
      <c r="DW521" s="270" t="s">
        <v>153</v>
      </c>
      <c r="DX521" s="271" t="s">
        <v>153</v>
      </c>
      <c r="DY521" s="272" t="s">
        <v>153</v>
      </c>
      <c r="DZ521" s="273" t="s">
        <v>191</v>
      </c>
      <c r="EA521" s="274">
        <v>44386</v>
      </c>
      <c r="EB521" s="275">
        <v>8300</v>
      </c>
      <c r="EC521" s="276">
        <v>41977</v>
      </c>
      <c r="ED521" s="277" t="s">
        <v>226</v>
      </c>
      <c r="EE521" s="279" t="str">
        <f>HYPERLINK("https://my.pitchbook.com?c=41320-36", "View company online")</f>
        <v>View company online</v>
      </c>
    </row>
    <row r="522" spans="1:135" x14ac:dyDescent="0.45">
      <c r="A522" s="10" t="s">
        <v>10786</v>
      </c>
      <c r="B522" s="11" t="s">
        <v>10787</v>
      </c>
      <c r="C522" s="12" t="s">
        <v>153</v>
      </c>
      <c r="D522" s="13" t="s">
        <v>153</v>
      </c>
      <c r="E522" s="14" t="s">
        <v>153</v>
      </c>
      <c r="F522" s="15" t="s">
        <v>10788</v>
      </c>
      <c r="G522" s="16" t="s">
        <v>10789</v>
      </c>
      <c r="H522" s="17" t="s">
        <v>153</v>
      </c>
      <c r="I522" s="18" t="s">
        <v>10786</v>
      </c>
      <c r="J522" s="19" t="s">
        <v>10790</v>
      </c>
      <c r="K522" s="20" t="s">
        <v>232</v>
      </c>
      <c r="L522" s="21" t="s">
        <v>362</v>
      </c>
      <c r="M522" s="22" t="s">
        <v>1059</v>
      </c>
      <c r="N522" s="23" t="s">
        <v>9700</v>
      </c>
      <c r="O522" s="24" t="s">
        <v>153</v>
      </c>
      <c r="P522" s="25" t="s">
        <v>10791</v>
      </c>
      <c r="Q522" s="26" t="s">
        <v>564</v>
      </c>
      <c r="R522" s="27" t="s">
        <v>153</v>
      </c>
      <c r="S522" s="28" t="s">
        <v>163</v>
      </c>
      <c r="T522" s="29" t="s">
        <v>205</v>
      </c>
      <c r="U522" s="30" t="s">
        <v>565</v>
      </c>
      <c r="V522" s="31" t="s">
        <v>10792</v>
      </c>
      <c r="W522" s="32" t="s">
        <v>153</v>
      </c>
      <c r="X522" s="33" t="s">
        <v>153</v>
      </c>
      <c r="Y522" s="34" t="s">
        <v>153</v>
      </c>
      <c r="Z522" s="35" t="s">
        <v>153</v>
      </c>
      <c r="AA522" s="36">
        <v>2011</v>
      </c>
      <c r="AB522" s="37" t="s">
        <v>153</v>
      </c>
      <c r="AC522" s="38" t="s">
        <v>153</v>
      </c>
      <c r="AD522" s="39" t="s">
        <v>153</v>
      </c>
      <c r="AE522" s="40" t="s">
        <v>153</v>
      </c>
      <c r="AF522" s="41" t="s">
        <v>153</v>
      </c>
      <c r="AG522" s="42" t="s">
        <v>153</v>
      </c>
      <c r="AH522" s="43" t="s">
        <v>153</v>
      </c>
      <c r="AI522" s="44" t="s">
        <v>153</v>
      </c>
      <c r="AJ522" s="45" t="s">
        <v>153</v>
      </c>
      <c r="AK522" s="46" t="s">
        <v>153</v>
      </c>
      <c r="AL522" s="47" t="s">
        <v>153</v>
      </c>
      <c r="AM522" s="48" t="s">
        <v>153</v>
      </c>
      <c r="AN522" s="49" t="s">
        <v>538</v>
      </c>
      <c r="AO522" s="50" t="s">
        <v>10793</v>
      </c>
      <c r="AP522" s="51" t="s">
        <v>10794</v>
      </c>
      <c r="AQ522" s="52" t="s">
        <v>10795</v>
      </c>
      <c r="AR522" s="53" t="s">
        <v>10796</v>
      </c>
      <c r="AS522" s="54" t="s">
        <v>10797</v>
      </c>
      <c r="AT522" s="55" t="s">
        <v>433</v>
      </c>
      <c r="AU522" s="56" t="s">
        <v>10798</v>
      </c>
      <c r="AV522" s="57" t="s">
        <v>10799</v>
      </c>
      <c r="AW522" s="58" t="s">
        <v>436</v>
      </c>
      <c r="AX522" s="59" t="s">
        <v>436</v>
      </c>
      <c r="AY522" s="60" t="s">
        <v>6674</v>
      </c>
      <c r="AZ522" s="61" t="s">
        <v>215</v>
      </c>
      <c r="BA522" s="62" t="s">
        <v>153</v>
      </c>
      <c r="BB522" s="63" t="s">
        <v>153</v>
      </c>
      <c r="BC522" s="64" t="s">
        <v>153</v>
      </c>
      <c r="BD522" s="65" t="s">
        <v>216</v>
      </c>
      <c r="BE522" s="66" t="s">
        <v>217</v>
      </c>
      <c r="BF522" s="67" t="s">
        <v>10800</v>
      </c>
      <c r="BG522" s="68" t="s">
        <v>153</v>
      </c>
      <c r="BH522" s="69" t="s">
        <v>153</v>
      </c>
      <c r="BI522" s="70" t="s">
        <v>10801</v>
      </c>
      <c r="BJ522" s="71" t="s">
        <v>10802</v>
      </c>
      <c r="BK522" s="72" t="s">
        <v>153</v>
      </c>
      <c r="BL522" s="73" t="s">
        <v>153</v>
      </c>
      <c r="BM522" s="74" t="s">
        <v>10803</v>
      </c>
      <c r="BN522" s="75" t="s">
        <v>153</v>
      </c>
      <c r="BO522" s="76" t="s">
        <v>2448</v>
      </c>
      <c r="BP522" s="77" t="s">
        <v>10804</v>
      </c>
      <c r="BQ522" s="78">
        <v>40725</v>
      </c>
      <c r="BR522" s="79" t="s">
        <v>153</v>
      </c>
      <c r="BS522" s="80" t="s">
        <v>153</v>
      </c>
      <c r="BT522" s="81" t="s">
        <v>153</v>
      </c>
      <c r="BU522" s="82" t="s">
        <v>153</v>
      </c>
      <c r="BV522" s="83" t="s">
        <v>224</v>
      </c>
      <c r="BW522" s="84" t="s">
        <v>153</v>
      </c>
      <c r="BX522" s="85" t="s">
        <v>153</v>
      </c>
      <c r="BY522" s="86" t="s">
        <v>165</v>
      </c>
      <c r="BZ522" s="87" t="s">
        <v>153</v>
      </c>
      <c r="CA522" s="88" t="s">
        <v>190</v>
      </c>
      <c r="CB522" s="89">
        <v>43453</v>
      </c>
      <c r="CC522" s="90">
        <v>8300</v>
      </c>
      <c r="CD522" s="91" t="s">
        <v>186</v>
      </c>
      <c r="CE522" s="92">
        <v>8300</v>
      </c>
      <c r="CF522" s="93" t="s">
        <v>187</v>
      </c>
      <c r="CG522" s="94" t="s">
        <v>226</v>
      </c>
      <c r="CH522" s="95" t="s">
        <v>153</v>
      </c>
      <c r="CI522" s="96" t="s">
        <v>153</v>
      </c>
      <c r="CJ522" s="97" t="s">
        <v>225</v>
      </c>
      <c r="CK522" s="98">
        <v>43453</v>
      </c>
      <c r="CL522" s="99" t="s">
        <v>153</v>
      </c>
      <c r="CM522" s="100" t="s">
        <v>153</v>
      </c>
      <c r="CN522" s="101" t="s">
        <v>190</v>
      </c>
      <c r="CO522" s="102" t="s">
        <v>153</v>
      </c>
      <c r="CP522" s="103" t="s">
        <v>153</v>
      </c>
      <c r="CQ522" s="104" t="s">
        <v>153</v>
      </c>
      <c r="CR522" s="105" t="s">
        <v>153</v>
      </c>
      <c r="CS522" s="106" t="s">
        <v>153</v>
      </c>
      <c r="CT522" s="107" t="s">
        <v>153</v>
      </c>
      <c r="CU522" s="108" t="s">
        <v>153</v>
      </c>
      <c r="CV522" s="109" t="s">
        <v>153</v>
      </c>
      <c r="CW522" s="110" t="s">
        <v>153</v>
      </c>
      <c r="CX522" s="111" t="s">
        <v>153</v>
      </c>
      <c r="CY522" s="112" t="s">
        <v>153</v>
      </c>
      <c r="CZ522" s="113" t="s">
        <v>153</v>
      </c>
      <c r="DA522" s="114" t="s">
        <v>153</v>
      </c>
      <c r="DB522" s="115" t="s">
        <v>153</v>
      </c>
      <c r="DC522" s="116" t="s">
        <v>153</v>
      </c>
      <c r="DD522" s="117" t="s">
        <v>153</v>
      </c>
      <c r="DE522" s="118" t="s">
        <v>153</v>
      </c>
      <c r="DF522" s="119" t="s">
        <v>153</v>
      </c>
      <c r="DG522" s="120" t="s">
        <v>153</v>
      </c>
      <c r="DH522" s="121" t="s">
        <v>153</v>
      </c>
      <c r="DI522" s="122" t="s">
        <v>153</v>
      </c>
      <c r="DJ522" s="123" t="s">
        <v>153</v>
      </c>
      <c r="DK522" s="124" t="s">
        <v>153</v>
      </c>
      <c r="DL522" s="125" t="s">
        <v>153</v>
      </c>
      <c r="DM522" s="126" t="s">
        <v>153</v>
      </c>
      <c r="DN522" s="127" t="s">
        <v>153</v>
      </c>
      <c r="DO522" s="128" t="s">
        <v>153</v>
      </c>
      <c r="DP522" s="129" t="s">
        <v>153</v>
      </c>
      <c r="DQ522" s="130" t="s">
        <v>153</v>
      </c>
      <c r="DR522" s="131" t="s">
        <v>153</v>
      </c>
      <c r="DS522" s="132" t="s">
        <v>153</v>
      </c>
      <c r="DT522" s="133" t="s">
        <v>153</v>
      </c>
      <c r="DU522" s="134" t="s">
        <v>153</v>
      </c>
      <c r="DV522" s="135" t="s">
        <v>153</v>
      </c>
      <c r="DW522" s="136" t="s">
        <v>153</v>
      </c>
      <c r="DX522" s="137" t="s">
        <v>153</v>
      </c>
      <c r="DY522" s="138" t="s">
        <v>153</v>
      </c>
      <c r="DZ522" s="139" t="s">
        <v>191</v>
      </c>
      <c r="EA522" s="140">
        <v>44393</v>
      </c>
      <c r="EB522" s="141">
        <v>8300</v>
      </c>
      <c r="EC522" s="142">
        <v>43453</v>
      </c>
      <c r="ED522" s="143" t="s">
        <v>226</v>
      </c>
      <c r="EE522" s="278" t="str">
        <f>HYPERLINK("https://my.pitchbook.com?c=97421-86", "View company online")</f>
        <v>View company online</v>
      </c>
    </row>
    <row r="523" spans="1:135" x14ac:dyDescent="0.45">
      <c r="A523" s="144" t="s">
        <v>10805</v>
      </c>
      <c r="B523" s="145" t="s">
        <v>10806</v>
      </c>
      <c r="C523" s="146" t="s">
        <v>153</v>
      </c>
      <c r="D523" s="147" t="s">
        <v>153</v>
      </c>
      <c r="E523" s="148" t="s">
        <v>153</v>
      </c>
      <c r="F523" s="149" t="s">
        <v>10807</v>
      </c>
      <c r="G523" s="150" t="s">
        <v>10808</v>
      </c>
      <c r="H523" s="151" t="s">
        <v>10809</v>
      </c>
      <c r="I523" s="152" t="s">
        <v>10805</v>
      </c>
      <c r="J523" s="153" t="s">
        <v>10810</v>
      </c>
      <c r="K523" s="154" t="s">
        <v>257</v>
      </c>
      <c r="L523" s="155" t="s">
        <v>258</v>
      </c>
      <c r="M523" s="156" t="s">
        <v>259</v>
      </c>
      <c r="N523" s="157" t="s">
        <v>10811</v>
      </c>
      <c r="O523" s="158" t="s">
        <v>153</v>
      </c>
      <c r="P523" s="159" t="s">
        <v>10812</v>
      </c>
      <c r="Q523" s="160" t="s">
        <v>289</v>
      </c>
      <c r="R523" s="161">
        <v>509.27</v>
      </c>
      <c r="S523" s="162" t="s">
        <v>290</v>
      </c>
      <c r="T523" s="163" t="s">
        <v>205</v>
      </c>
      <c r="U523" s="164" t="s">
        <v>4270</v>
      </c>
      <c r="V523" s="165" t="s">
        <v>153</v>
      </c>
      <c r="W523" s="166">
        <v>750</v>
      </c>
      <c r="X523" s="167" t="s">
        <v>10813</v>
      </c>
      <c r="Y523" s="168" t="s">
        <v>153</v>
      </c>
      <c r="Z523" s="169" t="s">
        <v>153</v>
      </c>
      <c r="AA523" s="170">
        <v>1992</v>
      </c>
      <c r="AB523" s="171" t="s">
        <v>153</v>
      </c>
      <c r="AC523" s="172" t="s">
        <v>153</v>
      </c>
      <c r="AD523" s="173" t="s">
        <v>153</v>
      </c>
      <c r="AE523" s="174" t="s">
        <v>153</v>
      </c>
      <c r="AF523" s="175" t="s">
        <v>153</v>
      </c>
      <c r="AG523" s="176" t="s">
        <v>153</v>
      </c>
      <c r="AH523" s="177" t="s">
        <v>153</v>
      </c>
      <c r="AI523" s="178" t="s">
        <v>153</v>
      </c>
      <c r="AJ523" s="179" t="s">
        <v>153</v>
      </c>
      <c r="AK523" s="180" t="s">
        <v>153</v>
      </c>
      <c r="AL523" s="181" t="s">
        <v>153</v>
      </c>
      <c r="AM523" s="182" t="s">
        <v>153</v>
      </c>
      <c r="AN523" s="183" t="s">
        <v>1123</v>
      </c>
      <c r="AO523" s="184" t="s">
        <v>153</v>
      </c>
      <c r="AP523" s="185" t="s">
        <v>153</v>
      </c>
      <c r="AQ523" s="186" t="s">
        <v>153</v>
      </c>
      <c r="AR523" s="187" t="s">
        <v>153</v>
      </c>
      <c r="AS523" s="188" t="s">
        <v>153</v>
      </c>
      <c r="AT523" s="189" t="s">
        <v>10814</v>
      </c>
      <c r="AU523" s="190" t="s">
        <v>10815</v>
      </c>
      <c r="AV523" s="191" t="s">
        <v>153</v>
      </c>
      <c r="AW523" s="192" t="s">
        <v>10816</v>
      </c>
      <c r="AX523" s="193" t="s">
        <v>385</v>
      </c>
      <c r="AY523" s="194" t="s">
        <v>10817</v>
      </c>
      <c r="AZ523" s="195" t="s">
        <v>215</v>
      </c>
      <c r="BA523" s="196" t="s">
        <v>153</v>
      </c>
      <c r="BB523" s="197" t="s">
        <v>153</v>
      </c>
      <c r="BC523" s="198" t="s">
        <v>153</v>
      </c>
      <c r="BD523" s="199" t="s">
        <v>216</v>
      </c>
      <c r="BE523" s="200" t="s">
        <v>217</v>
      </c>
      <c r="BF523" s="201" t="s">
        <v>10818</v>
      </c>
      <c r="BG523" s="202" t="s">
        <v>153</v>
      </c>
      <c r="BH523" s="203" t="s">
        <v>153</v>
      </c>
      <c r="BI523" s="204" t="s">
        <v>1201</v>
      </c>
      <c r="BJ523" s="205" t="s">
        <v>10819</v>
      </c>
      <c r="BK523" s="206" t="s">
        <v>153</v>
      </c>
      <c r="BL523" s="207" t="s">
        <v>153</v>
      </c>
      <c r="BM523" s="208" t="s">
        <v>10820</v>
      </c>
      <c r="BN523" s="209" t="s">
        <v>153</v>
      </c>
      <c r="BO523" s="210" t="s">
        <v>10821</v>
      </c>
      <c r="BP523" s="211" t="s">
        <v>10822</v>
      </c>
      <c r="BQ523" s="212">
        <v>34335</v>
      </c>
      <c r="BR523" s="213">
        <v>7.23</v>
      </c>
      <c r="BS523" s="214" t="s">
        <v>186</v>
      </c>
      <c r="BT523" s="215" t="s">
        <v>153</v>
      </c>
      <c r="BU523" s="216" t="s">
        <v>153</v>
      </c>
      <c r="BV523" s="217" t="s">
        <v>471</v>
      </c>
      <c r="BW523" s="218" t="s">
        <v>10823</v>
      </c>
      <c r="BX523" s="219" t="s">
        <v>153</v>
      </c>
      <c r="BY523" s="220" t="s">
        <v>472</v>
      </c>
      <c r="BZ523" s="221" t="s">
        <v>153</v>
      </c>
      <c r="CA523" s="222" t="s">
        <v>190</v>
      </c>
      <c r="CB523" s="223">
        <v>42025</v>
      </c>
      <c r="CC523" s="224">
        <v>8300</v>
      </c>
      <c r="CD523" s="225" t="s">
        <v>186</v>
      </c>
      <c r="CE523" s="226">
        <v>8300</v>
      </c>
      <c r="CF523" s="227" t="s">
        <v>186</v>
      </c>
      <c r="CG523" s="228" t="s">
        <v>226</v>
      </c>
      <c r="CH523" s="229" t="s">
        <v>153</v>
      </c>
      <c r="CI523" s="230" t="s">
        <v>153</v>
      </c>
      <c r="CJ523" s="231" t="s">
        <v>225</v>
      </c>
      <c r="CK523" s="232">
        <v>42025</v>
      </c>
      <c r="CL523" s="233" t="s">
        <v>153</v>
      </c>
      <c r="CM523" s="234" t="s">
        <v>153</v>
      </c>
      <c r="CN523" s="235" t="s">
        <v>190</v>
      </c>
      <c r="CO523" s="236" t="s">
        <v>153</v>
      </c>
      <c r="CP523" s="237" t="s">
        <v>153</v>
      </c>
      <c r="CQ523" s="238" t="s">
        <v>153</v>
      </c>
      <c r="CR523" s="239" t="s">
        <v>153</v>
      </c>
      <c r="CS523" s="240" t="s">
        <v>153</v>
      </c>
      <c r="CT523" s="241" t="s">
        <v>153</v>
      </c>
      <c r="CU523" s="242" t="s">
        <v>153</v>
      </c>
      <c r="CV523" s="243" t="s">
        <v>153</v>
      </c>
      <c r="CW523" s="244" t="s">
        <v>153</v>
      </c>
      <c r="CX523" s="245" t="s">
        <v>153</v>
      </c>
      <c r="CY523" s="246" t="s">
        <v>153</v>
      </c>
      <c r="CZ523" s="247" t="s">
        <v>153</v>
      </c>
      <c r="DA523" s="248" t="s">
        <v>153</v>
      </c>
      <c r="DB523" s="249" t="s">
        <v>153</v>
      </c>
      <c r="DC523" s="250" t="s">
        <v>153</v>
      </c>
      <c r="DD523" s="251" t="s">
        <v>153</v>
      </c>
      <c r="DE523" s="252" t="s">
        <v>153</v>
      </c>
      <c r="DF523" s="253" t="s">
        <v>153</v>
      </c>
      <c r="DG523" s="254" t="s">
        <v>153</v>
      </c>
      <c r="DH523" s="255" t="s">
        <v>153</v>
      </c>
      <c r="DI523" s="256" t="s">
        <v>153</v>
      </c>
      <c r="DJ523" s="257" t="s">
        <v>153</v>
      </c>
      <c r="DK523" s="258" t="s">
        <v>153</v>
      </c>
      <c r="DL523" s="259" t="s">
        <v>153</v>
      </c>
      <c r="DM523" s="260" t="s">
        <v>153</v>
      </c>
      <c r="DN523" s="261" t="s">
        <v>153</v>
      </c>
      <c r="DO523" s="262" t="s">
        <v>153</v>
      </c>
      <c r="DP523" s="263" t="s">
        <v>153</v>
      </c>
      <c r="DQ523" s="264" t="s">
        <v>153</v>
      </c>
      <c r="DR523" s="265" t="s">
        <v>153</v>
      </c>
      <c r="DS523" s="266" t="s">
        <v>153</v>
      </c>
      <c r="DT523" s="267" t="s">
        <v>153</v>
      </c>
      <c r="DU523" s="268" t="s">
        <v>153</v>
      </c>
      <c r="DV523" s="269" t="s">
        <v>153</v>
      </c>
      <c r="DW523" s="270" t="s">
        <v>153</v>
      </c>
      <c r="DX523" s="271" t="s">
        <v>153</v>
      </c>
      <c r="DY523" s="272" t="s">
        <v>153</v>
      </c>
      <c r="DZ523" s="273" t="s">
        <v>191</v>
      </c>
      <c r="EA523" s="274">
        <v>44380</v>
      </c>
      <c r="EB523" s="275">
        <v>8300</v>
      </c>
      <c r="EC523" s="276">
        <v>42025</v>
      </c>
      <c r="ED523" s="277" t="s">
        <v>226</v>
      </c>
      <c r="EE523" s="279" t="str">
        <f>HYPERLINK("https://my.pitchbook.com?c=41218-57", "View company online")</f>
        <v>View company online</v>
      </c>
    </row>
    <row r="524" spans="1:135" x14ac:dyDescent="0.45">
      <c r="A524" s="10" t="s">
        <v>10824</v>
      </c>
      <c r="B524" s="11" t="s">
        <v>10825</v>
      </c>
      <c r="C524" s="12" t="s">
        <v>153</v>
      </c>
      <c r="D524" s="13" t="s">
        <v>153</v>
      </c>
      <c r="E524" s="14" t="s">
        <v>10826</v>
      </c>
      <c r="F524" s="15" t="s">
        <v>10827</v>
      </c>
      <c r="G524" s="16" t="s">
        <v>10828</v>
      </c>
      <c r="H524" s="17" t="s">
        <v>153</v>
      </c>
      <c r="I524" s="18" t="s">
        <v>10824</v>
      </c>
      <c r="J524" s="19" t="s">
        <v>10829</v>
      </c>
      <c r="K524" s="20" t="s">
        <v>792</v>
      </c>
      <c r="L524" s="21" t="s">
        <v>841</v>
      </c>
      <c r="M524" s="22" t="s">
        <v>842</v>
      </c>
      <c r="N524" s="23" t="s">
        <v>6418</v>
      </c>
      <c r="O524" s="24" t="s">
        <v>796</v>
      </c>
      <c r="P524" s="25" t="s">
        <v>10830</v>
      </c>
      <c r="Q524" s="26" t="s">
        <v>204</v>
      </c>
      <c r="R524" s="27">
        <v>737.31</v>
      </c>
      <c r="S524" s="28" t="s">
        <v>290</v>
      </c>
      <c r="T524" s="29" t="s">
        <v>205</v>
      </c>
      <c r="U524" s="30" t="s">
        <v>2534</v>
      </c>
      <c r="V524" s="31" t="s">
        <v>153</v>
      </c>
      <c r="W524" s="32">
        <v>1940</v>
      </c>
      <c r="X524" s="33" t="s">
        <v>10831</v>
      </c>
      <c r="Y524" s="34" t="s">
        <v>153</v>
      </c>
      <c r="Z524" s="35" t="s">
        <v>153</v>
      </c>
      <c r="AA524" s="36">
        <v>1925</v>
      </c>
      <c r="AB524" s="37" t="s">
        <v>10832</v>
      </c>
      <c r="AC524" s="38" t="s">
        <v>153</v>
      </c>
      <c r="AD524" s="39" t="s">
        <v>153</v>
      </c>
      <c r="AE524" s="40" t="s">
        <v>153</v>
      </c>
      <c r="AF524" s="41" t="s">
        <v>153</v>
      </c>
      <c r="AG524" s="42" t="s">
        <v>153</v>
      </c>
      <c r="AH524" s="43" t="s">
        <v>153</v>
      </c>
      <c r="AI524" s="44" t="s">
        <v>153</v>
      </c>
      <c r="AJ524" s="45" t="s">
        <v>153</v>
      </c>
      <c r="AK524" s="46" t="s">
        <v>153</v>
      </c>
      <c r="AL524" s="47" t="s">
        <v>153</v>
      </c>
      <c r="AM524" s="48" t="s">
        <v>153</v>
      </c>
      <c r="AN524" s="49" t="s">
        <v>2139</v>
      </c>
      <c r="AO524" s="50" t="s">
        <v>10833</v>
      </c>
      <c r="AP524" s="51" t="s">
        <v>10834</v>
      </c>
      <c r="AQ524" s="52" t="s">
        <v>1241</v>
      </c>
      <c r="AR524" s="53" t="s">
        <v>153</v>
      </c>
      <c r="AS524" s="54" t="s">
        <v>153</v>
      </c>
      <c r="AT524" s="55" t="s">
        <v>3419</v>
      </c>
      <c r="AU524" s="56" t="s">
        <v>10835</v>
      </c>
      <c r="AV524" s="57" t="s">
        <v>1179</v>
      </c>
      <c r="AW524" s="58" t="s">
        <v>3422</v>
      </c>
      <c r="AX524" s="59" t="s">
        <v>3423</v>
      </c>
      <c r="AY524" s="60" t="s">
        <v>10836</v>
      </c>
      <c r="AZ524" s="61" t="s">
        <v>1358</v>
      </c>
      <c r="BA524" s="62" t="s">
        <v>153</v>
      </c>
      <c r="BB524" s="63" t="s">
        <v>153</v>
      </c>
      <c r="BC524" s="64" t="s">
        <v>153</v>
      </c>
      <c r="BD524" s="65" t="s">
        <v>216</v>
      </c>
      <c r="BE524" s="66" t="s">
        <v>217</v>
      </c>
      <c r="BF524" s="67" t="s">
        <v>10837</v>
      </c>
      <c r="BG524" s="68" t="s">
        <v>153</v>
      </c>
      <c r="BH524" s="69" t="s">
        <v>153</v>
      </c>
      <c r="BI524" s="70" t="s">
        <v>10832</v>
      </c>
      <c r="BJ524" s="71" t="s">
        <v>153</v>
      </c>
      <c r="BK524" s="72" t="s">
        <v>10838</v>
      </c>
      <c r="BL524" s="73" t="s">
        <v>153</v>
      </c>
      <c r="BM524" s="74" t="s">
        <v>153</v>
      </c>
      <c r="BN524" s="75" t="s">
        <v>10839</v>
      </c>
      <c r="BO524" s="76" t="s">
        <v>10840</v>
      </c>
      <c r="BP524" s="77" t="s">
        <v>10841</v>
      </c>
      <c r="BQ524" s="78">
        <v>41596</v>
      </c>
      <c r="BR524" s="79">
        <v>737.31</v>
      </c>
      <c r="BS524" s="80" t="s">
        <v>186</v>
      </c>
      <c r="BT524" s="81" t="s">
        <v>153</v>
      </c>
      <c r="BU524" s="82" t="s">
        <v>153</v>
      </c>
      <c r="BV524" s="83" t="s">
        <v>4289</v>
      </c>
      <c r="BW524" s="84" t="s">
        <v>153</v>
      </c>
      <c r="BX524" s="85" t="s">
        <v>153</v>
      </c>
      <c r="BY524" s="86" t="s">
        <v>4290</v>
      </c>
      <c r="BZ524" s="87" t="s">
        <v>1607</v>
      </c>
      <c r="CA524" s="88" t="s">
        <v>190</v>
      </c>
      <c r="CB524" s="89">
        <v>42132</v>
      </c>
      <c r="CC524" s="90">
        <v>8300</v>
      </c>
      <c r="CD524" s="91" t="s">
        <v>186</v>
      </c>
      <c r="CE524" s="92">
        <v>8300</v>
      </c>
      <c r="CF524" s="93" t="s">
        <v>187</v>
      </c>
      <c r="CG524" s="94" t="s">
        <v>226</v>
      </c>
      <c r="CH524" s="95" t="s">
        <v>153</v>
      </c>
      <c r="CI524" s="96" t="s">
        <v>153</v>
      </c>
      <c r="CJ524" s="97" t="s">
        <v>225</v>
      </c>
      <c r="CK524" s="98">
        <v>42132</v>
      </c>
      <c r="CL524" s="99">
        <v>4700</v>
      </c>
      <c r="CM524" s="100" t="s">
        <v>10842</v>
      </c>
      <c r="CN524" s="101" t="s">
        <v>190</v>
      </c>
      <c r="CO524" s="102" t="s">
        <v>153</v>
      </c>
      <c r="CP524" s="103" t="s">
        <v>153</v>
      </c>
      <c r="CQ524" s="104" t="s">
        <v>153</v>
      </c>
      <c r="CR524" s="105" t="s">
        <v>153</v>
      </c>
      <c r="CS524" s="106" t="s">
        <v>153</v>
      </c>
      <c r="CT524" s="107" t="s">
        <v>153</v>
      </c>
      <c r="CU524" s="108" t="s">
        <v>153</v>
      </c>
      <c r="CV524" s="109" t="s">
        <v>153</v>
      </c>
      <c r="CW524" s="110" t="s">
        <v>153</v>
      </c>
      <c r="CX524" s="111" t="s">
        <v>153</v>
      </c>
      <c r="CY524" s="112" t="s">
        <v>153</v>
      </c>
      <c r="CZ524" s="113" t="s">
        <v>153</v>
      </c>
      <c r="DA524" s="114" t="s">
        <v>153</v>
      </c>
      <c r="DB524" s="115" t="s">
        <v>153</v>
      </c>
      <c r="DC524" s="116" t="s">
        <v>153</v>
      </c>
      <c r="DD524" s="117" t="s">
        <v>153</v>
      </c>
      <c r="DE524" s="118" t="s">
        <v>153</v>
      </c>
      <c r="DF524" s="119" t="s">
        <v>153</v>
      </c>
      <c r="DG524" s="120" t="s">
        <v>153</v>
      </c>
      <c r="DH524" s="121" t="s">
        <v>153</v>
      </c>
      <c r="DI524" s="122" t="s">
        <v>153</v>
      </c>
      <c r="DJ524" s="123" t="s">
        <v>153</v>
      </c>
      <c r="DK524" s="124" t="s">
        <v>153</v>
      </c>
      <c r="DL524" s="125" t="s">
        <v>153</v>
      </c>
      <c r="DM524" s="126" t="s">
        <v>153</v>
      </c>
      <c r="DN524" s="127" t="s">
        <v>153</v>
      </c>
      <c r="DO524" s="128" t="s">
        <v>153</v>
      </c>
      <c r="DP524" s="129" t="s">
        <v>153</v>
      </c>
      <c r="DQ524" s="130" t="s">
        <v>153</v>
      </c>
      <c r="DR524" s="131" t="s">
        <v>153</v>
      </c>
      <c r="DS524" s="132" t="s">
        <v>153</v>
      </c>
      <c r="DT524" s="133" t="s">
        <v>153</v>
      </c>
      <c r="DU524" s="134" t="s">
        <v>153</v>
      </c>
      <c r="DV524" s="135" t="s">
        <v>153</v>
      </c>
      <c r="DW524" s="136" t="s">
        <v>153</v>
      </c>
      <c r="DX524" s="137" t="s">
        <v>153</v>
      </c>
      <c r="DY524" s="138" t="s">
        <v>153</v>
      </c>
      <c r="DZ524" s="139" t="s">
        <v>191</v>
      </c>
      <c r="EA524" s="140">
        <v>44358</v>
      </c>
      <c r="EB524" s="141">
        <v>8300</v>
      </c>
      <c r="EC524" s="142">
        <v>42132</v>
      </c>
      <c r="ED524" s="143" t="s">
        <v>226</v>
      </c>
      <c r="EE524" s="278" t="str">
        <f>HYPERLINK("https://my.pitchbook.com?c=42977-44", "View company online")</f>
        <v>View company online</v>
      </c>
    </row>
    <row r="525" spans="1:135" x14ac:dyDescent="0.45">
      <c r="A525" s="144" t="s">
        <v>10843</v>
      </c>
      <c r="B525" s="145" t="s">
        <v>10844</v>
      </c>
      <c r="C525" s="146" t="s">
        <v>153</v>
      </c>
      <c r="D525" s="147" t="s">
        <v>153</v>
      </c>
      <c r="E525" s="148" t="s">
        <v>153</v>
      </c>
      <c r="F525" s="149" t="s">
        <v>153</v>
      </c>
      <c r="G525" s="150" t="s">
        <v>10845</v>
      </c>
      <c r="H525" s="151" t="s">
        <v>153</v>
      </c>
      <c r="I525" s="152" t="s">
        <v>10843</v>
      </c>
      <c r="J525" s="153" t="s">
        <v>10846</v>
      </c>
      <c r="K525" s="154" t="s">
        <v>792</v>
      </c>
      <c r="L525" s="155" t="s">
        <v>3864</v>
      </c>
      <c r="M525" s="156" t="s">
        <v>3865</v>
      </c>
      <c r="N525" s="157" t="s">
        <v>3866</v>
      </c>
      <c r="O525" s="158" t="s">
        <v>1119</v>
      </c>
      <c r="P525" s="159" t="s">
        <v>10847</v>
      </c>
      <c r="Q525" s="160" t="s">
        <v>564</v>
      </c>
      <c r="R525" s="161" t="s">
        <v>153</v>
      </c>
      <c r="S525" s="162" t="s">
        <v>290</v>
      </c>
      <c r="T525" s="163" t="s">
        <v>205</v>
      </c>
      <c r="U525" s="164" t="s">
        <v>565</v>
      </c>
      <c r="V525" s="165" t="s">
        <v>10848</v>
      </c>
      <c r="W525" s="166">
        <v>1511</v>
      </c>
      <c r="X525" s="167" t="s">
        <v>10849</v>
      </c>
      <c r="Y525" s="168" t="s">
        <v>153</v>
      </c>
      <c r="Z525" s="169" t="s">
        <v>153</v>
      </c>
      <c r="AA525" s="170" t="s">
        <v>153</v>
      </c>
      <c r="AB525" s="171" t="s">
        <v>153</v>
      </c>
      <c r="AC525" s="172" t="s">
        <v>153</v>
      </c>
      <c r="AD525" s="173" t="s">
        <v>153</v>
      </c>
      <c r="AE525" s="174" t="s">
        <v>153</v>
      </c>
      <c r="AF525" s="175" t="s">
        <v>153</v>
      </c>
      <c r="AG525" s="176" t="s">
        <v>153</v>
      </c>
      <c r="AH525" s="177" t="s">
        <v>153</v>
      </c>
      <c r="AI525" s="178" t="s">
        <v>153</v>
      </c>
      <c r="AJ525" s="179" t="s">
        <v>153</v>
      </c>
      <c r="AK525" s="180" t="s">
        <v>153</v>
      </c>
      <c r="AL525" s="181" t="s">
        <v>153</v>
      </c>
      <c r="AM525" s="182" t="s">
        <v>153</v>
      </c>
      <c r="AN525" s="183" t="s">
        <v>4923</v>
      </c>
      <c r="AO525" s="184" t="s">
        <v>10850</v>
      </c>
      <c r="AP525" s="185" t="s">
        <v>10851</v>
      </c>
      <c r="AQ525" s="186" t="s">
        <v>10852</v>
      </c>
      <c r="AR525" s="187" t="s">
        <v>153</v>
      </c>
      <c r="AS525" s="188" t="s">
        <v>10853</v>
      </c>
      <c r="AT525" s="189" t="s">
        <v>2248</v>
      </c>
      <c r="AU525" s="190" t="s">
        <v>10854</v>
      </c>
      <c r="AV525" s="191" t="s">
        <v>153</v>
      </c>
      <c r="AW525" s="192" t="s">
        <v>2250</v>
      </c>
      <c r="AX525" s="193" t="s">
        <v>273</v>
      </c>
      <c r="AY525" s="194" t="s">
        <v>2251</v>
      </c>
      <c r="AZ525" s="195" t="s">
        <v>215</v>
      </c>
      <c r="BA525" s="196" t="s">
        <v>10853</v>
      </c>
      <c r="BB525" s="197" t="s">
        <v>10855</v>
      </c>
      <c r="BC525" s="198" t="s">
        <v>153</v>
      </c>
      <c r="BD525" s="199" t="s">
        <v>216</v>
      </c>
      <c r="BE525" s="200" t="s">
        <v>217</v>
      </c>
      <c r="BF525" s="201" t="s">
        <v>10856</v>
      </c>
      <c r="BG525" s="202" t="s">
        <v>153</v>
      </c>
      <c r="BH525" s="203" t="s">
        <v>153</v>
      </c>
      <c r="BI525" s="204" t="s">
        <v>10857</v>
      </c>
      <c r="BJ525" s="205" t="s">
        <v>10858</v>
      </c>
      <c r="BK525" s="206" t="s">
        <v>153</v>
      </c>
      <c r="BL525" s="207" t="s">
        <v>153</v>
      </c>
      <c r="BM525" s="208" t="s">
        <v>10859</v>
      </c>
      <c r="BN525" s="209" t="s">
        <v>153</v>
      </c>
      <c r="BO525" s="210" t="s">
        <v>10860</v>
      </c>
      <c r="BP525" s="211" t="s">
        <v>10861</v>
      </c>
      <c r="BQ525" s="212">
        <v>38455</v>
      </c>
      <c r="BR525" s="213">
        <v>3650</v>
      </c>
      <c r="BS525" s="214" t="s">
        <v>186</v>
      </c>
      <c r="BT525" s="215">
        <v>3650</v>
      </c>
      <c r="BU525" s="216" t="s">
        <v>186</v>
      </c>
      <c r="BV525" s="217" t="s">
        <v>188</v>
      </c>
      <c r="BW525" s="218" t="s">
        <v>153</v>
      </c>
      <c r="BX525" s="219" t="s">
        <v>153</v>
      </c>
      <c r="BY525" s="220" t="s">
        <v>165</v>
      </c>
      <c r="BZ525" s="221" t="s">
        <v>153</v>
      </c>
      <c r="CA525" s="222" t="s">
        <v>190</v>
      </c>
      <c r="CB525" s="223">
        <v>38754</v>
      </c>
      <c r="CC525" s="224">
        <v>8300</v>
      </c>
      <c r="CD525" s="225" t="s">
        <v>186</v>
      </c>
      <c r="CE525" s="226">
        <v>8300</v>
      </c>
      <c r="CF525" s="227" t="s">
        <v>186</v>
      </c>
      <c r="CG525" s="228" t="s">
        <v>226</v>
      </c>
      <c r="CH525" s="229" t="s">
        <v>153</v>
      </c>
      <c r="CI525" s="230" t="s">
        <v>153</v>
      </c>
      <c r="CJ525" s="231" t="s">
        <v>225</v>
      </c>
      <c r="CK525" s="232">
        <v>38754</v>
      </c>
      <c r="CL525" s="233" t="s">
        <v>153</v>
      </c>
      <c r="CM525" s="234" t="s">
        <v>153</v>
      </c>
      <c r="CN525" s="235" t="s">
        <v>190</v>
      </c>
      <c r="CO525" s="236" t="s">
        <v>153</v>
      </c>
      <c r="CP525" s="237" t="s">
        <v>153</v>
      </c>
      <c r="CQ525" s="238" t="s">
        <v>153</v>
      </c>
      <c r="CR525" s="239" t="s">
        <v>153</v>
      </c>
      <c r="CS525" s="240" t="s">
        <v>153</v>
      </c>
      <c r="CT525" s="241" t="s">
        <v>153</v>
      </c>
      <c r="CU525" s="242" t="s">
        <v>153</v>
      </c>
      <c r="CV525" s="243" t="s">
        <v>153</v>
      </c>
      <c r="CW525" s="244" t="s">
        <v>153</v>
      </c>
      <c r="CX525" s="245" t="s">
        <v>153</v>
      </c>
      <c r="CY525" s="246" t="s">
        <v>153</v>
      </c>
      <c r="CZ525" s="247" t="s">
        <v>153</v>
      </c>
      <c r="DA525" s="248" t="s">
        <v>153</v>
      </c>
      <c r="DB525" s="249" t="s">
        <v>153</v>
      </c>
      <c r="DC525" s="250" t="s">
        <v>153</v>
      </c>
      <c r="DD525" s="251" t="s">
        <v>153</v>
      </c>
      <c r="DE525" s="252" t="s">
        <v>153</v>
      </c>
      <c r="DF525" s="253" t="s">
        <v>153</v>
      </c>
      <c r="DG525" s="254" t="s">
        <v>153</v>
      </c>
      <c r="DH525" s="255" t="s">
        <v>153</v>
      </c>
      <c r="DI525" s="256" t="s">
        <v>153</v>
      </c>
      <c r="DJ525" s="257" t="s">
        <v>153</v>
      </c>
      <c r="DK525" s="258" t="s">
        <v>153</v>
      </c>
      <c r="DL525" s="259" t="s">
        <v>153</v>
      </c>
      <c r="DM525" s="260" t="s">
        <v>153</v>
      </c>
      <c r="DN525" s="261" t="s">
        <v>153</v>
      </c>
      <c r="DO525" s="262" t="s">
        <v>153</v>
      </c>
      <c r="DP525" s="263" t="s">
        <v>153</v>
      </c>
      <c r="DQ525" s="264" t="s">
        <v>153</v>
      </c>
      <c r="DR525" s="265" t="s">
        <v>153</v>
      </c>
      <c r="DS525" s="266" t="s">
        <v>153</v>
      </c>
      <c r="DT525" s="267" t="s">
        <v>153</v>
      </c>
      <c r="DU525" s="268" t="s">
        <v>153</v>
      </c>
      <c r="DV525" s="269" t="s">
        <v>153</v>
      </c>
      <c r="DW525" s="270" t="s">
        <v>153</v>
      </c>
      <c r="DX525" s="271" t="s">
        <v>153</v>
      </c>
      <c r="DY525" s="272" t="s">
        <v>153</v>
      </c>
      <c r="DZ525" s="273" t="s">
        <v>191</v>
      </c>
      <c r="EA525" s="274">
        <v>44315</v>
      </c>
      <c r="EB525" s="275">
        <v>8300</v>
      </c>
      <c r="EC525" s="276">
        <v>38754</v>
      </c>
      <c r="ED525" s="277" t="s">
        <v>226</v>
      </c>
      <c r="EE525" s="279" t="str">
        <f>HYPERLINK("https://my.pitchbook.com?c=10298-08", "View company online")</f>
        <v>View company online</v>
      </c>
    </row>
    <row r="526" spans="1:135" x14ac:dyDescent="0.45">
      <c r="A526" s="10" t="s">
        <v>10862</v>
      </c>
      <c r="B526" s="11" t="s">
        <v>10863</v>
      </c>
      <c r="C526" s="12" t="s">
        <v>153</v>
      </c>
      <c r="D526" s="13" t="s">
        <v>153</v>
      </c>
      <c r="E526" s="14" t="s">
        <v>153</v>
      </c>
      <c r="F526" s="15" t="s">
        <v>10864</v>
      </c>
      <c r="G526" s="16" t="s">
        <v>10865</v>
      </c>
      <c r="H526" s="17" t="s">
        <v>10866</v>
      </c>
      <c r="I526" s="18" t="s">
        <v>10862</v>
      </c>
      <c r="J526" s="19" t="s">
        <v>10867</v>
      </c>
      <c r="K526" s="20" t="s">
        <v>198</v>
      </c>
      <c r="L526" s="21" t="s">
        <v>284</v>
      </c>
      <c r="M526" s="22" t="s">
        <v>10868</v>
      </c>
      <c r="N526" s="23" t="s">
        <v>10869</v>
      </c>
      <c r="O526" s="24" t="s">
        <v>10870</v>
      </c>
      <c r="P526" s="25" t="s">
        <v>10871</v>
      </c>
      <c r="Q526" s="26" t="s">
        <v>204</v>
      </c>
      <c r="R526" s="27">
        <v>11.5</v>
      </c>
      <c r="S526" s="28" t="s">
        <v>290</v>
      </c>
      <c r="T526" s="29" t="s">
        <v>164</v>
      </c>
      <c r="U526" s="30" t="s">
        <v>237</v>
      </c>
      <c r="V526" s="31" t="s">
        <v>10872</v>
      </c>
      <c r="W526" s="32">
        <v>3000</v>
      </c>
      <c r="X526" s="33" t="s">
        <v>10873</v>
      </c>
      <c r="Y526" s="34" t="s">
        <v>153</v>
      </c>
      <c r="Z526" s="35" t="s">
        <v>153</v>
      </c>
      <c r="AA526" s="36">
        <v>1978</v>
      </c>
      <c r="AB526" s="37" t="s">
        <v>10874</v>
      </c>
      <c r="AC526" s="38" t="s">
        <v>153</v>
      </c>
      <c r="AD526" s="39" t="s">
        <v>428</v>
      </c>
      <c r="AE526" s="40">
        <v>1940.08</v>
      </c>
      <c r="AF526" s="41">
        <v>936.84</v>
      </c>
      <c r="AG526" s="42">
        <v>235.97</v>
      </c>
      <c r="AH526" s="43">
        <v>7851.63</v>
      </c>
      <c r="AI526" s="44">
        <v>360.81</v>
      </c>
      <c r="AJ526" s="45">
        <v>337.91</v>
      </c>
      <c r="AK526" s="46" t="s">
        <v>153</v>
      </c>
      <c r="AL526" s="47">
        <v>448.51</v>
      </c>
      <c r="AM526" s="48">
        <v>2.48</v>
      </c>
      <c r="AN526" s="49" t="s">
        <v>376</v>
      </c>
      <c r="AO526" s="50" t="s">
        <v>10875</v>
      </c>
      <c r="AP526" s="51" t="s">
        <v>10876</v>
      </c>
      <c r="AQ526" s="52" t="s">
        <v>10877</v>
      </c>
      <c r="AR526" s="53" t="s">
        <v>10878</v>
      </c>
      <c r="AS526" s="54" t="s">
        <v>10879</v>
      </c>
      <c r="AT526" s="55" t="s">
        <v>10880</v>
      </c>
      <c r="AU526" s="56" t="s">
        <v>10881</v>
      </c>
      <c r="AV526" s="57" t="s">
        <v>153</v>
      </c>
      <c r="AW526" s="58" t="s">
        <v>10882</v>
      </c>
      <c r="AX526" s="59" t="s">
        <v>1579</v>
      </c>
      <c r="AY526" s="60" t="s">
        <v>10883</v>
      </c>
      <c r="AZ526" s="61" t="s">
        <v>215</v>
      </c>
      <c r="BA526" s="62" t="s">
        <v>10879</v>
      </c>
      <c r="BB526" s="63" t="s">
        <v>153</v>
      </c>
      <c r="BC526" s="64" t="s">
        <v>10884</v>
      </c>
      <c r="BD526" s="65" t="s">
        <v>216</v>
      </c>
      <c r="BE526" s="66" t="s">
        <v>217</v>
      </c>
      <c r="BF526" s="67" t="s">
        <v>10885</v>
      </c>
      <c r="BG526" s="68" t="s">
        <v>153</v>
      </c>
      <c r="BH526" s="69" t="s">
        <v>153</v>
      </c>
      <c r="BI526" s="70" t="s">
        <v>10874</v>
      </c>
      <c r="BJ526" s="71" t="s">
        <v>153</v>
      </c>
      <c r="BK526" s="72" t="s">
        <v>153</v>
      </c>
      <c r="BL526" s="73" t="s">
        <v>153</v>
      </c>
      <c r="BM526" s="74" t="s">
        <v>153</v>
      </c>
      <c r="BN526" s="75" t="s">
        <v>153</v>
      </c>
      <c r="BO526" s="76" t="s">
        <v>10886</v>
      </c>
      <c r="BP526" s="77" t="s">
        <v>10887</v>
      </c>
      <c r="BQ526" s="78">
        <v>34142</v>
      </c>
      <c r="BR526" s="79">
        <v>11.5</v>
      </c>
      <c r="BS526" s="80" t="s">
        <v>186</v>
      </c>
      <c r="BT526" s="81" t="s">
        <v>153</v>
      </c>
      <c r="BU526" s="82" t="s">
        <v>153</v>
      </c>
      <c r="BV526" s="83" t="s">
        <v>251</v>
      </c>
      <c r="BW526" s="84" t="s">
        <v>153</v>
      </c>
      <c r="BX526" s="85" t="s">
        <v>153</v>
      </c>
      <c r="BY526" s="86" t="s">
        <v>252</v>
      </c>
      <c r="BZ526" s="87" t="s">
        <v>153</v>
      </c>
      <c r="CA526" s="88" t="s">
        <v>190</v>
      </c>
      <c r="CB526" s="89">
        <v>44330</v>
      </c>
      <c r="CC526" s="90">
        <v>8285</v>
      </c>
      <c r="CD526" s="91" t="s">
        <v>186</v>
      </c>
      <c r="CE526" s="92">
        <v>8285</v>
      </c>
      <c r="CF526" s="93" t="s">
        <v>187</v>
      </c>
      <c r="CG526" s="94" t="s">
        <v>226</v>
      </c>
      <c r="CH526" s="95" t="s">
        <v>153</v>
      </c>
      <c r="CI526" s="96" t="s">
        <v>153</v>
      </c>
      <c r="CJ526" s="97" t="s">
        <v>225</v>
      </c>
      <c r="CK526" s="98">
        <v>44330</v>
      </c>
      <c r="CL526" s="99" t="s">
        <v>153</v>
      </c>
      <c r="CM526" s="100" t="s">
        <v>153</v>
      </c>
      <c r="CN526" s="101" t="s">
        <v>190</v>
      </c>
      <c r="CO526" s="102">
        <v>1.17</v>
      </c>
      <c r="CP526" s="103">
        <v>96</v>
      </c>
      <c r="CQ526" s="104">
        <v>1.41</v>
      </c>
      <c r="CR526" s="105">
        <v>590.27</v>
      </c>
      <c r="CS526" s="106">
        <v>0.48</v>
      </c>
      <c r="CT526" s="107">
        <v>93</v>
      </c>
      <c r="CU526" s="108">
        <v>0.01</v>
      </c>
      <c r="CV526" s="109">
        <v>77</v>
      </c>
      <c r="CW526" s="110">
        <v>-0.25</v>
      </c>
      <c r="CX526" s="111">
        <v>20</v>
      </c>
      <c r="CY526" s="112">
        <v>1.21</v>
      </c>
      <c r="CZ526" s="113">
        <v>98</v>
      </c>
      <c r="DA526" s="114">
        <v>0.01</v>
      </c>
      <c r="DB526" s="115">
        <v>77</v>
      </c>
      <c r="DC526" s="116">
        <v>35.9</v>
      </c>
      <c r="DD526" s="117">
        <v>98</v>
      </c>
      <c r="DE526" s="118">
        <v>0.33</v>
      </c>
      <c r="DF526" s="119">
        <v>0.93</v>
      </c>
      <c r="DG526" s="120">
        <v>8.31</v>
      </c>
      <c r="DH526" s="121">
        <v>90</v>
      </c>
      <c r="DI526" s="122">
        <v>53.25</v>
      </c>
      <c r="DJ526" s="123">
        <v>96</v>
      </c>
      <c r="DK526" s="124">
        <v>7.69</v>
      </c>
      <c r="DL526" s="125">
        <v>83</v>
      </c>
      <c r="DM526" s="126">
        <v>8.94</v>
      </c>
      <c r="DN526" s="127">
        <v>89</v>
      </c>
      <c r="DO526" s="128">
        <v>53.25</v>
      </c>
      <c r="DP526" s="129">
        <v>96</v>
      </c>
      <c r="DQ526" s="130">
        <v>4496</v>
      </c>
      <c r="DR526" s="131">
        <v>231</v>
      </c>
      <c r="DS526" s="132">
        <v>5.42</v>
      </c>
      <c r="DT526" s="133">
        <v>142</v>
      </c>
      <c r="DU526" s="134">
        <v>1</v>
      </c>
      <c r="DV526" s="135">
        <v>0.71</v>
      </c>
      <c r="DW526" s="136">
        <v>16722</v>
      </c>
      <c r="DX526" s="137">
        <v>6</v>
      </c>
      <c r="DY526" s="138">
        <v>0.04</v>
      </c>
      <c r="DZ526" s="139" t="s">
        <v>191</v>
      </c>
      <c r="EA526" s="140">
        <v>44379</v>
      </c>
      <c r="EB526" s="141">
        <v>8285</v>
      </c>
      <c r="EC526" s="142">
        <v>44330</v>
      </c>
      <c r="ED526" s="143" t="s">
        <v>226</v>
      </c>
      <c r="EE526" s="278" t="str">
        <f>HYPERLINK("https://my.pitchbook.com?c=41325-31", "View company online")</f>
        <v>View company online</v>
      </c>
    </row>
    <row r="527" spans="1:135" x14ac:dyDescent="0.45">
      <c r="A527" s="144" t="s">
        <v>10888</v>
      </c>
      <c r="B527" s="145" t="s">
        <v>10889</v>
      </c>
      <c r="C527" s="146" t="s">
        <v>153</v>
      </c>
      <c r="D527" s="147" t="s">
        <v>153</v>
      </c>
      <c r="E527" s="148" t="s">
        <v>153</v>
      </c>
      <c r="F527" s="149" t="s">
        <v>10890</v>
      </c>
      <c r="G527" s="150" t="s">
        <v>10891</v>
      </c>
      <c r="H527" s="151" t="s">
        <v>10892</v>
      </c>
      <c r="I527" s="152" t="s">
        <v>10888</v>
      </c>
      <c r="J527" s="153" t="s">
        <v>10893</v>
      </c>
      <c r="K527" s="154" t="s">
        <v>157</v>
      </c>
      <c r="L527" s="155" t="s">
        <v>158</v>
      </c>
      <c r="M527" s="156" t="s">
        <v>3842</v>
      </c>
      <c r="N527" s="157" t="s">
        <v>10894</v>
      </c>
      <c r="O527" s="158" t="s">
        <v>10895</v>
      </c>
      <c r="P527" s="159" t="s">
        <v>10896</v>
      </c>
      <c r="Q527" s="160" t="s">
        <v>204</v>
      </c>
      <c r="R527" s="161">
        <v>983.57</v>
      </c>
      <c r="S527" s="162" t="s">
        <v>290</v>
      </c>
      <c r="T527" s="163" t="s">
        <v>205</v>
      </c>
      <c r="U527" s="164" t="s">
        <v>482</v>
      </c>
      <c r="V527" s="165" t="s">
        <v>10897</v>
      </c>
      <c r="W527" s="166">
        <v>22000</v>
      </c>
      <c r="X527" s="167" t="s">
        <v>10898</v>
      </c>
      <c r="Y527" s="168" t="s">
        <v>153</v>
      </c>
      <c r="Z527" s="169" t="s">
        <v>153</v>
      </c>
      <c r="AA527" s="170">
        <v>2000</v>
      </c>
      <c r="AB527" s="171" t="s">
        <v>10899</v>
      </c>
      <c r="AC527" s="172" t="s">
        <v>153</v>
      </c>
      <c r="AD527" s="173" t="s">
        <v>428</v>
      </c>
      <c r="AE527" s="174" t="s">
        <v>153</v>
      </c>
      <c r="AF527" s="175" t="s">
        <v>153</v>
      </c>
      <c r="AG527" s="176" t="s">
        <v>153</v>
      </c>
      <c r="AH527" s="177" t="s">
        <v>153</v>
      </c>
      <c r="AI527" s="178" t="s">
        <v>153</v>
      </c>
      <c r="AJ527" s="179" t="s">
        <v>153</v>
      </c>
      <c r="AK527" s="180" t="s">
        <v>153</v>
      </c>
      <c r="AL527" s="181" t="s">
        <v>153</v>
      </c>
      <c r="AM527" s="182" t="s">
        <v>153</v>
      </c>
      <c r="AN527" s="183" t="s">
        <v>509</v>
      </c>
      <c r="AO527" s="184" t="s">
        <v>10900</v>
      </c>
      <c r="AP527" s="185" t="s">
        <v>10901</v>
      </c>
      <c r="AQ527" s="186" t="s">
        <v>2655</v>
      </c>
      <c r="AR527" s="187" t="s">
        <v>10902</v>
      </c>
      <c r="AS527" s="188" t="s">
        <v>10903</v>
      </c>
      <c r="AT527" s="189" t="s">
        <v>1071</v>
      </c>
      <c r="AU527" s="190" t="s">
        <v>10904</v>
      </c>
      <c r="AV527" s="191" t="s">
        <v>10905</v>
      </c>
      <c r="AW527" s="192" t="s">
        <v>1074</v>
      </c>
      <c r="AX527" s="193" t="s">
        <v>177</v>
      </c>
      <c r="AY527" s="194" t="s">
        <v>10906</v>
      </c>
      <c r="AZ527" s="195" t="s">
        <v>179</v>
      </c>
      <c r="BA527" s="196" t="s">
        <v>153</v>
      </c>
      <c r="BB527" s="197" t="s">
        <v>153</v>
      </c>
      <c r="BC527" s="198" t="s">
        <v>153</v>
      </c>
      <c r="BD527" s="199" t="s">
        <v>180</v>
      </c>
      <c r="BE527" s="200" t="s">
        <v>181</v>
      </c>
      <c r="BF527" s="201" t="s">
        <v>10907</v>
      </c>
      <c r="BG527" s="202" t="s">
        <v>153</v>
      </c>
      <c r="BH527" s="203" t="s">
        <v>153</v>
      </c>
      <c r="BI527" s="204" t="s">
        <v>10899</v>
      </c>
      <c r="BJ527" s="205" t="s">
        <v>10908</v>
      </c>
      <c r="BK527" s="206" t="s">
        <v>10909</v>
      </c>
      <c r="BL527" s="207" t="s">
        <v>153</v>
      </c>
      <c r="BM527" s="208" t="s">
        <v>10910</v>
      </c>
      <c r="BN527" s="209" t="s">
        <v>10911</v>
      </c>
      <c r="BO527" s="210" t="s">
        <v>10912</v>
      </c>
      <c r="BP527" s="211" t="s">
        <v>10913</v>
      </c>
      <c r="BQ527" s="212">
        <v>36526</v>
      </c>
      <c r="BR527" s="213" t="s">
        <v>153</v>
      </c>
      <c r="BS527" s="214" t="s">
        <v>153</v>
      </c>
      <c r="BT527" s="215" t="s">
        <v>153</v>
      </c>
      <c r="BU527" s="216" t="s">
        <v>153</v>
      </c>
      <c r="BV527" s="217" t="s">
        <v>317</v>
      </c>
      <c r="BW527" s="218" t="s">
        <v>317</v>
      </c>
      <c r="BX527" s="219" t="s">
        <v>153</v>
      </c>
      <c r="BY527" s="220" t="s">
        <v>318</v>
      </c>
      <c r="BZ527" s="221" t="s">
        <v>153</v>
      </c>
      <c r="CA527" s="222" t="s">
        <v>190</v>
      </c>
      <c r="CB527" s="223">
        <v>43861</v>
      </c>
      <c r="CC527" s="224">
        <v>8248.24</v>
      </c>
      <c r="CD527" s="225" t="s">
        <v>186</v>
      </c>
      <c r="CE527" s="226">
        <v>8248.24</v>
      </c>
      <c r="CF527" s="227" t="s">
        <v>187</v>
      </c>
      <c r="CG527" s="228" t="s">
        <v>226</v>
      </c>
      <c r="CH527" s="229" t="s">
        <v>153</v>
      </c>
      <c r="CI527" s="230" t="s">
        <v>153</v>
      </c>
      <c r="CJ527" s="231" t="s">
        <v>225</v>
      </c>
      <c r="CK527" s="232">
        <v>43861</v>
      </c>
      <c r="CL527" s="233" t="s">
        <v>153</v>
      </c>
      <c r="CM527" s="234" t="s">
        <v>153</v>
      </c>
      <c r="CN527" s="235" t="s">
        <v>190</v>
      </c>
      <c r="CO527" s="236" t="s">
        <v>153</v>
      </c>
      <c r="CP527" s="237" t="s">
        <v>153</v>
      </c>
      <c r="CQ527" s="238" t="s">
        <v>153</v>
      </c>
      <c r="CR527" s="239" t="s">
        <v>153</v>
      </c>
      <c r="CS527" s="240" t="s">
        <v>153</v>
      </c>
      <c r="CT527" s="241" t="s">
        <v>153</v>
      </c>
      <c r="CU527" s="242" t="s">
        <v>153</v>
      </c>
      <c r="CV527" s="243" t="s">
        <v>153</v>
      </c>
      <c r="CW527" s="244" t="s">
        <v>153</v>
      </c>
      <c r="CX527" s="245" t="s">
        <v>153</v>
      </c>
      <c r="CY527" s="246" t="s">
        <v>153</v>
      </c>
      <c r="CZ527" s="247" t="s">
        <v>153</v>
      </c>
      <c r="DA527" s="248" t="s">
        <v>153</v>
      </c>
      <c r="DB527" s="249" t="s">
        <v>153</v>
      </c>
      <c r="DC527" s="250" t="s">
        <v>153</v>
      </c>
      <c r="DD527" s="251" t="s">
        <v>153</v>
      </c>
      <c r="DE527" s="252" t="s">
        <v>153</v>
      </c>
      <c r="DF527" s="253" t="s">
        <v>153</v>
      </c>
      <c r="DG527" s="254" t="s">
        <v>153</v>
      </c>
      <c r="DH527" s="255" t="s">
        <v>153</v>
      </c>
      <c r="DI527" s="256" t="s">
        <v>153</v>
      </c>
      <c r="DJ527" s="257" t="s">
        <v>153</v>
      </c>
      <c r="DK527" s="258" t="s">
        <v>153</v>
      </c>
      <c r="DL527" s="259" t="s">
        <v>153</v>
      </c>
      <c r="DM527" s="260" t="s">
        <v>153</v>
      </c>
      <c r="DN527" s="261" t="s">
        <v>153</v>
      </c>
      <c r="DO527" s="262" t="s">
        <v>153</v>
      </c>
      <c r="DP527" s="263" t="s">
        <v>153</v>
      </c>
      <c r="DQ527" s="264" t="s">
        <v>153</v>
      </c>
      <c r="DR527" s="265" t="s">
        <v>153</v>
      </c>
      <c r="DS527" s="266" t="s">
        <v>153</v>
      </c>
      <c r="DT527" s="267" t="s">
        <v>153</v>
      </c>
      <c r="DU527" s="268" t="s">
        <v>153</v>
      </c>
      <c r="DV527" s="269" t="s">
        <v>153</v>
      </c>
      <c r="DW527" s="270" t="s">
        <v>153</v>
      </c>
      <c r="DX527" s="271" t="s">
        <v>153</v>
      </c>
      <c r="DY527" s="272" t="s">
        <v>153</v>
      </c>
      <c r="DZ527" s="273" t="s">
        <v>191</v>
      </c>
      <c r="EA527" s="274">
        <v>44377</v>
      </c>
      <c r="EB527" s="275">
        <v>8248.24</v>
      </c>
      <c r="EC527" s="276">
        <v>43861</v>
      </c>
      <c r="ED527" s="277" t="s">
        <v>226</v>
      </c>
      <c r="EE527" s="279" t="str">
        <f>HYPERLINK("https://my.pitchbook.com?c=51779-80", "View company online")</f>
        <v>View company online</v>
      </c>
    </row>
    <row r="528" spans="1:135" x14ac:dyDescent="0.45">
      <c r="A528" s="10" t="s">
        <v>10914</v>
      </c>
      <c r="B528" s="11" t="s">
        <v>10915</v>
      </c>
      <c r="C528" s="12" t="s">
        <v>153</v>
      </c>
      <c r="D528" s="13" t="s">
        <v>153</v>
      </c>
      <c r="E528" s="14" t="s">
        <v>153</v>
      </c>
      <c r="F528" s="15" t="s">
        <v>10916</v>
      </c>
      <c r="G528" s="16" t="s">
        <v>10917</v>
      </c>
      <c r="H528" s="17" t="s">
        <v>153</v>
      </c>
      <c r="I528" s="18" t="s">
        <v>10914</v>
      </c>
      <c r="J528" s="19" t="s">
        <v>10918</v>
      </c>
      <c r="K528" s="20" t="s">
        <v>157</v>
      </c>
      <c r="L528" s="21" t="s">
        <v>158</v>
      </c>
      <c r="M528" s="22" t="s">
        <v>10919</v>
      </c>
      <c r="N528" s="23" t="s">
        <v>10920</v>
      </c>
      <c r="O528" s="24" t="s">
        <v>153</v>
      </c>
      <c r="P528" s="25" t="s">
        <v>10921</v>
      </c>
      <c r="Q528" s="26" t="s">
        <v>204</v>
      </c>
      <c r="R528" s="27" t="s">
        <v>153</v>
      </c>
      <c r="S528" s="28" t="s">
        <v>290</v>
      </c>
      <c r="T528" s="29" t="s">
        <v>164</v>
      </c>
      <c r="U528" s="30" t="s">
        <v>369</v>
      </c>
      <c r="V528" s="31" t="s">
        <v>153</v>
      </c>
      <c r="W528" s="32">
        <v>13800</v>
      </c>
      <c r="X528" s="33" t="s">
        <v>10922</v>
      </c>
      <c r="Y528" s="34" t="s">
        <v>153</v>
      </c>
      <c r="Z528" s="35" t="s">
        <v>153</v>
      </c>
      <c r="AA528" s="36">
        <v>1994</v>
      </c>
      <c r="AB528" s="37" t="s">
        <v>10923</v>
      </c>
      <c r="AC528" s="38" t="s">
        <v>153</v>
      </c>
      <c r="AD528" s="39" t="s">
        <v>153</v>
      </c>
      <c r="AE528" s="40" t="s">
        <v>153</v>
      </c>
      <c r="AF528" s="41" t="s">
        <v>153</v>
      </c>
      <c r="AG528" s="42" t="s">
        <v>153</v>
      </c>
      <c r="AH528" s="43" t="s">
        <v>153</v>
      </c>
      <c r="AI528" s="44" t="s">
        <v>153</v>
      </c>
      <c r="AJ528" s="45" t="s">
        <v>153</v>
      </c>
      <c r="AK528" s="46" t="s">
        <v>153</v>
      </c>
      <c r="AL528" s="47" t="s">
        <v>153</v>
      </c>
      <c r="AM528" s="48" t="s">
        <v>153</v>
      </c>
      <c r="AN528" s="49" t="s">
        <v>5377</v>
      </c>
      <c r="AO528" s="50" t="s">
        <v>10924</v>
      </c>
      <c r="AP528" s="51" t="s">
        <v>10925</v>
      </c>
      <c r="AQ528" s="52" t="s">
        <v>6332</v>
      </c>
      <c r="AR528" s="53" t="s">
        <v>10926</v>
      </c>
      <c r="AS528" s="54" t="s">
        <v>10927</v>
      </c>
      <c r="AT528" s="55" t="s">
        <v>10928</v>
      </c>
      <c r="AU528" s="56" t="s">
        <v>10929</v>
      </c>
      <c r="AV528" s="57" t="s">
        <v>10930</v>
      </c>
      <c r="AW528" s="58" t="s">
        <v>10931</v>
      </c>
      <c r="AX528" s="59" t="s">
        <v>9190</v>
      </c>
      <c r="AY528" s="60" t="s">
        <v>10932</v>
      </c>
      <c r="AZ528" s="61" t="s">
        <v>3002</v>
      </c>
      <c r="BA528" s="62" t="s">
        <v>10927</v>
      </c>
      <c r="BB528" s="63" t="s">
        <v>10933</v>
      </c>
      <c r="BC528" s="64" t="s">
        <v>153</v>
      </c>
      <c r="BD528" s="65" t="s">
        <v>216</v>
      </c>
      <c r="BE528" s="66" t="s">
        <v>3004</v>
      </c>
      <c r="BF528" s="67" t="s">
        <v>10934</v>
      </c>
      <c r="BG528" s="68" t="s">
        <v>153</v>
      </c>
      <c r="BH528" s="69" t="s">
        <v>153</v>
      </c>
      <c r="BI528" s="70" t="s">
        <v>10923</v>
      </c>
      <c r="BJ528" s="71" t="s">
        <v>10935</v>
      </c>
      <c r="BK528" s="72" t="s">
        <v>153</v>
      </c>
      <c r="BL528" s="73" t="s">
        <v>153</v>
      </c>
      <c r="BM528" s="74" t="s">
        <v>10936</v>
      </c>
      <c r="BN528" s="75" t="s">
        <v>153</v>
      </c>
      <c r="BO528" s="76" t="s">
        <v>10937</v>
      </c>
      <c r="BP528" s="77" t="s">
        <v>10938</v>
      </c>
      <c r="BQ528" s="78">
        <v>38443</v>
      </c>
      <c r="BR528" s="79" t="s">
        <v>153</v>
      </c>
      <c r="BS528" s="80" t="s">
        <v>153</v>
      </c>
      <c r="BT528" s="81" t="s">
        <v>153</v>
      </c>
      <c r="BU528" s="82" t="s">
        <v>153</v>
      </c>
      <c r="BV528" s="83" t="s">
        <v>393</v>
      </c>
      <c r="BW528" s="84" t="s">
        <v>153</v>
      </c>
      <c r="BX528" s="85" t="s">
        <v>153</v>
      </c>
      <c r="BY528" s="86" t="s">
        <v>165</v>
      </c>
      <c r="BZ528" s="87" t="s">
        <v>153</v>
      </c>
      <c r="CA528" s="88" t="s">
        <v>190</v>
      </c>
      <c r="CB528" s="89">
        <v>41823</v>
      </c>
      <c r="CC528" s="90">
        <v>8200</v>
      </c>
      <c r="CD528" s="91" t="s">
        <v>186</v>
      </c>
      <c r="CE528" s="92">
        <v>8200</v>
      </c>
      <c r="CF528" s="93" t="s">
        <v>186</v>
      </c>
      <c r="CG528" s="94" t="s">
        <v>226</v>
      </c>
      <c r="CH528" s="95" t="s">
        <v>153</v>
      </c>
      <c r="CI528" s="96" t="s">
        <v>153</v>
      </c>
      <c r="CJ528" s="97" t="s">
        <v>225</v>
      </c>
      <c r="CK528" s="98">
        <v>41823</v>
      </c>
      <c r="CL528" s="99" t="s">
        <v>153</v>
      </c>
      <c r="CM528" s="100" t="s">
        <v>153</v>
      </c>
      <c r="CN528" s="101" t="s">
        <v>190</v>
      </c>
      <c r="CO528" s="102">
        <v>-0.1</v>
      </c>
      <c r="CP528" s="103">
        <v>8</v>
      </c>
      <c r="CQ528" s="104">
        <v>0.03</v>
      </c>
      <c r="CR528" s="105">
        <v>22.89</v>
      </c>
      <c r="CS528" s="106" t="s">
        <v>153</v>
      </c>
      <c r="CT528" s="107" t="s">
        <v>153</v>
      </c>
      <c r="CU528" s="108">
        <v>-0.1</v>
      </c>
      <c r="CV528" s="109">
        <v>19</v>
      </c>
      <c r="CW528" s="110" t="s">
        <v>153</v>
      </c>
      <c r="CX528" s="111" t="s">
        <v>153</v>
      </c>
      <c r="CY528" s="112" t="s">
        <v>153</v>
      </c>
      <c r="CZ528" s="113" t="s">
        <v>153</v>
      </c>
      <c r="DA528" s="114">
        <v>-0.1</v>
      </c>
      <c r="DB528" s="115">
        <v>19</v>
      </c>
      <c r="DC528" s="116">
        <v>27.64</v>
      </c>
      <c r="DD528" s="117">
        <v>97</v>
      </c>
      <c r="DE528" s="118">
        <v>0.18</v>
      </c>
      <c r="DF528" s="119">
        <v>0.65</v>
      </c>
      <c r="DG528" s="120" t="s">
        <v>153</v>
      </c>
      <c r="DH528" s="121" t="s">
        <v>153</v>
      </c>
      <c r="DI528" s="122">
        <v>27.64</v>
      </c>
      <c r="DJ528" s="123">
        <v>93</v>
      </c>
      <c r="DK528" s="124" t="s">
        <v>153</v>
      </c>
      <c r="DL528" s="125" t="s">
        <v>153</v>
      </c>
      <c r="DM528" s="126" t="s">
        <v>153</v>
      </c>
      <c r="DN528" s="127" t="s">
        <v>153</v>
      </c>
      <c r="DO528" s="128">
        <v>27.64</v>
      </c>
      <c r="DP528" s="129">
        <v>93</v>
      </c>
      <c r="DQ528" s="130" t="s">
        <v>153</v>
      </c>
      <c r="DR528" s="131" t="s">
        <v>153</v>
      </c>
      <c r="DS528" s="132" t="s">
        <v>153</v>
      </c>
      <c r="DT528" s="133" t="s">
        <v>153</v>
      </c>
      <c r="DU528" s="134" t="s">
        <v>153</v>
      </c>
      <c r="DV528" s="135" t="s">
        <v>153</v>
      </c>
      <c r="DW528" s="136">
        <v>8677</v>
      </c>
      <c r="DX528" s="137">
        <v>-1</v>
      </c>
      <c r="DY528" s="138">
        <v>-0.01</v>
      </c>
      <c r="DZ528" s="139" t="s">
        <v>191</v>
      </c>
      <c r="EA528" s="140">
        <v>44217</v>
      </c>
      <c r="EB528" s="141">
        <v>8200</v>
      </c>
      <c r="EC528" s="142">
        <v>41823</v>
      </c>
      <c r="ED528" s="143" t="s">
        <v>226</v>
      </c>
      <c r="EE528" s="278" t="str">
        <f>HYPERLINK("https://my.pitchbook.com?c=54691-84", "View company online")</f>
        <v>View company online</v>
      </c>
    </row>
    <row r="529" spans="1:135" x14ac:dyDescent="0.45">
      <c r="A529" s="144" t="s">
        <v>10939</v>
      </c>
      <c r="B529" s="145" t="s">
        <v>10940</v>
      </c>
      <c r="C529" s="146" t="s">
        <v>153</v>
      </c>
      <c r="D529" s="147" t="s">
        <v>153</v>
      </c>
      <c r="E529" s="148" t="s">
        <v>10941</v>
      </c>
      <c r="F529" s="149" t="s">
        <v>153</v>
      </c>
      <c r="G529" s="150" t="s">
        <v>10942</v>
      </c>
      <c r="H529" s="151" t="s">
        <v>10943</v>
      </c>
      <c r="I529" s="152" t="s">
        <v>10939</v>
      </c>
      <c r="J529" s="153" t="s">
        <v>10944</v>
      </c>
      <c r="K529" s="154" t="s">
        <v>792</v>
      </c>
      <c r="L529" s="155" t="s">
        <v>793</v>
      </c>
      <c r="M529" s="156" t="s">
        <v>794</v>
      </c>
      <c r="N529" s="157" t="s">
        <v>10945</v>
      </c>
      <c r="O529" s="158" t="s">
        <v>796</v>
      </c>
      <c r="P529" s="159" t="s">
        <v>10946</v>
      </c>
      <c r="Q529" s="160" t="s">
        <v>204</v>
      </c>
      <c r="R529" s="161">
        <v>225.5</v>
      </c>
      <c r="S529" s="162" t="s">
        <v>290</v>
      </c>
      <c r="T529" s="163" t="s">
        <v>205</v>
      </c>
      <c r="U529" s="164" t="s">
        <v>482</v>
      </c>
      <c r="V529" s="165" t="s">
        <v>10947</v>
      </c>
      <c r="W529" s="166">
        <v>16500</v>
      </c>
      <c r="X529" s="167" t="s">
        <v>10948</v>
      </c>
      <c r="Y529" s="168" t="s">
        <v>153</v>
      </c>
      <c r="Z529" s="169" t="s">
        <v>153</v>
      </c>
      <c r="AA529" s="170">
        <v>2001</v>
      </c>
      <c r="AB529" s="171" t="s">
        <v>153</v>
      </c>
      <c r="AC529" s="172" t="s">
        <v>153</v>
      </c>
      <c r="AD529" s="173" t="s">
        <v>153</v>
      </c>
      <c r="AE529" s="174" t="s">
        <v>153</v>
      </c>
      <c r="AF529" s="175" t="s">
        <v>153</v>
      </c>
      <c r="AG529" s="176" t="s">
        <v>153</v>
      </c>
      <c r="AH529" s="177" t="s">
        <v>153</v>
      </c>
      <c r="AI529" s="178" t="s">
        <v>153</v>
      </c>
      <c r="AJ529" s="179" t="s">
        <v>153</v>
      </c>
      <c r="AK529" s="180" t="s">
        <v>153</v>
      </c>
      <c r="AL529" s="181" t="s">
        <v>153</v>
      </c>
      <c r="AM529" s="182" t="s">
        <v>153</v>
      </c>
      <c r="AN529" s="183" t="s">
        <v>1570</v>
      </c>
      <c r="AO529" s="184" t="s">
        <v>10949</v>
      </c>
      <c r="AP529" s="185" t="s">
        <v>10950</v>
      </c>
      <c r="AQ529" s="186" t="s">
        <v>10405</v>
      </c>
      <c r="AR529" s="187" t="s">
        <v>10951</v>
      </c>
      <c r="AS529" s="188" t="s">
        <v>10952</v>
      </c>
      <c r="AT529" s="189" t="s">
        <v>1124</v>
      </c>
      <c r="AU529" s="190" t="s">
        <v>10953</v>
      </c>
      <c r="AV529" s="191" t="s">
        <v>153</v>
      </c>
      <c r="AW529" s="192" t="s">
        <v>1127</v>
      </c>
      <c r="AX529" s="193" t="s">
        <v>1128</v>
      </c>
      <c r="AY529" s="194" t="s">
        <v>10954</v>
      </c>
      <c r="AZ529" s="195" t="s">
        <v>215</v>
      </c>
      <c r="BA529" s="196" t="s">
        <v>153</v>
      </c>
      <c r="BB529" s="197" t="s">
        <v>153</v>
      </c>
      <c r="BC529" s="198" t="s">
        <v>153</v>
      </c>
      <c r="BD529" s="199" t="s">
        <v>216</v>
      </c>
      <c r="BE529" s="200" t="s">
        <v>217</v>
      </c>
      <c r="BF529" s="201" t="s">
        <v>10955</v>
      </c>
      <c r="BG529" s="202" t="s">
        <v>153</v>
      </c>
      <c r="BH529" s="203" t="s">
        <v>153</v>
      </c>
      <c r="BI529" s="204" t="s">
        <v>10956</v>
      </c>
      <c r="BJ529" s="205" t="s">
        <v>10957</v>
      </c>
      <c r="BK529" s="206" t="s">
        <v>153</v>
      </c>
      <c r="BL529" s="207" t="s">
        <v>153</v>
      </c>
      <c r="BM529" s="208" t="s">
        <v>10958</v>
      </c>
      <c r="BN529" s="209" t="s">
        <v>153</v>
      </c>
      <c r="BO529" s="210" t="s">
        <v>10959</v>
      </c>
      <c r="BP529" s="211" t="s">
        <v>10960</v>
      </c>
      <c r="BQ529" s="212">
        <v>37056</v>
      </c>
      <c r="BR529" s="213">
        <v>221</v>
      </c>
      <c r="BS529" s="214" t="s">
        <v>186</v>
      </c>
      <c r="BT529" s="215">
        <v>1300</v>
      </c>
      <c r="BU529" s="216" t="s">
        <v>187</v>
      </c>
      <c r="BV529" s="217" t="s">
        <v>251</v>
      </c>
      <c r="BW529" s="218" t="s">
        <v>153</v>
      </c>
      <c r="BX529" s="219" t="s">
        <v>153</v>
      </c>
      <c r="BY529" s="220" t="s">
        <v>252</v>
      </c>
      <c r="BZ529" s="221" t="s">
        <v>153</v>
      </c>
      <c r="CA529" s="222" t="s">
        <v>190</v>
      </c>
      <c r="CB529" s="223">
        <v>42751</v>
      </c>
      <c r="CC529" s="224">
        <v>8200</v>
      </c>
      <c r="CD529" s="225" t="s">
        <v>186</v>
      </c>
      <c r="CE529" s="226">
        <v>8200</v>
      </c>
      <c r="CF529" s="227" t="s">
        <v>186</v>
      </c>
      <c r="CG529" s="228" t="s">
        <v>226</v>
      </c>
      <c r="CH529" s="229" t="s">
        <v>153</v>
      </c>
      <c r="CI529" s="230" t="s">
        <v>153</v>
      </c>
      <c r="CJ529" s="231" t="s">
        <v>225</v>
      </c>
      <c r="CK529" s="232">
        <v>42751</v>
      </c>
      <c r="CL529" s="233" t="s">
        <v>153</v>
      </c>
      <c r="CM529" s="234" t="s">
        <v>153</v>
      </c>
      <c r="CN529" s="235" t="s">
        <v>190</v>
      </c>
      <c r="CO529" s="236" t="s">
        <v>153</v>
      </c>
      <c r="CP529" s="237" t="s">
        <v>153</v>
      </c>
      <c r="CQ529" s="238" t="s">
        <v>153</v>
      </c>
      <c r="CR529" s="239" t="s">
        <v>153</v>
      </c>
      <c r="CS529" s="240" t="s">
        <v>153</v>
      </c>
      <c r="CT529" s="241" t="s">
        <v>153</v>
      </c>
      <c r="CU529" s="242" t="s">
        <v>153</v>
      </c>
      <c r="CV529" s="243" t="s">
        <v>153</v>
      </c>
      <c r="CW529" s="244" t="s">
        <v>153</v>
      </c>
      <c r="CX529" s="245" t="s">
        <v>153</v>
      </c>
      <c r="CY529" s="246" t="s">
        <v>153</v>
      </c>
      <c r="CZ529" s="247" t="s">
        <v>153</v>
      </c>
      <c r="DA529" s="248" t="s">
        <v>153</v>
      </c>
      <c r="DB529" s="249" t="s">
        <v>153</v>
      </c>
      <c r="DC529" s="250" t="s">
        <v>153</v>
      </c>
      <c r="DD529" s="251" t="s">
        <v>153</v>
      </c>
      <c r="DE529" s="252" t="s">
        <v>153</v>
      </c>
      <c r="DF529" s="253" t="s">
        <v>153</v>
      </c>
      <c r="DG529" s="254" t="s">
        <v>153</v>
      </c>
      <c r="DH529" s="255" t="s">
        <v>153</v>
      </c>
      <c r="DI529" s="256" t="s">
        <v>153</v>
      </c>
      <c r="DJ529" s="257" t="s">
        <v>153</v>
      </c>
      <c r="DK529" s="258" t="s">
        <v>153</v>
      </c>
      <c r="DL529" s="259" t="s">
        <v>153</v>
      </c>
      <c r="DM529" s="260" t="s">
        <v>153</v>
      </c>
      <c r="DN529" s="261" t="s">
        <v>153</v>
      </c>
      <c r="DO529" s="262" t="s">
        <v>153</v>
      </c>
      <c r="DP529" s="263" t="s">
        <v>153</v>
      </c>
      <c r="DQ529" s="264" t="s">
        <v>153</v>
      </c>
      <c r="DR529" s="265" t="s">
        <v>153</v>
      </c>
      <c r="DS529" s="266" t="s">
        <v>153</v>
      </c>
      <c r="DT529" s="267" t="s">
        <v>153</v>
      </c>
      <c r="DU529" s="268" t="s">
        <v>153</v>
      </c>
      <c r="DV529" s="269" t="s">
        <v>153</v>
      </c>
      <c r="DW529" s="270" t="s">
        <v>153</v>
      </c>
      <c r="DX529" s="271" t="s">
        <v>153</v>
      </c>
      <c r="DY529" s="272" t="s">
        <v>153</v>
      </c>
      <c r="DZ529" s="273" t="s">
        <v>191</v>
      </c>
      <c r="EA529" s="274">
        <v>44385</v>
      </c>
      <c r="EB529" s="275">
        <v>8200</v>
      </c>
      <c r="EC529" s="276">
        <v>42751</v>
      </c>
      <c r="ED529" s="277" t="s">
        <v>226</v>
      </c>
      <c r="EE529" s="279" t="str">
        <f>HYPERLINK("https://my.pitchbook.com?c=41485-69", "View company online")</f>
        <v>View company online</v>
      </c>
    </row>
    <row r="530" spans="1:135" x14ac:dyDescent="0.45">
      <c r="A530" s="10" t="s">
        <v>10961</v>
      </c>
      <c r="B530" s="11" t="s">
        <v>10962</v>
      </c>
      <c r="C530" s="12" t="s">
        <v>153</v>
      </c>
      <c r="D530" s="13" t="s">
        <v>153</v>
      </c>
      <c r="E530" s="14" t="s">
        <v>153</v>
      </c>
      <c r="F530" s="15" t="s">
        <v>153</v>
      </c>
      <c r="G530" s="16" t="s">
        <v>10963</v>
      </c>
      <c r="H530" s="17" t="s">
        <v>10964</v>
      </c>
      <c r="I530" s="18" t="s">
        <v>10961</v>
      </c>
      <c r="J530" s="19" t="s">
        <v>10965</v>
      </c>
      <c r="K530" s="20" t="s">
        <v>792</v>
      </c>
      <c r="L530" s="21" t="s">
        <v>793</v>
      </c>
      <c r="M530" s="22" t="s">
        <v>1534</v>
      </c>
      <c r="N530" s="23" t="s">
        <v>10966</v>
      </c>
      <c r="O530" s="24" t="s">
        <v>153</v>
      </c>
      <c r="P530" s="25" t="s">
        <v>10967</v>
      </c>
      <c r="Q530" s="26" t="s">
        <v>204</v>
      </c>
      <c r="R530" s="27">
        <v>408.57</v>
      </c>
      <c r="S530" s="28" t="s">
        <v>163</v>
      </c>
      <c r="T530" s="29" t="s">
        <v>205</v>
      </c>
      <c r="U530" s="30" t="s">
        <v>2534</v>
      </c>
      <c r="V530" s="31" t="s">
        <v>10968</v>
      </c>
      <c r="W530" s="32" t="s">
        <v>153</v>
      </c>
      <c r="X530" s="33" t="s">
        <v>153</v>
      </c>
      <c r="Y530" s="34" t="s">
        <v>153</v>
      </c>
      <c r="Z530" s="35" t="s">
        <v>153</v>
      </c>
      <c r="AA530" s="36">
        <v>1958</v>
      </c>
      <c r="AB530" s="37" t="s">
        <v>153</v>
      </c>
      <c r="AC530" s="38" t="s">
        <v>153</v>
      </c>
      <c r="AD530" s="39" t="s">
        <v>153</v>
      </c>
      <c r="AE530" s="40" t="s">
        <v>153</v>
      </c>
      <c r="AF530" s="41" t="s">
        <v>153</v>
      </c>
      <c r="AG530" s="42" t="s">
        <v>153</v>
      </c>
      <c r="AH530" s="43" t="s">
        <v>153</v>
      </c>
      <c r="AI530" s="44" t="s">
        <v>153</v>
      </c>
      <c r="AJ530" s="45" t="s">
        <v>153</v>
      </c>
      <c r="AK530" s="46" t="s">
        <v>153</v>
      </c>
      <c r="AL530" s="47" t="s">
        <v>153</v>
      </c>
      <c r="AM530" s="48" t="s">
        <v>153</v>
      </c>
      <c r="AN530" s="49" t="s">
        <v>456</v>
      </c>
      <c r="AO530" s="50" t="s">
        <v>153</v>
      </c>
      <c r="AP530" s="51" t="s">
        <v>153</v>
      </c>
      <c r="AQ530" s="52" t="s">
        <v>153</v>
      </c>
      <c r="AR530" s="53" t="s">
        <v>153</v>
      </c>
      <c r="AS530" s="54" t="s">
        <v>153</v>
      </c>
      <c r="AT530" s="55" t="s">
        <v>3175</v>
      </c>
      <c r="AU530" s="56" t="s">
        <v>10969</v>
      </c>
      <c r="AV530" s="57" t="s">
        <v>153</v>
      </c>
      <c r="AW530" s="58" t="s">
        <v>3178</v>
      </c>
      <c r="AX530" s="59" t="s">
        <v>153</v>
      </c>
      <c r="AY530" s="60" t="s">
        <v>10970</v>
      </c>
      <c r="AZ530" s="61" t="s">
        <v>701</v>
      </c>
      <c r="BA530" s="62" t="s">
        <v>153</v>
      </c>
      <c r="BB530" s="63" t="s">
        <v>153</v>
      </c>
      <c r="BC530" s="64" t="s">
        <v>153</v>
      </c>
      <c r="BD530" s="65" t="s">
        <v>180</v>
      </c>
      <c r="BE530" s="66" t="s">
        <v>181</v>
      </c>
      <c r="BF530" s="67" t="s">
        <v>10971</v>
      </c>
      <c r="BG530" s="68" t="s">
        <v>153</v>
      </c>
      <c r="BH530" s="69" t="s">
        <v>153</v>
      </c>
      <c r="BI530" s="70" t="s">
        <v>10956</v>
      </c>
      <c r="BJ530" s="71" t="s">
        <v>10972</v>
      </c>
      <c r="BK530" s="72" t="s">
        <v>153</v>
      </c>
      <c r="BL530" s="73" t="s">
        <v>153</v>
      </c>
      <c r="BM530" s="74" t="s">
        <v>10973</v>
      </c>
      <c r="BN530" s="75" t="s">
        <v>153</v>
      </c>
      <c r="BO530" s="76" t="s">
        <v>153</v>
      </c>
      <c r="BP530" s="77" t="s">
        <v>10974</v>
      </c>
      <c r="BQ530" s="78">
        <v>36243</v>
      </c>
      <c r="BR530" s="79" t="s">
        <v>153</v>
      </c>
      <c r="BS530" s="80" t="s">
        <v>153</v>
      </c>
      <c r="BT530" s="81" t="s">
        <v>153</v>
      </c>
      <c r="BU530" s="82" t="s">
        <v>153</v>
      </c>
      <c r="BV530" s="83" t="s">
        <v>251</v>
      </c>
      <c r="BW530" s="84" t="s">
        <v>153</v>
      </c>
      <c r="BX530" s="85" t="s">
        <v>153</v>
      </c>
      <c r="BY530" s="86" t="s">
        <v>252</v>
      </c>
      <c r="BZ530" s="87" t="s">
        <v>153</v>
      </c>
      <c r="CA530" s="88" t="s">
        <v>190</v>
      </c>
      <c r="CB530" s="89">
        <v>42752</v>
      </c>
      <c r="CC530" s="90">
        <v>8200</v>
      </c>
      <c r="CD530" s="91" t="s">
        <v>186</v>
      </c>
      <c r="CE530" s="92">
        <v>8200</v>
      </c>
      <c r="CF530" s="93" t="s">
        <v>186</v>
      </c>
      <c r="CG530" s="94" t="s">
        <v>226</v>
      </c>
      <c r="CH530" s="95" t="s">
        <v>153</v>
      </c>
      <c r="CI530" s="96" t="s">
        <v>153</v>
      </c>
      <c r="CJ530" s="97" t="s">
        <v>225</v>
      </c>
      <c r="CK530" s="98">
        <v>42752</v>
      </c>
      <c r="CL530" s="99" t="s">
        <v>153</v>
      </c>
      <c r="CM530" s="100" t="s">
        <v>153</v>
      </c>
      <c r="CN530" s="101" t="s">
        <v>190</v>
      </c>
      <c r="CO530" s="102" t="s">
        <v>153</v>
      </c>
      <c r="CP530" s="103" t="s">
        <v>153</v>
      </c>
      <c r="CQ530" s="104" t="s">
        <v>153</v>
      </c>
      <c r="CR530" s="105" t="s">
        <v>153</v>
      </c>
      <c r="CS530" s="106" t="s">
        <v>153</v>
      </c>
      <c r="CT530" s="107" t="s">
        <v>153</v>
      </c>
      <c r="CU530" s="108" t="s">
        <v>153</v>
      </c>
      <c r="CV530" s="109" t="s">
        <v>153</v>
      </c>
      <c r="CW530" s="110" t="s">
        <v>153</v>
      </c>
      <c r="CX530" s="111" t="s">
        <v>153</v>
      </c>
      <c r="CY530" s="112" t="s">
        <v>153</v>
      </c>
      <c r="CZ530" s="113" t="s">
        <v>153</v>
      </c>
      <c r="DA530" s="114" t="s">
        <v>153</v>
      </c>
      <c r="DB530" s="115" t="s">
        <v>153</v>
      </c>
      <c r="DC530" s="116" t="s">
        <v>153</v>
      </c>
      <c r="DD530" s="117" t="s">
        <v>153</v>
      </c>
      <c r="DE530" s="118" t="s">
        <v>153</v>
      </c>
      <c r="DF530" s="119" t="s">
        <v>153</v>
      </c>
      <c r="DG530" s="120" t="s">
        <v>153</v>
      </c>
      <c r="DH530" s="121" t="s">
        <v>153</v>
      </c>
      <c r="DI530" s="122" t="s">
        <v>153</v>
      </c>
      <c r="DJ530" s="123" t="s">
        <v>153</v>
      </c>
      <c r="DK530" s="124" t="s">
        <v>153</v>
      </c>
      <c r="DL530" s="125" t="s">
        <v>153</v>
      </c>
      <c r="DM530" s="126" t="s">
        <v>153</v>
      </c>
      <c r="DN530" s="127" t="s">
        <v>153</v>
      </c>
      <c r="DO530" s="128" t="s">
        <v>153</v>
      </c>
      <c r="DP530" s="129" t="s">
        <v>153</v>
      </c>
      <c r="DQ530" s="130" t="s">
        <v>153</v>
      </c>
      <c r="DR530" s="131" t="s">
        <v>153</v>
      </c>
      <c r="DS530" s="132" t="s">
        <v>153</v>
      </c>
      <c r="DT530" s="133" t="s">
        <v>153</v>
      </c>
      <c r="DU530" s="134" t="s">
        <v>153</v>
      </c>
      <c r="DV530" s="135" t="s">
        <v>153</v>
      </c>
      <c r="DW530" s="136" t="s">
        <v>153</v>
      </c>
      <c r="DX530" s="137" t="s">
        <v>153</v>
      </c>
      <c r="DY530" s="138" t="s">
        <v>153</v>
      </c>
      <c r="DZ530" s="139" t="s">
        <v>191</v>
      </c>
      <c r="EA530" s="140">
        <v>44164</v>
      </c>
      <c r="EB530" s="141">
        <v>8200</v>
      </c>
      <c r="EC530" s="142">
        <v>42752</v>
      </c>
      <c r="ED530" s="143" t="s">
        <v>226</v>
      </c>
      <c r="EE530" s="278" t="str">
        <f>HYPERLINK("https://my.pitchbook.com?c=220931-65", "View company online")</f>
        <v>View company online</v>
      </c>
    </row>
    <row r="531" spans="1:135" x14ac:dyDescent="0.45">
      <c r="A531" s="144" t="s">
        <v>10975</v>
      </c>
      <c r="B531" s="145" t="s">
        <v>10976</v>
      </c>
      <c r="C531" s="146" t="s">
        <v>153</v>
      </c>
      <c r="D531" s="147" t="s">
        <v>153</v>
      </c>
      <c r="E531" s="148" t="s">
        <v>10977</v>
      </c>
      <c r="F531" s="149" t="s">
        <v>10978</v>
      </c>
      <c r="G531" s="150" t="s">
        <v>10979</v>
      </c>
      <c r="H531" s="151" t="s">
        <v>10980</v>
      </c>
      <c r="I531" s="152" t="s">
        <v>10975</v>
      </c>
      <c r="J531" s="153" t="s">
        <v>10981</v>
      </c>
      <c r="K531" s="154" t="s">
        <v>882</v>
      </c>
      <c r="L531" s="155" t="s">
        <v>883</v>
      </c>
      <c r="M531" s="156" t="s">
        <v>1615</v>
      </c>
      <c r="N531" s="157" t="s">
        <v>10982</v>
      </c>
      <c r="O531" s="158" t="s">
        <v>365</v>
      </c>
      <c r="P531" s="159" t="s">
        <v>10983</v>
      </c>
      <c r="Q531" s="160" t="s">
        <v>204</v>
      </c>
      <c r="R531" s="161">
        <v>1251.29</v>
      </c>
      <c r="S531" s="162" t="s">
        <v>290</v>
      </c>
      <c r="T531" s="163" t="s">
        <v>205</v>
      </c>
      <c r="U531" s="164" t="s">
        <v>2534</v>
      </c>
      <c r="V531" s="165" t="s">
        <v>153</v>
      </c>
      <c r="W531" s="166">
        <v>35000</v>
      </c>
      <c r="X531" s="167" t="s">
        <v>10984</v>
      </c>
      <c r="Y531" s="168" t="s">
        <v>153</v>
      </c>
      <c r="Z531" s="169" t="s">
        <v>153</v>
      </c>
      <c r="AA531" s="170">
        <v>1896</v>
      </c>
      <c r="AB531" s="171" t="s">
        <v>153</v>
      </c>
      <c r="AC531" s="172" t="s">
        <v>153</v>
      </c>
      <c r="AD531" s="173" t="s">
        <v>153</v>
      </c>
      <c r="AE531" s="174" t="s">
        <v>153</v>
      </c>
      <c r="AF531" s="175" t="s">
        <v>153</v>
      </c>
      <c r="AG531" s="176" t="s">
        <v>153</v>
      </c>
      <c r="AH531" s="177" t="s">
        <v>153</v>
      </c>
      <c r="AI531" s="178" t="s">
        <v>153</v>
      </c>
      <c r="AJ531" s="179" t="s">
        <v>153</v>
      </c>
      <c r="AK531" s="180" t="s">
        <v>153</v>
      </c>
      <c r="AL531" s="181" t="s">
        <v>153</v>
      </c>
      <c r="AM531" s="182" t="s">
        <v>153</v>
      </c>
      <c r="AN531" s="183" t="s">
        <v>868</v>
      </c>
      <c r="AO531" s="184" t="s">
        <v>153</v>
      </c>
      <c r="AP531" s="185" t="s">
        <v>153</v>
      </c>
      <c r="AQ531" s="186" t="s">
        <v>153</v>
      </c>
      <c r="AR531" s="187" t="s">
        <v>153</v>
      </c>
      <c r="AS531" s="188" t="s">
        <v>153</v>
      </c>
      <c r="AT531" s="189" t="s">
        <v>10985</v>
      </c>
      <c r="AU531" s="190" t="s">
        <v>10986</v>
      </c>
      <c r="AV531" s="191" t="s">
        <v>153</v>
      </c>
      <c r="AW531" s="192" t="s">
        <v>10987</v>
      </c>
      <c r="AX531" s="193" t="s">
        <v>153</v>
      </c>
      <c r="AY531" s="194" t="s">
        <v>10988</v>
      </c>
      <c r="AZ531" s="195" t="s">
        <v>701</v>
      </c>
      <c r="BA531" s="196" t="s">
        <v>153</v>
      </c>
      <c r="BB531" s="197" t="s">
        <v>153</v>
      </c>
      <c r="BC531" s="198" t="s">
        <v>153</v>
      </c>
      <c r="BD531" s="199" t="s">
        <v>180</v>
      </c>
      <c r="BE531" s="200" t="s">
        <v>181</v>
      </c>
      <c r="BF531" s="201" t="s">
        <v>10989</v>
      </c>
      <c r="BG531" s="202" t="s">
        <v>153</v>
      </c>
      <c r="BH531" s="203" t="s">
        <v>153</v>
      </c>
      <c r="BI531" s="204" t="s">
        <v>10990</v>
      </c>
      <c r="BJ531" s="205" t="s">
        <v>10991</v>
      </c>
      <c r="BK531" s="206" t="s">
        <v>153</v>
      </c>
      <c r="BL531" s="207" t="s">
        <v>153</v>
      </c>
      <c r="BM531" s="208" t="s">
        <v>10992</v>
      </c>
      <c r="BN531" s="209" t="s">
        <v>153</v>
      </c>
      <c r="BO531" s="210" t="s">
        <v>10993</v>
      </c>
      <c r="BP531" s="211" t="s">
        <v>10994</v>
      </c>
      <c r="BQ531" s="212">
        <v>30317</v>
      </c>
      <c r="BR531" s="213" t="s">
        <v>153</v>
      </c>
      <c r="BS531" s="214" t="s">
        <v>153</v>
      </c>
      <c r="BT531" s="215" t="s">
        <v>153</v>
      </c>
      <c r="BU531" s="216" t="s">
        <v>153</v>
      </c>
      <c r="BV531" s="217" t="s">
        <v>251</v>
      </c>
      <c r="BW531" s="218" t="s">
        <v>153</v>
      </c>
      <c r="BX531" s="219" t="s">
        <v>153</v>
      </c>
      <c r="BY531" s="220" t="s">
        <v>225</v>
      </c>
      <c r="BZ531" s="221" t="s">
        <v>153</v>
      </c>
      <c r="CA531" s="222" t="s">
        <v>190</v>
      </c>
      <c r="CB531" s="223">
        <v>43144</v>
      </c>
      <c r="CC531" s="224">
        <v>8200</v>
      </c>
      <c r="CD531" s="225" t="s">
        <v>186</v>
      </c>
      <c r="CE531" s="226">
        <v>12058.82</v>
      </c>
      <c r="CF531" s="227" t="s">
        <v>187</v>
      </c>
      <c r="CG531" s="228" t="s">
        <v>226</v>
      </c>
      <c r="CH531" s="229" t="s">
        <v>930</v>
      </c>
      <c r="CI531" s="230" t="s">
        <v>153</v>
      </c>
      <c r="CJ531" s="231" t="s">
        <v>225</v>
      </c>
      <c r="CK531" s="232">
        <v>43144</v>
      </c>
      <c r="CL531" s="233" t="s">
        <v>153</v>
      </c>
      <c r="CM531" s="234" t="s">
        <v>153</v>
      </c>
      <c r="CN531" s="235" t="s">
        <v>190</v>
      </c>
      <c r="CO531" s="236" t="s">
        <v>153</v>
      </c>
      <c r="CP531" s="237" t="s">
        <v>153</v>
      </c>
      <c r="CQ531" s="238" t="s">
        <v>153</v>
      </c>
      <c r="CR531" s="239" t="s">
        <v>153</v>
      </c>
      <c r="CS531" s="240" t="s">
        <v>153</v>
      </c>
      <c r="CT531" s="241" t="s">
        <v>153</v>
      </c>
      <c r="CU531" s="242" t="s">
        <v>153</v>
      </c>
      <c r="CV531" s="243" t="s">
        <v>153</v>
      </c>
      <c r="CW531" s="244" t="s">
        <v>153</v>
      </c>
      <c r="CX531" s="245" t="s">
        <v>153</v>
      </c>
      <c r="CY531" s="246" t="s">
        <v>153</v>
      </c>
      <c r="CZ531" s="247" t="s">
        <v>153</v>
      </c>
      <c r="DA531" s="248" t="s">
        <v>153</v>
      </c>
      <c r="DB531" s="249" t="s">
        <v>153</v>
      </c>
      <c r="DC531" s="250" t="s">
        <v>153</v>
      </c>
      <c r="DD531" s="251" t="s">
        <v>153</v>
      </c>
      <c r="DE531" s="252" t="s">
        <v>153</v>
      </c>
      <c r="DF531" s="253" t="s">
        <v>153</v>
      </c>
      <c r="DG531" s="254" t="s">
        <v>153</v>
      </c>
      <c r="DH531" s="255" t="s">
        <v>153</v>
      </c>
      <c r="DI531" s="256" t="s">
        <v>153</v>
      </c>
      <c r="DJ531" s="257" t="s">
        <v>153</v>
      </c>
      <c r="DK531" s="258" t="s">
        <v>153</v>
      </c>
      <c r="DL531" s="259" t="s">
        <v>153</v>
      </c>
      <c r="DM531" s="260" t="s">
        <v>153</v>
      </c>
      <c r="DN531" s="261" t="s">
        <v>153</v>
      </c>
      <c r="DO531" s="262" t="s">
        <v>153</v>
      </c>
      <c r="DP531" s="263" t="s">
        <v>153</v>
      </c>
      <c r="DQ531" s="264" t="s">
        <v>153</v>
      </c>
      <c r="DR531" s="265" t="s">
        <v>153</v>
      </c>
      <c r="DS531" s="266" t="s">
        <v>153</v>
      </c>
      <c r="DT531" s="267" t="s">
        <v>153</v>
      </c>
      <c r="DU531" s="268" t="s">
        <v>153</v>
      </c>
      <c r="DV531" s="269" t="s">
        <v>153</v>
      </c>
      <c r="DW531" s="270" t="s">
        <v>153</v>
      </c>
      <c r="DX531" s="271" t="s">
        <v>153</v>
      </c>
      <c r="DY531" s="272" t="s">
        <v>153</v>
      </c>
      <c r="DZ531" s="273" t="s">
        <v>191</v>
      </c>
      <c r="EA531" s="274">
        <v>44217</v>
      </c>
      <c r="EB531" s="275">
        <v>12058.82</v>
      </c>
      <c r="EC531" s="276">
        <v>43144</v>
      </c>
      <c r="ED531" s="277" t="s">
        <v>226</v>
      </c>
      <c r="EE531" s="279" t="str">
        <f>HYPERLINK("https://my.pitchbook.com?c=57798-10", "View company online")</f>
        <v>View company online</v>
      </c>
    </row>
    <row r="532" spans="1:135" x14ac:dyDescent="0.45">
      <c r="A532" s="10" t="s">
        <v>10995</v>
      </c>
      <c r="B532" s="11" t="s">
        <v>10996</v>
      </c>
      <c r="C532" s="12" t="s">
        <v>153</v>
      </c>
      <c r="D532" s="13" t="s">
        <v>153</v>
      </c>
      <c r="E532" s="14" t="s">
        <v>153</v>
      </c>
      <c r="F532" s="15" t="s">
        <v>153</v>
      </c>
      <c r="G532" s="16" t="s">
        <v>10997</v>
      </c>
      <c r="H532" s="17" t="s">
        <v>10998</v>
      </c>
      <c r="I532" s="18" t="s">
        <v>10995</v>
      </c>
      <c r="J532" s="19" t="s">
        <v>10999</v>
      </c>
      <c r="K532" s="20" t="s">
        <v>198</v>
      </c>
      <c r="L532" s="21" t="s">
        <v>1589</v>
      </c>
      <c r="M532" s="22" t="s">
        <v>8618</v>
      </c>
      <c r="N532" s="23" t="s">
        <v>11000</v>
      </c>
      <c r="O532" s="24" t="s">
        <v>399</v>
      </c>
      <c r="P532" s="25" t="s">
        <v>11001</v>
      </c>
      <c r="Q532" s="26" t="s">
        <v>204</v>
      </c>
      <c r="R532" s="27">
        <v>45.46</v>
      </c>
      <c r="S532" s="28" t="s">
        <v>290</v>
      </c>
      <c r="T532" s="29" t="s">
        <v>164</v>
      </c>
      <c r="U532" s="30" t="s">
        <v>5485</v>
      </c>
      <c r="V532" s="31" t="s">
        <v>11002</v>
      </c>
      <c r="W532" s="32">
        <v>4800</v>
      </c>
      <c r="X532" s="33" t="s">
        <v>11003</v>
      </c>
      <c r="Y532" s="34" t="s">
        <v>153</v>
      </c>
      <c r="Z532" s="35" t="s">
        <v>153</v>
      </c>
      <c r="AA532" s="36">
        <v>1959</v>
      </c>
      <c r="AB532" s="37" t="s">
        <v>11004</v>
      </c>
      <c r="AC532" s="38" t="s">
        <v>153</v>
      </c>
      <c r="AD532" s="39" t="s">
        <v>428</v>
      </c>
      <c r="AE532" s="40" t="s">
        <v>153</v>
      </c>
      <c r="AF532" s="41" t="s">
        <v>153</v>
      </c>
      <c r="AG532" s="42" t="s">
        <v>153</v>
      </c>
      <c r="AH532" s="43" t="s">
        <v>153</v>
      </c>
      <c r="AI532" s="44" t="s">
        <v>153</v>
      </c>
      <c r="AJ532" s="45" t="s">
        <v>153</v>
      </c>
      <c r="AK532" s="46" t="s">
        <v>153</v>
      </c>
      <c r="AL532" s="47" t="s">
        <v>153</v>
      </c>
      <c r="AM532" s="48" t="s">
        <v>153</v>
      </c>
      <c r="AN532" s="49" t="s">
        <v>648</v>
      </c>
      <c r="AO532" s="50" t="s">
        <v>11005</v>
      </c>
      <c r="AP532" s="51" t="s">
        <v>11006</v>
      </c>
      <c r="AQ532" s="52" t="s">
        <v>994</v>
      </c>
      <c r="AR532" s="53" t="s">
        <v>153</v>
      </c>
      <c r="AS532" s="54" t="s">
        <v>11007</v>
      </c>
      <c r="AT532" s="55" t="s">
        <v>11008</v>
      </c>
      <c r="AU532" s="56" t="s">
        <v>11009</v>
      </c>
      <c r="AV532" s="57" t="s">
        <v>153</v>
      </c>
      <c r="AW532" s="58" t="s">
        <v>11010</v>
      </c>
      <c r="AX532" s="59" t="s">
        <v>308</v>
      </c>
      <c r="AY532" s="60" t="s">
        <v>11011</v>
      </c>
      <c r="AZ532" s="61" t="s">
        <v>215</v>
      </c>
      <c r="BA532" s="62" t="s">
        <v>11007</v>
      </c>
      <c r="BB532" s="63" t="s">
        <v>11012</v>
      </c>
      <c r="BC532" s="64" t="s">
        <v>153</v>
      </c>
      <c r="BD532" s="65" t="s">
        <v>216</v>
      </c>
      <c r="BE532" s="66" t="s">
        <v>217</v>
      </c>
      <c r="BF532" s="67" t="s">
        <v>11013</v>
      </c>
      <c r="BG532" s="68" t="s">
        <v>153</v>
      </c>
      <c r="BH532" s="69" t="s">
        <v>153</v>
      </c>
      <c r="BI532" s="70" t="s">
        <v>11004</v>
      </c>
      <c r="BJ532" s="71" t="s">
        <v>11014</v>
      </c>
      <c r="BK532" s="72" t="s">
        <v>153</v>
      </c>
      <c r="BL532" s="73" t="s">
        <v>153</v>
      </c>
      <c r="BM532" s="74" t="s">
        <v>11015</v>
      </c>
      <c r="BN532" s="75" t="s">
        <v>153</v>
      </c>
      <c r="BO532" s="76" t="s">
        <v>11016</v>
      </c>
      <c r="BP532" s="77" t="s">
        <v>11017</v>
      </c>
      <c r="BQ532" s="78">
        <v>36678</v>
      </c>
      <c r="BR532" s="79">
        <v>42.46</v>
      </c>
      <c r="BS532" s="80" t="s">
        <v>186</v>
      </c>
      <c r="BT532" s="81">
        <v>282.70999999999998</v>
      </c>
      <c r="BU532" s="82" t="s">
        <v>187</v>
      </c>
      <c r="BV532" s="83" t="s">
        <v>251</v>
      </c>
      <c r="BW532" s="84" t="s">
        <v>153</v>
      </c>
      <c r="BX532" s="85" t="s">
        <v>153</v>
      </c>
      <c r="BY532" s="86" t="s">
        <v>252</v>
      </c>
      <c r="BZ532" s="87" t="s">
        <v>153</v>
      </c>
      <c r="CA532" s="88" t="s">
        <v>190</v>
      </c>
      <c r="CB532" s="89">
        <v>43249</v>
      </c>
      <c r="CC532" s="90">
        <v>8190</v>
      </c>
      <c r="CD532" s="91" t="s">
        <v>186</v>
      </c>
      <c r="CE532" s="92">
        <v>8190</v>
      </c>
      <c r="CF532" s="93" t="s">
        <v>187</v>
      </c>
      <c r="CG532" s="94" t="s">
        <v>226</v>
      </c>
      <c r="CH532" s="95" t="s">
        <v>153</v>
      </c>
      <c r="CI532" s="96" t="s">
        <v>153</v>
      </c>
      <c r="CJ532" s="97" t="s">
        <v>225</v>
      </c>
      <c r="CK532" s="98">
        <v>43249</v>
      </c>
      <c r="CL532" s="99" t="s">
        <v>153</v>
      </c>
      <c r="CM532" s="100" t="s">
        <v>153</v>
      </c>
      <c r="CN532" s="101" t="s">
        <v>190</v>
      </c>
      <c r="CO532" s="102">
        <v>0.33</v>
      </c>
      <c r="CP532" s="103">
        <v>92</v>
      </c>
      <c r="CQ532" s="104">
        <v>0.03</v>
      </c>
      <c r="CR532" s="105">
        <v>10.71</v>
      </c>
      <c r="CS532" s="106">
        <v>0.66</v>
      </c>
      <c r="CT532" s="107">
        <v>94</v>
      </c>
      <c r="CU532" s="108">
        <v>0.01</v>
      </c>
      <c r="CV532" s="109">
        <v>77</v>
      </c>
      <c r="CW532" s="110">
        <v>0.95</v>
      </c>
      <c r="CX532" s="111">
        <v>81</v>
      </c>
      <c r="CY532" s="112">
        <v>0.36</v>
      </c>
      <c r="CZ532" s="113">
        <v>93</v>
      </c>
      <c r="DA532" s="114">
        <v>0.01</v>
      </c>
      <c r="DB532" s="115">
        <v>77</v>
      </c>
      <c r="DC532" s="116">
        <v>105.73</v>
      </c>
      <c r="DD532" s="117">
        <v>99</v>
      </c>
      <c r="DE532" s="118">
        <v>2.0299999999999998</v>
      </c>
      <c r="DF532" s="119">
        <v>1.95</v>
      </c>
      <c r="DG532" s="120">
        <v>207.99</v>
      </c>
      <c r="DH532" s="121">
        <v>100</v>
      </c>
      <c r="DI532" s="122">
        <v>3.47</v>
      </c>
      <c r="DJ532" s="123">
        <v>72</v>
      </c>
      <c r="DK532" s="124">
        <v>102.1</v>
      </c>
      <c r="DL532" s="125">
        <v>97</v>
      </c>
      <c r="DM532" s="126">
        <v>313.88</v>
      </c>
      <c r="DN532" s="127">
        <v>100</v>
      </c>
      <c r="DO532" s="128">
        <v>3.47</v>
      </c>
      <c r="DP532" s="129">
        <v>72</v>
      </c>
      <c r="DQ532" s="130">
        <v>60302</v>
      </c>
      <c r="DR532" s="131">
        <v>901</v>
      </c>
      <c r="DS532" s="132">
        <v>1.52</v>
      </c>
      <c r="DT532" s="133">
        <v>4968</v>
      </c>
      <c r="DU532" s="134">
        <v>79</v>
      </c>
      <c r="DV532" s="135">
        <v>1.62</v>
      </c>
      <c r="DW532" s="136">
        <v>1089</v>
      </c>
      <c r="DX532" s="137">
        <v>0</v>
      </c>
      <c r="DY532" s="138">
        <v>0</v>
      </c>
      <c r="DZ532" s="139" t="s">
        <v>191</v>
      </c>
      <c r="EA532" s="140">
        <v>44323</v>
      </c>
      <c r="EB532" s="141">
        <v>8190</v>
      </c>
      <c r="EC532" s="142">
        <v>43249</v>
      </c>
      <c r="ED532" s="143" t="s">
        <v>226</v>
      </c>
      <c r="EE532" s="278" t="str">
        <f>HYPERLINK("https://my.pitchbook.com?c=41310-82", "View company online")</f>
        <v>View company online</v>
      </c>
    </row>
    <row r="533" spans="1:135" x14ac:dyDescent="0.45">
      <c r="A533" s="144" t="s">
        <v>11018</v>
      </c>
      <c r="B533" s="145" t="s">
        <v>11019</v>
      </c>
      <c r="C533" s="146" t="s">
        <v>153</v>
      </c>
      <c r="D533" s="147" t="s">
        <v>153</v>
      </c>
      <c r="E533" s="148" t="s">
        <v>153</v>
      </c>
      <c r="F533" s="149" t="s">
        <v>153</v>
      </c>
      <c r="G533" s="150" t="s">
        <v>11020</v>
      </c>
      <c r="H533" s="151" t="s">
        <v>153</v>
      </c>
      <c r="I533" s="152" t="s">
        <v>11018</v>
      </c>
      <c r="J533" s="153" t="s">
        <v>11021</v>
      </c>
      <c r="K533" s="154" t="s">
        <v>792</v>
      </c>
      <c r="L533" s="155" t="s">
        <v>2586</v>
      </c>
      <c r="M533" s="156" t="s">
        <v>11022</v>
      </c>
      <c r="N533" s="157" t="s">
        <v>11023</v>
      </c>
      <c r="O533" s="158" t="s">
        <v>5057</v>
      </c>
      <c r="P533" s="159" t="s">
        <v>11024</v>
      </c>
      <c r="Q533" s="160" t="s">
        <v>204</v>
      </c>
      <c r="R533" s="161" t="s">
        <v>153</v>
      </c>
      <c r="S533" s="162" t="s">
        <v>163</v>
      </c>
      <c r="T533" s="163" t="s">
        <v>205</v>
      </c>
      <c r="U533" s="164" t="s">
        <v>206</v>
      </c>
      <c r="V533" s="165" t="s">
        <v>153</v>
      </c>
      <c r="W533" s="166" t="s">
        <v>153</v>
      </c>
      <c r="X533" s="167" t="s">
        <v>153</v>
      </c>
      <c r="Y533" s="168" t="s">
        <v>153</v>
      </c>
      <c r="Z533" s="169" t="s">
        <v>153</v>
      </c>
      <c r="AA533" s="170" t="s">
        <v>153</v>
      </c>
      <c r="AB533" s="171" t="s">
        <v>153</v>
      </c>
      <c r="AC533" s="172" t="s">
        <v>153</v>
      </c>
      <c r="AD533" s="173" t="s">
        <v>153</v>
      </c>
      <c r="AE533" s="174" t="s">
        <v>153</v>
      </c>
      <c r="AF533" s="175" t="s">
        <v>153</v>
      </c>
      <c r="AG533" s="176" t="s">
        <v>153</v>
      </c>
      <c r="AH533" s="177" t="s">
        <v>153</v>
      </c>
      <c r="AI533" s="178" t="s">
        <v>153</v>
      </c>
      <c r="AJ533" s="179" t="s">
        <v>153</v>
      </c>
      <c r="AK533" s="180" t="s">
        <v>153</v>
      </c>
      <c r="AL533" s="181" t="s">
        <v>153</v>
      </c>
      <c r="AM533" s="182" t="s">
        <v>153</v>
      </c>
      <c r="AN533" s="183" t="s">
        <v>918</v>
      </c>
      <c r="AO533" s="184" t="s">
        <v>153</v>
      </c>
      <c r="AP533" s="185" t="s">
        <v>153</v>
      </c>
      <c r="AQ533" s="186" t="s">
        <v>153</v>
      </c>
      <c r="AR533" s="187" t="s">
        <v>153</v>
      </c>
      <c r="AS533" s="188" t="s">
        <v>153</v>
      </c>
      <c r="AT533" s="189" t="s">
        <v>11025</v>
      </c>
      <c r="AU533" s="190" t="s">
        <v>153</v>
      </c>
      <c r="AV533" s="191" t="s">
        <v>153</v>
      </c>
      <c r="AW533" s="192" t="s">
        <v>11026</v>
      </c>
      <c r="AX533" s="193" t="s">
        <v>11027</v>
      </c>
      <c r="AY533" s="194" t="s">
        <v>153</v>
      </c>
      <c r="AZ533" s="195" t="s">
        <v>1519</v>
      </c>
      <c r="BA533" s="196" t="s">
        <v>153</v>
      </c>
      <c r="BB533" s="197" t="s">
        <v>153</v>
      </c>
      <c r="BC533" s="198" t="s">
        <v>153</v>
      </c>
      <c r="BD533" s="199" t="s">
        <v>1406</v>
      </c>
      <c r="BE533" s="200" t="s">
        <v>1407</v>
      </c>
      <c r="BF533" s="201" t="s">
        <v>11028</v>
      </c>
      <c r="BG533" s="202" t="s">
        <v>153</v>
      </c>
      <c r="BH533" s="203" t="s">
        <v>153</v>
      </c>
      <c r="BI533" s="204" t="s">
        <v>11029</v>
      </c>
      <c r="BJ533" s="205" t="s">
        <v>11030</v>
      </c>
      <c r="BK533" s="206" t="s">
        <v>153</v>
      </c>
      <c r="BL533" s="207" t="s">
        <v>153</v>
      </c>
      <c r="BM533" s="208" t="s">
        <v>11031</v>
      </c>
      <c r="BN533" s="209" t="s">
        <v>153</v>
      </c>
      <c r="BO533" s="210" t="s">
        <v>153</v>
      </c>
      <c r="BP533" s="211" t="s">
        <v>153</v>
      </c>
      <c r="BQ533" s="212">
        <v>42314</v>
      </c>
      <c r="BR533" s="213">
        <v>8177.28</v>
      </c>
      <c r="BS533" s="214" t="s">
        <v>186</v>
      </c>
      <c r="BT533" s="215">
        <v>8177.28</v>
      </c>
      <c r="BU533" s="216" t="s">
        <v>186</v>
      </c>
      <c r="BV533" s="217" t="s">
        <v>226</v>
      </c>
      <c r="BW533" s="218" t="s">
        <v>729</v>
      </c>
      <c r="BX533" s="219" t="s">
        <v>153</v>
      </c>
      <c r="BY533" s="220" t="s">
        <v>225</v>
      </c>
      <c r="BZ533" s="221" t="s">
        <v>153</v>
      </c>
      <c r="CA533" s="222" t="s">
        <v>190</v>
      </c>
      <c r="CB533" s="223">
        <v>42314</v>
      </c>
      <c r="CC533" s="224">
        <v>8177.28</v>
      </c>
      <c r="CD533" s="225" t="s">
        <v>186</v>
      </c>
      <c r="CE533" s="226">
        <v>8177.28</v>
      </c>
      <c r="CF533" s="227" t="s">
        <v>186</v>
      </c>
      <c r="CG533" s="228" t="s">
        <v>226</v>
      </c>
      <c r="CH533" s="229" t="s">
        <v>729</v>
      </c>
      <c r="CI533" s="230" t="s">
        <v>153</v>
      </c>
      <c r="CJ533" s="231" t="s">
        <v>225</v>
      </c>
      <c r="CK533" s="232">
        <v>42314</v>
      </c>
      <c r="CL533" s="233" t="s">
        <v>153</v>
      </c>
      <c r="CM533" s="234" t="s">
        <v>153</v>
      </c>
      <c r="CN533" s="235" t="s">
        <v>190</v>
      </c>
      <c r="CO533" s="236" t="s">
        <v>153</v>
      </c>
      <c r="CP533" s="237" t="s">
        <v>153</v>
      </c>
      <c r="CQ533" s="238" t="s">
        <v>153</v>
      </c>
      <c r="CR533" s="239" t="s">
        <v>153</v>
      </c>
      <c r="CS533" s="240" t="s">
        <v>153</v>
      </c>
      <c r="CT533" s="241" t="s">
        <v>153</v>
      </c>
      <c r="CU533" s="242" t="s">
        <v>153</v>
      </c>
      <c r="CV533" s="243" t="s">
        <v>153</v>
      </c>
      <c r="CW533" s="244" t="s">
        <v>153</v>
      </c>
      <c r="CX533" s="245" t="s">
        <v>153</v>
      </c>
      <c r="CY533" s="246" t="s">
        <v>153</v>
      </c>
      <c r="CZ533" s="247" t="s">
        <v>153</v>
      </c>
      <c r="DA533" s="248" t="s">
        <v>153</v>
      </c>
      <c r="DB533" s="249" t="s">
        <v>153</v>
      </c>
      <c r="DC533" s="250" t="s">
        <v>153</v>
      </c>
      <c r="DD533" s="251" t="s">
        <v>153</v>
      </c>
      <c r="DE533" s="252" t="s">
        <v>153</v>
      </c>
      <c r="DF533" s="253" t="s">
        <v>153</v>
      </c>
      <c r="DG533" s="254" t="s">
        <v>153</v>
      </c>
      <c r="DH533" s="255" t="s">
        <v>153</v>
      </c>
      <c r="DI533" s="256" t="s">
        <v>153</v>
      </c>
      <c r="DJ533" s="257" t="s">
        <v>153</v>
      </c>
      <c r="DK533" s="258" t="s">
        <v>153</v>
      </c>
      <c r="DL533" s="259" t="s">
        <v>153</v>
      </c>
      <c r="DM533" s="260" t="s">
        <v>153</v>
      </c>
      <c r="DN533" s="261" t="s">
        <v>153</v>
      </c>
      <c r="DO533" s="262" t="s">
        <v>153</v>
      </c>
      <c r="DP533" s="263" t="s">
        <v>153</v>
      </c>
      <c r="DQ533" s="264" t="s">
        <v>153</v>
      </c>
      <c r="DR533" s="265" t="s">
        <v>153</v>
      </c>
      <c r="DS533" s="266" t="s">
        <v>153</v>
      </c>
      <c r="DT533" s="267" t="s">
        <v>153</v>
      </c>
      <c r="DU533" s="268" t="s">
        <v>153</v>
      </c>
      <c r="DV533" s="269" t="s">
        <v>153</v>
      </c>
      <c r="DW533" s="270" t="s">
        <v>153</v>
      </c>
      <c r="DX533" s="271" t="s">
        <v>153</v>
      </c>
      <c r="DY533" s="272" t="s">
        <v>153</v>
      </c>
      <c r="DZ533" s="273" t="s">
        <v>191</v>
      </c>
      <c r="EA533" s="274">
        <v>44147</v>
      </c>
      <c r="EB533" s="275">
        <v>8177.28</v>
      </c>
      <c r="EC533" s="276">
        <v>42314</v>
      </c>
      <c r="ED533" s="277" t="s">
        <v>226</v>
      </c>
      <c r="EE533" s="279" t="str">
        <f>HYPERLINK("https://my.pitchbook.com?c=155471-77", "View company online")</f>
        <v>View company online</v>
      </c>
    </row>
    <row r="534" spans="1:135" x14ac:dyDescent="0.45">
      <c r="A534" s="10" t="s">
        <v>11032</v>
      </c>
      <c r="B534" s="11" t="s">
        <v>11033</v>
      </c>
      <c r="C534" s="12" t="s">
        <v>153</v>
      </c>
      <c r="D534" s="13" t="s">
        <v>153</v>
      </c>
      <c r="E534" s="14" t="s">
        <v>153</v>
      </c>
      <c r="F534" s="15" t="s">
        <v>153</v>
      </c>
      <c r="G534" s="16" t="s">
        <v>11034</v>
      </c>
      <c r="H534" s="17" t="s">
        <v>153</v>
      </c>
      <c r="I534" s="18" t="s">
        <v>11032</v>
      </c>
      <c r="J534" s="19" t="s">
        <v>11035</v>
      </c>
      <c r="K534" s="20" t="s">
        <v>559</v>
      </c>
      <c r="L534" s="21" t="s">
        <v>1345</v>
      </c>
      <c r="M534" s="22" t="s">
        <v>8571</v>
      </c>
      <c r="N534" s="23" t="s">
        <v>8572</v>
      </c>
      <c r="O534" s="24" t="s">
        <v>153</v>
      </c>
      <c r="P534" s="25" t="s">
        <v>11036</v>
      </c>
      <c r="Q534" s="26" t="s">
        <v>204</v>
      </c>
      <c r="R534" s="27" t="s">
        <v>153</v>
      </c>
      <c r="S534" s="28" t="s">
        <v>163</v>
      </c>
      <c r="T534" s="29" t="s">
        <v>205</v>
      </c>
      <c r="U534" s="30" t="s">
        <v>237</v>
      </c>
      <c r="V534" s="31" t="s">
        <v>153</v>
      </c>
      <c r="W534" s="32">
        <v>4500</v>
      </c>
      <c r="X534" s="33" t="s">
        <v>11037</v>
      </c>
      <c r="Y534" s="34" t="s">
        <v>153</v>
      </c>
      <c r="Z534" s="35" t="s">
        <v>153</v>
      </c>
      <c r="AA534" s="36">
        <v>1995</v>
      </c>
      <c r="AB534" s="37" t="s">
        <v>153</v>
      </c>
      <c r="AC534" s="38" t="s">
        <v>153</v>
      </c>
      <c r="AD534" s="39" t="s">
        <v>153</v>
      </c>
      <c r="AE534" s="40" t="s">
        <v>153</v>
      </c>
      <c r="AF534" s="41" t="s">
        <v>153</v>
      </c>
      <c r="AG534" s="42" t="s">
        <v>153</v>
      </c>
      <c r="AH534" s="43" t="s">
        <v>153</v>
      </c>
      <c r="AI534" s="44" t="s">
        <v>153</v>
      </c>
      <c r="AJ534" s="45" t="s">
        <v>153</v>
      </c>
      <c r="AK534" s="46" t="s">
        <v>153</v>
      </c>
      <c r="AL534" s="47" t="s">
        <v>153</v>
      </c>
      <c r="AM534" s="48" t="s">
        <v>153</v>
      </c>
      <c r="AN534" s="49" t="s">
        <v>8772</v>
      </c>
      <c r="AO534" s="50" t="s">
        <v>153</v>
      </c>
      <c r="AP534" s="51" t="s">
        <v>153</v>
      </c>
      <c r="AQ534" s="52" t="s">
        <v>153</v>
      </c>
      <c r="AR534" s="53" t="s">
        <v>153</v>
      </c>
      <c r="AS534" s="54" t="s">
        <v>153</v>
      </c>
      <c r="AT534" s="55" t="s">
        <v>11038</v>
      </c>
      <c r="AU534" s="56" t="s">
        <v>11039</v>
      </c>
      <c r="AV534" s="57" t="s">
        <v>11040</v>
      </c>
      <c r="AW534" s="58" t="s">
        <v>11041</v>
      </c>
      <c r="AX534" s="59" t="s">
        <v>11042</v>
      </c>
      <c r="AY534" s="60" t="s">
        <v>153</v>
      </c>
      <c r="AZ534" s="61" t="s">
        <v>11042</v>
      </c>
      <c r="BA534" s="62" t="s">
        <v>153</v>
      </c>
      <c r="BB534" s="63" t="s">
        <v>153</v>
      </c>
      <c r="BC534" s="64" t="s">
        <v>153</v>
      </c>
      <c r="BD534" s="65" t="s">
        <v>2547</v>
      </c>
      <c r="BE534" s="66" t="s">
        <v>2547</v>
      </c>
      <c r="BF534" s="67" t="s">
        <v>11043</v>
      </c>
      <c r="BG534" s="68" t="s">
        <v>153</v>
      </c>
      <c r="BH534" s="69" t="s">
        <v>153</v>
      </c>
      <c r="BI534" s="70" t="s">
        <v>11044</v>
      </c>
      <c r="BJ534" s="71" t="s">
        <v>153</v>
      </c>
      <c r="BK534" s="72" t="s">
        <v>153</v>
      </c>
      <c r="BL534" s="73" t="s">
        <v>153</v>
      </c>
      <c r="BM534" s="74" t="s">
        <v>153</v>
      </c>
      <c r="BN534" s="75" t="s">
        <v>153</v>
      </c>
      <c r="BO534" s="76" t="s">
        <v>11045</v>
      </c>
      <c r="BP534" s="77" t="s">
        <v>11046</v>
      </c>
      <c r="BQ534" s="78">
        <v>34981</v>
      </c>
      <c r="BR534" s="79" t="s">
        <v>153</v>
      </c>
      <c r="BS534" s="80" t="s">
        <v>153</v>
      </c>
      <c r="BT534" s="81" t="s">
        <v>153</v>
      </c>
      <c r="BU534" s="82" t="s">
        <v>153</v>
      </c>
      <c r="BV534" s="83" t="s">
        <v>251</v>
      </c>
      <c r="BW534" s="84" t="s">
        <v>153</v>
      </c>
      <c r="BX534" s="85" t="s">
        <v>153</v>
      </c>
      <c r="BY534" s="86" t="s">
        <v>252</v>
      </c>
      <c r="BZ534" s="87" t="s">
        <v>153</v>
      </c>
      <c r="CA534" s="88" t="s">
        <v>190</v>
      </c>
      <c r="CB534" s="89">
        <v>40391</v>
      </c>
      <c r="CC534" s="90">
        <v>8174.77</v>
      </c>
      <c r="CD534" s="91" t="s">
        <v>186</v>
      </c>
      <c r="CE534" s="92">
        <v>8174.77</v>
      </c>
      <c r="CF534" s="93" t="s">
        <v>186</v>
      </c>
      <c r="CG534" s="94" t="s">
        <v>226</v>
      </c>
      <c r="CH534" s="95" t="s">
        <v>153</v>
      </c>
      <c r="CI534" s="96" t="s">
        <v>153</v>
      </c>
      <c r="CJ534" s="97" t="s">
        <v>225</v>
      </c>
      <c r="CK534" s="98">
        <v>40391</v>
      </c>
      <c r="CL534" s="99" t="s">
        <v>153</v>
      </c>
      <c r="CM534" s="100" t="s">
        <v>153</v>
      </c>
      <c r="CN534" s="101" t="s">
        <v>190</v>
      </c>
      <c r="CO534" s="102" t="s">
        <v>153</v>
      </c>
      <c r="CP534" s="103" t="s">
        <v>153</v>
      </c>
      <c r="CQ534" s="104" t="s">
        <v>153</v>
      </c>
      <c r="CR534" s="105" t="s">
        <v>153</v>
      </c>
      <c r="CS534" s="106" t="s">
        <v>153</v>
      </c>
      <c r="CT534" s="107" t="s">
        <v>153</v>
      </c>
      <c r="CU534" s="108" t="s">
        <v>153</v>
      </c>
      <c r="CV534" s="109" t="s">
        <v>153</v>
      </c>
      <c r="CW534" s="110" t="s">
        <v>153</v>
      </c>
      <c r="CX534" s="111" t="s">
        <v>153</v>
      </c>
      <c r="CY534" s="112" t="s">
        <v>153</v>
      </c>
      <c r="CZ534" s="113" t="s">
        <v>153</v>
      </c>
      <c r="DA534" s="114" t="s">
        <v>153</v>
      </c>
      <c r="DB534" s="115" t="s">
        <v>153</v>
      </c>
      <c r="DC534" s="116" t="s">
        <v>153</v>
      </c>
      <c r="DD534" s="117" t="s">
        <v>153</v>
      </c>
      <c r="DE534" s="118" t="s">
        <v>153</v>
      </c>
      <c r="DF534" s="119" t="s">
        <v>153</v>
      </c>
      <c r="DG534" s="120" t="s">
        <v>153</v>
      </c>
      <c r="DH534" s="121" t="s">
        <v>153</v>
      </c>
      <c r="DI534" s="122" t="s">
        <v>153</v>
      </c>
      <c r="DJ534" s="123" t="s">
        <v>153</v>
      </c>
      <c r="DK534" s="124" t="s">
        <v>153</v>
      </c>
      <c r="DL534" s="125" t="s">
        <v>153</v>
      </c>
      <c r="DM534" s="126" t="s">
        <v>153</v>
      </c>
      <c r="DN534" s="127" t="s">
        <v>153</v>
      </c>
      <c r="DO534" s="128" t="s">
        <v>153</v>
      </c>
      <c r="DP534" s="129" t="s">
        <v>153</v>
      </c>
      <c r="DQ534" s="130" t="s">
        <v>153</v>
      </c>
      <c r="DR534" s="131" t="s">
        <v>153</v>
      </c>
      <c r="DS534" s="132" t="s">
        <v>153</v>
      </c>
      <c r="DT534" s="133" t="s">
        <v>153</v>
      </c>
      <c r="DU534" s="134" t="s">
        <v>153</v>
      </c>
      <c r="DV534" s="135" t="s">
        <v>153</v>
      </c>
      <c r="DW534" s="136" t="s">
        <v>153</v>
      </c>
      <c r="DX534" s="137" t="s">
        <v>153</v>
      </c>
      <c r="DY534" s="138" t="s">
        <v>153</v>
      </c>
      <c r="DZ534" s="139" t="s">
        <v>191</v>
      </c>
      <c r="EA534" s="140">
        <v>44280</v>
      </c>
      <c r="EB534" s="141">
        <v>8174.77</v>
      </c>
      <c r="EC534" s="142">
        <v>40391</v>
      </c>
      <c r="ED534" s="143" t="s">
        <v>226</v>
      </c>
      <c r="EE534" s="278" t="str">
        <f>HYPERLINK("https://my.pitchbook.com?c=43040-53", "View company online")</f>
        <v>View company online</v>
      </c>
    </row>
    <row r="535" spans="1:135" x14ac:dyDescent="0.45">
      <c r="A535" s="144" t="s">
        <v>11047</v>
      </c>
      <c r="B535" s="145" t="s">
        <v>11048</v>
      </c>
      <c r="C535" s="146" t="s">
        <v>153</v>
      </c>
      <c r="D535" s="147" t="s">
        <v>153</v>
      </c>
      <c r="E535" s="148" t="s">
        <v>11049</v>
      </c>
      <c r="F535" s="149" t="s">
        <v>153</v>
      </c>
      <c r="G535" s="150" t="s">
        <v>153</v>
      </c>
      <c r="H535" s="151" t="s">
        <v>153</v>
      </c>
      <c r="I535" s="152" t="s">
        <v>11047</v>
      </c>
      <c r="J535" s="153" t="s">
        <v>11050</v>
      </c>
      <c r="K535" s="154" t="s">
        <v>257</v>
      </c>
      <c r="L535" s="155" t="s">
        <v>530</v>
      </c>
      <c r="M535" s="156" t="s">
        <v>531</v>
      </c>
      <c r="N535" s="157" t="s">
        <v>10080</v>
      </c>
      <c r="O535" s="158" t="s">
        <v>8895</v>
      </c>
      <c r="P535" s="159" t="s">
        <v>11051</v>
      </c>
      <c r="Q535" s="160" t="s">
        <v>204</v>
      </c>
      <c r="R535" s="161" t="s">
        <v>153</v>
      </c>
      <c r="S535" s="162" t="s">
        <v>163</v>
      </c>
      <c r="T535" s="163" t="s">
        <v>205</v>
      </c>
      <c r="U535" s="164" t="s">
        <v>237</v>
      </c>
      <c r="V535" s="165" t="s">
        <v>11052</v>
      </c>
      <c r="W535" s="166">
        <v>9800</v>
      </c>
      <c r="X535" s="167" t="s">
        <v>11053</v>
      </c>
      <c r="Y535" s="168" t="s">
        <v>153</v>
      </c>
      <c r="Z535" s="169" t="s">
        <v>153</v>
      </c>
      <c r="AA535" s="170">
        <v>1983</v>
      </c>
      <c r="AB535" s="171" t="s">
        <v>153</v>
      </c>
      <c r="AC535" s="172" t="s">
        <v>153</v>
      </c>
      <c r="AD535" s="173" t="s">
        <v>153</v>
      </c>
      <c r="AE535" s="174" t="s">
        <v>153</v>
      </c>
      <c r="AF535" s="175" t="s">
        <v>153</v>
      </c>
      <c r="AG535" s="176" t="s">
        <v>153</v>
      </c>
      <c r="AH535" s="177" t="s">
        <v>153</v>
      </c>
      <c r="AI535" s="178" t="s">
        <v>153</v>
      </c>
      <c r="AJ535" s="179" t="s">
        <v>153</v>
      </c>
      <c r="AK535" s="180" t="s">
        <v>153</v>
      </c>
      <c r="AL535" s="181" t="s">
        <v>153</v>
      </c>
      <c r="AM535" s="182" t="s">
        <v>153</v>
      </c>
      <c r="AN535" s="183" t="s">
        <v>3203</v>
      </c>
      <c r="AO535" s="184" t="s">
        <v>11054</v>
      </c>
      <c r="AP535" s="185" t="s">
        <v>11055</v>
      </c>
      <c r="AQ535" s="186" t="s">
        <v>11056</v>
      </c>
      <c r="AR535" s="187" t="s">
        <v>153</v>
      </c>
      <c r="AS535" s="188" t="s">
        <v>11057</v>
      </c>
      <c r="AT535" s="189" t="s">
        <v>11058</v>
      </c>
      <c r="AU535" s="190" t="s">
        <v>11059</v>
      </c>
      <c r="AV535" s="191" t="s">
        <v>153</v>
      </c>
      <c r="AW535" s="192" t="s">
        <v>8476</v>
      </c>
      <c r="AX535" s="193" t="s">
        <v>308</v>
      </c>
      <c r="AY535" s="194" t="s">
        <v>11060</v>
      </c>
      <c r="AZ535" s="195" t="s">
        <v>215</v>
      </c>
      <c r="BA535" s="196" t="s">
        <v>11057</v>
      </c>
      <c r="BB535" s="197" t="s">
        <v>11061</v>
      </c>
      <c r="BC535" s="198" t="s">
        <v>153</v>
      </c>
      <c r="BD535" s="199" t="s">
        <v>216</v>
      </c>
      <c r="BE535" s="200" t="s">
        <v>217</v>
      </c>
      <c r="BF535" s="201" t="s">
        <v>11062</v>
      </c>
      <c r="BG535" s="202" t="s">
        <v>153</v>
      </c>
      <c r="BH535" s="203" t="s">
        <v>153</v>
      </c>
      <c r="BI535" s="204" t="s">
        <v>550</v>
      </c>
      <c r="BJ535" s="205" t="s">
        <v>153</v>
      </c>
      <c r="BK535" s="206" t="s">
        <v>153</v>
      </c>
      <c r="BL535" s="207" t="s">
        <v>153</v>
      </c>
      <c r="BM535" s="208" t="s">
        <v>153</v>
      </c>
      <c r="BN535" s="209" t="s">
        <v>153</v>
      </c>
      <c r="BO535" s="210" t="s">
        <v>153</v>
      </c>
      <c r="BP535" s="211" t="s">
        <v>11063</v>
      </c>
      <c r="BQ535" s="212">
        <v>32958</v>
      </c>
      <c r="BR535" s="213" t="s">
        <v>153</v>
      </c>
      <c r="BS535" s="214" t="s">
        <v>153</v>
      </c>
      <c r="BT535" s="215" t="s">
        <v>153</v>
      </c>
      <c r="BU535" s="216" t="s">
        <v>153</v>
      </c>
      <c r="BV535" s="217" t="s">
        <v>251</v>
      </c>
      <c r="BW535" s="218" t="s">
        <v>153</v>
      </c>
      <c r="BX535" s="219" t="s">
        <v>153</v>
      </c>
      <c r="BY535" s="220" t="s">
        <v>252</v>
      </c>
      <c r="BZ535" s="221" t="s">
        <v>153</v>
      </c>
      <c r="CA535" s="222" t="s">
        <v>190</v>
      </c>
      <c r="CB535" s="223">
        <v>38539</v>
      </c>
      <c r="CC535" s="224">
        <v>8140</v>
      </c>
      <c r="CD535" s="225" t="s">
        <v>186</v>
      </c>
      <c r="CE535" s="226">
        <v>8140</v>
      </c>
      <c r="CF535" s="227" t="s">
        <v>186</v>
      </c>
      <c r="CG535" s="228" t="s">
        <v>226</v>
      </c>
      <c r="CH535" s="229" t="s">
        <v>153</v>
      </c>
      <c r="CI535" s="230" t="s">
        <v>153</v>
      </c>
      <c r="CJ535" s="231" t="s">
        <v>225</v>
      </c>
      <c r="CK535" s="232">
        <v>38539</v>
      </c>
      <c r="CL535" s="233" t="s">
        <v>153</v>
      </c>
      <c r="CM535" s="234" t="s">
        <v>153</v>
      </c>
      <c r="CN535" s="235" t="s">
        <v>190</v>
      </c>
      <c r="CO535" s="236" t="s">
        <v>153</v>
      </c>
      <c r="CP535" s="237" t="s">
        <v>153</v>
      </c>
      <c r="CQ535" s="238" t="s">
        <v>153</v>
      </c>
      <c r="CR535" s="239" t="s">
        <v>153</v>
      </c>
      <c r="CS535" s="240" t="s">
        <v>153</v>
      </c>
      <c r="CT535" s="241" t="s">
        <v>153</v>
      </c>
      <c r="CU535" s="242" t="s">
        <v>153</v>
      </c>
      <c r="CV535" s="243" t="s">
        <v>153</v>
      </c>
      <c r="CW535" s="244" t="s">
        <v>153</v>
      </c>
      <c r="CX535" s="245" t="s">
        <v>153</v>
      </c>
      <c r="CY535" s="246" t="s">
        <v>153</v>
      </c>
      <c r="CZ535" s="247" t="s">
        <v>153</v>
      </c>
      <c r="DA535" s="248" t="s">
        <v>153</v>
      </c>
      <c r="DB535" s="249" t="s">
        <v>153</v>
      </c>
      <c r="DC535" s="250" t="s">
        <v>153</v>
      </c>
      <c r="DD535" s="251" t="s">
        <v>153</v>
      </c>
      <c r="DE535" s="252" t="s">
        <v>153</v>
      </c>
      <c r="DF535" s="253" t="s">
        <v>153</v>
      </c>
      <c r="DG535" s="254" t="s">
        <v>153</v>
      </c>
      <c r="DH535" s="255" t="s">
        <v>153</v>
      </c>
      <c r="DI535" s="256" t="s">
        <v>153</v>
      </c>
      <c r="DJ535" s="257" t="s">
        <v>153</v>
      </c>
      <c r="DK535" s="258" t="s">
        <v>153</v>
      </c>
      <c r="DL535" s="259" t="s">
        <v>153</v>
      </c>
      <c r="DM535" s="260" t="s">
        <v>153</v>
      </c>
      <c r="DN535" s="261" t="s">
        <v>153</v>
      </c>
      <c r="DO535" s="262" t="s">
        <v>153</v>
      </c>
      <c r="DP535" s="263" t="s">
        <v>153</v>
      </c>
      <c r="DQ535" s="264" t="s">
        <v>153</v>
      </c>
      <c r="DR535" s="265" t="s">
        <v>153</v>
      </c>
      <c r="DS535" s="266" t="s">
        <v>153</v>
      </c>
      <c r="DT535" s="267" t="s">
        <v>153</v>
      </c>
      <c r="DU535" s="268" t="s">
        <v>153</v>
      </c>
      <c r="DV535" s="269" t="s">
        <v>153</v>
      </c>
      <c r="DW535" s="270" t="s">
        <v>153</v>
      </c>
      <c r="DX535" s="271" t="s">
        <v>153</v>
      </c>
      <c r="DY535" s="272" t="s">
        <v>153</v>
      </c>
      <c r="DZ535" s="273" t="s">
        <v>191</v>
      </c>
      <c r="EA535" s="274">
        <v>44259</v>
      </c>
      <c r="EB535" s="275">
        <v>8140</v>
      </c>
      <c r="EC535" s="276">
        <v>38539</v>
      </c>
      <c r="ED535" s="277" t="s">
        <v>226</v>
      </c>
      <c r="EE535" s="279" t="str">
        <f>HYPERLINK("https://my.pitchbook.com?c=41097-52", "View company online")</f>
        <v>View company online</v>
      </c>
    </row>
    <row r="536" spans="1:135" x14ac:dyDescent="0.45">
      <c r="A536" s="10" t="s">
        <v>11064</v>
      </c>
      <c r="B536" s="11" t="s">
        <v>11065</v>
      </c>
      <c r="C536" s="12" t="s">
        <v>153</v>
      </c>
      <c r="D536" s="13" t="s">
        <v>153</v>
      </c>
      <c r="E536" s="14" t="s">
        <v>153</v>
      </c>
      <c r="F536" s="15" t="s">
        <v>11066</v>
      </c>
      <c r="G536" s="16" t="s">
        <v>11067</v>
      </c>
      <c r="H536" s="17" t="s">
        <v>11068</v>
      </c>
      <c r="I536" s="18" t="s">
        <v>11064</v>
      </c>
      <c r="J536" s="19" t="s">
        <v>11069</v>
      </c>
      <c r="K536" s="20" t="s">
        <v>257</v>
      </c>
      <c r="L536" s="21" t="s">
        <v>258</v>
      </c>
      <c r="M536" s="22" t="s">
        <v>259</v>
      </c>
      <c r="N536" s="23" t="s">
        <v>3345</v>
      </c>
      <c r="O536" s="24" t="s">
        <v>596</v>
      </c>
      <c r="P536" s="25" t="s">
        <v>11070</v>
      </c>
      <c r="Q536" s="26" t="s">
        <v>564</v>
      </c>
      <c r="R536" s="27">
        <v>19.600000000000001</v>
      </c>
      <c r="S536" s="28" t="s">
        <v>163</v>
      </c>
      <c r="T536" s="29" t="s">
        <v>164</v>
      </c>
      <c r="U536" s="30" t="s">
        <v>1063</v>
      </c>
      <c r="V536" s="31" t="s">
        <v>11071</v>
      </c>
      <c r="W536" s="32">
        <v>1900</v>
      </c>
      <c r="X536" s="33" t="s">
        <v>11072</v>
      </c>
      <c r="Y536" s="34" t="s">
        <v>153</v>
      </c>
      <c r="Z536" s="35" t="s">
        <v>153</v>
      </c>
      <c r="AA536" s="36">
        <v>1978</v>
      </c>
      <c r="AB536" s="37" t="s">
        <v>8675</v>
      </c>
      <c r="AC536" s="38" t="s">
        <v>153</v>
      </c>
      <c r="AD536" s="39" t="s">
        <v>153</v>
      </c>
      <c r="AE536" s="40" t="s">
        <v>153</v>
      </c>
      <c r="AF536" s="41" t="s">
        <v>153</v>
      </c>
      <c r="AG536" s="42" t="s">
        <v>153</v>
      </c>
      <c r="AH536" s="43" t="s">
        <v>153</v>
      </c>
      <c r="AI536" s="44" t="s">
        <v>153</v>
      </c>
      <c r="AJ536" s="45" t="s">
        <v>153</v>
      </c>
      <c r="AK536" s="46" t="s">
        <v>153</v>
      </c>
      <c r="AL536" s="47" t="s">
        <v>153</v>
      </c>
      <c r="AM536" s="48" t="s">
        <v>153</v>
      </c>
      <c r="AN536" s="49" t="s">
        <v>3331</v>
      </c>
      <c r="AO536" s="50" t="s">
        <v>11073</v>
      </c>
      <c r="AP536" s="51" t="s">
        <v>11074</v>
      </c>
      <c r="AQ536" s="52" t="s">
        <v>11075</v>
      </c>
      <c r="AR536" s="53" t="s">
        <v>11076</v>
      </c>
      <c r="AS536" s="54" t="s">
        <v>11077</v>
      </c>
      <c r="AT536" s="55" t="s">
        <v>11078</v>
      </c>
      <c r="AU536" s="56" t="s">
        <v>11079</v>
      </c>
      <c r="AV536" s="57" t="s">
        <v>11080</v>
      </c>
      <c r="AW536" s="58" t="s">
        <v>11081</v>
      </c>
      <c r="AX536" s="59" t="s">
        <v>436</v>
      </c>
      <c r="AY536" s="60" t="s">
        <v>11082</v>
      </c>
      <c r="AZ536" s="61" t="s">
        <v>215</v>
      </c>
      <c r="BA536" s="62" t="s">
        <v>11083</v>
      </c>
      <c r="BB536" s="63" t="s">
        <v>11084</v>
      </c>
      <c r="BC536" s="64" t="s">
        <v>153</v>
      </c>
      <c r="BD536" s="65" t="s">
        <v>216</v>
      </c>
      <c r="BE536" s="66" t="s">
        <v>217</v>
      </c>
      <c r="BF536" s="67" t="s">
        <v>11085</v>
      </c>
      <c r="BG536" s="68" t="s">
        <v>153</v>
      </c>
      <c r="BH536" s="69" t="s">
        <v>153</v>
      </c>
      <c r="BI536" s="70" t="s">
        <v>8675</v>
      </c>
      <c r="BJ536" s="71" t="s">
        <v>11086</v>
      </c>
      <c r="BK536" s="72" t="s">
        <v>153</v>
      </c>
      <c r="BL536" s="73" t="s">
        <v>153</v>
      </c>
      <c r="BM536" s="74" t="s">
        <v>11087</v>
      </c>
      <c r="BN536" s="75" t="s">
        <v>153</v>
      </c>
      <c r="BO536" s="76" t="s">
        <v>11088</v>
      </c>
      <c r="BP536" s="77" t="s">
        <v>11089</v>
      </c>
      <c r="BQ536" s="78">
        <v>31778</v>
      </c>
      <c r="BR536" s="79">
        <v>150</v>
      </c>
      <c r="BS536" s="80" t="s">
        <v>186</v>
      </c>
      <c r="BT536" s="81" t="s">
        <v>153</v>
      </c>
      <c r="BU536" s="82" t="s">
        <v>153</v>
      </c>
      <c r="BV536" s="83" t="s">
        <v>251</v>
      </c>
      <c r="BW536" s="84" t="s">
        <v>153</v>
      </c>
      <c r="BX536" s="85" t="s">
        <v>153</v>
      </c>
      <c r="BY536" s="86" t="s">
        <v>252</v>
      </c>
      <c r="BZ536" s="87" t="s">
        <v>153</v>
      </c>
      <c r="CA536" s="88" t="s">
        <v>190</v>
      </c>
      <c r="CB536" s="89">
        <v>42272</v>
      </c>
      <c r="CC536" s="90">
        <v>8135.6</v>
      </c>
      <c r="CD536" s="91" t="s">
        <v>186</v>
      </c>
      <c r="CE536" s="92">
        <v>8135.6</v>
      </c>
      <c r="CF536" s="93" t="s">
        <v>187</v>
      </c>
      <c r="CG536" s="94" t="s">
        <v>226</v>
      </c>
      <c r="CH536" s="95" t="s">
        <v>153</v>
      </c>
      <c r="CI536" s="96" t="s">
        <v>153</v>
      </c>
      <c r="CJ536" s="97" t="s">
        <v>225</v>
      </c>
      <c r="CK536" s="98">
        <v>42272</v>
      </c>
      <c r="CL536" s="99">
        <v>6500</v>
      </c>
      <c r="CM536" s="100" t="s">
        <v>11090</v>
      </c>
      <c r="CN536" s="101" t="s">
        <v>190</v>
      </c>
      <c r="CO536" s="102" t="s">
        <v>153</v>
      </c>
      <c r="CP536" s="103" t="s">
        <v>153</v>
      </c>
      <c r="CQ536" s="104" t="s">
        <v>153</v>
      </c>
      <c r="CR536" s="105" t="s">
        <v>153</v>
      </c>
      <c r="CS536" s="106" t="s">
        <v>153</v>
      </c>
      <c r="CT536" s="107" t="s">
        <v>153</v>
      </c>
      <c r="CU536" s="108" t="s">
        <v>153</v>
      </c>
      <c r="CV536" s="109" t="s">
        <v>153</v>
      </c>
      <c r="CW536" s="110" t="s">
        <v>153</v>
      </c>
      <c r="CX536" s="111" t="s">
        <v>153</v>
      </c>
      <c r="CY536" s="112" t="s">
        <v>153</v>
      </c>
      <c r="CZ536" s="113" t="s">
        <v>153</v>
      </c>
      <c r="DA536" s="114" t="s">
        <v>153</v>
      </c>
      <c r="DB536" s="115" t="s">
        <v>153</v>
      </c>
      <c r="DC536" s="116" t="s">
        <v>153</v>
      </c>
      <c r="DD536" s="117" t="s">
        <v>153</v>
      </c>
      <c r="DE536" s="118" t="s">
        <v>153</v>
      </c>
      <c r="DF536" s="119" t="s">
        <v>153</v>
      </c>
      <c r="DG536" s="120" t="s">
        <v>153</v>
      </c>
      <c r="DH536" s="121" t="s">
        <v>153</v>
      </c>
      <c r="DI536" s="122" t="s">
        <v>153</v>
      </c>
      <c r="DJ536" s="123" t="s">
        <v>153</v>
      </c>
      <c r="DK536" s="124" t="s">
        <v>153</v>
      </c>
      <c r="DL536" s="125" t="s">
        <v>153</v>
      </c>
      <c r="DM536" s="126" t="s">
        <v>153</v>
      </c>
      <c r="DN536" s="127" t="s">
        <v>153</v>
      </c>
      <c r="DO536" s="128" t="s">
        <v>153</v>
      </c>
      <c r="DP536" s="129" t="s">
        <v>153</v>
      </c>
      <c r="DQ536" s="130" t="s">
        <v>153</v>
      </c>
      <c r="DR536" s="131" t="s">
        <v>153</v>
      </c>
      <c r="DS536" s="132" t="s">
        <v>153</v>
      </c>
      <c r="DT536" s="133" t="s">
        <v>153</v>
      </c>
      <c r="DU536" s="134" t="s">
        <v>153</v>
      </c>
      <c r="DV536" s="135" t="s">
        <v>153</v>
      </c>
      <c r="DW536" s="136" t="s">
        <v>153</v>
      </c>
      <c r="DX536" s="137" t="s">
        <v>153</v>
      </c>
      <c r="DY536" s="138" t="s">
        <v>153</v>
      </c>
      <c r="DZ536" s="139" t="s">
        <v>191</v>
      </c>
      <c r="EA536" s="140">
        <v>44327</v>
      </c>
      <c r="EB536" s="141">
        <v>8135.6</v>
      </c>
      <c r="EC536" s="142">
        <v>42272</v>
      </c>
      <c r="ED536" s="143" t="s">
        <v>226</v>
      </c>
      <c r="EE536" s="278" t="str">
        <f>HYPERLINK("https://my.pitchbook.com?c=41914-18", "View company online")</f>
        <v>View company online</v>
      </c>
    </row>
    <row r="537" spans="1:135" x14ac:dyDescent="0.45">
      <c r="A537" s="144" t="s">
        <v>11091</v>
      </c>
      <c r="B537" s="145" t="s">
        <v>11092</v>
      </c>
      <c r="C537" s="146" t="s">
        <v>153</v>
      </c>
      <c r="D537" s="147" t="s">
        <v>153</v>
      </c>
      <c r="E537" s="148" t="s">
        <v>153</v>
      </c>
      <c r="F537" s="149" t="s">
        <v>11093</v>
      </c>
      <c r="G537" s="150" t="s">
        <v>153</v>
      </c>
      <c r="H537" s="151" t="s">
        <v>11094</v>
      </c>
      <c r="I537" s="152" t="s">
        <v>11091</v>
      </c>
      <c r="J537" s="153" t="s">
        <v>11095</v>
      </c>
      <c r="K537" s="154" t="s">
        <v>232</v>
      </c>
      <c r="L537" s="155" t="s">
        <v>233</v>
      </c>
      <c r="M537" s="156" t="s">
        <v>234</v>
      </c>
      <c r="N537" s="157" t="s">
        <v>235</v>
      </c>
      <c r="O537" s="158" t="s">
        <v>153</v>
      </c>
      <c r="P537" s="159" t="s">
        <v>11096</v>
      </c>
      <c r="Q537" s="160" t="s">
        <v>204</v>
      </c>
      <c r="R537" s="161" t="s">
        <v>153</v>
      </c>
      <c r="S537" s="162" t="s">
        <v>163</v>
      </c>
      <c r="T537" s="163" t="s">
        <v>1392</v>
      </c>
      <c r="U537" s="164" t="s">
        <v>237</v>
      </c>
      <c r="V537" s="165" t="s">
        <v>11097</v>
      </c>
      <c r="W537" s="166">
        <v>23210</v>
      </c>
      <c r="X537" s="167" t="s">
        <v>11098</v>
      </c>
      <c r="Y537" s="168" t="s">
        <v>153</v>
      </c>
      <c r="Z537" s="169" t="s">
        <v>153</v>
      </c>
      <c r="AA537" s="170">
        <v>1865</v>
      </c>
      <c r="AB537" s="171" t="s">
        <v>153</v>
      </c>
      <c r="AC537" s="172" t="s">
        <v>153</v>
      </c>
      <c r="AD537" s="173" t="s">
        <v>153</v>
      </c>
      <c r="AE537" s="174" t="s">
        <v>153</v>
      </c>
      <c r="AF537" s="175" t="s">
        <v>153</v>
      </c>
      <c r="AG537" s="176" t="s">
        <v>153</v>
      </c>
      <c r="AH537" s="177" t="s">
        <v>153</v>
      </c>
      <c r="AI537" s="178" t="s">
        <v>153</v>
      </c>
      <c r="AJ537" s="179" t="s">
        <v>153</v>
      </c>
      <c r="AK537" s="180" t="s">
        <v>153</v>
      </c>
      <c r="AL537" s="181" t="s">
        <v>153</v>
      </c>
      <c r="AM537" s="182" t="s">
        <v>153</v>
      </c>
      <c r="AN537" s="183" t="s">
        <v>5929</v>
      </c>
      <c r="AO537" s="184" t="s">
        <v>153</v>
      </c>
      <c r="AP537" s="185" t="s">
        <v>153</v>
      </c>
      <c r="AQ537" s="186" t="s">
        <v>153</v>
      </c>
      <c r="AR537" s="187" t="s">
        <v>153</v>
      </c>
      <c r="AS537" s="188" t="s">
        <v>153</v>
      </c>
      <c r="AT537" s="189" t="s">
        <v>11099</v>
      </c>
      <c r="AU537" s="190" t="s">
        <v>11100</v>
      </c>
      <c r="AV537" s="191" t="s">
        <v>11101</v>
      </c>
      <c r="AW537" s="192" t="s">
        <v>11102</v>
      </c>
      <c r="AX537" s="193" t="s">
        <v>153</v>
      </c>
      <c r="AY537" s="194" t="s">
        <v>11103</v>
      </c>
      <c r="AZ537" s="195" t="s">
        <v>3046</v>
      </c>
      <c r="BA537" s="196" t="s">
        <v>153</v>
      </c>
      <c r="BB537" s="197" t="s">
        <v>153</v>
      </c>
      <c r="BC537" s="198" t="s">
        <v>153</v>
      </c>
      <c r="BD537" s="199" t="s">
        <v>1406</v>
      </c>
      <c r="BE537" s="200" t="s">
        <v>3047</v>
      </c>
      <c r="BF537" s="201" t="s">
        <v>11104</v>
      </c>
      <c r="BG537" s="202" t="s">
        <v>153</v>
      </c>
      <c r="BH537" s="203" t="s">
        <v>153</v>
      </c>
      <c r="BI537" s="204" t="s">
        <v>11105</v>
      </c>
      <c r="BJ537" s="205" t="s">
        <v>153</v>
      </c>
      <c r="BK537" s="206" t="s">
        <v>153</v>
      </c>
      <c r="BL537" s="207" t="s">
        <v>153</v>
      </c>
      <c r="BM537" s="208" t="s">
        <v>153</v>
      </c>
      <c r="BN537" s="209" t="s">
        <v>153</v>
      </c>
      <c r="BO537" s="210" t="s">
        <v>11106</v>
      </c>
      <c r="BP537" s="211" t="s">
        <v>153</v>
      </c>
      <c r="BQ537" s="212">
        <v>43895</v>
      </c>
      <c r="BR537" s="213">
        <v>8132.19</v>
      </c>
      <c r="BS537" s="214" t="s">
        <v>186</v>
      </c>
      <c r="BT537" s="215">
        <v>8132.19</v>
      </c>
      <c r="BU537" s="216" t="s">
        <v>153</v>
      </c>
      <c r="BV537" s="217" t="s">
        <v>226</v>
      </c>
      <c r="BW537" s="218" t="s">
        <v>153</v>
      </c>
      <c r="BX537" s="219" t="s">
        <v>153</v>
      </c>
      <c r="BY537" s="220" t="s">
        <v>225</v>
      </c>
      <c r="BZ537" s="221" t="s">
        <v>153</v>
      </c>
      <c r="CA537" s="222" t="s">
        <v>190</v>
      </c>
      <c r="CB537" s="223">
        <v>43895</v>
      </c>
      <c r="CC537" s="224">
        <v>8132.19</v>
      </c>
      <c r="CD537" s="225" t="s">
        <v>186</v>
      </c>
      <c r="CE537" s="226">
        <v>8132.19</v>
      </c>
      <c r="CF537" s="227" t="s">
        <v>153</v>
      </c>
      <c r="CG537" s="228" t="s">
        <v>226</v>
      </c>
      <c r="CH537" s="229" t="s">
        <v>153</v>
      </c>
      <c r="CI537" s="230" t="s">
        <v>153</v>
      </c>
      <c r="CJ537" s="231" t="s">
        <v>225</v>
      </c>
      <c r="CK537" s="232">
        <v>43895</v>
      </c>
      <c r="CL537" s="233" t="s">
        <v>153</v>
      </c>
      <c r="CM537" s="234" t="s">
        <v>153</v>
      </c>
      <c r="CN537" s="235" t="s">
        <v>190</v>
      </c>
      <c r="CO537" s="236">
        <v>-0.33</v>
      </c>
      <c r="CP537" s="237">
        <v>6</v>
      </c>
      <c r="CQ537" s="238">
        <v>-0.12</v>
      </c>
      <c r="CR537" s="239">
        <v>-55.77</v>
      </c>
      <c r="CS537" s="240">
        <v>-0.33</v>
      </c>
      <c r="CT537" s="241">
        <v>6</v>
      </c>
      <c r="CU537" s="242" t="s">
        <v>153</v>
      </c>
      <c r="CV537" s="243" t="s">
        <v>153</v>
      </c>
      <c r="CW537" s="244" t="s">
        <v>153</v>
      </c>
      <c r="CX537" s="245" t="s">
        <v>153</v>
      </c>
      <c r="CY537" s="246">
        <v>-0.33</v>
      </c>
      <c r="CZ537" s="247">
        <v>3</v>
      </c>
      <c r="DA537" s="248" t="s">
        <v>153</v>
      </c>
      <c r="DB537" s="249" t="s">
        <v>153</v>
      </c>
      <c r="DC537" s="250">
        <v>71.75</v>
      </c>
      <c r="DD537" s="251">
        <v>99</v>
      </c>
      <c r="DE537" s="252">
        <v>-0.38</v>
      </c>
      <c r="DF537" s="253">
        <v>-0.52</v>
      </c>
      <c r="DG537" s="254">
        <v>71.75</v>
      </c>
      <c r="DH537" s="255">
        <v>99</v>
      </c>
      <c r="DI537" s="256" t="s">
        <v>153</v>
      </c>
      <c r="DJ537" s="257" t="s">
        <v>153</v>
      </c>
      <c r="DK537" s="258" t="s">
        <v>153</v>
      </c>
      <c r="DL537" s="259" t="s">
        <v>153</v>
      </c>
      <c r="DM537" s="260">
        <v>71.75</v>
      </c>
      <c r="DN537" s="261">
        <v>99</v>
      </c>
      <c r="DO537" s="262" t="s">
        <v>153</v>
      </c>
      <c r="DP537" s="263" t="s">
        <v>153</v>
      </c>
      <c r="DQ537" s="264" t="s">
        <v>153</v>
      </c>
      <c r="DR537" s="265" t="s">
        <v>153</v>
      </c>
      <c r="DS537" s="266" t="s">
        <v>153</v>
      </c>
      <c r="DT537" s="267">
        <v>1150</v>
      </c>
      <c r="DU537" s="268">
        <v>-7</v>
      </c>
      <c r="DV537" s="269">
        <v>-0.61</v>
      </c>
      <c r="DW537" s="270" t="s">
        <v>153</v>
      </c>
      <c r="DX537" s="271" t="s">
        <v>153</v>
      </c>
      <c r="DY537" s="272" t="s">
        <v>153</v>
      </c>
      <c r="DZ537" s="273" t="s">
        <v>191</v>
      </c>
      <c r="EA537" s="274">
        <v>44057</v>
      </c>
      <c r="EB537" s="275">
        <v>8132.19</v>
      </c>
      <c r="EC537" s="276">
        <v>43895</v>
      </c>
      <c r="ED537" s="277" t="s">
        <v>226</v>
      </c>
      <c r="EE537" s="279" t="str">
        <f>HYPERLINK("https://my.pitchbook.com?c=13483-00", "View company online")</f>
        <v>View company online</v>
      </c>
    </row>
    <row r="538" spans="1:135" x14ac:dyDescent="0.45">
      <c r="A538" s="10" t="s">
        <v>11107</v>
      </c>
      <c r="B538" s="11" t="s">
        <v>11108</v>
      </c>
      <c r="C538" s="12" t="s">
        <v>153</v>
      </c>
      <c r="D538" s="13" t="s">
        <v>153</v>
      </c>
      <c r="E538" s="14" t="s">
        <v>153</v>
      </c>
      <c r="F538" s="15" t="s">
        <v>11109</v>
      </c>
      <c r="G538" s="16" t="s">
        <v>11110</v>
      </c>
      <c r="H538" s="17" t="s">
        <v>11111</v>
      </c>
      <c r="I538" s="18" t="s">
        <v>11107</v>
      </c>
      <c r="J538" s="19" t="s">
        <v>11112</v>
      </c>
      <c r="K538" s="20" t="s">
        <v>232</v>
      </c>
      <c r="L538" s="21" t="s">
        <v>233</v>
      </c>
      <c r="M538" s="22" t="s">
        <v>234</v>
      </c>
      <c r="N538" s="23" t="s">
        <v>235</v>
      </c>
      <c r="O538" s="24" t="s">
        <v>153</v>
      </c>
      <c r="P538" s="25" t="s">
        <v>11113</v>
      </c>
      <c r="Q538" s="26" t="s">
        <v>367</v>
      </c>
      <c r="R538" s="27">
        <v>8127.56</v>
      </c>
      <c r="S538" s="28" t="s">
        <v>290</v>
      </c>
      <c r="T538" s="29" t="s">
        <v>291</v>
      </c>
      <c r="U538" s="30" t="s">
        <v>565</v>
      </c>
      <c r="V538" s="31" t="s">
        <v>11114</v>
      </c>
      <c r="W538" s="32">
        <v>190175</v>
      </c>
      <c r="X538" s="33" t="s">
        <v>11115</v>
      </c>
      <c r="Y538" s="34" t="s">
        <v>3506</v>
      </c>
      <c r="Z538" s="35" t="s">
        <v>11116</v>
      </c>
      <c r="AA538" s="36">
        <v>1857</v>
      </c>
      <c r="AB538" s="37" t="s">
        <v>153</v>
      </c>
      <c r="AC538" s="38" t="s">
        <v>508</v>
      </c>
      <c r="AD538" s="39" t="s">
        <v>1067</v>
      </c>
      <c r="AE538" s="40">
        <v>43241.1</v>
      </c>
      <c r="AF538" s="41" t="s">
        <v>153</v>
      </c>
      <c r="AG538" s="42">
        <v>-8730.7000000000007</v>
      </c>
      <c r="AH538" s="43" t="s">
        <v>153</v>
      </c>
      <c r="AI538" s="44" t="s">
        <v>153</v>
      </c>
      <c r="AJ538" s="45" t="s">
        <v>153</v>
      </c>
      <c r="AK538" s="46">
        <v>63711.34</v>
      </c>
      <c r="AL538" s="47">
        <v>1336848.6499999999</v>
      </c>
      <c r="AM538" s="48">
        <v>-11.28</v>
      </c>
      <c r="AN538" s="49" t="s">
        <v>376</v>
      </c>
      <c r="AO538" s="50" t="s">
        <v>11117</v>
      </c>
      <c r="AP538" s="51" t="s">
        <v>11118</v>
      </c>
      <c r="AQ538" s="52" t="s">
        <v>11119</v>
      </c>
      <c r="AR538" s="53" t="s">
        <v>153</v>
      </c>
      <c r="AS538" s="54" t="s">
        <v>11120</v>
      </c>
      <c r="AT538" s="55" t="s">
        <v>11121</v>
      </c>
      <c r="AU538" s="56" t="s">
        <v>11122</v>
      </c>
      <c r="AV538" s="57" t="s">
        <v>11123</v>
      </c>
      <c r="AW538" s="58" t="s">
        <v>11124</v>
      </c>
      <c r="AX538" s="59" t="s">
        <v>2119</v>
      </c>
      <c r="AY538" s="60" t="s">
        <v>11125</v>
      </c>
      <c r="AZ538" s="61" t="s">
        <v>2121</v>
      </c>
      <c r="BA538" s="62" t="s">
        <v>11120</v>
      </c>
      <c r="BB538" s="63" t="s">
        <v>153</v>
      </c>
      <c r="BC538" s="64" t="s">
        <v>153</v>
      </c>
      <c r="BD538" s="65" t="s">
        <v>180</v>
      </c>
      <c r="BE538" s="66" t="s">
        <v>684</v>
      </c>
      <c r="BF538" s="67" t="s">
        <v>11126</v>
      </c>
      <c r="BG538" s="68" t="s">
        <v>11127</v>
      </c>
      <c r="BH538" s="69">
        <v>5</v>
      </c>
      <c r="BI538" s="70" t="s">
        <v>153</v>
      </c>
      <c r="BJ538" s="71" t="s">
        <v>153</v>
      </c>
      <c r="BK538" s="72" t="s">
        <v>153</v>
      </c>
      <c r="BL538" s="73" t="s">
        <v>11128</v>
      </c>
      <c r="BM538" s="74" t="s">
        <v>153</v>
      </c>
      <c r="BN538" s="75" t="s">
        <v>153</v>
      </c>
      <c r="BO538" s="76" t="s">
        <v>11129</v>
      </c>
      <c r="BP538" s="77" t="s">
        <v>11130</v>
      </c>
      <c r="BQ538" s="78">
        <v>32147</v>
      </c>
      <c r="BR538" s="79" t="s">
        <v>153</v>
      </c>
      <c r="BS538" s="80" t="s">
        <v>153</v>
      </c>
      <c r="BT538" s="81" t="s">
        <v>153</v>
      </c>
      <c r="BU538" s="82" t="s">
        <v>153</v>
      </c>
      <c r="BV538" s="83" t="s">
        <v>251</v>
      </c>
      <c r="BW538" s="84" t="s">
        <v>153</v>
      </c>
      <c r="BX538" s="85" t="s">
        <v>153</v>
      </c>
      <c r="BY538" s="86" t="s">
        <v>252</v>
      </c>
      <c r="BZ538" s="87" t="s">
        <v>153</v>
      </c>
      <c r="CA538" s="88" t="s">
        <v>190</v>
      </c>
      <c r="CB538" s="89">
        <v>42943</v>
      </c>
      <c r="CC538" s="90">
        <v>8127.56</v>
      </c>
      <c r="CD538" s="91" t="s">
        <v>186</v>
      </c>
      <c r="CE538" s="92" t="s">
        <v>153</v>
      </c>
      <c r="CF538" s="93" t="s">
        <v>153</v>
      </c>
      <c r="CG538" s="94" t="s">
        <v>393</v>
      </c>
      <c r="CH538" s="95" t="s">
        <v>153</v>
      </c>
      <c r="CI538" s="96" t="s">
        <v>153</v>
      </c>
      <c r="CJ538" s="97" t="s">
        <v>321</v>
      </c>
      <c r="CK538" s="98">
        <v>42943</v>
      </c>
      <c r="CL538" s="99" t="s">
        <v>153</v>
      </c>
      <c r="CM538" s="100" t="s">
        <v>153</v>
      </c>
      <c r="CN538" s="101" t="s">
        <v>190</v>
      </c>
      <c r="CO538" s="102">
        <v>0.16</v>
      </c>
      <c r="CP538" s="103">
        <v>90</v>
      </c>
      <c r="CQ538" s="104">
        <v>-0.02</v>
      </c>
      <c r="CR538" s="105">
        <v>-8.86</v>
      </c>
      <c r="CS538" s="106">
        <v>0.49</v>
      </c>
      <c r="CT538" s="107">
        <v>93</v>
      </c>
      <c r="CU538" s="108">
        <v>0.03</v>
      </c>
      <c r="CV538" s="109">
        <v>79</v>
      </c>
      <c r="CW538" s="110">
        <v>0.81</v>
      </c>
      <c r="CX538" s="111">
        <v>81</v>
      </c>
      <c r="CY538" s="112">
        <v>0.18</v>
      </c>
      <c r="CZ538" s="113">
        <v>91</v>
      </c>
      <c r="DA538" s="114">
        <v>0.03</v>
      </c>
      <c r="DB538" s="115">
        <v>79</v>
      </c>
      <c r="DC538" s="116">
        <v>2244.59</v>
      </c>
      <c r="DD538" s="117">
        <v>100</v>
      </c>
      <c r="DE538" s="118">
        <v>0.35</v>
      </c>
      <c r="DF538" s="119">
        <v>0.02</v>
      </c>
      <c r="DG538" s="120">
        <v>1337.11</v>
      </c>
      <c r="DH538" s="121">
        <v>100</v>
      </c>
      <c r="DI538" s="122">
        <v>256.8</v>
      </c>
      <c r="DJ538" s="123">
        <v>99</v>
      </c>
      <c r="DK538" s="124">
        <v>2278.59</v>
      </c>
      <c r="DL538" s="125">
        <v>100</v>
      </c>
      <c r="DM538" s="126">
        <v>395.63</v>
      </c>
      <c r="DN538" s="127">
        <v>100</v>
      </c>
      <c r="DO538" s="128">
        <v>256.8</v>
      </c>
      <c r="DP538" s="129">
        <v>99</v>
      </c>
      <c r="DQ538" s="130">
        <v>1346564</v>
      </c>
      <c r="DR538" s="131">
        <v>17016</v>
      </c>
      <c r="DS538" s="132">
        <v>1.28</v>
      </c>
      <c r="DT538" s="133">
        <v>6339</v>
      </c>
      <c r="DU538" s="134">
        <v>-9</v>
      </c>
      <c r="DV538" s="135">
        <v>-0.14000000000000001</v>
      </c>
      <c r="DW538" s="136">
        <v>80622</v>
      </c>
      <c r="DX538" s="137">
        <v>28</v>
      </c>
      <c r="DY538" s="138">
        <v>0.03</v>
      </c>
      <c r="DZ538" s="139" t="s">
        <v>191</v>
      </c>
      <c r="EA538" s="140">
        <v>44402</v>
      </c>
      <c r="EB538" s="141">
        <v>12121</v>
      </c>
      <c r="EC538" s="142">
        <v>39083</v>
      </c>
      <c r="ED538" s="143" t="s">
        <v>906</v>
      </c>
      <c r="EE538" s="278" t="str">
        <f>HYPERLINK("https://my.pitchbook.com?c=10616-86", "View company online")</f>
        <v>View company online</v>
      </c>
    </row>
    <row r="539" spans="1:135" x14ac:dyDescent="0.45">
      <c r="A539" s="144" t="s">
        <v>11131</v>
      </c>
      <c r="B539" s="145" t="s">
        <v>11132</v>
      </c>
      <c r="C539" s="146" t="s">
        <v>153</v>
      </c>
      <c r="D539" s="147" t="s">
        <v>153</v>
      </c>
      <c r="E539" s="148" t="s">
        <v>11133</v>
      </c>
      <c r="F539" s="149" t="s">
        <v>11134</v>
      </c>
      <c r="G539" s="150" t="s">
        <v>11135</v>
      </c>
      <c r="H539" s="151" t="s">
        <v>153</v>
      </c>
      <c r="I539" s="152" t="s">
        <v>11131</v>
      </c>
      <c r="J539" s="153" t="s">
        <v>153</v>
      </c>
      <c r="K539" s="154" t="s">
        <v>232</v>
      </c>
      <c r="L539" s="155" t="s">
        <v>233</v>
      </c>
      <c r="M539" s="156" t="s">
        <v>3219</v>
      </c>
      <c r="N539" s="157" t="s">
        <v>11136</v>
      </c>
      <c r="O539" s="158" t="s">
        <v>153</v>
      </c>
      <c r="P539" s="159" t="s">
        <v>11137</v>
      </c>
      <c r="Q539" s="160" t="s">
        <v>204</v>
      </c>
      <c r="R539" s="161" t="s">
        <v>153</v>
      </c>
      <c r="S539" s="162" t="s">
        <v>290</v>
      </c>
      <c r="T539" s="163" t="s">
        <v>205</v>
      </c>
      <c r="U539" s="164" t="s">
        <v>237</v>
      </c>
      <c r="V539" s="165" t="s">
        <v>11138</v>
      </c>
      <c r="W539" s="166">
        <v>6500</v>
      </c>
      <c r="X539" s="167" t="s">
        <v>11139</v>
      </c>
      <c r="Y539" s="168" t="s">
        <v>153</v>
      </c>
      <c r="Z539" s="169" t="s">
        <v>153</v>
      </c>
      <c r="AA539" s="170">
        <v>1846</v>
      </c>
      <c r="AB539" s="171" t="s">
        <v>153</v>
      </c>
      <c r="AC539" s="172" t="s">
        <v>153</v>
      </c>
      <c r="AD539" s="173" t="s">
        <v>153</v>
      </c>
      <c r="AE539" s="174" t="s">
        <v>153</v>
      </c>
      <c r="AF539" s="175" t="s">
        <v>153</v>
      </c>
      <c r="AG539" s="176" t="s">
        <v>153</v>
      </c>
      <c r="AH539" s="177" t="s">
        <v>153</v>
      </c>
      <c r="AI539" s="178" t="s">
        <v>153</v>
      </c>
      <c r="AJ539" s="179" t="s">
        <v>153</v>
      </c>
      <c r="AK539" s="180" t="s">
        <v>153</v>
      </c>
      <c r="AL539" s="181" t="s">
        <v>153</v>
      </c>
      <c r="AM539" s="182" t="s">
        <v>153</v>
      </c>
      <c r="AN539" s="183" t="s">
        <v>11140</v>
      </c>
      <c r="AO539" s="184" t="s">
        <v>153</v>
      </c>
      <c r="AP539" s="185" t="s">
        <v>153</v>
      </c>
      <c r="AQ539" s="186" t="s">
        <v>153</v>
      </c>
      <c r="AR539" s="187" t="s">
        <v>153</v>
      </c>
      <c r="AS539" s="188" t="s">
        <v>153</v>
      </c>
      <c r="AT539" s="189" t="s">
        <v>11141</v>
      </c>
      <c r="AU539" s="190" t="s">
        <v>11142</v>
      </c>
      <c r="AV539" s="191" t="s">
        <v>153</v>
      </c>
      <c r="AW539" s="192" t="s">
        <v>11143</v>
      </c>
      <c r="AX539" s="193" t="s">
        <v>177</v>
      </c>
      <c r="AY539" s="194" t="s">
        <v>11144</v>
      </c>
      <c r="AZ539" s="195" t="s">
        <v>179</v>
      </c>
      <c r="BA539" s="196" t="s">
        <v>153</v>
      </c>
      <c r="BB539" s="197" t="s">
        <v>153</v>
      </c>
      <c r="BC539" s="198" t="s">
        <v>153</v>
      </c>
      <c r="BD539" s="199" t="s">
        <v>180</v>
      </c>
      <c r="BE539" s="200" t="s">
        <v>181</v>
      </c>
      <c r="BF539" s="201" t="s">
        <v>11145</v>
      </c>
      <c r="BG539" s="202" t="s">
        <v>153</v>
      </c>
      <c r="BH539" s="203" t="s">
        <v>153</v>
      </c>
      <c r="BI539" s="204" t="s">
        <v>5185</v>
      </c>
      <c r="BJ539" s="205" t="s">
        <v>153</v>
      </c>
      <c r="BK539" s="206" t="s">
        <v>153</v>
      </c>
      <c r="BL539" s="207" t="s">
        <v>153</v>
      </c>
      <c r="BM539" s="208" t="s">
        <v>153</v>
      </c>
      <c r="BN539" s="209" t="s">
        <v>153</v>
      </c>
      <c r="BO539" s="210" t="s">
        <v>153</v>
      </c>
      <c r="BP539" s="211" t="s">
        <v>153</v>
      </c>
      <c r="BQ539" s="212">
        <v>35643</v>
      </c>
      <c r="BR539" s="213" t="s">
        <v>153</v>
      </c>
      <c r="BS539" s="214" t="s">
        <v>153</v>
      </c>
      <c r="BT539" s="215" t="s">
        <v>153</v>
      </c>
      <c r="BU539" s="216" t="s">
        <v>153</v>
      </c>
      <c r="BV539" s="217" t="s">
        <v>251</v>
      </c>
      <c r="BW539" s="218" t="s">
        <v>153</v>
      </c>
      <c r="BX539" s="219" t="s">
        <v>153</v>
      </c>
      <c r="BY539" s="220" t="s">
        <v>252</v>
      </c>
      <c r="BZ539" s="221" t="s">
        <v>153</v>
      </c>
      <c r="CA539" s="222" t="s">
        <v>190</v>
      </c>
      <c r="CB539" s="223">
        <v>36749</v>
      </c>
      <c r="CC539" s="224">
        <v>8124.72</v>
      </c>
      <c r="CD539" s="225" t="s">
        <v>187</v>
      </c>
      <c r="CE539" s="226">
        <v>8124.72</v>
      </c>
      <c r="CF539" s="227" t="s">
        <v>187</v>
      </c>
      <c r="CG539" s="228" t="s">
        <v>226</v>
      </c>
      <c r="CH539" s="229" t="s">
        <v>153</v>
      </c>
      <c r="CI539" s="230" t="s">
        <v>153</v>
      </c>
      <c r="CJ539" s="231" t="s">
        <v>225</v>
      </c>
      <c r="CK539" s="232">
        <v>36749</v>
      </c>
      <c r="CL539" s="233" t="s">
        <v>153</v>
      </c>
      <c r="CM539" s="234" t="s">
        <v>153</v>
      </c>
      <c r="CN539" s="235" t="s">
        <v>190</v>
      </c>
      <c r="CO539" s="236" t="s">
        <v>153</v>
      </c>
      <c r="CP539" s="237" t="s">
        <v>153</v>
      </c>
      <c r="CQ539" s="238" t="s">
        <v>153</v>
      </c>
      <c r="CR539" s="239" t="s">
        <v>153</v>
      </c>
      <c r="CS539" s="240" t="s">
        <v>153</v>
      </c>
      <c r="CT539" s="241" t="s">
        <v>153</v>
      </c>
      <c r="CU539" s="242" t="s">
        <v>153</v>
      </c>
      <c r="CV539" s="243" t="s">
        <v>153</v>
      </c>
      <c r="CW539" s="244" t="s">
        <v>153</v>
      </c>
      <c r="CX539" s="245" t="s">
        <v>153</v>
      </c>
      <c r="CY539" s="246" t="s">
        <v>153</v>
      </c>
      <c r="CZ539" s="247" t="s">
        <v>153</v>
      </c>
      <c r="DA539" s="248" t="s">
        <v>153</v>
      </c>
      <c r="DB539" s="249" t="s">
        <v>153</v>
      </c>
      <c r="DC539" s="250" t="s">
        <v>153</v>
      </c>
      <c r="DD539" s="251" t="s">
        <v>153</v>
      </c>
      <c r="DE539" s="252" t="s">
        <v>153</v>
      </c>
      <c r="DF539" s="253" t="s">
        <v>153</v>
      </c>
      <c r="DG539" s="254" t="s">
        <v>153</v>
      </c>
      <c r="DH539" s="255" t="s">
        <v>153</v>
      </c>
      <c r="DI539" s="256" t="s">
        <v>153</v>
      </c>
      <c r="DJ539" s="257" t="s">
        <v>153</v>
      </c>
      <c r="DK539" s="258" t="s">
        <v>153</v>
      </c>
      <c r="DL539" s="259" t="s">
        <v>153</v>
      </c>
      <c r="DM539" s="260" t="s">
        <v>153</v>
      </c>
      <c r="DN539" s="261" t="s">
        <v>153</v>
      </c>
      <c r="DO539" s="262" t="s">
        <v>153</v>
      </c>
      <c r="DP539" s="263" t="s">
        <v>153</v>
      </c>
      <c r="DQ539" s="264" t="s">
        <v>153</v>
      </c>
      <c r="DR539" s="265" t="s">
        <v>153</v>
      </c>
      <c r="DS539" s="266" t="s">
        <v>153</v>
      </c>
      <c r="DT539" s="267" t="s">
        <v>153</v>
      </c>
      <c r="DU539" s="268" t="s">
        <v>153</v>
      </c>
      <c r="DV539" s="269" t="s">
        <v>153</v>
      </c>
      <c r="DW539" s="270" t="s">
        <v>153</v>
      </c>
      <c r="DX539" s="271" t="s">
        <v>153</v>
      </c>
      <c r="DY539" s="272" t="s">
        <v>153</v>
      </c>
      <c r="DZ539" s="273" t="s">
        <v>191</v>
      </c>
      <c r="EA539" s="274">
        <v>44156</v>
      </c>
      <c r="EB539" s="275">
        <v>8124.72</v>
      </c>
      <c r="EC539" s="276">
        <v>36749</v>
      </c>
      <c r="ED539" s="277" t="s">
        <v>226</v>
      </c>
      <c r="EE539" s="279" t="str">
        <f>HYPERLINK("https://my.pitchbook.com?c=155098-63", "View company online")</f>
        <v>View company online</v>
      </c>
    </row>
    <row r="540" spans="1:135" x14ac:dyDescent="0.45">
      <c r="A540" s="10" t="s">
        <v>11146</v>
      </c>
      <c r="B540" s="11" t="s">
        <v>11147</v>
      </c>
      <c r="C540" s="12" t="s">
        <v>153</v>
      </c>
      <c r="D540" s="13" t="s">
        <v>153</v>
      </c>
      <c r="E540" s="14" t="s">
        <v>11148</v>
      </c>
      <c r="F540" s="15" t="s">
        <v>11149</v>
      </c>
      <c r="G540" s="16" t="s">
        <v>11150</v>
      </c>
      <c r="H540" s="17" t="s">
        <v>153</v>
      </c>
      <c r="I540" s="18" t="s">
        <v>11146</v>
      </c>
      <c r="J540" s="19" t="s">
        <v>11151</v>
      </c>
      <c r="K540" s="20" t="s">
        <v>882</v>
      </c>
      <c r="L540" s="21" t="s">
        <v>1257</v>
      </c>
      <c r="M540" s="22" t="s">
        <v>2561</v>
      </c>
      <c r="N540" s="23" t="s">
        <v>11152</v>
      </c>
      <c r="O540" s="24" t="s">
        <v>153</v>
      </c>
      <c r="P540" s="25" t="s">
        <v>11153</v>
      </c>
      <c r="Q540" s="26" t="s">
        <v>564</v>
      </c>
      <c r="R540" s="27">
        <v>20</v>
      </c>
      <c r="S540" s="28" t="s">
        <v>290</v>
      </c>
      <c r="T540" s="29" t="s">
        <v>205</v>
      </c>
      <c r="U540" s="30" t="s">
        <v>1063</v>
      </c>
      <c r="V540" s="31" t="s">
        <v>11154</v>
      </c>
      <c r="W540" s="32">
        <v>1276</v>
      </c>
      <c r="X540" s="33" t="s">
        <v>11155</v>
      </c>
      <c r="Y540" s="34" t="s">
        <v>153</v>
      </c>
      <c r="Z540" s="35" t="s">
        <v>153</v>
      </c>
      <c r="AA540" s="36">
        <v>2002</v>
      </c>
      <c r="AB540" s="37" t="s">
        <v>153</v>
      </c>
      <c r="AC540" s="38" t="s">
        <v>153</v>
      </c>
      <c r="AD540" s="39" t="s">
        <v>153</v>
      </c>
      <c r="AE540" s="40" t="s">
        <v>153</v>
      </c>
      <c r="AF540" s="41" t="s">
        <v>153</v>
      </c>
      <c r="AG540" s="42" t="s">
        <v>153</v>
      </c>
      <c r="AH540" s="43" t="s">
        <v>153</v>
      </c>
      <c r="AI540" s="44" t="s">
        <v>153</v>
      </c>
      <c r="AJ540" s="45" t="s">
        <v>153</v>
      </c>
      <c r="AK540" s="46" t="s">
        <v>153</v>
      </c>
      <c r="AL540" s="47" t="s">
        <v>153</v>
      </c>
      <c r="AM540" s="48" t="s">
        <v>153</v>
      </c>
      <c r="AN540" s="49" t="s">
        <v>330</v>
      </c>
      <c r="AO540" s="50" t="s">
        <v>11156</v>
      </c>
      <c r="AP540" s="51" t="s">
        <v>11157</v>
      </c>
      <c r="AQ540" s="52" t="s">
        <v>6548</v>
      </c>
      <c r="AR540" s="53" t="s">
        <v>153</v>
      </c>
      <c r="AS540" s="54" t="s">
        <v>11158</v>
      </c>
      <c r="AT540" s="55" t="s">
        <v>11159</v>
      </c>
      <c r="AU540" s="56" t="s">
        <v>11160</v>
      </c>
      <c r="AV540" s="57" t="s">
        <v>153</v>
      </c>
      <c r="AW540" s="58" t="s">
        <v>11161</v>
      </c>
      <c r="AX540" s="59" t="s">
        <v>153</v>
      </c>
      <c r="AY540" s="60" t="s">
        <v>11162</v>
      </c>
      <c r="AZ540" s="61" t="s">
        <v>352</v>
      </c>
      <c r="BA540" s="62" t="s">
        <v>11158</v>
      </c>
      <c r="BB540" s="63" t="s">
        <v>11163</v>
      </c>
      <c r="BC540" s="64" t="s">
        <v>153</v>
      </c>
      <c r="BD540" s="65" t="s">
        <v>180</v>
      </c>
      <c r="BE540" s="66" t="s">
        <v>181</v>
      </c>
      <c r="BF540" s="67" t="s">
        <v>11164</v>
      </c>
      <c r="BG540" s="68" t="s">
        <v>153</v>
      </c>
      <c r="BH540" s="69" t="s">
        <v>153</v>
      </c>
      <c r="BI540" s="70" t="s">
        <v>5761</v>
      </c>
      <c r="BJ540" s="71" t="s">
        <v>11165</v>
      </c>
      <c r="BK540" s="72" t="s">
        <v>153</v>
      </c>
      <c r="BL540" s="73" t="s">
        <v>153</v>
      </c>
      <c r="BM540" s="74" t="s">
        <v>11166</v>
      </c>
      <c r="BN540" s="75" t="s">
        <v>153</v>
      </c>
      <c r="BO540" s="76" t="s">
        <v>11167</v>
      </c>
      <c r="BP540" s="77" t="s">
        <v>11168</v>
      </c>
      <c r="BQ540" s="78">
        <v>38625</v>
      </c>
      <c r="BR540" s="79">
        <v>20</v>
      </c>
      <c r="BS540" s="80" t="s">
        <v>186</v>
      </c>
      <c r="BT540" s="81" t="s">
        <v>153</v>
      </c>
      <c r="BU540" s="82" t="s">
        <v>153</v>
      </c>
      <c r="BV540" s="83" t="s">
        <v>4289</v>
      </c>
      <c r="BW540" s="84" t="s">
        <v>153</v>
      </c>
      <c r="BX540" s="85" t="s">
        <v>153</v>
      </c>
      <c r="BY540" s="86" t="s">
        <v>4290</v>
      </c>
      <c r="BZ540" s="87" t="s">
        <v>11169</v>
      </c>
      <c r="CA540" s="88" t="s">
        <v>190</v>
      </c>
      <c r="CB540" s="89">
        <v>38807</v>
      </c>
      <c r="CC540" s="90">
        <v>8109.24</v>
      </c>
      <c r="CD540" s="91" t="s">
        <v>186</v>
      </c>
      <c r="CE540" s="92">
        <v>12249.61</v>
      </c>
      <c r="CF540" s="93" t="s">
        <v>187</v>
      </c>
      <c r="CG540" s="94" t="s">
        <v>226</v>
      </c>
      <c r="CH540" s="95" t="s">
        <v>153</v>
      </c>
      <c r="CI540" s="96" t="s">
        <v>153</v>
      </c>
      <c r="CJ540" s="97" t="s">
        <v>225</v>
      </c>
      <c r="CK540" s="98">
        <v>38807</v>
      </c>
      <c r="CL540" s="99" t="s">
        <v>153</v>
      </c>
      <c r="CM540" s="100" t="s">
        <v>153</v>
      </c>
      <c r="CN540" s="101" t="s">
        <v>190</v>
      </c>
      <c r="CO540" s="102" t="s">
        <v>153</v>
      </c>
      <c r="CP540" s="103" t="s">
        <v>153</v>
      </c>
      <c r="CQ540" s="104" t="s">
        <v>153</v>
      </c>
      <c r="CR540" s="105" t="s">
        <v>153</v>
      </c>
      <c r="CS540" s="106" t="s">
        <v>153</v>
      </c>
      <c r="CT540" s="107" t="s">
        <v>153</v>
      </c>
      <c r="CU540" s="108" t="s">
        <v>153</v>
      </c>
      <c r="CV540" s="109" t="s">
        <v>153</v>
      </c>
      <c r="CW540" s="110" t="s">
        <v>153</v>
      </c>
      <c r="CX540" s="111" t="s">
        <v>153</v>
      </c>
      <c r="CY540" s="112" t="s">
        <v>153</v>
      </c>
      <c r="CZ540" s="113" t="s">
        <v>153</v>
      </c>
      <c r="DA540" s="114" t="s">
        <v>153</v>
      </c>
      <c r="DB540" s="115" t="s">
        <v>153</v>
      </c>
      <c r="DC540" s="116" t="s">
        <v>153</v>
      </c>
      <c r="DD540" s="117" t="s">
        <v>153</v>
      </c>
      <c r="DE540" s="118" t="s">
        <v>153</v>
      </c>
      <c r="DF540" s="119" t="s">
        <v>153</v>
      </c>
      <c r="DG540" s="120" t="s">
        <v>153</v>
      </c>
      <c r="DH540" s="121" t="s">
        <v>153</v>
      </c>
      <c r="DI540" s="122" t="s">
        <v>153</v>
      </c>
      <c r="DJ540" s="123" t="s">
        <v>153</v>
      </c>
      <c r="DK540" s="124" t="s">
        <v>153</v>
      </c>
      <c r="DL540" s="125" t="s">
        <v>153</v>
      </c>
      <c r="DM540" s="126" t="s">
        <v>153</v>
      </c>
      <c r="DN540" s="127" t="s">
        <v>153</v>
      </c>
      <c r="DO540" s="128" t="s">
        <v>153</v>
      </c>
      <c r="DP540" s="129" t="s">
        <v>153</v>
      </c>
      <c r="DQ540" s="130" t="s">
        <v>153</v>
      </c>
      <c r="DR540" s="131" t="s">
        <v>153</v>
      </c>
      <c r="DS540" s="132" t="s">
        <v>153</v>
      </c>
      <c r="DT540" s="133" t="s">
        <v>153</v>
      </c>
      <c r="DU540" s="134" t="s">
        <v>153</v>
      </c>
      <c r="DV540" s="135" t="s">
        <v>153</v>
      </c>
      <c r="DW540" s="136" t="s">
        <v>153</v>
      </c>
      <c r="DX540" s="137" t="s">
        <v>153</v>
      </c>
      <c r="DY540" s="138" t="s">
        <v>153</v>
      </c>
      <c r="DZ540" s="139" t="s">
        <v>191</v>
      </c>
      <c r="EA540" s="140">
        <v>44391</v>
      </c>
      <c r="EB540" s="141">
        <v>12249.61</v>
      </c>
      <c r="EC540" s="142">
        <v>38807</v>
      </c>
      <c r="ED540" s="143" t="s">
        <v>226</v>
      </c>
      <c r="EE540" s="278" t="str">
        <f>HYPERLINK("https://my.pitchbook.com?c=52214-23", "View company online")</f>
        <v>View company online</v>
      </c>
    </row>
    <row r="541" spans="1:135" x14ac:dyDescent="0.45">
      <c r="A541" s="144" t="s">
        <v>11170</v>
      </c>
      <c r="B541" s="145" t="s">
        <v>11171</v>
      </c>
      <c r="C541" s="146" t="s">
        <v>153</v>
      </c>
      <c r="D541" s="147" t="s">
        <v>153</v>
      </c>
      <c r="E541" s="148" t="s">
        <v>11172</v>
      </c>
      <c r="F541" s="149" t="s">
        <v>153</v>
      </c>
      <c r="G541" s="150" t="s">
        <v>11173</v>
      </c>
      <c r="H541" s="151" t="s">
        <v>153</v>
      </c>
      <c r="I541" s="152" t="s">
        <v>11170</v>
      </c>
      <c r="J541" s="153" t="s">
        <v>11174</v>
      </c>
      <c r="K541" s="154" t="s">
        <v>559</v>
      </c>
      <c r="L541" s="155" t="s">
        <v>1345</v>
      </c>
      <c r="M541" s="156" t="s">
        <v>3286</v>
      </c>
      <c r="N541" s="157" t="s">
        <v>11175</v>
      </c>
      <c r="O541" s="158" t="s">
        <v>153</v>
      </c>
      <c r="P541" s="159" t="s">
        <v>11176</v>
      </c>
      <c r="Q541" s="160" t="s">
        <v>204</v>
      </c>
      <c r="R541" s="161" t="s">
        <v>153</v>
      </c>
      <c r="S541" s="162" t="s">
        <v>290</v>
      </c>
      <c r="T541" s="163" t="s">
        <v>205</v>
      </c>
      <c r="U541" s="164" t="s">
        <v>237</v>
      </c>
      <c r="V541" s="165" t="s">
        <v>153</v>
      </c>
      <c r="W541" s="166">
        <v>5001</v>
      </c>
      <c r="X541" s="167" t="s">
        <v>11177</v>
      </c>
      <c r="Y541" s="168" t="s">
        <v>153</v>
      </c>
      <c r="Z541" s="169" t="s">
        <v>153</v>
      </c>
      <c r="AA541" s="170">
        <v>1920</v>
      </c>
      <c r="AB541" s="171" t="s">
        <v>153</v>
      </c>
      <c r="AC541" s="172" t="s">
        <v>153</v>
      </c>
      <c r="AD541" s="173" t="s">
        <v>153</v>
      </c>
      <c r="AE541" s="174" t="s">
        <v>153</v>
      </c>
      <c r="AF541" s="175" t="s">
        <v>153</v>
      </c>
      <c r="AG541" s="176" t="s">
        <v>153</v>
      </c>
      <c r="AH541" s="177" t="s">
        <v>153</v>
      </c>
      <c r="AI541" s="178" t="s">
        <v>153</v>
      </c>
      <c r="AJ541" s="179" t="s">
        <v>153</v>
      </c>
      <c r="AK541" s="180" t="s">
        <v>153</v>
      </c>
      <c r="AL541" s="181" t="s">
        <v>153</v>
      </c>
      <c r="AM541" s="182" t="s">
        <v>153</v>
      </c>
      <c r="AN541" s="183" t="s">
        <v>9935</v>
      </c>
      <c r="AO541" s="184" t="s">
        <v>11178</v>
      </c>
      <c r="AP541" s="185" t="s">
        <v>11179</v>
      </c>
      <c r="AQ541" s="186" t="s">
        <v>1241</v>
      </c>
      <c r="AR541" s="187" t="s">
        <v>153</v>
      </c>
      <c r="AS541" s="188" t="s">
        <v>11180</v>
      </c>
      <c r="AT541" s="189" t="s">
        <v>11181</v>
      </c>
      <c r="AU541" s="190" t="s">
        <v>11182</v>
      </c>
      <c r="AV541" s="191" t="s">
        <v>153</v>
      </c>
      <c r="AW541" s="192" t="s">
        <v>11183</v>
      </c>
      <c r="AX541" s="193" t="s">
        <v>2093</v>
      </c>
      <c r="AY541" s="194" t="s">
        <v>11184</v>
      </c>
      <c r="AZ541" s="195" t="s">
        <v>215</v>
      </c>
      <c r="BA541" s="196" t="s">
        <v>11180</v>
      </c>
      <c r="BB541" s="197" t="s">
        <v>11185</v>
      </c>
      <c r="BC541" s="198" t="s">
        <v>11186</v>
      </c>
      <c r="BD541" s="199" t="s">
        <v>216</v>
      </c>
      <c r="BE541" s="200" t="s">
        <v>217</v>
      </c>
      <c r="BF541" s="201" t="s">
        <v>11187</v>
      </c>
      <c r="BG541" s="202" t="s">
        <v>153</v>
      </c>
      <c r="BH541" s="203" t="s">
        <v>153</v>
      </c>
      <c r="BI541" s="204" t="s">
        <v>11188</v>
      </c>
      <c r="BJ541" s="205" t="s">
        <v>11189</v>
      </c>
      <c r="BK541" s="206" t="s">
        <v>153</v>
      </c>
      <c r="BL541" s="207" t="s">
        <v>153</v>
      </c>
      <c r="BM541" s="208" t="s">
        <v>11190</v>
      </c>
      <c r="BN541" s="209" t="s">
        <v>153</v>
      </c>
      <c r="BO541" s="210" t="s">
        <v>1131</v>
      </c>
      <c r="BP541" s="211" t="s">
        <v>11191</v>
      </c>
      <c r="BQ541" s="212">
        <v>36526</v>
      </c>
      <c r="BR541" s="213" t="s">
        <v>153</v>
      </c>
      <c r="BS541" s="214" t="s">
        <v>153</v>
      </c>
      <c r="BT541" s="215" t="s">
        <v>153</v>
      </c>
      <c r="BU541" s="216" t="s">
        <v>153</v>
      </c>
      <c r="BV541" s="217" t="s">
        <v>251</v>
      </c>
      <c r="BW541" s="218" t="s">
        <v>524</v>
      </c>
      <c r="BX541" s="219" t="s">
        <v>153</v>
      </c>
      <c r="BY541" s="220" t="s">
        <v>252</v>
      </c>
      <c r="BZ541" s="221" t="s">
        <v>153</v>
      </c>
      <c r="CA541" s="222" t="s">
        <v>190</v>
      </c>
      <c r="CB541" s="223">
        <v>40695</v>
      </c>
      <c r="CC541" s="224">
        <v>8100</v>
      </c>
      <c r="CD541" s="225" t="s">
        <v>186</v>
      </c>
      <c r="CE541" s="226">
        <v>8100</v>
      </c>
      <c r="CF541" s="227" t="s">
        <v>186</v>
      </c>
      <c r="CG541" s="228" t="s">
        <v>226</v>
      </c>
      <c r="CH541" s="229" t="s">
        <v>153</v>
      </c>
      <c r="CI541" s="230" t="s">
        <v>153</v>
      </c>
      <c r="CJ541" s="231" t="s">
        <v>225</v>
      </c>
      <c r="CK541" s="232">
        <v>40695</v>
      </c>
      <c r="CL541" s="233" t="s">
        <v>153</v>
      </c>
      <c r="CM541" s="234" t="s">
        <v>153</v>
      </c>
      <c r="CN541" s="235" t="s">
        <v>190</v>
      </c>
      <c r="CO541" s="236" t="s">
        <v>153</v>
      </c>
      <c r="CP541" s="237" t="s">
        <v>153</v>
      </c>
      <c r="CQ541" s="238" t="s">
        <v>153</v>
      </c>
      <c r="CR541" s="239" t="s">
        <v>153</v>
      </c>
      <c r="CS541" s="240" t="s">
        <v>153</v>
      </c>
      <c r="CT541" s="241" t="s">
        <v>153</v>
      </c>
      <c r="CU541" s="242" t="s">
        <v>153</v>
      </c>
      <c r="CV541" s="243" t="s">
        <v>153</v>
      </c>
      <c r="CW541" s="244" t="s">
        <v>153</v>
      </c>
      <c r="CX541" s="245" t="s">
        <v>153</v>
      </c>
      <c r="CY541" s="246" t="s">
        <v>153</v>
      </c>
      <c r="CZ541" s="247" t="s">
        <v>153</v>
      </c>
      <c r="DA541" s="248" t="s">
        <v>153</v>
      </c>
      <c r="DB541" s="249" t="s">
        <v>153</v>
      </c>
      <c r="DC541" s="250" t="s">
        <v>153</v>
      </c>
      <c r="DD541" s="251" t="s">
        <v>153</v>
      </c>
      <c r="DE541" s="252" t="s">
        <v>153</v>
      </c>
      <c r="DF541" s="253" t="s">
        <v>153</v>
      </c>
      <c r="DG541" s="254" t="s">
        <v>153</v>
      </c>
      <c r="DH541" s="255" t="s">
        <v>153</v>
      </c>
      <c r="DI541" s="256" t="s">
        <v>153</v>
      </c>
      <c r="DJ541" s="257" t="s">
        <v>153</v>
      </c>
      <c r="DK541" s="258" t="s">
        <v>153</v>
      </c>
      <c r="DL541" s="259" t="s">
        <v>153</v>
      </c>
      <c r="DM541" s="260" t="s">
        <v>153</v>
      </c>
      <c r="DN541" s="261" t="s">
        <v>153</v>
      </c>
      <c r="DO541" s="262" t="s">
        <v>153</v>
      </c>
      <c r="DP541" s="263" t="s">
        <v>153</v>
      </c>
      <c r="DQ541" s="264" t="s">
        <v>153</v>
      </c>
      <c r="DR541" s="265" t="s">
        <v>153</v>
      </c>
      <c r="DS541" s="266" t="s">
        <v>153</v>
      </c>
      <c r="DT541" s="267" t="s">
        <v>153</v>
      </c>
      <c r="DU541" s="268" t="s">
        <v>153</v>
      </c>
      <c r="DV541" s="269" t="s">
        <v>153</v>
      </c>
      <c r="DW541" s="270" t="s">
        <v>153</v>
      </c>
      <c r="DX541" s="271" t="s">
        <v>153</v>
      </c>
      <c r="DY541" s="272" t="s">
        <v>153</v>
      </c>
      <c r="DZ541" s="273" t="s">
        <v>191</v>
      </c>
      <c r="EA541" s="274">
        <v>44217</v>
      </c>
      <c r="EB541" s="275">
        <v>8100</v>
      </c>
      <c r="EC541" s="276">
        <v>40695</v>
      </c>
      <c r="ED541" s="277" t="s">
        <v>226</v>
      </c>
      <c r="EE541" s="279" t="str">
        <f>HYPERLINK("https://my.pitchbook.com?c=41335-39", "View company online")</f>
        <v>View company online</v>
      </c>
    </row>
    <row r="542" spans="1:135" x14ac:dyDescent="0.45">
      <c r="A542" s="10" t="s">
        <v>11192</v>
      </c>
      <c r="B542" s="11" t="s">
        <v>11193</v>
      </c>
      <c r="C542" s="12" t="s">
        <v>153</v>
      </c>
      <c r="D542" s="13" t="s">
        <v>153</v>
      </c>
      <c r="E542" s="14" t="s">
        <v>153</v>
      </c>
      <c r="F542" s="15" t="s">
        <v>153</v>
      </c>
      <c r="G542" s="16" t="s">
        <v>11194</v>
      </c>
      <c r="H542" s="17" t="s">
        <v>11195</v>
      </c>
      <c r="I542" s="18" t="s">
        <v>11192</v>
      </c>
      <c r="J542" s="19" t="s">
        <v>11196</v>
      </c>
      <c r="K542" s="20" t="s">
        <v>232</v>
      </c>
      <c r="L542" s="21" t="s">
        <v>362</v>
      </c>
      <c r="M542" s="22" t="s">
        <v>362</v>
      </c>
      <c r="N542" s="23" t="s">
        <v>11197</v>
      </c>
      <c r="O542" s="24" t="s">
        <v>11198</v>
      </c>
      <c r="P542" s="25" t="s">
        <v>11199</v>
      </c>
      <c r="Q542" s="26" t="s">
        <v>289</v>
      </c>
      <c r="R542" s="27">
        <v>645.27</v>
      </c>
      <c r="S542" s="28" t="s">
        <v>290</v>
      </c>
      <c r="T542" s="29" t="s">
        <v>164</v>
      </c>
      <c r="U542" s="30" t="s">
        <v>6127</v>
      </c>
      <c r="V542" s="31" t="s">
        <v>11200</v>
      </c>
      <c r="W542" s="32">
        <v>1330</v>
      </c>
      <c r="X542" s="33" t="s">
        <v>11201</v>
      </c>
      <c r="Y542" s="34" t="s">
        <v>153</v>
      </c>
      <c r="Z542" s="35" t="s">
        <v>153</v>
      </c>
      <c r="AA542" s="36">
        <v>2007</v>
      </c>
      <c r="AB542" s="37" t="s">
        <v>153</v>
      </c>
      <c r="AC542" s="38" t="s">
        <v>153</v>
      </c>
      <c r="AD542" s="39" t="s">
        <v>153</v>
      </c>
      <c r="AE542" s="40" t="s">
        <v>153</v>
      </c>
      <c r="AF542" s="41" t="s">
        <v>153</v>
      </c>
      <c r="AG542" s="42" t="s">
        <v>153</v>
      </c>
      <c r="AH542" s="43" t="s">
        <v>153</v>
      </c>
      <c r="AI542" s="44" t="s">
        <v>153</v>
      </c>
      <c r="AJ542" s="45" t="s">
        <v>153</v>
      </c>
      <c r="AK542" s="46" t="s">
        <v>153</v>
      </c>
      <c r="AL542" s="47" t="s">
        <v>153</v>
      </c>
      <c r="AM542" s="48" t="s">
        <v>153</v>
      </c>
      <c r="AN542" s="49" t="s">
        <v>1765</v>
      </c>
      <c r="AO542" s="50" t="s">
        <v>11202</v>
      </c>
      <c r="AP542" s="51" t="s">
        <v>11203</v>
      </c>
      <c r="AQ542" s="52" t="s">
        <v>11204</v>
      </c>
      <c r="AR542" s="53" t="s">
        <v>11205</v>
      </c>
      <c r="AS542" s="54" t="s">
        <v>11206</v>
      </c>
      <c r="AT542" s="55" t="s">
        <v>997</v>
      </c>
      <c r="AU542" s="56" t="s">
        <v>11207</v>
      </c>
      <c r="AV542" s="57" t="s">
        <v>153</v>
      </c>
      <c r="AW542" s="58" t="s">
        <v>999</v>
      </c>
      <c r="AX542" s="59" t="s">
        <v>308</v>
      </c>
      <c r="AY542" s="60" t="s">
        <v>11208</v>
      </c>
      <c r="AZ542" s="61" t="s">
        <v>215</v>
      </c>
      <c r="BA542" s="62" t="s">
        <v>11206</v>
      </c>
      <c r="BB542" s="63" t="s">
        <v>11209</v>
      </c>
      <c r="BC542" s="64" t="s">
        <v>11210</v>
      </c>
      <c r="BD542" s="65" t="s">
        <v>216</v>
      </c>
      <c r="BE542" s="66" t="s">
        <v>217</v>
      </c>
      <c r="BF542" s="67" t="s">
        <v>11211</v>
      </c>
      <c r="BG542" s="68" t="s">
        <v>153</v>
      </c>
      <c r="BH542" s="69" t="s">
        <v>153</v>
      </c>
      <c r="BI542" s="70" t="s">
        <v>11212</v>
      </c>
      <c r="BJ542" s="71" t="s">
        <v>11213</v>
      </c>
      <c r="BK542" s="72" t="s">
        <v>153</v>
      </c>
      <c r="BL542" s="73" t="s">
        <v>153</v>
      </c>
      <c r="BM542" s="74" t="s">
        <v>11214</v>
      </c>
      <c r="BN542" s="75" t="s">
        <v>153</v>
      </c>
      <c r="BO542" s="76" t="s">
        <v>11215</v>
      </c>
      <c r="BP542" s="77" t="s">
        <v>11216</v>
      </c>
      <c r="BQ542" s="78">
        <v>39359</v>
      </c>
      <c r="BR542" s="79">
        <v>2.27</v>
      </c>
      <c r="BS542" s="80" t="s">
        <v>186</v>
      </c>
      <c r="BT542" s="81" t="s">
        <v>153</v>
      </c>
      <c r="BU542" s="82" t="s">
        <v>153</v>
      </c>
      <c r="BV542" s="83" t="s">
        <v>471</v>
      </c>
      <c r="BW542" s="84" t="s">
        <v>153</v>
      </c>
      <c r="BX542" s="85" t="s">
        <v>153</v>
      </c>
      <c r="BY542" s="86" t="s">
        <v>472</v>
      </c>
      <c r="BZ542" s="87" t="s">
        <v>153</v>
      </c>
      <c r="CA542" s="88" t="s">
        <v>190</v>
      </c>
      <c r="CB542" s="89">
        <v>44168</v>
      </c>
      <c r="CC542" s="90">
        <v>8100</v>
      </c>
      <c r="CD542" s="91" t="s">
        <v>186</v>
      </c>
      <c r="CE542" s="92">
        <v>8100</v>
      </c>
      <c r="CF542" s="93" t="s">
        <v>187</v>
      </c>
      <c r="CG542" s="94" t="s">
        <v>226</v>
      </c>
      <c r="CH542" s="95" t="s">
        <v>153</v>
      </c>
      <c r="CI542" s="96" t="s">
        <v>153</v>
      </c>
      <c r="CJ542" s="97" t="s">
        <v>225</v>
      </c>
      <c r="CK542" s="98">
        <v>44168</v>
      </c>
      <c r="CL542" s="99" t="s">
        <v>153</v>
      </c>
      <c r="CM542" s="100" t="s">
        <v>153</v>
      </c>
      <c r="CN542" s="101" t="s">
        <v>190</v>
      </c>
      <c r="CO542" s="102" t="s">
        <v>153</v>
      </c>
      <c r="CP542" s="103" t="s">
        <v>153</v>
      </c>
      <c r="CQ542" s="104" t="s">
        <v>153</v>
      </c>
      <c r="CR542" s="105" t="s">
        <v>153</v>
      </c>
      <c r="CS542" s="106" t="s">
        <v>153</v>
      </c>
      <c r="CT542" s="107" t="s">
        <v>153</v>
      </c>
      <c r="CU542" s="108" t="s">
        <v>153</v>
      </c>
      <c r="CV542" s="109" t="s">
        <v>153</v>
      </c>
      <c r="CW542" s="110" t="s">
        <v>153</v>
      </c>
      <c r="CX542" s="111" t="s">
        <v>153</v>
      </c>
      <c r="CY542" s="112" t="s">
        <v>153</v>
      </c>
      <c r="CZ542" s="113" t="s">
        <v>153</v>
      </c>
      <c r="DA542" s="114" t="s">
        <v>153</v>
      </c>
      <c r="DB542" s="115" t="s">
        <v>153</v>
      </c>
      <c r="DC542" s="116" t="s">
        <v>153</v>
      </c>
      <c r="DD542" s="117" t="s">
        <v>153</v>
      </c>
      <c r="DE542" s="118" t="s">
        <v>153</v>
      </c>
      <c r="DF542" s="119" t="s">
        <v>153</v>
      </c>
      <c r="DG542" s="120" t="s">
        <v>153</v>
      </c>
      <c r="DH542" s="121" t="s">
        <v>153</v>
      </c>
      <c r="DI542" s="122" t="s">
        <v>153</v>
      </c>
      <c r="DJ542" s="123" t="s">
        <v>153</v>
      </c>
      <c r="DK542" s="124" t="s">
        <v>153</v>
      </c>
      <c r="DL542" s="125" t="s">
        <v>153</v>
      </c>
      <c r="DM542" s="126" t="s">
        <v>153</v>
      </c>
      <c r="DN542" s="127" t="s">
        <v>153</v>
      </c>
      <c r="DO542" s="128" t="s">
        <v>153</v>
      </c>
      <c r="DP542" s="129" t="s">
        <v>153</v>
      </c>
      <c r="DQ542" s="130" t="s">
        <v>153</v>
      </c>
      <c r="DR542" s="131" t="s">
        <v>153</v>
      </c>
      <c r="DS542" s="132" t="s">
        <v>153</v>
      </c>
      <c r="DT542" s="133" t="s">
        <v>153</v>
      </c>
      <c r="DU542" s="134" t="s">
        <v>153</v>
      </c>
      <c r="DV542" s="135" t="s">
        <v>153</v>
      </c>
      <c r="DW542" s="136" t="s">
        <v>153</v>
      </c>
      <c r="DX542" s="137" t="s">
        <v>153</v>
      </c>
      <c r="DY542" s="138" t="s">
        <v>153</v>
      </c>
      <c r="DZ542" s="139" t="s">
        <v>191</v>
      </c>
      <c r="EA542" s="140">
        <v>44309</v>
      </c>
      <c r="EB542" s="141">
        <v>8100</v>
      </c>
      <c r="EC542" s="142">
        <v>44168</v>
      </c>
      <c r="ED542" s="143" t="s">
        <v>226</v>
      </c>
      <c r="EE542" s="278" t="str">
        <f>HYPERLINK("https://my.pitchbook.com?c=53629-75", "View company online")</f>
        <v>View company online</v>
      </c>
    </row>
    <row r="543" spans="1:135" x14ac:dyDescent="0.45">
      <c r="A543" s="144" t="s">
        <v>11217</v>
      </c>
      <c r="B543" s="145" t="s">
        <v>11218</v>
      </c>
      <c r="C543" s="146" t="s">
        <v>153</v>
      </c>
      <c r="D543" s="147" t="s">
        <v>153</v>
      </c>
      <c r="E543" s="148" t="s">
        <v>153</v>
      </c>
      <c r="F543" s="149" t="s">
        <v>153</v>
      </c>
      <c r="G543" s="150" t="s">
        <v>153</v>
      </c>
      <c r="H543" s="151" t="s">
        <v>153</v>
      </c>
      <c r="I543" s="152" t="s">
        <v>11217</v>
      </c>
      <c r="J543" s="153" t="s">
        <v>11219</v>
      </c>
      <c r="K543" s="154" t="s">
        <v>792</v>
      </c>
      <c r="L543" s="155" t="s">
        <v>793</v>
      </c>
      <c r="M543" s="156" t="s">
        <v>1211</v>
      </c>
      <c r="N543" s="157" t="s">
        <v>11220</v>
      </c>
      <c r="O543" s="158" t="s">
        <v>796</v>
      </c>
      <c r="P543" s="159" t="s">
        <v>11221</v>
      </c>
      <c r="Q543" s="160" t="s">
        <v>204</v>
      </c>
      <c r="R543" s="161" t="s">
        <v>153</v>
      </c>
      <c r="S543" s="162" t="s">
        <v>163</v>
      </c>
      <c r="T543" s="163" t="s">
        <v>205</v>
      </c>
      <c r="U543" s="164" t="s">
        <v>206</v>
      </c>
      <c r="V543" s="165" t="s">
        <v>153</v>
      </c>
      <c r="W543" s="166" t="s">
        <v>153</v>
      </c>
      <c r="X543" s="167" t="s">
        <v>153</v>
      </c>
      <c r="Y543" s="168" t="s">
        <v>153</v>
      </c>
      <c r="Z543" s="169" t="s">
        <v>153</v>
      </c>
      <c r="AA543" s="170" t="s">
        <v>153</v>
      </c>
      <c r="AB543" s="171" t="s">
        <v>153</v>
      </c>
      <c r="AC543" s="172" t="s">
        <v>153</v>
      </c>
      <c r="AD543" s="173" t="s">
        <v>153</v>
      </c>
      <c r="AE543" s="174" t="s">
        <v>153</v>
      </c>
      <c r="AF543" s="175" t="s">
        <v>153</v>
      </c>
      <c r="AG543" s="176" t="s">
        <v>153</v>
      </c>
      <c r="AH543" s="177" t="s">
        <v>153</v>
      </c>
      <c r="AI543" s="178" t="s">
        <v>153</v>
      </c>
      <c r="AJ543" s="179" t="s">
        <v>153</v>
      </c>
      <c r="AK543" s="180" t="s">
        <v>153</v>
      </c>
      <c r="AL543" s="181" t="s">
        <v>153</v>
      </c>
      <c r="AM543" s="182" t="s">
        <v>153</v>
      </c>
      <c r="AN543" s="183" t="s">
        <v>153</v>
      </c>
      <c r="AO543" s="184" t="s">
        <v>153</v>
      </c>
      <c r="AP543" s="185" t="s">
        <v>153</v>
      </c>
      <c r="AQ543" s="186" t="s">
        <v>153</v>
      </c>
      <c r="AR543" s="187" t="s">
        <v>153</v>
      </c>
      <c r="AS543" s="188" t="s">
        <v>153</v>
      </c>
      <c r="AT543" s="189" t="s">
        <v>11222</v>
      </c>
      <c r="AU543" s="190" t="s">
        <v>11223</v>
      </c>
      <c r="AV543" s="191" t="s">
        <v>153</v>
      </c>
      <c r="AW543" s="192" t="s">
        <v>11224</v>
      </c>
      <c r="AX543" s="193" t="s">
        <v>724</v>
      </c>
      <c r="AY543" s="194" t="s">
        <v>11225</v>
      </c>
      <c r="AZ543" s="195" t="s">
        <v>215</v>
      </c>
      <c r="BA543" s="196" t="s">
        <v>153</v>
      </c>
      <c r="BB543" s="197" t="s">
        <v>153</v>
      </c>
      <c r="BC543" s="198" t="s">
        <v>153</v>
      </c>
      <c r="BD543" s="199" t="s">
        <v>216</v>
      </c>
      <c r="BE543" s="200" t="s">
        <v>217</v>
      </c>
      <c r="BF543" s="201" t="s">
        <v>11226</v>
      </c>
      <c r="BG543" s="202" t="s">
        <v>153</v>
      </c>
      <c r="BH543" s="203" t="s">
        <v>153</v>
      </c>
      <c r="BI543" s="204" t="s">
        <v>5817</v>
      </c>
      <c r="BJ543" s="205" t="s">
        <v>2826</v>
      </c>
      <c r="BK543" s="206" t="s">
        <v>153</v>
      </c>
      <c r="BL543" s="207" t="s">
        <v>153</v>
      </c>
      <c r="BM543" s="208" t="s">
        <v>3253</v>
      </c>
      <c r="BN543" s="209" t="s">
        <v>153</v>
      </c>
      <c r="BO543" s="210" t="s">
        <v>153</v>
      </c>
      <c r="BP543" s="211" t="s">
        <v>153</v>
      </c>
      <c r="BQ543" s="212">
        <v>43132</v>
      </c>
      <c r="BR543" s="213">
        <v>8100</v>
      </c>
      <c r="BS543" s="214" t="s">
        <v>186</v>
      </c>
      <c r="BT543" s="215">
        <v>8100</v>
      </c>
      <c r="BU543" s="216" t="s">
        <v>186</v>
      </c>
      <c r="BV543" s="217" t="s">
        <v>226</v>
      </c>
      <c r="BW543" s="218" t="s">
        <v>729</v>
      </c>
      <c r="BX543" s="219" t="s">
        <v>153</v>
      </c>
      <c r="BY543" s="220" t="s">
        <v>225</v>
      </c>
      <c r="BZ543" s="221" t="s">
        <v>153</v>
      </c>
      <c r="CA543" s="222" t="s">
        <v>190</v>
      </c>
      <c r="CB543" s="223">
        <v>43132</v>
      </c>
      <c r="CC543" s="224">
        <v>8100</v>
      </c>
      <c r="CD543" s="225" t="s">
        <v>186</v>
      </c>
      <c r="CE543" s="226">
        <v>8100</v>
      </c>
      <c r="CF543" s="227" t="s">
        <v>186</v>
      </c>
      <c r="CG543" s="228" t="s">
        <v>226</v>
      </c>
      <c r="CH543" s="229" t="s">
        <v>729</v>
      </c>
      <c r="CI543" s="230" t="s">
        <v>153</v>
      </c>
      <c r="CJ543" s="231" t="s">
        <v>225</v>
      </c>
      <c r="CK543" s="232">
        <v>43132</v>
      </c>
      <c r="CL543" s="233" t="s">
        <v>153</v>
      </c>
      <c r="CM543" s="234" t="s">
        <v>153</v>
      </c>
      <c r="CN543" s="235" t="s">
        <v>190</v>
      </c>
      <c r="CO543" s="236" t="s">
        <v>153</v>
      </c>
      <c r="CP543" s="237" t="s">
        <v>153</v>
      </c>
      <c r="CQ543" s="238" t="s">
        <v>153</v>
      </c>
      <c r="CR543" s="239" t="s">
        <v>153</v>
      </c>
      <c r="CS543" s="240" t="s">
        <v>153</v>
      </c>
      <c r="CT543" s="241" t="s">
        <v>153</v>
      </c>
      <c r="CU543" s="242" t="s">
        <v>153</v>
      </c>
      <c r="CV543" s="243" t="s">
        <v>153</v>
      </c>
      <c r="CW543" s="244" t="s">
        <v>153</v>
      </c>
      <c r="CX543" s="245" t="s">
        <v>153</v>
      </c>
      <c r="CY543" s="246" t="s">
        <v>153</v>
      </c>
      <c r="CZ543" s="247" t="s">
        <v>153</v>
      </c>
      <c r="DA543" s="248" t="s">
        <v>153</v>
      </c>
      <c r="DB543" s="249" t="s">
        <v>153</v>
      </c>
      <c r="DC543" s="250" t="s">
        <v>153</v>
      </c>
      <c r="DD543" s="251" t="s">
        <v>153</v>
      </c>
      <c r="DE543" s="252" t="s">
        <v>153</v>
      </c>
      <c r="DF543" s="253" t="s">
        <v>153</v>
      </c>
      <c r="DG543" s="254" t="s">
        <v>153</v>
      </c>
      <c r="DH543" s="255" t="s">
        <v>153</v>
      </c>
      <c r="DI543" s="256" t="s">
        <v>153</v>
      </c>
      <c r="DJ543" s="257" t="s">
        <v>153</v>
      </c>
      <c r="DK543" s="258" t="s">
        <v>153</v>
      </c>
      <c r="DL543" s="259" t="s">
        <v>153</v>
      </c>
      <c r="DM543" s="260" t="s">
        <v>153</v>
      </c>
      <c r="DN543" s="261" t="s">
        <v>153</v>
      </c>
      <c r="DO543" s="262" t="s">
        <v>153</v>
      </c>
      <c r="DP543" s="263" t="s">
        <v>153</v>
      </c>
      <c r="DQ543" s="264" t="s">
        <v>153</v>
      </c>
      <c r="DR543" s="265" t="s">
        <v>153</v>
      </c>
      <c r="DS543" s="266" t="s">
        <v>153</v>
      </c>
      <c r="DT543" s="267" t="s">
        <v>153</v>
      </c>
      <c r="DU543" s="268" t="s">
        <v>153</v>
      </c>
      <c r="DV543" s="269" t="s">
        <v>153</v>
      </c>
      <c r="DW543" s="270" t="s">
        <v>153</v>
      </c>
      <c r="DX543" s="271" t="s">
        <v>153</v>
      </c>
      <c r="DY543" s="272" t="s">
        <v>153</v>
      </c>
      <c r="DZ543" s="273" t="s">
        <v>191</v>
      </c>
      <c r="EA543" s="274">
        <v>44292</v>
      </c>
      <c r="EB543" s="275">
        <v>8100</v>
      </c>
      <c r="EC543" s="276">
        <v>43132</v>
      </c>
      <c r="ED543" s="277" t="s">
        <v>226</v>
      </c>
      <c r="EE543" s="279" t="str">
        <f>HYPERLINK("https://my.pitchbook.com?c=222220-18", "View company online")</f>
        <v>View company online</v>
      </c>
    </row>
    <row r="544" spans="1:135" x14ac:dyDescent="0.45">
      <c r="A544" s="10" t="s">
        <v>11227</v>
      </c>
      <c r="B544" s="11" t="s">
        <v>11228</v>
      </c>
      <c r="C544" s="12" t="s">
        <v>153</v>
      </c>
      <c r="D544" s="13" t="s">
        <v>153</v>
      </c>
      <c r="E544" s="14" t="s">
        <v>11229</v>
      </c>
      <c r="F544" s="15" t="s">
        <v>11230</v>
      </c>
      <c r="G544" s="16" t="s">
        <v>11231</v>
      </c>
      <c r="H544" s="17" t="s">
        <v>11232</v>
      </c>
      <c r="I544" s="18" t="s">
        <v>11227</v>
      </c>
      <c r="J544" s="19" t="s">
        <v>11233</v>
      </c>
      <c r="K544" s="20" t="s">
        <v>882</v>
      </c>
      <c r="L544" s="21" t="s">
        <v>1257</v>
      </c>
      <c r="M544" s="22" t="s">
        <v>2561</v>
      </c>
      <c r="N544" s="23" t="s">
        <v>11234</v>
      </c>
      <c r="O544" s="24" t="s">
        <v>6036</v>
      </c>
      <c r="P544" s="25" t="s">
        <v>11235</v>
      </c>
      <c r="Q544" s="26" t="s">
        <v>204</v>
      </c>
      <c r="R544" s="27">
        <v>634.63</v>
      </c>
      <c r="S544" s="28" t="s">
        <v>163</v>
      </c>
      <c r="T544" s="29" t="s">
        <v>164</v>
      </c>
      <c r="U544" s="30" t="s">
        <v>2534</v>
      </c>
      <c r="V544" s="31" t="s">
        <v>11236</v>
      </c>
      <c r="W544" s="32">
        <v>10001</v>
      </c>
      <c r="X544" s="33" t="s">
        <v>11237</v>
      </c>
      <c r="Y544" s="34" t="s">
        <v>153</v>
      </c>
      <c r="Z544" s="35" t="s">
        <v>153</v>
      </c>
      <c r="AA544" s="36">
        <v>1928</v>
      </c>
      <c r="AB544" s="37" t="s">
        <v>11238</v>
      </c>
      <c r="AC544" s="38" t="s">
        <v>153</v>
      </c>
      <c r="AD544" s="39" t="s">
        <v>428</v>
      </c>
      <c r="AE544" s="40" t="s">
        <v>153</v>
      </c>
      <c r="AF544" s="41" t="s">
        <v>153</v>
      </c>
      <c r="AG544" s="42" t="s">
        <v>153</v>
      </c>
      <c r="AH544" s="43" t="s">
        <v>153</v>
      </c>
      <c r="AI544" s="44" t="s">
        <v>153</v>
      </c>
      <c r="AJ544" s="45" t="s">
        <v>153</v>
      </c>
      <c r="AK544" s="46" t="s">
        <v>153</v>
      </c>
      <c r="AL544" s="47" t="s">
        <v>153</v>
      </c>
      <c r="AM544" s="48" t="s">
        <v>153</v>
      </c>
      <c r="AN544" s="49" t="s">
        <v>4831</v>
      </c>
      <c r="AO544" s="50" t="s">
        <v>11239</v>
      </c>
      <c r="AP544" s="51" t="s">
        <v>11240</v>
      </c>
      <c r="AQ544" s="52" t="s">
        <v>1175</v>
      </c>
      <c r="AR544" s="53" t="s">
        <v>153</v>
      </c>
      <c r="AS544" s="54" t="s">
        <v>11241</v>
      </c>
      <c r="AT544" s="55" t="s">
        <v>11242</v>
      </c>
      <c r="AU544" s="56" t="s">
        <v>11243</v>
      </c>
      <c r="AV544" s="57" t="s">
        <v>153</v>
      </c>
      <c r="AW544" s="58" t="s">
        <v>11244</v>
      </c>
      <c r="AX544" s="59" t="s">
        <v>783</v>
      </c>
      <c r="AY544" s="60" t="s">
        <v>11245</v>
      </c>
      <c r="AZ544" s="61" t="s">
        <v>215</v>
      </c>
      <c r="BA544" s="62" t="s">
        <v>11241</v>
      </c>
      <c r="BB544" s="63" t="s">
        <v>11246</v>
      </c>
      <c r="BC544" s="64" t="s">
        <v>153</v>
      </c>
      <c r="BD544" s="65" t="s">
        <v>216</v>
      </c>
      <c r="BE544" s="66" t="s">
        <v>217</v>
      </c>
      <c r="BF544" s="67" t="s">
        <v>11247</v>
      </c>
      <c r="BG544" s="68" t="s">
        <v>153</v>
      </c>
      <c r="BH544" s="69" t="s">
        <v>153</v>
      </c>
      <c r="BI544" s="70" t="s">
        <v>11238</v>
      </c>
      <c r="BJ544" s="71" t="s">
        <v>11248</v>
      </c>
      <c r="BK544" s="72" t="s">
        <v>153</v>
      </c>
      <c r="BL544" s="73" t="s">
        <v>153</v>
      </c>
      <c r="BM544" s="74" t="s">
        <v>11249</v>
      </c>
      <c r="BN544" s="75" t="s">
        <v>153</v>
      </c>
      <c r="BO544" s="76" t="s">
        <v>11250</v>
      </c>
      <c r="BP544" s="77" t="s">
        <v>11251</v>
      </c>
      <c r="BQ544" s="78">
        <v>37930</v>
      </c>
      <c r="BR544" s="79">
        <v>4350</v>
      </c>
      <c r="BS544" s="80" t="s">
        <v>186</v>
      </c>
      <c r="BT544" s="81">
        <v>4350</v>
      </c>
      <c r="BU544" s="82" t="s">
        <v>186</v>
      </c>
      <c r="BV544" s="83" t="s">
        <v>188</v>
      </c>
      <c r="BW544" s="84" t="s">
        <v>153</v>
      </c>
      <c r="BX544" s="85" t="s">
        <v>153</v>
      </c>
      <c r="BY544" s="86" t="s">
        <v>165</v>
      </c>
      <c r="BZ544" s="87" t="s">
        <v>11252</v>
      </c>
      <c r="CA544" s="88" t="s">
        <v>190</v>
      </c>
      <c r="CB544" s="89">
        <v>40909</v>
      </c>
      <c r="CC544" s="90">
        <v>8100</v>
      </c>
      <c r="CD544" s="91" t="s">
        <v>186</v>
      </c>
      <c r="CE544" s="92">
        <v>8100</v>
      </c>
      <c r="CF544" s="93" t="s">
        <v>186</v>
      </c>
      <c r="CG544" s="94" t="s">
        <v>226</v>
      </c>
      <c r="CH544" s="95" t="s">
        <v>153</v>
      </c>
      <c r="CI544" s="96" t="s">
        <v>153</v>
      </c>
      <c r="CJ544" s="97" t="s">
        <v>225</v>
      </c>
      <c r="CK544" s="98">
        <v>40909</v>
      </c>
      <c r="CL544" s="99" t="s">
        <v>153</v>
      </c>
      <c r="CM544" s="100" t="s">
        <v>153</v>
      </c>
      <c r="CN544" s="101" t="s">
        <v>190</v>
      </c>
      <c r="CO544" s="102">
        <v>-0.05</v>
      </c>
      <c r="CP544" s="103">
        <v>9</v>
      </c>
      <c r="CQ544" s="104">
        <v>-0.05</v>
      </c>
      <c r="CR544" s="105">
        <v>-868.19</v>
      </c>
      <c r="CS544" s="106">
        <v>-7.0000000000000007E-2</v>
      </c>
      <c r="CT544" s="107">
        <v>8</v>
      </c>
      <c r="CU544" s="108">
        <v>-0.02</v>
      </c>
      <c r="CV544" s="109">
        <v>38</v>
      </c>
      <c r="CW544" s="110" t="s">
        <v>153</v>
      </c>
      <c r="CX544" s="111" t="s">
        <v>153</v>
      </c>
      <c r="CY544" s="112">
        <v>-7.0000000000000007E-2</v>
      </c>
      <c r="CZ544" s="113">
        <v>5</v>
      </c>
      <c r="DA544" s="114">
        <v>-0.02</v>
      </c>
      <c r="DB544" s="115">
        <v>38</v>
      </c>
      <c r="DC544" s="116">
        <v>43.9</v>
      </c>
      <c r="DD544" s="117">
        <v>98</v>
      </c>
      <c r="DE544" s="118">
        <v>-0.14000000000000001</v>
      </c>
      <c r="DF544" s="119">
        <v>-0.31</v>
      </c>
      <c r="DG544" s="120">
        <v>72.31</v>
      </c>
      <c r="DH544" s="121">
        <v>99</v>
      </c>
      <c r="DI544" s="122">
        <v>15.5</v>
      </c>
      <c r="DJ544" s="123">
        <v>90</v>
      </c>
      <c r="DK544" s="124" t="s">
        <v>153</v>
      </c>
      <c r="DL544" s="125" t="s">
        <v>153</v>
      </c>
      <c r="DM544" s="126">
        <v>72.31</v>
      </c>
      <c r="DN544" s="127">
        <v>99</v>
      </c>
      <c r="DO544" s="128">
        <v>15.5</v>
      </c>
      <c r="DP544" s="129">
        <v>90</v>
      </c>
      <c r="DQ544" s="130" t="s">
        <v>153</v>
      </c>
      <c r="DR544" s="131" t="s">
        <v>153</v>
      </c>
      <c r="DS544" s="132" t="s">
        <v>153</v>
      </c>
      <c r="DT544" s="133">
        <v>1159</v>
      </c>
      <c r="DU544" s="134">
        <v>-6</v>
      </c>
      <c r="DV544" s="135">
        <v>-0.52</v>
      </c>
      <c r="DW544" s="136">
        <v>4865</v>
      </c>
      <c r="DX544" s="137">
        <v>3</v>
      </c>
      <c r="DY544" s="138">
        <v>0.06</v>
      </c>
      <c r="DZ544" s="139" t="s">
        <v>191</v>
      </c>
      <c r="EA544" s="140">
        <v>44217</v>
      </c>
      <c r="EB544" s="141">
        <v>8100</v>
      </c>
      <c r="EC544" s="142">
        <v>40909</v>
      </c>
      <c r="ED544" s="143" t="s">
        <v>226</v>
      </c>
      <c r="EE544" s="278" t="str">
        <f>HYPERLINK("https://my.pitchbook.com?c=10248-31", "View company online")</f>
        <v>View company online</v>
      </c>
    </row>
    <row r="545" spans="1:135" x14ac:dyDescent="0.45">
      <c r="A545" s="144" t="s">
        <v>11253</v>
      </c>
      <c r="B545" s="145" t="s">
        <v>11254</v>
      </c>
      <c r="C545" s="146" t="s">
        <v>153</v>
      </c>
      <c r="D545" s="147" t="s">
        <v>153</v>
      </c>
      <c r="E545" s="148" t="s">
        <v>11255</v>
      </c>
      <c r="F545" s="149" t="s">
        <v>11256</v>
      </c>
      <c r="G545" s="150" t="s">
        <v>11257</v>
      </c>
      <c r="H545" s="151" t="s">
        <v>11258</v>
      </c>
      <c r="I545" s="152" t="s">
        <v>11253</v>
      </c>
      <c r="J545" s="153" t="s">
        <v>11259</v>
      </c>
      <c r="K545" s="154" t="s">
        <v>198</v>
      </c>
      <c r="L545" s="155" t="s">
        <v>199</v>
      </c>
      <c r="M545" s="156" t="s">
        <v>344</v>
      </c>
      <c r="N545" s="157" t="s">
        <v>8822</v>
      </c>
      <c r="O545" s="158" t="s">
        <v>399</v>
      </c>
      <c r="P545" s="159" t="s">
        <v>11260</v>
      </c>
      <c r="Q545" s="160" t="s">
        <v>162</v>
      </c>
      <c r="R545" s="161">
        <v>1583.74</v>
      </c>
      <c r="S545" s="162" t="s">
        <v>163</v>
      </c>
      <c r="T545" s="163" t="s">
        <v>1392</v>
      </c>
      <c r="U545" s="164" t="s">
        <v>1791</v>
      </c>
      <c r="V545" s="165" t="s">
        <v>11261</v>
      </c>
      <c r="W545" s="166">
        <v>1378</v>
      </c>
      <c r="X545" s="167" t="s">
        <v>11262</v>
      </c>
      <c r="Y545" s="168" t="s">
        <v>153</v>
      </c>
      <c r="Z545" s="169" t="s">
        <v>153</v>
      </c>
      <c r="AA545" s="170">
        <v>1993</v>
      </c>
      <c r="AB545" s="171" t="s">
        <v>153</v>
      </c>
      <c r="AC545" s="172" t="s">
        <v>153</v>
      </c>
      <c r="AD545" s="173" t="s">
        <v>153</v>
      </c>
      <c r="AE545" s="174" t="s">
        <v>153</v>
      </c>
      <c r="AF545" s="175" t="s">
        <v>153</v>
      </c>
      <c r="AG545" s="176" t="s">
        <v>153</v>
      </c>
      <c r="AH545" s="177" t="s">
        <v>153</v>
      </c>
      <c r="AI545" s="178" t="s">
        <v>153</v>
      </c>
      <c r="AJ545" s="179" t="s">
        <v>153</v>
      </c>
      <c r="AK545" s="180" t="s">
        <v>153</v>
      </c>
      <c r="AL545" s="181" t="s">
        <v>153</v>
      </c>
      <c r="AM545" s="182" t="s">
        <v>153</v>
      </c>
      <c r="AN545" s="183" t="s">
        <v>8772</v>
      </c>
      <c r="AO545" s="184" t="s">
        <v>11263</v>
      </c>
      <c r="AP545" s="185" t="s">
        <v>11264</v>
      </c>
      <c r="AQ545" s="186" t="s">
        <v>1175</v>
      </c>
      <c r="AR545" s="187" t="s">
        <v>153</v>
      </c>
      <c r="AS545" s="188" t="s">
        <v>11265</v>
      </c>
      <c r="AT545" s="189" t="s">
        <v>2248</v>
      </c>
      <c r="AU545" s="190" t="s">
        <v>11266</v>
      </c>
      <c r="AV545" s="191" t="s">
        <v>7381</v>
      </c>
      <c r="AW545" s="192" t="s">
        <v>2250</v>
      </c>
      <c r="AX545" s="193" t="s">
        <v>273</v>
      </c>
      <c r="AY545" s="194" t="s">
        <v>2251</v>
      </c>
      <c r="AZ545" s="195" t="s">
        <v>215</v>
      </c>
      <c r="BA545" s="196" t="s">
        <v>11267</v>
      </c>
      <c r="BB545" s="197" t="s">
        <v>153</v>
      </c>
      <c r="BC545" s="198" t="s">
        <v>153</v>
      </c>
      <c r="BD545" s="199" t="s">
        <v>216</v>
      </c>
      <c r="BE545" s="200" t="s">
        <v>217</v>
      </c>
      <c r="BF545" s="201" t="s">
        <v>11268</v>
      </c>
      <c r="BG545" s="202" t="s">
        <v>11269</v>
      </c>
      <c r="BH545" s="203">
        <v>2</v>
      </c>
      <c r="BI545" s="204" t="s">
        <v>153</v>
      </c>
      <c r="BJ545" s="205" t="s">
        <v>11270</v>
      </c>
      <c r="BK545" s="206" t="s">
        <v>11271</v>
      </c>
      <c r="BL545" s="207" t="s">
        <v>11272</v>
      </c>
      <c r="BM545" s="208" t="s">
        <v>11273</v>
      </c>
      <c r="BN545" s="209" t="s">
        <v>11274</v>
      </c>
      <c r="BO545" s="210" t="s">
        <v>11275</v>
      </c>
      <c r="BP545" s="211" t="s">
        <v>11276</v>
      </c>
      <c r="BQ545" s="212">
        <v>35692</v>
      </c>
      <c r="BR545" s="213" t="s">
        <v>153</v>
      </c>
      <c r="BS545" s="214" t="s">
        <v>153</v>
      </c>
      <c r="BT545" s="215" t="s">
        <v>153</v>
      </c>
      <c r="BU545" s="216" t="s">
        <v>153</v>
      </c>
      <c r="BV545" s="217" t="s">
        <v>251</v>
      </c>
      <c r="BW545" s="218" t="s">
        <v>153</v>
      </c>
      <c r="BX545" s="219" t="s">
        <v>153</v>
      </c>
      <c r="BY545" s="220" t="s">
        <v>252</v>
      </c>
      <c r="BZ545" s="221" t="s">
        <v>153</v>
      </c>
      <c r="CA545" s="222" t="s">
        <v>190</v>
      </c>
      <c r="CB545" s="223">
        <v>44136</v>
      </c>
      <c r="CC545" s="224">
        <v>8100</v>
      </c>
      <c r="CD545" s="225" t="s">
        <v>186</v>
      </c>
      <c r="CE545" s="226">
        <v>8100</v>
      </c>
      <c r="CF545" s="227" t="s">
        <v>187</v>
      </c>
      <c r="CG545" s="228" t="s">
        <v>188</v>
      </c>
      <c r="CH545" s="229" t="s">
        <v>5549</v>
      </c>
      <c r="CI545" s="230" t="s">
        <v>153</v>
      </c>
      <c r="CJ545" s="231" t="s">
        <v>165</v>
      </c>
      <c r="CK545" s="232">
        <v>44136</v>
      </c>
      <c r="CL545" s="233" t="s">
        <v>153</v>
      </c>
      <c r="CM545" s="234" t="s">
        <v>1607</v>
      </c>
      <c r="CN545" s="235" t="s">
        <v>1278</v>
      </c>
      <c r="CO545" s="236">
        <v>0.41</v>
      </c>
      <c r="CP545" s="237">
        <v>92</v>
      </c>
      <c r="CQ545" s="238">
        <v>-0.01</v>
      </c>
      <c r="CR545" s="239">
        <v>-3.45</v>
      </c>
      <c r="CS545" s="240">
        <v>1.1100000000000001</v>
      </c>
      <c r="CT545" s="241">
        <v>96</v>
      </c>
      <c r="CU545" s="242">
        <v>0.01</v>
      </c>
      <c r="CV545" s="243">
        <v>77</v>
      </c>
      <c r="CW545" s="244">
        <v>2.34</v>
      </c>
      <c r="CX545" s="245">
        <v>87</v>
      </c>
      <c r="CY545" s="246">
        <v>-0.13</v>
      </c>
      <c r="CZ545" s="247">
        <v>4</v>
      </c>
      <c r="DA545" s="248">
        <v>0.01</v>
      </c>
      <c r="DB545" s="249">
        <v>77</v>
      </c>
      <c r="DC545" s="250">
        <v>128.57</v>
      </c>
      <c r="DD545" s="251">
        <v>100</v>
      </c>
      <c r="DE545" s="252">
        <v>0.08</v>
      </c>
      <c r="DF545" s="253">
        <v>0.06</v>
      </c>
      <c r="DG545" s="254">
        <v>290.14</v>
      </c>
      <c r="DH545" s="255">
        <v>100</v>
      </c>
      <c r="DI545" s="256">
        <v>78.91</v>
      </c>
      <c r="DJ545" s="257">
        <v>97</v>
      </c>
      <c r="DK545" s="258">
        <v>311.02999999999997</v>
      </c>
      <c r="DL545" s="259">
        <v>99</v>
      </c>
      <c r="DM545" s="260">
        <v>269.25</v>
      </c>
      <c r="DN545" s="261">
        <v>100</v>
      </c>
      <c r="DO545" s="262">
        <v>78.91</v>
      </c>
      <c r="DP545" s="263">
        <v>97</v>
      </c>
      <c r="DQ545" s="264">
        <v>183039</v>
      </c>
      <c r="DR545" s="265">
        <v>5144</v>
      </c>
      <c r="DS545" s="266">
        <v>2.89</v>
      </c>
      <c r="DT545" s="267">
        <v>4312</v>
      </c>
      <c r="DU545" s="268">
        <v>-11</v>
      </c>
      <c r="DV545" s="269">
        <v>-0.25</v>
      </c>
      <c r="DW545" s="270">
        <v>24773</v>
      </c>
      <c r="DX545" s="271">
        <v>10</v>
      </c>
      <c r="DY545" s="272">
        <v>0.04</v>
      </c>
      <c r="DZ545" s="273" t="s">
        <v>191</v>
      </c>
      <c r="EA545" s="274">
        <v>44403</v>
      </c>
      <c r="EB545" s="275">
        <v>8100</v>
      </c>
      <c r="EC545" s="276">
        <v>44136</v>
      </c>
      <c r="ED545" s="277" t="s">
        <v>188</v>
      </c>
      <c r="EE545" s="279" t="str">
        <f>HYPERLINK("https://my.pitchbook.com?c=41043-88", "View company online")</f>
        <v>View company online</v>
      </c>
    </row>
    <row r="546" spans="1:135" x14ac:dyDescent="0.45">
      <c r="A546" s="10" t="s">
        <v>11277</v>
      </c>
      <c r="B546" s="11" t="s">
        <v>11278</v>
      </c>
      <c r="C546" s="12" t="s">
        <v>153</v>
      </c>
      <c r="D546" s="13" t="s">
        <v>153</v>
      </c>
      <c r="E546" s="14" t="s">
        <v>153</v>
      </c>
      <c r="F546" s="15" t="s">
        <v>153</v>
      </c>
      <c r="G546" s="16" t="s">
        <v>11279</v>
      </c>
      <c r="H546" s="17" t="s">
        <v>11280</v>
      </c>
      <c r="I546" s="18" t="s">
        <v>11277</v>
      </c>
      <c r="J546" s="19" t="s">
        <v>11281</v>
      </c>
      <c r="K546" s="20" t="s">
        <v>198</v>
      </c>
      <c r="L546" s="21" t="s">
        <v>984</v>
      </c>
      <c r="M546" s="22" t="s">
        <v>9264</v>
      </c>
      <c r="N546" s="23" t="s">
        <v>11282</v>
      </c>
      <c r="O546" s="24" t="s">
        <v>4754</v>
      </c>
      <c r="P546" s="25" t="s">
        <v>11283</v>
      </c>
      <c r="Q546" s="26" t="s">
        <v>564</v>
      </c>
      <c r="R546" s="27">
        <v>604.99</v>
      </c>
      <c r="S546" s="28" t="s">
        <v>290</v>
      </c>
      <c r="T546" s="29" t="s">
        <v>164</v>
      </c>
      <c r="U546" s="30" t="s">
        <v>5464</v>
      </c>
      <c r="V546" s="31" t="s">
        <v>11284</v>
      </c>
      <c r="W546" s="32">
        <v>2300</v>
      </c>
      <c r="X546" s="33" t="s">
        <v>11285</v>
      </c>
      <c r="Y546" s="34" t="s">
        <v>153</v>
      </c>
      <c r="Z546" s="35" t="s">
        <v>153</v>
      </c>
      <c r="AA546" s="36">
        <v>1999</v>
      </c>
      <c r="AB546" s="37" t="s">
        <v>2373</v>
      </c>
      <c r="AC546" s="38" t="s">
        <v>537</v>
      </c>
      <c r="AD546" s="39" t="s">
        <v>1794</v>
      </c>
      <c r="AE546" s="40" t="s">
        <v>153</v>
      </c>
      <c r="AF546" s="41" t="s">
        <v>153</v>
      </c>
      <c r="AG546" s="42" t="s">
        <v>153</v>
      </c>
      <c r="AH546" s="43" t="s">
        <v>153</v>
      </c>
      <c r="AI546" s="44" t="s">
        <v>153</v>
      </c>
      <c r="AJ546" s="45" t="s">
        <v>153</v>
      </c>
      <c r="AK546" s="46" t="s">
        <v>153</v>
      </c>
      <c r="AL546" s="47" t="s">
        <v>153</v>
      </c>
      <c r="AM546" s="48" t="s">
        <v>153</v>
      </c>
      <c r="AN546" s="49" t="s">
        <v>798</v>
      </c>
      <c r="AO546" s="50" t="s">
        <v>11286</v>
      </c>
      <c r="AP546" s="51" t="s">
        <v>11287</v>
      </c>
      <c r="AQ546" s="52" t="s">
        <v>1175</v>
      </c>
      <c r="AR546" s="53" t="s">
        <v>11288</v>
      </c>
      <c r="AS546" s="54" t="s">
        <v>153</v>
      </c>
      <c r="AT546" s="55" t="s">
        <v>11289</v>
      </c>
      <c r="AU546" s="56" t="s">
        <v>11290</v>
      </c>
      <c r="AV546" s="57" t="s">
        <v>153</v>
      </c>
      <c r="AW546" s="58" t="s">
        <v>11291</v>
      </c>
      <c r="AX546" s="59" t="s">
        <v>5957</v>
      </c>
      <c r="AY546" s="60" t="s">
        <v>11292</v>
      </c>
      <c r="AZ546" s="61" t="s">
        <v>215</v>
      </c>
      <c r="BA546" s="62" t="s">
        <v>153</v>
      </c>
      <c r="BB546" s="63" t="s">
        <v>153</v>
      </c>
      <c r="BC546" s="64" t="s">
        <v>11293</v>
      </c>
      <c r="BD546" s="65" t="s">
        <v>216</v>
      </c>
      <c r="BE546" s="66" t="s">
        <v>217</v>
      </c>
      <c r="BF546" s="67" t="s">
        <v>11294</v>
      </c>
      <c r="BG546" s="68" t="s">
        <v>11295</v>
      </c>
      <c r="BH546" s="69">
        <v>1</v>
      </c>
      <c r="BI546" s="70" t="s">
        <v>2373</v>
      </c>
      <c r="BJ546" s="71" t="s">
        <v>11296</v>
      </c>
      <c r="BK546" s="72" t="s">
        <v>153</v>
      </c>
      <c r="BL546" s="73" t="s">
        <v>11297</v>
      </c>
      <c r="BM546" s="74" t="s">
        <v>11298</v>
      </c>
      <c r="BN546" s="75" t="s">
        <v>153</v>
      </c>
      <c r="BO546" s="76" t="s">
        <v>11299</v>
      </c>
      <c r="BP546" s="77" t="s">
        <v>11300</v>
      </c>
      <c r="BQ546" s="78">
        <v>39380</v>
      </c>
      <c r="BR546" s="79">
        <v>300</v>
      </c>
      <c r="BS546" s="80" t="s">
        <v>186</v>
      </c>
      <c r="BT546" s="81">
        <v>1200</v>
      </c>
      <c r="BU546" s="82" t="s">
        <v>186</v>
      </c>
      <c r="BV546" s="83" t="s">
        <v>709</v>
      </c>
      <c r="BW546" s="84" t="s">
        <v>4234</v>
      </c>
      <c r="BX546" s="85" t="s">
        <v>153</v>
      </c>
      <c r="BY546" s="86" t="s">
        <v>165</v>
      </c>
      <c r="BZ546" s="87" t="s">
        <v>153</v>
      </c>
      <c r="CA546" s="88" t="s">
        <v>190</v>
      </c>
      <c r="CB546" s="89">
        <v>44264</v>
      </c>
      <c r="CC546" s="90">
        <v>8100</v>
      </c>
      <c r="CD546" s="91" t="s">
        <v>186</v>
      </c>
      <c r="CE546" s="92">
        <v>8100</v>
      </c>
      <c r="CF546" s="93" t="s">
        <v>187</v>
      </c>
      <c r="CG546" s="94" t="s">
        <v>226</v>
      </c>
      <c r="CH546" s="95" t="s">
        <v>153</v>
      </c>
      <c r="CI546" s="96" t="s">
        <v>153</v>
      </c>
      <c r="CJ546" s="97" t="s">
        <v>225</v>
      </c>
      <c r="CK546" s="98">
        <v>44264</v>
      </c>
      <c r="CL546" s="99" t="s">
        <v>153</v>
      </c>
      <c r="CM546" s="100" t="s">
        <v>153</v>
      </c>
      <c r="CN546" s="101" t="s">
        <v>190</v>
      </c>
      <c r="CO546" s="102">
        <v>0</v>
      </c>
      <c r="CP546" s="103">
        <v>11</v>
      </c>
      <c r="CQ546" s="104">
        <v>0</v>
      </c>
      <c r="CR546" s="105">
        <v>0</v>
      </c>
      <c r="CS546" s="106" t="s">
        <v>153</v>
      </c>
      <c r="CT546" s="107" t="s">
        <v>153</v>
      </c>
      <c r="CU546" s="108" t="s">
        <v>153</v>
      </c>
      <c r="CV546" s="109" t="s">
        <v>153</v>
      </c>
      <c r="CW546" s="110" t="s">
        <v>153</v>
      </c>
      <c r="CX546" s="111" t="s">
        <v>153</v>
      </c>
      <c r="CY546" s="112" t="s">
        <v>153</v>
      </c>
      <c r="CZ546" s="113" t="s">
        <v>153</v>
      </c>
      <c r="DA546" s="114" t="s">
        <v>153</v>
      </c>
      <c r="DB546" s="115" t="s">
        <v>153</v>
      </c>
      <c r="DC546" s="116">
        <v>62.16</v>
      </c>
      <c r="DD546" s="117">
        <v>99</v>
      </c>
      <c r="DE546" s="118">
        <v>0</v>
      </c>
      <c r="DF546" s="119">
        <v>0</v>
      </c>
      <c r="DG546" s="120" t="s">
        <v>153</v>
      </c>
      <c r="DH546" s="121" t="s">
        <v>153</v>
      </c>
      <c r="DI546" s="122" t="s">
        <v>153</v>
      </c>
      <c r="DJ546" s="123" t="s">
        <v>153</v>
      </c>
      <c r="DK546" s="124" t="s">
        <v>153</v>
      </c>
      <c r="DL546" s="125" t="s">
        <v>153</v>
      </c>
      <c r="DM546" s="126" t="s">
        <v>153</v>
      </c>
      <c r="DN546" s="127" t="s">
        <v>153</v>
      </c>
      <c r="DO546" s="128" t="s">
        <v>153</v>
      </c>
      <c r="DP546" s="129" t="s">
        <v>153</v>
      </c>
      <c r="DQ546" s="130" t="s">
        <v>153</v>
      </c>
      <c r="DR546" s="131" t="s">
        <v>153</v>
      </c>
      <c r="DS546" s="132" t="s">
        <v>153</v>
      </c>
      <c r="DT546" s="133" t="s">
        <v>153</v>
      </c>
      <c r="DU546" s="134" t="s">
        <v>153</v>
      </c>
      <c r="DV546" s="135" t="s">
        <v>153</v>
      </c>
      <c r="DW546" s="136" t="s">
        <v>153</v>
      </c>
      <c r="DX546" s="137" t="s">
        <v>153</v>
      </c>
      <c r="DY546" s="138" t="s">
        <v>153</v>
      </c>
      <c r="DZ546" s="139" t="s">
        <v>191</v>
      </c>
      <c r="EA546" s="140">
        <v>44365</v>
      </c>
      <c r="EB546" s="141">
        <v>8100</v>
      </c>
      <c r="EC546" s="142">
        <v>44264</v>
      </c>
      <c r="ED546" s="143" t="s">
        <v>226</v>
      </c>
      <c r="EE546" s="278" t="str">
        <f>HYPERLINK("https://my.pitchbook.com?c=10830-52", "View company online")</f>
        <v>View company online</v>
      </c>
    </row>
    <row r="547" spans="1:135" x14ac:dyDescent="0.45">
      <c r="A547" s="144" t="s">
        <v>11301</v>
      </c>
      <c r="B547" s="145" t="s">
        <v>11302</v>
      </c>
      <c r="C547" s="146" t="s">
        <v>153</v>
      </c>
      <c r="D547" s="147" t="s">
        <v>153</v>
      </c>
      <c r="E547" s="148" t="s">
        <v>153</v>
      </c>
      <c r="F547" s="149" t="s">
        <v>153</v>
      </c>
      <c r="G547" s="150" t="s">
        <v>11303</v>
      </c>
      <c r="H547" s="151" t="s">
        <v>153</v>
      </c>
      <c r="I547" s="152" t="s">
        <v>11301</v>
      </c>
      <c r="J547" s="153" t="s">
        <v>11304</v>
      </c>
      <c r="K547" s="154" t="s">
        <v>232</v>
      </c>
      <c r="L547" s="155" t="s">
        <v>1016</v>
      </c>
      <c r="M547" s="156" t="s">
        <v>1639</v>
      </c>
      <c r="N547" s="157" t="s">
        <v>11305</v>
      </c>
      <c r="O547" s="158" t="s">
        <v>153</v>
      </c>
      <c r="P547" s="159" t="s">
        <v>11306</v>
      </c>
      <c r="Q547" s="160" t="s">
        <v>204</v>
      </c>
      <c r="R547" s="161" t="s">
        <v>153</v>
      </c>
      <c r="S547" s="162" t="s">
        <v>368</v>
      </c>
      <c r="T547" s="163" t="s">
        <v>205</v>
      </c>
      <c r="U547" s="164" t="s">
        <v>206</v>
      </c>
      <c r="V547" s="165" t="s">
        <v>153</v>
      </c>
      <c r="W547" s="166" t="s">
        <v>153</v>
      </c>
      <c r="X547" s="167" t="s">
        <v>153</v>
      </c>
      <c r="Y547" s="168" t="s">
        <v>153</v>
      </c>
      <c r="Z547" s="169" t="s">
        <v>153</v>
      </c>
      <c r="AA547" s="170" t="s">
        <v>153</v>
      </c>
      <c r="AB547" s="171" t="s">
        <v>153</v>
      </c>
      <c r="AC547" s="172" t="s">
        <v>153</v>
      </c>
      <c r="AD547" s="173" t="s">
        <v>153</v>
      </c>
      <c r="AE547" s="174" t="s">
        <v>153</v>
      </c>
      <c r="AF547" s="175" t="s">
        <v>153</v>
      </c>
      <c r="AG547" s="176" t="s">
        <v>153</v>
      </c>
      <c r="AH547" s="177" t="s">
        <v>153</v>
      </c>
      <c r="AI547" s="178" t="s">
        <v>153</v>
      </c>
      <c r="AJ547" s="179" t="s">
        <v>153</v>
      </c>
      <c r="AK547" s="180" t="s">
        <v>153</v>
      </c>
      <c r="AL547" s="181" t="s">
        <v>153</v>
      </c>
      <c r="AM547" s="182" t="s">
        <v>153</v>
      </c>
      <c r="AN547" s="183" t="s">
        <v>153</v>
      </c>
      <c r="AO547" s="184" t="s">
        <v>153</v>
      </c>
      <c r="AP547" s="185" t="s">
        <v>153</v>
      </c>
      <c r="AQ547" s="186" t="s">
        <v>153</v>
      </c>
      <c r="AR547" s="187" t="s">
        <v>153</v>
      </c>
      <c r="AS547" s="188" t="s">
        <v>153</v>
      </c>
      <c r="AT547" s="189" t="s">
        <v>1519</v>
      </c>
      <c r="AU547" s="190" t="s">
        <v>153</v>
      </c>
      <c r="AV547" s="191" t="s">
        <v>153</v>
      </c>
      <c r="AW547" s="192" t="s">
        <v>153</v>
      </c>
      <c r="AX547" s="193" t="s">
        <v>153</v>
      </c>
      <c r="AY547" s="194" t="s">
        <v>153</v>
      </c>
      <c r="AZ547" s="195" t="s">
        <v>1519</v>
      </c>
      <c r="BA547" s="196" t="s">
        <v>153</v>
      </c>
      <c r="BB547" s="197" t="s">
        <v>153</v>
      </c>
      <c r="BC547" s="198" t="s">
        <v>153</v>
      </c>
      <c r="BD547" s="199" t="s">
        <v>1406</v>
      </c>
      <c r="BE547" s="200" t="s">
        <v>1407</v>
      </c>
      <c r="BF547" s="201" t="s">
        <v>11307</v>
      </c>
      <c r="BG547" s="202" t="s">
        <v>153</v>
      </c>
      <c r="BH547" s="203" t="s">
        <v>153</v>
      </c>
      <c r="BI547" s="204" t="s">
        <v>11308</v>
      </c>
      <c r="BJ547" s="205" t="s">
        <v>153</v>
      </c>
      <c r="BK547" s="206" t="s">
        <v>153</v>
      </c>
      <c r="BL547" s="207" t="s">
        <v>153</v>
      </c>
      <c r="BM547" s="208" t="s">
        <v>153</v>
      </c>
      <c r="BN547" s="209" t="s">
        <v>153</v>
      </c>
      <c r="BO547" s="210" t="s">
        <v>153</v>
      </c>
      <c r="BP547" s="211" t="s">
        <v>153</v>
      </c>
      <c r="BQ547" s="212">
        <v>36176</v>
      </c>
      <c r="BR547" s="213" t="s">
        <v>153</v>
      </c>
      <c r="BS547" s="214" t="s">
        <v>153</v>
      </c>
      <c r="BT547" s="215" t="s">
        <v>153</v>
      </c>
      <c r="BU547" s="216" t="s">
        <v>153</v>
      </c>
      <c r="BV547" s="217" t="s">
        <v>11309</v>
      </c>
      <c r="BW547" s="218" t="s">
        <v>153</v>
      </c>
      <c r="BX547" s="219" t="s">
        <v>153</v>
      </c>
      <c r="BY547" s="220" t="s">
        <v>8927</v>
      </c>
      <c r="BZ547" s="221" t="s">
        <v>153</v>
      </c>
      <c r="CA547" s="222" t="s">
        <v>190</v>
      </c>
      <c r="CB547" s="223">
        <v>42921</v>
      </c>
      <c r="CC547" s="224">
        <v>8096.72</v>
      </c>
      <c r="CD547" s="225" t="s">
        <v>186</v>
      </c>
      <c r="CE547" s="226">
        <v>8096.72</v>
      </c>
      <c r="CF547" s="227" t="s">
        <v>186</v>
      </c>
      <c r="CG547" s="228" t="s">
        <v>226</v>
      </c>
      <c r="CH547" s="229" t="s">
        <v>153</v>
      </c>
      <c r="CI547" s="230" t="s">
        <v>153</v>
      </c>
      <c r="CJ547" s="231" t="s">
        <v>225</v>
      </c>
      <c r="CK547" s="232">
        <v>42921</v>
      </c>
      <c r="CL547" s="233" t="s">
        <v>153</v>
      </c>
      <c r="CM547" s="234" t="s">
        <v>153</v>
      </c>
      <c r="CN547" s="235" t="s">
        <v>190</v>
      </c>
      <c r="CO547" s="236" t="s">
        <v>153</v>
      </c>
      <c r="CP547" s="237" t="s">
        <v>153</v>
      </c>
      <c r="CQ547" s="238" t="s">
        <v>153</v>
      </c>
      <c r="CR547" s="239" t="s">
        <v>153</v>
      </c>
      <c r="CS547" s="240" t="s">
        <v>153</v>
      </c>
      <c r="CT547" s="241" t="s">
        <v>153</v>
      </c>
      <c r="CU547" s="242" t="s">
        <v>153</v>
      </c>
      <c r="CV547" s="243" t="s">
        <v>153</v>
      </c>
      <c r="CW547" s="244" t="s">
        <v>153</v>
      </c>
      <c r="CX547" s="245" t="s">
        <v>153</v>
      </c>
      <c r="CY547" s="246" t="s">
        <v>153</v>
      </c>
      <c r="CZ547" s="247" t="s">
        <v>153</v>
      </c>
      <c r="DA547" s="248" t="s">
        <v>153</v>
      </c>
      <c r="DB547" s="249" t="s">
        <v>153</v>
      </c>
      <c r="DC547" s="250" t="s">
        <v>153</v>
      </c>
      <c r="DD547" s="251" t="s">
        <v>153</v>
      </c>
      <c r="DE547" s="252" t="s">
        <v>153</v>
      </c>
      <c r="DF547" s="253" t="s">
        <v>153</v>
      </c>
      <c r="DG547" s="254" t="s">
        <v>153</v>
      </c>
      <c r="DH547" s="255" t="s">
        <v>153</v>
      </c>
      <c r="DI547" s="256" t="s">
        <v>153</v>
      </c>
      <c r="DJ547" s="257" t="s">
        <v>153</v>
      </c>
      <c r="DK547" s="258" t="s">
        <v>153</v>
      </c>
      <c r="DL547" s="259" t="s">
        <v>153</v>
      </c>
      <c r="DM547" s="260" t="s">
        <v>153</v>
      </c>
      <c r="DN547" s="261" t="s">
        <v>153</v>
      </c>
      <c r="DO547" s="262" t="s">
        <v>153</v>
      </c>
      <c r="DP547" s="263" t="s">
        <v>153</v>
      </c>
      <c r="DQ547" s="264" t="s">
        <v>153</v>
      </c>
      <c r="DR547" s="265" t="s">
        <v>153</v>
      </c>
      <c r="DS547" s="266" t="s">
        <v>153</v>
      </c>
      <c r="DT547" s="267" t="s">
        <v>153</v>
      </c>
      <c r="DU547" s="268" t="s">
        <v>153</v>
      </c>
      <c r="DV547" s="269" t="s">
        <v>153</v>
      </c>
      <c r="DW547" s="270" t="s">
        <v>153</v>
      </c>
      <c r="DX547" s="271" t="s">
        <v>153</v>
      </c>
      <c r="DY547" s="272" t="s">
        <v>153</v>
      </c>
      <c r="DZ547" s="273" t="s">
        <v>191</v>
      </c>
      <c r="EA547" s="274">
        <v>43755</v>
      </c>
      <c r="EB547" s="275">
        <v>8096.72</v>
      </c>
      <c r="EC547" s="276">
        <v>42921</v>
      </c>
      <c r="ED547" s="277" t="s">
        <v>226</v>
      </c>
      <c r="EE547" s="279" t="str">
        <f>HYPERLINK("https://my.pitchbook.com?c=163284-13", "View company online")</f>
        <v>View company online</v>
      </c>
    </row>
    <row r="548" spans="1:135" x14ac:dyDescent="0.45">
      <c r="A548" s="10" t="s">
        <v>11310</v>
      </c>
      <c r="B548" s="11" t="s">
        <v>7787</v>
      </c>
      <c r="C548" s="12" t="s">
        <v>153</v>
      </c>
      <c r="D548" s="13" t="s">
        <v>153</v>
      </c>
      <c r="E548" s="14" t="s">
        <v>153</v>
      </c>
      <c r="F548" s="15" t="s">
        <v>153</v>
      </c>
      <c r="G548" s="16" t="s">
        <v>11311</v>
      </c>
      <c r="H548" s="17" t="s">
        <v>153</v>
      </c>
      <c r="I548" s="18" t="s">
        <v>11310</v>
      </c>
      <c r="J548" s="19" t="s">
        <v>11312</v>
      </c>
      <c r="K548" s="20" t="s">
        <v>157</v>
      </c>
      <c r="L548" s="21" t="s">
        <v>817</v>
      </c>
      <c r="M548" s="22" t="s">
        <v>863</v>
      </c>
      <c r="N548" s="23" t="s">
        <v>2494</v>
      </c>
      <c r="O548" s="24" t="s">
        <v>6151</v>
      </c>
      <c r="P548" s="25" t="s">
        <v>11313</v>
      </c>
      <c r="Q548" s="26" t="s">
        <v>204</v>
      </c>
      <c r="R548" s="27" t="s">
        <v>153</v>
      </c>
      <c r="S548" s="28" t="s">
        <v>290</v>
      </c>
      <c r="T548" s="29" t="s">
        <v>205</v>
      </c>
      <c r="U548" s="30" t="s">
        <v>237</v>
      </c>
      <c r="V548" s="31" t="s">
        <v>153</v>
      </c>
      <c r="W548" s="32">
        <v>9000</v>
      </c>
      <c r="X548" s="33" t="s">
        <v>11314</v>
      </c>
      <c r="Y548" s="34" t="s">
        <v>153</v>
      </c>
      <c r="Z548" s="35" t="s">
        <v>153</v>
      </c>
      <c r="AA548" s="36">
        <v>1934</v>
      </c>
      <c r="AB548" s="37" t="s">
        <v>153</v>
      </c>
      <c r="AC548" s="38" t="s">
        <v>153</v>
      </c>
      <c r="AD548" s="39" t="s">
        <v>153</v>
      </c>
      <c r="AE548" s="40" t="s">
        <v>153</v>
      </c>
      <c r="AF548" s="41" t="s">
        <v>153</v>
      </c>
      <c r="AG548" s="42" t="s">
        <v>153</v>
      </c>
      <c r="AH548" s="43" t="s">
        <v>153</v>
      </c>
      <c r="AI548" s="44" t="s">
        <v>153</v>
      </c>
      <c r="AJ548" s="45" t="s">
        <v>153</v>
      </c>
      <c r="AK548" s="46" t="s">
        <v>153</v>
      </c>
      <c r="AL548" s="47" t="s">
        <v>153</v>
      </c>
      <c r="AM548" s="48" t="s">
        <v>153</v>
      </c>
      <c r="AN548" s="49" t="s">
        <v>484</v>
      </c>
      <c r="AO548" s="50" t="s">
        <v>11315</v>
      </c>
      <c r="AP548" s="51" t="s">
        <v>11316</v>
      </c>
      <c r="AQ548" s="52" t="s">
        <v>11317</v>
      </c>
      <c r="AR548" s="53" t="s">
        <v>11318</v>
      </c>
      <c r="AS548" s="54" t="s">
        <v>11319</v>
      </c>
      <c r="AT548" s="55" t="s">
        <v>780</v>
      </c>
      <c r="AU548" s="56" t="s">
        <v>11320</v>
      </c>
      <c r="AV548" s="57" t="s">
        <v>153</v>
      </c>
      <c r="AW548" s="58" t="s">
        <v>782</v>
      </c>
      <c r="AX548" s="59" t="s">
        <v>783</v>
      </c>
      <c r="AY548" s="60" t="s">
        <v>11321</v>
      </c>
      <c r="AZ548" s="61" t="s">
        <v>215</v>
      </c>
      <c r="BA548" s="62" t="s">
        <v>11319</v>
      </c>
      <c r="BB548" s="63" t="s">
        <v>153</v>
      </c>
      <c r="BC548" s="64" t="s">
        <v>153</v>
      </c>
      <c r="BD548" s="65" t="s">
        <v>216</v>
      </c>
      <c r="BE548" s="66" t="s">
        <v>217</v>
      </c>
      <c r="BF548" s="67" t="s">
        <v>11322</v>
      </c>
      <c r="BG548" s="68" t="s">
        <v>153</v>
      </c>
      <c r="BH548" s="69" t="s">
        <v>153</v>
      </c>
      <c r="BI548" s="70" t="s">
        <v>11323</v>
      </c>
      <c r="BJ548" s="71" t="s">
        <v>153</v>
      </c>
      <c r="BK548" s="72" t="s">
        <v>11324</v>
      </c>
      <c r="BL548" s="73" t="s">
        <v>153</v>
      </c>
      <c r="BM548" s="74" t="s">
        <v>153</v>
      </c>
      <c r="BN548" s="75" t="s">
        <v>11325</v>
      </c>
      <c r="BO548" s="76" t="s">
        <v>11326</v>
      </c>
      <c r="BP548" s="77" t="s">
        <v>11327</v>
      </c>
      <c r="BQ548" s="78">
        <v>41879</v>
      </c>
      <c r="BR548" s="79">
        <v>8081</v>
      </c>
      <c r="BS548" s="80" t="s">
        <v>186</v>
      </c>
      <c r="BT548" s="81">
        <v>8081</v>
      </c>
      <c r="BU548" s="82" t="s">
        <v>187</v>
      </c>
      <c r="BV548" s="83" t="s">
        <v>226</v>
      </c>
      <c r="BW548" s="84" t="s">
        <v>153</v>
      </c>
      <c r="BX548" s="85" t="s">
        <v>153</v>
      </c>
      <c r="BY548" s="86" t="s">
        <v>225</v>
      </c>
      <c r="BZ548" s="87" t="s">
        <v>1607</v>
      </c>
      <c r="CA548" s="88" t="s">
        <v>190</v>
      </c>
      <c r="CB548" s="89">
        <v>41879</v>
      </c>
      <c r="CC548" s="90">
        <v>8081</v>
      </c>
      <c r="CD548" s="91" t="s">
        <v>186</v>
      </c>
      <c r="CE548" s="92">
        <v>8081</v>
      </c>
      <c r="CF548" s="93" t="s">
        <v>187</v>
      </c>
      <c r="CG548" s="94" t="s">
        <v>226</v>
      </c>
      <c r="CH548" s="95" t="s">
        <v>153</v>
      </c>
      <c r="CI548" s="96" t="s">
        <v>153</v>
      </c>
      <c r="CJ548" s="97" t="s">
        <v>225</v>
      </c>
      <c r="CK548" s="98">
        <v>41879</v>
      </c>
      <c r="CL548" s="99" t="s">
        <v>153</v>
      </c>
      <c r="CM548" s="100" t="s">
        <v>1607</v>
      </c>
      <c r="CN548" s="101" t="s">
        <v>190</v>
      </c>
      <c r="CO548" s="102" t="s">
        <v>153</v>
      </c>
      <c r="CP548" s="103" t="s">
        <v>153</v>
      </c>
      <c r="CQ548" s="104" t="s">
        <v>153</v>
      </c>
      <c r="CR548" s="105" t="s">
        <v>153</v>
      </c>
      <c r="CS548" s="106" t="s">
        <v>153</v>
      </c>
      <c r="CT548" s="107" t="s">
        <v>153</v>
      </c>
      <c r="CU548" s="108" t="s">
        <v>153</v>
      </c>
      <c r="CV548" s="109" t="s">
        <v>153</v>
      </c>
      <c r="CW548" s="110" t="s">
        <v>153</v>
      </c>
      <c r="CX548" s="111" t="s">
        <v>153</v>
      </c>
      <c r="CY548" s="112" t="s">
        <v>153</v>
      </c>
      <c r="CZ548" s="113" t="s">
        <v>153</v>
      </c>
      <c r="DA548" s="114" t="s">
        <v>153</v>
      </c>
      <c r="DB548" s="115" t="s">
        <v>153</v>
      </c>
      <c r="DC548" s="116" t="s">
        <v>153</v>
      </c>
      <c r="DD548" s="117" t="s">
        <v>153</v>
      </c>
      <c r="DE548" s="118" t="s">
        <v>153</v>
      </c>
      <c r="DF548" s="119" t="s">
        <v>153</v>
      </c>
      <c r="DG548" s="120" t="s">
        <v>153</v>
      </c>
      <c r="DH548" s="121" t="s">
        <v>153</v>
      </c>
      <c r="DI548" s="122" t="s">
        <v>153</v>
      </c>
      <c r="DJ548" s="123" t="s">
        <v>153</v>
      </c>
      <c r="DK548" s="124" t="s">
        <v>153</v>
      </c>
      <c r="DL548" s="125" t="s">
        <v>153</v>
      </c>
      <c r="DM548" s="126" t="s">
        <v>153</v>
      </c>
      <c r="DN548" s="127" t="s">
        <v>153</v>
      </c>
      <c r="DO548" s="128" t="s">
        <v>153</v>
      </c>
      <c r="DP548" s="129" t="s">
        <v>153</v>
      </c>
      <c r="DQ548" s="130" t="s">
        <v>153</v>
      </c>
      <c r="DR548" s="131" t="s">
        <v>153</v>
      </c>
      <c r="DS548" s="132" t="s">
        <v>153</v>
      </c>
      <c r="DT548" s="133" t="s">
        <v>153</v>
      </c>
      <c r="DU548" s="134" t="s">
        <v>153</v>
      </c>
      <c r="DV548" s="135" t="s">
        <v>153</v>
      </c>
      <c r="DW548" s="136" t="s">
        <v>153</v>
      </c>
      <c r="DX548" s="137" t="s">
        <v>153</v>
      </c>
      <c r="DY548" s="138" t="s">
        <v>153</v>
      </c>
      <c r="DZ548" s="139" t="s">
        <v>191</v>
      </c>
      <c r="EA548" s="140">
        <v>44341</v>
      </c>
      <c r="EB548" s="141">
        <v>8081</v>
      </c>
      <c r="EC548" s="142">
        <v>41879</v>
      </c>
      <c r="ED548" s="143" t="s">
        <v>226</v>
      </c>
      <c r="EE548" s="278" t="str">
        <f>HYPERLINK("https://my.pitchbook.com?c=57765-61", "View company online")</f>
        <v>View company online</v>
      </c>
    </row>
    <row r="549" spans="1:135" x14ac:dyDescent="0.45">
      <c r="A549" s="144" t="s">
        <v>11328</v>
      </c>
      <c r="B549" s="145" t="s">
        <v>11329</v>
      </c>
      <c r="C549" s="146" t="s">
        <v>153</v>
      </c>
      <c r="D549" s="147" t="s">
        <v>153</v>
      </c>
      <c r="E549" s="148" t="s">
        <v>153</v>
      </c>
      <c r="F549" s="149" t="s">
        <v>11330</v>
      </c>
      <c r="G549" s="150" t="s">
        <v>11331</v>
      </c>
      <c r="H549" s="151" t="s">
        <v>11332</v>
      </c>
      <c r="I549" s="152" t="s">
        <v>11328</v>
      </c>
      <c r="J549" s="153" t="s">
        <v>11333</v>
      </c>
      <c r="K549" s="154" t="s">
        <v>232</v>
      </c>
      <c r="L549" s="155" t="s">
        <v>362</v>
      </c>
      <c r="M549" s="156" t="s">
        <v>363</v>
      </c>
      <c r="N549" s="157" t="s">
        <v>8591</v>
      </c>
      <c r="O549" s="158" t="s">
        <v>153</v>
      </c>
      <c r="P549" s="159" t="s">
        <v>11334</v>
      </c>
      <c r="Q549" s="160" t="s">
        <v>204</v>
      </c>
      <c r="R549" s="161" t="s">
        <v>153</v>
      </c>
      <c r="S549" s="162" t="s">
        <v>163</v>
      </c>
      <c r="T549" s="163" t="s">
        <v>205</v>
      </c>
      <c r="U549" s="164" t="s">
        <v>206</v>
      </c>
      <c r="V549" s="165" t="s">
        <v>11335</v>
      </c>
      <c r="W549" s="166" t="s">
        <v>153</v>
      </c>
      <c r="X549" s="167" t="s">
        <v>153</v>
      </c>
      <c r="Y549" s="168" t="s">
        <v>153</v>
      </c>
      <c r="Z549" s="169" t="s">
        <v>153</v>
      </c>
      <c r="AA549" s="170" t="s">
        <v>153</v>
      </c>
      <c r="AB549" s="171" t="s">
        <v>153</v>
      </c>
      <c r="AC549" s="172" t="s">
        <v>153</v>
      </c>
      <c r="AD549" s="173" t="s">
        <v>153</v>
      </c>
      <c r="AE549" s="174" t="s">
        <v>153</v>
      </c>
      <c r="AF549" s="175" t="s">
        <v>153</v>
      </c>
      <c r="AG549" s="176" t="s">
        <v>153</v>
      </c>
      <c r="AH549" s="177" t="s">
        <v>153</v>
      </c>
      <c r="AI549" s="178" t="s">
        <v>153</v>
      </c>
      <c r="AJ549" s="179" t="s">
        <v>153</v>
      </c>
      <c r="AK549" s="180" t="s">
        <v>153</v>
      </c>
      <c r="AL549" s="181" t="s">
        <v>153</v>
      </c>
      <c r="AM549" s="182" t="s">
        <v>153</v>
      </c>
      <c r="AN549" s="183" t="s">
        <v>153</v>
      </c>
      <c r="AO549" s="184" t="s">
        <v>153</v>
      </c>
      <c r="AP549" s="185" t="s">
        <v>153</v>
      </c>
      <c r="AQ549" s="186" t="s">
        <v>153</v>
      </c>
      <c r="AR549" s="187" t="s">
        <v>153</v>
      </c>
      <c r="AS549" s="188" t="s">
        <v>153</v>
      </c>
      <c r="AT549" s="189" t="s">
        <v>7533</v>
      </c>
      <c r="AU549" s="190" t="s">
        <v>153</v>
      </c>
      <c r="AV549" s="191" t="s">
        <v>153</v>
      </c>
      <c r="AW549" s="192" t="s">
        <v>153</v>
      </c>
      <c r="AX549" s="193" t="s">
        <v>153</v>
      </c>
      <c r="AY549" s="194" t="s">
        <v>153</v>
      </c>
      <c r="AZ549" s="195" t="s">
        <v>7533</v>
      </c>
      <c r="BA549" s="196" t="s">
        <v>153</v>
      </c>
      <c r="BB549" s="197" t="s">
        <v>153</v>
      </c>
      <c r="BC549" s="198" t="s">
        <v>153</v>
      </c>
      <c r="BD549" s="199" t="s">
        <v>1406</v>
      </c>
      <c r="BE549" s="200" t="s">
        <v>7536</v>
      </c>
      <c r="BF549" s="201" t="s">
        <v>11336</v>
      </c>
      <c r="BG549" s="202" t="s">
        <v>153</v>
      </c>
      <c r="BH549" s="203" t="s">
        <v>153</v>
      </c>
      <c r="BI549" s="204" t="s">
        <v>11337</v>
      </c>
      <c r="BJ549" s="205" t="s">
        <v>926</v>
      </c>
      <c r="BK549" s="206" t="s">
        <v>153</v>
      </c>
      <c r="BL549" s="207" t="s">
        <v>153</v>
      </c>
      <c r="BM549" s="208" t="s">
        <v>927</v>
      </c>
      <c r="BN549" s="209" t="s">
        <v>153</v>
      </c>
      <c r="BO549" s="210" t="s">
        <v>153</v>
      </c>
      <c r="BP549" s="211" t="s">
        <v>11338</v>
      </c>
      <c r="BQ549" s="212">
        <v>43479</v>
      </c>
      <c r="BR549" s="213">
        <v>8080</v>
      </c>
      <c r="BS549" s="214" t="s">
        <v>186</v>
      </c>
      <c r="BT549" s="215">
        <v>8080</v>
      </c>
      <c r="BU549" s="216" t="s">
        <v>187</v>
      </c>
      <c r="BV549" s="217" t="s">
        <v>226</v>
      </c>
      <c r="BW549" s="218" t="s">
        <v>729</v>
      </c>
      <c r="BX549" s="219" t="s">
        <v>153</v>
      </c>
      <c r="BY549" s="220" t="s">
        <v>225</v>
      </c>
      <c r="BZ549" s="221" t="s">
        <v>153</v>
      </c>
      <c r="CA549" s="222" t="s">
        <v>190</v>
      </c>
      <c r="CB549" s="223">
        <v>43479</v>
      </c>
      <c r="CC549" s="224">
        <v>8080</v>
      </c>
      <c r="CD549" s="225" t="s">
        <v>186</v>
      </c>
      <c r="CE549" s="226">
        <v>8080</v>
      </c>
      <c r="CF549" s="227" t="s">
        <v>187</v>
      </c>
      <c r="CG549" s="228" t="s">
        <v>226</v>
      </c>
      <c r="CH549" s="229" t="s">
        <v>729</v>
      </c>
      <c r="CI549" s="230" t="s">
        <v>153</v>
      </c>
      <c r="CJ549" s="231" t="s">
        <v>225</v>
      </c>
      <c r="CK549" s="232">
        <v>43479</v>
      </c>
      <c r="CL549" s="233" t="s">
        <v>153</v>
      </c>
      <c r="CM549" s="234" t="s">
        <v>153</v>
      </c>
      <c r="CN549" s="235" t="s">
        <v>190</v>
      </c>
      <c r="CO549" s="236" t="s">
        <v>153</v>
      </c>
      <c r="CP549" s="237" t="s">
        <v>153</v>
      </c>
      <c r="CQ549" s="238" t="s">
        <v>153</v>
      </c>
      <c r="CR549" s="239" t="s">
        <v>153</v>
      </c>
      <c r="CS549" s="240" t="s">
        <v>153</v>
      </c>
      <c r="CT549" s="241" t="s">
        <v>153</v>
      </c>
      <c r="CU549" s="242" t="s">
        <v>153</v>
      </c>
      <c r="CV549" s="243" t="s">
        <v>153</v>
      </c>
      <c r="CW549" s="244" t="s">
        <v>153</v>
      </c>
      <c r="CX549" s="245" t="s">
        <v>153</v>
      </c>
      <c r="CY549" s="246" t="s">
        <v>153</v>
      </c>
      <c r="CZ549" s="247" t="s">
        <v>153</v>
      </c>
      <c r="DA549" s="248" t="s">
        <v>153</v>
      </c>
      <c r="DB549" s="249" t="s">
        <v>153</v>
      </c>
      <c r="DC549" s="250" t="s">
        <v>153</v>
      </c>
      <c r="DD549" s="251" t="s">
        <v>153</v>
      </c>
      <c r="DE549" s="252" t="s">
        <v>153</v>
      </c>
      <c r="DF549" s="253" t="s">
        <v>153</v>
      </c>
      <c r="DG549" s="254" t="s">
        <v>153</v>
      </c>
      <c r="DH549" s="255" t="s">
        <v>153</v>
      </c>
      <c r="DI549" s="256" t="s">
        <v>153</v>
      </c>
      <c r="DJ549" s="257" t="s">
        <v>153</v>
      </c>
      <c r="DK549" s="258" t="s">
        <v>153</v>
      </c>
      <c r="DL549" s="259" t="s">
        <v>153</v>
      </c>
      <c r="DM549" s="260" t="s">
        <v>153</v>
      </c>
      <c r="DN549" s="261" t="s">
        <v>153</v>
      </c>
      <c r="DO549" s="262" t="s">
        <v>153</v>
      </c>
      <c r="DP549" s="263" t="s">
        <v>153</v>
      </c>
      <c r="DQ549" s="264" t="s">
        <v>153</v>
      </c>
      <c r="DR549" s="265" t="s">
        <v>153</v>
      </c>
      <c r="DS549" s="266" t="s">
        <v>153</v>
      </c>
      <c r="DT549" s="267" t="s">
        <v>153</v>
      </c>
      <c r="DU549" s="268" t="s">
        <v>153</v>
      </c>
      <c r="DV549" s="269" t="s">
        <v>153</v>
      </c>
      <c r="DW549" s="270" t="s">
        <v>153</v>
      </c>
      <c r="DX549" s="271" t="s">
        <v>153</v>
      </c>
      <c r="DY549" s="272" t="s">
        <v>153</v>
      </c>
      <c r="DZ549" s="273" t="s">
        <v>191</v>
      </c>
      <c r="EA549" s="274">
        <v>44279</v>
      </c>
      <c r="EB549" s="275">
        <v>8080</v>
      </c>
      <c r="EC549" s="276">
        <v>43479</v>
      </c>
      <c r="ED549" s="277" t="s">
        <v>226</v>
      </c>
      <c r="EE549" s="279" t="str">
        <f>HYPERLINK("https://my.pitchbook.com?c=164361-34", "View company online")</f>
        <v>View company online</v>
      </c>
    </row>
    <row r="550" spans="1:135" x14ac:dyDescent="0.45">
      <c r="A550" s="10" t="s">
        <v>11339</v>
      </c>
      <c r="B550" s="11" t="s">
        <v>11340</v>
      </c>
      <c r="C550" s="12" t="s">
        <v>153</v>
      </c>
      <c r="D550" s="13" t="s">
        <v>153</v>
      </c>
      <c r="E550" s="14" t="s">
        <v>11341</v>
      </c>
      <c r="F550" s="15" t="s">
        <v>11342</v>
      </c>
      <c r="G550" s="16" t="s">
        <v>11343</v>
      </c>
      <c r="H550" s="17" t="s">
        <v>11344</v>
      </c>
      <c r="I550" s="18" t="s">
        <v>11339</v>
      </c>
      <c r="J550" s="19" t="s">
        <v>11345</v>
      </c>
      <c r="K550" s="20" t="s">
        <v>198</v>
      </c>
      <c r="L550" s="21" t="s">
        <v>984</v>
      </c>
      <c r="M550" s="22" t="s">
        <v>8397</v>
      </c>
      <c r="N550" s="23" t="s">
        <v>11346</v>
      </c>
      <c r="O550" s="24" t="s">
        <v>8399</v>
      </c>
      <c r="P550" s="25" t="s">
        <v>11347</v>
      </c>
      <c r="Q550" s="26" t="s">
        <v>367</v>
      </c>
      <c r="R550" s="27">
        <v>1889.68</v>
      </c>
      <c r="S550" s="28" t="s">
        <v>290</v>
      </c>
      <c r="T550" s="29" t="s">
        <v>291</v>
      </c>
      <c r="U550" s="30" t="s">
        <v>2534</v>
      </c>
      <c r="V550" s="31" t="s">
        <v>11348</v>
      </c>
      <c r="W550" s="32">
        <v>1803</v>
      </c>
      <c r="X550" s="33" t="s">
        <v>11349</v>
      </c>
      <c r="Y550" s="34" t="s">
        <v>1644</v>
      </c>
      <c r="Z550" s="35" t="s">
        <v>11350</v>
      </c>
      <c r="AA550" s="36">
        <v>1988</v>
      </c>
      <c r="AB550" s="37" t="s">
        <v>153</v>
      </c>
      <c r="AC550" s="38" t="s">
        <v>570</v>
      </c>
      <c r="AD550" s="39" t="s">
        <v>11351</v>
      </c>
      <c r="AE550" s="40">
        <v>892.9</v>
      </c>
      <c r="AF550" s="41">
        <v>505.7</v>
      </c>
      <c r="AG550" s="42">
        <v>169.6</v>
      </c>
      <c r="AH550" s="43">
        <v>8343.74</v>
      </c>
      <c r="AI550" s="44">
        <v>359</v>
      </c>
      <c r="AJ550" s="45">
        <v>271.39999999999998</v>
      </c>
      <c r="AK550" s="46">
        <v>8221.5400000000009</v>
      </c>
      <c r="AL550" s="47">
        <v>722.8</v>
      </c>
      <c r="AM550" s="48">
        <v>2.5</v>
      </c>
      <c r="AN550" s="49" t="s">
        <v>168</v>
      </c>
      <c r="AO550" s="50" t="s">
        <v>11352</v>
      </c>
      <c r="AP550" s="51" t="s">
        <v>11353</v>
      </c>
      <c r="AQ550" s="52" t="s">
        <v>11354</v>
      </c>
      <c r="AR550" s="53" t="s">
        <v>11355</v>
      </c>
      <c r="AS550" s="54" t="s">
        <v>153</v>
      </c>
      <c r="AT550" s="55" t="s">
        <v>2973</v>
      </c>
      <c r="AU550" s="56" t="s">
        <v>11356</v>
      </c>
      <c r="AV550" s="57" t="s">
        <v>11357</v>
      </c>
      <c r="AW550" s="58" t="s">
        <v>2975</v>
      </c>
      <c r="AX550" s="59" t="s">
        <v>153</v>
      </c>
      <c r="AY550" s="60" t="s">
        <v>11358</v>
      </c>
      <c r="AZ550" s="61" t="s">
        <v>2977</v>
      </c>
      <c r="BA550" s="62" t="s">
        <v>153</v>
      </c>
      <c r="BB550" s="63" t="s">
        <v>153</v>
      </c>
      <c r="BC550" s="64" t="s">
        <v>153</v>
      </c>
      <c r="BD550" s="65" t="s">
        <v>180</v>
      </c>
      <c r="BE550" s="66" t="s">
        <v>809</v>
      </c>
      <c r="BF550" s="67" t="s">
        <v>11359</v>
      </c>
      <c r="BG550" s="68" t="s">
        <v>4231</v>
      </c>
      <c r="BH550" s="69">
        <v>1</v>
      </c>
      <c r="BI550" s="70" t="s">
        <v>153</v>
      </c>
      <c r="BJ550" s="71" t="s">
        <v>11360</v>
      </c>
      <c r="BK550" s="72" t="s">
        <v>153</v>
      </c>
      <c r="BL550" s="73" t="s">
        <v>4232</v>
      </c>
      <c r="BM550" s="74" t="s">
        <v>11361</v>
      </c>
      <c r="BN550" s="75" t="s">
        <v>153</v>
      </c>
      <c r="BO550" s="76" t="s">
        <v>11362</v>
      </c>
      <c r="BP550" s="77" t="s">
        <v>11363</v>
      </c>
      <c r="BQ550" s="78">
        <v>40413</v>
      </c>
      <c r="BR550" s="79">
        <v>100</v>
      </c>
      <c r="BS550" s="80" t="s">
        <v>186</v>
      </c>
      <c r="BT550" s="81">
        <v>400</v>
      </c>
      <c r="BU550" s="82" t="s">
        <v>187</v>
      </c>
      <c r="BV550" s="83" t="s">
        <v>709</v>
      </c>
      <c r="BW550" s="84" t="s">
        <v>153</v>
      </c>
      <c r="BX550" s="85" t="s">
        <v>153</v>
      </c>
      <c r="BY550" s="86" t="s">
        <v>165</v>
      </c>
      <c r="BZ550" s="87" t="s">
        <v>153</v>
      </c>
      <c r="CA550" s="88" t="s">
        <v>190</v>
      </c>
      <c r="CB550" s="89" t="s">
        <v>153</v>
      </c>
      <c r="CC550" s="90">
        <v>8000</v>
      </c>
      <c r="CD550" s="91" t="s">
        <v>187</v>
      </c>
      <c r="CE550" s="92">
        <v>8000</v>
      </c>
      <c r="CF550" s="93" t="s">
        <v>187</v>
      </c>
      <c r="CG550" s="94" t="s">
        <v>226</v>
      </c>
      <c r="CH550" s="95" t="s">
        <v>153</v>
      </c>
      <c r="CI550" s="96" t="s">
        <v>153</v>
      </c>
      <c r="CJ550" s="97" t="s">
        <v>225</v>
      </c>
      <c r="CK550" s="98" t="s">
        <v>153</v>
      </c>
      <c r="CL550" s="99" t="s">
        <v>153</v>
      </c>
      <c r="CM550" s="100" t="s">
        <v>153</v>
      </c>
      <c r="CN550" s="101" t="s">
        <v>1698</v>
      </c>
      <c r="CO550" s="102">
        <v>0.46</v>
      </c>
      <c r="CP550" s="103">
        <v>93</v>
      </c>
      <c r="CQ550" s="104">
        <v>-0.05</v>
      </c>
      <c r="CR550" s="105">
        <v>-9.19</v>
      </c>
      <c r="CS550" s="106">
        <v>0.24</v>
      </c>
      <c r="CT550" s="107">
        <v>91</v>
      </c>
      <c r="CU550" s="108">
        <v>-0.11</v>
      </c>
      <c r="CV550" s="109">
        <v>17</v>
      </c>
      <c r="CW550" s="110">
        <v>0.34</v>
      </c>
      <c r="CX550" s="111">
        <v>78</v>
      </c>
      <c r="CY550" s="112">
        <v>0.14000000000000001</v>
      </c>
      <c r="CZ550" s="113">
        <v>91</v>
      </c>
      <c r="DA550" s="114">
        <v>-0.11</v>
      </c>
      <c r="DB550" s="115">
        <v>17</v>
      </c>
      <c r="DC550" s="116">
        <v>2759.85</v>
      </c>
      <c r="DD550" s="117">
        <v>100</v>
      </c>
      <c r="DE550" s="118">
        <v>8.2200000000000006</v>
      </c>
      <c r="DF550" s="119">
        <v>0.3</v>
      </c>
      <c r="DG550" s="120">
        <v>5570.16</v>
      </c>
      <c r="DH550" s="121">
        <v>100</v>
      </c>
      <c r="DI550" s="122">
        <v>535.98</v>
      </c>
      <c r="DJ550" s="123">
        <v>100</v>
      </c>
      <c r="DK550" s="124">
        <v>8177.64</v>
      </c>
      <c r="DL550" s="125">
        <v>100</v>
      </c>
      <c r="DM550" s="126">
        <v>2962.69</v>
      </c>
      <c r="DN550" s="127">
        <v>100</v>
      </c>
      <c r="DO550" s="128">
        <v>535.98</v>
      </c>
      <c r="DP550" s="129">
        <v>100</v>
      </c>
      <c r="DQ550" s="130">
        <v>4859663</v>
      </c>
      <c r="DR550" s="131">
        <v>-37843</v>
      </c>
      <c r="DS550" s="132">
        <v>-0.77</v>
      </c>
      <c r="DT550" s="133">
        <v>47384</v>
      </c>
      <c r="DU550" s="134">
        <v>48</v>
      </c>
      <c r="DV550" s="135">
        <v>0.1</v>
      </c>
      <c r="DW550" s="136">
        <v>168308</v>
      </c>
      <c r="DX550" s="137">
        <v>-35</v>
      </c>
      <c r="DY550" s="138">
        <v>-0.02</v>
      </c>
      <c r="DZ550" s="139" t="s">
        <v>191</v>
      </c>
      <c r="EA550" s="140">
        <v>44400</v>
      </c>
      <c r="EB550" s="141">
        <v>270.94</v>
      </c>
      <c r="EC550" s="142">
        <v>43551</v>
      </c>
      <c r="ED550" s="143" t="s">
        <v>5867</v>
      </c>
      <c r="EE550" s="278" t="str">
        <f>HYPERLINK("https://my.pitchbook.com?c=50888-17", "View company online")</f>
        <v>View company online</v>
      </c>
    </row>
    <row r="551" spans="1:135" x14ac:dyDescent="0.45">
      <c r="A551" s="144" t="s">
        <v>11364</v>
      </c>
      <c r="B551" s="145" t="s">
        <v>11365</v>
      </c>
      <c r="C551" s="146" t="s">
        <v>153</v>
      </c>
      <c r="D551" s="147" t="s">
        <v>153</v>
      </c>
      <c r="E551" s="148" t="s">
        <v>153</v>
      </c>
      <c r="F551" s="149" t="s">
        <v>11366</v>
      </c>
      <c r="G551" s="150" t="s">
        <v>11367</v>
      </c>
      <c r="H551" s="151" t="s">
        <v>11368</v>
      </c>
      <c r="I551" s="152" t="s">
        <v>11364</v>
      </c>
      <c r="J551" s="153" t="s">
        <v>11369</v>
      </c>
      <c r="K551" s="154" t="s">
        <v>157</v>
      </c>
      <c r="L551" s="155" t="s">
        <v>817</v>
      </c>
      <c r="M551" s="156" t="s">
        <v>863</v>
      </c>
      <c r="N551" s="157" t="s">
        <v>2494</v>
      </c>
      <c r="O551" s="158" t="s">
        <v>153</v>
      </c>
      <c r="P551" s="159" t="s">
        <v>11370</v>
      </c>
      <c r="Q551" s="160" t="s">
        <v>564</v>
      </c>
      <c r="R551" s="161">
        <v>1056.8499999999999</v>
      </c>
      <c r="S551" s="162" t="s">
        <v>290</v>
      </c>
      <c r="T551" s="163" t="s">
        <v>164</v>
      </c>
      <c r="U551" s="164" t="s">
        <v>1063</v>
      </c>
      <c r="V551" s="165" t="s">
        <v>11371</v>
      </c>
      <c r="W551" s="166">
        <v>888</v>
      </c>
      <c r="X551" s="167" t="s">
        <v>11372</v>
      </c>
      <c r="Y551" s="168" t="s">
        <v>153</v>
      </c>
      <c r="Z551" s="169" t="s">
        <v>153</v>
      </c>
      <c r="AA551" s="170">
        <v>2002</v>
      </c>
      <c r="AB551" s="171" t="s">
        <v>11373</v>
      </c>
      <c r="AC551" s="172" t="s">
        <v>153</v>
      </c>
      <c r="AD551" s="173" t="s">
        <v>11374</v>
      </c>
      <c r="AE551" s="174" t="s">
        <v>153</v>
      </c>
      <c r="AF551" s="175" t="s">
        <v>153</v>
      </c>
      <c r="AG551" s="176" t="s">
        <v>153</v>
      </c>
      <c r="AH551" s="177" t="s">
        <v>153</v>
      </c>
      <c r="AI551" s="178" t="s">
        <v>153</v>
      </c>
      <c r="AJ551" s="179" t="s">
        <v>153</v>
      </c>
      <c r="AK551" s="180" t="s">
        <v>153</v>
      </c>
      <c r="AL551" s="181" t="s">
        <v>153</v>
      </c>
      <c r="AM551" s="182" t="s">
        <v>153</v>
      </c>
      <c r="AN551" s="183" t="s">
        <v>868</v>
      </c>
      <c r="AO551" s="184" t="s">
        <v>11375</v>
      </c>
      <c r="AP551" s="185" t="s">
        <v>11376</v>
      </c>
      <c r="AQ551" s="186" t="s">
        <v>1445</v>
      </c>
      <c r="AR551" s="187" t="s">
        <v>11377</v>
      </c>
      <c r="AS551" s="188" t="s">
        <v>11378</v>
      </c>
      <c r="AT551" s="189" t="s">
        <v>11379</v>
      </c>
      <c r="AU551" s="190" t="s">
        <v>11380</v>
      </c>
      <c r="AV551" s="191" t="s">
        <v>153</v>
      </c>
      <c r="AW551" s="192" t="s">
        <v>11381</v>
      </c>
      <c r="AX551" s="193" t="s">
        <v>213</v>
      </c>
      <c r="AY551" s="194" t="s">
        <v>11382</v>
      </c>
      <c r="AZ551" s="195" t="s">
        <v>215</v>
      </c>
      <c r="BA551" s="196" t="s">
        <v>11378</v>
      </c>
      <c r="BB551" s="197" t="s">
        <v>153</v>
      </c>
      <c r="BC551" s="198" t="s">
        <v>11383</v>
      </c>
      <c r="BD551" s="199" t="s">
        <v>216</v>
      </c>
      <c r="BE551" s="200" t="s">
        <v>217</v>
      </c>
      <c r="BF551" s="201" t="s">
        <v>11384</v>
      </c>
      <c r="BG551" s="202" t="s">
        <v>153</v>
      </c>
      <c r="BH551" s="203" t="s">
        <v>153</v>
      </c>
      <c r="BI551" s="204" t="s">
        <v>11373</v>
      </c>
      <c r="BJ551" s="205" t="s">
        <v>11385</v>
      </c>
      <c r="BK551" s="206" t="s">
        <v>153</v>
      </c>
      <c r="BL551" s="207" t="s">
        <v>153</v>
      </c>
      <c r="BM551" s="208" t="s">
        <v>11386</v>
      </c>
      <c r="BN551" s="209" t="s">
        <v>153</v>
      </c>
      <c r="BO551" s="210" t="s">
        <v>11387</v>
      </c>
      <c r="BP551" s="211" t="s">
        <v>11388</v>
      </c>
      <c r="BQ551" s="212">
        <v>38718</v>
      </c>
      <c r="BR551" s="213" t="s">
        <v>153</v>
      </c>
      <c r="BS551" s="214" t="s">
        <v>153</v>
      </c>
      <c r="BT551" s="215" t="s">
        <v>153</v>
      </c>
      <c r="BU551" s="216" t="s">
        <v>153</v>
      </c>
      <c r="BV551" s="217" t="s">
        <v>709</v>
      </c>
      <c r="BW551" s="218" t="s">
        <v>153</v>
      </c>
      <c r="BX551" s="219" t="s">
        <v>153</v>
      </c>
      <c r="BY551" s="220" t="s">
        <v>165</v>
      </c>
      <c r="BZ551" s="221" t="s">
        <v>153</v>
      </c>
      <c r="CA551" s="222" t="s">
        <v>190</v>
      </c>
      <c r="CB551" s="223">
        <v>43214</v>
      </c>
      <c r="CC551" s="224">
        <v>8000</v>
      </c>
      <c r="CD551" s="225" t="s">
        <v>186</v>
      </c>
      <c r="CE551" s="226">
        <v>8000</v>
      </c>
      <c r="CF551" s="227" t="s">
        <v>186</v>
      </c>
      <c r="CG551" s="228" t="s">
        <v>226</v>
      </c>
      <c r="CH551" s="229" t="s">
        <v>930</v>
      </c>
      <c r="CI551" s="230" t="s">
        <v>153</v>
      </c>
      <c r="CJ551" s="231" t="s">
        <v>225</v>
      </c>
      <c r="CK551" s="232">
        <v>43214</v>
      </c>
      <c r="CL551" s="233" t="s">
        <v>153</v>
      </c>
      <c r="CM551" s="234" t="s">
        <v>153</v>
      </c>
      <c r="CN551" s="235" t="s">
        <v>190</v>
      </c>
      <c r="CO551" s="236" t="s">
        <v>153</v>
      </c>
      <c r="CP551" s="237" t="s">
        <v>153</v>
      </c>
      <c r="CQ551" s="238" t="s">
        <v>153</v>
      </c>
      <c r="CR551" s="239" t="s">
        <v>153</v>
      </c>
      <c r="CS551" s="240" t="s">
        <v>153</v>
      </c>
      <c r="CT551" s="241" t="s">
        <v>153</v>
      </c>
      <c r="CU551" s="242" t="s">
        <v>153</v>
      </c>
      <c r="CV551" s="243" t="s">
        <v>153</v>
      </c>
      <c r="CW551" s="244" t="s">
        <v>153</v>
      </c>
      <c r="CX551" s="245" t="s">
        <v>153</v>
      </c>
      <c r="CY551" s="246" t="s">
        <v>153</v>
      </c>
      <c r="CZ551" s="247" t="s">
        <v>153</v>
      </c>
      <c r="DA551" s="248" t="s">
        <v>153</v>
      </c>
      <c r="DB551" s="249" t="s">
        <v>153</v>
      </c>
      <c r="DC551" s="250" t="s">
        <v>153</v>
      </c>
      <c r="DD551" s="251" t="s">
        <v>153</v>
      </c>
      <c r="DE551" s="252" t="s">
        <v>153</v>
      </c>
      <c r="DF551" s="253" t="s">
        <v>153</v>
      </c>
      <c r="DG551" s="254" t="s">
        <v>153</v>
      </c>
      <c r="DH551" s="255" t="s">
        <v>153</v>
      </c>
      <c r="DI551" s="256" t="s">
        <v>153</v>
      </c>
      <c r="DJ551" s="257" t="s">
        <v>153</v>
      </c>
      <c r="DK551" s="258" t="s">
        <v>153</v>
      </c>
      <c r="DL551" s="259" t="s">
        <v>153</v>
      </c>
      <c r="DM551" s="260" t="s">
        <v>153</v>
      </c>
      <c r="DN551" s="261" t="s">
        <v>153</v>
      </c>
      <c r="DO551" s="262" t="s">
        <v>153</v>
      </c>
      <c r="DP551" s="263" t="s">
        <v>153</v>
      </c>
      <c r="DQ551" s="264" t="s">
        <v>153</v>
      </c>
      <c r="DR551" s="265" t="s">
        <v>153</v>
      </c>
      <c r="DS551" s="266" t="s">
        <v>153</v>
      </c>
      <c r="DT551" s="267" t="s">
        <v>153</v>
      </c>
      <c r="DU551" s="268" t="s">
        <v>153</v>
      </c>
      <c r="DV551" s="269" t="s">
        <v>153</v>
      </c>
      <c r="DW551" s="270" t="s">
        <v>153</v>
      </c>
      <c r="DX551" s="271" t="s">
        <v>153</v>
      </c>
      <c r="DY551" s="272" t="s">
        <v>153</v>
      </c>
      <c r="DZ551" s="273" t="s">
        <v>191</v>
      </c>
      <c r="EA551" s="274">
        <v>44400</v>
      </c>
      <c r="EB551" s="275">
        <v>8000</v>
      </c>
      <c r="EC551" s="276">
        <v>43214</v>
      </c>
      <c r="ED551" s="277" t="s">
        <v>226</v>
      </c>
      <c r="EE551" s="279" t="str">
        <f>HYPERLINK("https://my.pitchbook.com?c=56645-11", "View company online")</f>
        <v>View company online</v>
      </c>
    </row>
    <row r="552" spans="1:135" x14ac:dyDescent="0.45">
      <c r="A552" s="10" t="s">
        <v>11389</v>
      </c>
      <c r="B552" s="11" t="s">
        <v>11390</v>
      </c>
      <c r="C552" s="12" t="s">
        <v>153</v>
      </c>
      <c r="D552" s="13" t="s">
        <v>153</v>
      </c>
      <c r="E552" s="14" t="s">
        <v>153</v>
      </c>
      <c r="F552" s="15" t="s">
        <v>153</v>
      </c>
      <c r="G552" s="16" t="s">
        <v>11391</v>
      </c>
      <c r="H552" s="17" t="s">
        <v>11392</v>
      </c>
      <c r="I552" s="18" t="s">
        <v>11389</v>
      </c>
      <c r="J552" s="19" t="s">
        <v>11393</v>
      </c>
      <c r="K552" s="20" t="s">
        <v>157</v>
      </c>
      <c r="L552" s="21" t="s">
        <v>2713</v>
      </c>
      <c r="M552" s="22" t="s">
        <v>4514</v>
      </c>
      <c r="N552" s="23" t="s">
        <v>11394</v>
      </c>
      <c r="O552" s="24" t="s">
        <v>153</v>
      </c>
      <c r="P552" s="25" t="s">
        <v>11395</v>
      </c>
      <c r="Q552" s="26" t="s">
        <v>204</v>
      </c>
      <c r="R552" s="27">
        <v>64.13</v>
      </c>
      <c r="S552" s="28" t="s">
        <v>290</v>
      </c>
      <c r="T552" s="29" t="s">
        <v>205</v>
      </c>
      <c r="U552" s="30" t="s">
        <v>369</v>
      </c>
      <c r="V552" s="31" t="s">
        <v>11396</v>
      </c>
      <c r="W552" s="32">
        <v>39000</v>
      </c>
      <c r="X552" s="33" t="s">
        <v>11397</v>
      </c>
      <c r="Y552" s="34" t="s">
        <v>153</v>
      </c>
      <c r="Z552" s="35" t="s">
        <v>153</v>
      </c>
      <c r="AA552" s="36">
        <v>1922</v>
      </c>
      <c r="AB552" s="37" t="s">
        <v>153</v>
      </c>
      <c r="AC552" s="38" t="s">
        <v>153</v>
      </c>
      <c r="AD552" s="39" t="s">
        <v>153</v>
      </c>
      <c r="AE552" s="40" t="s">
        <v>153</v>
      </c>
      <c r="AF552" s="41" t="s">
        <v>153</v>
      </c>
      <c r="AG552" s="42" t="s">
        <v>153</v>
      </c>
      <c r="AH552" s="43" t="s">
        <v>153</v>
      </c>
      <c r="AI552" s="44" t="s">
        <v>153</v>
      </c>
      <c r="AJ552" s="45" t="s">
        <v>153</v>
      </c>
      <c r="AK552" s="46" t="s">
        <v>153</v>
      </c>
      <c r="AL552" s="47" t="s">
        <v>153</v>
      </c>
      <c r="AM552" s="48" t="s">
        <v>153</v>
      </c>
      <c r="AN552" s="49" t="s">
        <v>153</v>
      </c>
      <c r="AO552" s="50" t="s">
        <v>153</v>
      </c>
      <c r="AP552" s="51" t="s">
        <v>153</v>
      </c>
      <c r="AQ552" s="52" t="s">
        <v>153</v>
      </c>
      <c r="AR552" s="53" t="s">
        <v>153</v>
      </c>
      <c r="AS552" s="54" t="s">
        <v>153</v>
      </c>
      <c r="AT552" s="55" t="s">
        <v>1575</v>
      </c>
      <c r="AU552" s="56" t="s">
        <v>11398</v>
      </c>
      <c r="AV552" s="57" t="s">
        <v>153</v>
      </c>
      <c r="AW552" s="58" t="s">
        <v>1578</v>
      </c>
      <c r="AX552" s="59" t="s">
        <v>1579</v>
      </c>
      <c r="AY552" s="60" t="s">
        <v>11399</v>
      </c>
      <c r="AZ552" s="61" t="s">
        <v>215</v>
      </c>
      <c r="BA552" s="62" t="s">
        <v>153</v>
      </c>
      <c r="BB552" s="63" t="s">
        <v>153</v>
      </c>
      <c r="BC552" s="64" t="s">
        <v>153</v>
      </c>
      <c r="BD552" s="65" t="s">
        <v>216</v>
      </c>
      <c r="BE552" s="66" t="s">
        <v>217</v>
      </c>
      <c r="BF552" s="67" t="s">
        <v>11400</v>
      </c>
      <c r="BG552" s="68" t="s">
        <v>153</v>
      </c>
      <c r="BH552" s="69" t="s">
        <v>153</v>
      </c>
      <c r="BI552" s="70" t="s">
        <v>11401</v>
      </c>
      <c r="BJ552" s="71" t="s">
        <v>10802</v>
      </c>
      <c r="BK552" s="72" t="s">
        <v>153</v>
      </c>
      <c r="BL552" s="73" t="s">
        <v>153</v>
      </c>
      <c r="BM552" s="74" t="s">
        <v>10803</v>
      </c>
      <c r="BN552" s="75" t="s">
        <v>153</v>
      </c>
      <c r="BO552" s="76" t="s">
        <v>11402</v>
      </c>
      <c r="BP552" s="77" t="s">
        <v>153</v>
      </c>
      <c r="BQ552" s="78">
        <v>21916</v>
      </c>
      <c r="BR552" s="79" t="s">
        <v>153</v>
      </c>
      <c r="BS552" s="80" t="s">
        <v>153</v>
      </c>
      <c r="BT552" s="81" t="s">
        <v>153</v>
      </c>
      <c r="BU552" s="82" t="s">
        <v>153</v>
      </c>
      <c r="BV552" s="83" t="s">
        <v>251</v>
      </c>
      <c r="BW552" s="84" t="s">
        <v>153</v>
      </c>
      <c r="BX552" s="85" t="s">
        <v>153</v>
      </c>
      <c r="BY552" s="86" t="s">
        <v>252</v>
      </c>
      <c r="BZ552" s="87" t="s">
        <v>153</v>
      </c>
      <c r="CA552" s="88" t="s">
        <v>190</v>
      </c>
      <c r="CB552" s="89">
        <v>36087</v>
      </c>
      <c r="CC552" s="90">
        <v>8000</v>
      </c>
      <c r="CD552" s="91" t="s">
        <v>186</v>
      </c>
      <c r="CE552" s="92">
        <v>8000</v>
      </c>
      <c r="CF552" s="93" t="s">
        <v>153</v>
      </c>
      <c r="CG552" s="94" t="s">
        <v>226</v>
      </c>
      <c r="CH552" s="95" t="s">
        <v>153</v>
      </c>
      <c r="CI552" s="96" t="s">
        <v>153</v>
      </c>
      <c r="CJ552" s="97" t="s">
        <v>225</v>
      </c>
      <c r="CK552" s="98">
        <v>36087</v>
      </c>
      <c r="CL552" s="99" t="s">
        <v>153</v>
      </c>
      <c r="CM552" s="100" t="s">
        <v>153</v>
      </c>
      <c r="CN552" s="101" t="s">
        <v>190</v>
      </c>
      <c r="CO552" s="102" t="s">
        <v>153</v>
      </c>
      <c r="CP552" s="103" t="s">
        <v>153</v>
      </c>
      <c r="CQ552" s="104" t="s">
        <v>153</v>
      </c>
      <c r="CR552" s="105" t="s">
        <v>153</v>
      </c>
      <c r="CS552" s="106" t="s">
        <v>153</v>
      </c>
      <c r="CT552" s="107" t="s">
        <v>153</v>
      </c>
      <c r="CU552" s="108" t="s">
        <v>153</v>
      </c>
      <c r="CV552" s="109" t="s">
        <v>153</v>
      </c>
      <c r="CW552" s="110" t="s">
        <v>153</v>
      </c>
      <c r="CX552" s="111" t="s">
        <v>153</v>
      </c>
      <c r="CY552" s="112" t="s">
        <v>153</v>
      </c>
      <c r="CZ552" s="113" t="s">
        <v>153</v>
      </c>
      <c r="DA552" s="114" t="s">
        <v>153</v>
      </c>
      <c r="DB552" s="115" t="s">
        <v>153</v>
      </c>
      <c r="DC552" s="116" t="s">
        <v>153</v>
      </c>
      <c r="DD552" s="117" t="s">
        <v>153</v>
      </c>
      <c r="DE552" s="118" t="s">
        <v>153</v>
      </c>
      <c r="DF552" s="119" t="s">
        <v>153</v>
      </c>
      <c r="DG552" s="120" t="s">
        <v>153</v>
      </c>
      <c r="DH552" s="121" t="s">
        <v>153</v>
      </c>
      <c r="DI552" s="122" t="s">
        <v>153</v>
      </c>
      <c r="DJ552" s="123" t="s">
        <v>153</v>
      </c>
      <c r="DK552" s="124" t="s">
        <v>153</v>
      </c>
      <c r="DL552" s="125" t="s">
        <v>153</v>
      </c>
      <c r="DM552" s="126" t="s">
        <v>153</v>
      </c>
      <c r="DN552" s="127" t="s">
        <v>153</v>
      </c>
      <c r="DO552" s="128" t="s">
        <v>153</v>
      </c>
      <c r="DP552" s="129" t="s">
        <v>153</v>
      </c>
      <c r="DQ552" s="130" t="s">
        <v>153</v>
      </c>
      <c r="DR552" s="131" t="s">
        <v>153</v>
      </c>
      <c r="DS552" s="132" t="s">
        <v>153</v>
      </c>
      <c r="DT552" s="133" t="s">
        <v>153</v>
      </c>
      <c r="DU552" s="134" t="s">
        <v>153</v>
      </c>
      <c r="DV552" s="135" t="s">
        <v>153</v>
      </c>
      <c r="DW552" s="136" t="s">
        <v>153</v>
      </c>
      <c r="DX552" s="137" t="s">
        <v>153</v>
      </c>
      <c r="DY552" s="138" t="s">
        <v>153</v>
      </c>
      <c r="DZ552" s="139" t="s">
        <v>191</v>
      </c>
      <c r="EA552" s="140">
        <v>44351</v>
      </c>
      <c r="EB552" s="141">
        <v>8000</v>
      </c>
      <c r="EC552" s="142">
        <v>36087</v>
      </c>
      <c r="ED552" s="143" t="s">
        <v>226</v>
      </c>
      <c r="EE552" s="278" t="str">
        <f>HYPERLINK("https://my.pitchbook.com?c=165951-37", "View company online")</f>
        <v>View company online</v>
      </c>
    </row>
    <row r="553" spans="1:135" x14ac:dyDescent="0.45">
      <c r="A553" s="144" t="s">
        <v>11403</v>
      </c>
      <c r="B553" s="145" t="s">
        <v>11404</v>
      </c>
      <c r="C553" s="146" t="s">
        <v>153</v>
      </c>
      <c r="D553" s="147" t="s">
        <v>153</v>
      </c>
      <c r="E553" s="148" t="s">
        <v>153</v>
      </c>
      <c r="F553" s="149" t="s">
        <v>153</v>
      </c>
      <c r="G553" s="150" t="s">
        <v>11405</v>
      </c>
      <c r="H553" s="151" t="s">
        <v>11406</v>
      </c>
      <c r="I553" s="152" t="s">
        <v>11403</v>
      </c>
      <c r="J553" s="153" t="s">
        <v>11407</v>
      </c>
      <c r="K553" s="154" t="s">
        <v>257</v>
      </c>
      <c r="L553" s="155" t="s">
        <v>258</v>
      </c>
      <c r="M553" s="156" t="s">
        <v>448</v>
      </c>
      <c r="N553" s="157" t="s">
        <v>11408</v>
      </c>
      <c r="O553" s="158" t="s">
        <v>450</v>
      </c>
      <c r="P553" s="159" t="s">
        <v>11409</v>
      </c>
      <c r="Q553" s="160" t="s">
        <v>8504</v>
      </c>
      <c r="R553" s="161">
        <v>2001.66</v>
      </c>
      <c r="S553" s="162" t="s">
        <v>163</v>
      </c>
      <c r="T553" s="163" t="s">
        <v>1392</v>
      </c>
      <c r="U553" s="164" t="s">
        <v>887</v>
      </c>
      <c r="V553" s="165" t="s">
        <v>11410</v>
      </c>
      <c r="W553" s="166">
        <v>430</v>
      </c>
      <c r="X553" s="167" t="s">
        <v>11411</v>
      </c>
      <c r="Y553" s="168" t="s">
        <v>153</v>
      </c>
      <c r="Z553" s="169" t="s">
        <v>153</v>
      </c>
      <c r="AA553" s="170">
        <v>2015</v>
      </c>
      <c r="AB553" s="171" t="s">
        <v>153</v>
      </c>
      <c r="AC553" s="172" t="s">
        <v>622</v>
      </c>
      <c r="AD553" s="173" t="s">
        <v>671</v>
      </c>
      <c r="AE553" s="174" t="s">
        <v>153</v>
      </c>
      <c r="AF553" s="175" t="s">
        <v>153</v>
      </c>
      <c r="AG553" s="176" t="s">
        <v>153</v>
      </c>
      <c r="AH553" s="177" t="s">
        <v>153</v>
      </c>
      <c r="AI553" s="178" t="s">
        <v>153</v>
      </c>
      <c r="AJ553" s="179" t="s">
        <v>153</v>
      </c>
      <c r="AK553" s="180" t="s">
        <v>153</v>
      </c>
      <c r="AL553" s="181" t="s">
        <v>153</v>
      </c>
      <c r="AM553" s="182" t="s">
        <v>153</v>
      </c>
      <c r="AN553" s="183" t="s">
        <v>1765</v>
      </c>
      <c r="AO553" s="184" t="s">
        <v>11412</v>
      </c>
      <c r="AP553" s="185" t="s">
        <v>11413</v>
      </c>
      <c r="AQ553" s="186" t="s">
        <v>11414</v>
      </c>
      <c r="AR553" s="187" t="s">
        <v>11415</v>
      </c>
      <c r="AS553" s="188" t="s">
        <v>11416</v>
      </c>
      <c r="AT553" s="189" t="s">
        <v>11417</v>
      </c>
      <c r="AU553" s="190" t="s">
        <v>11418</v>
      </c>
      <c r="AV553" s="191" t="s">
        <v>153</v>
      </c>
      <c r="AW553" s="192" t="s">
        <v>11419</v>
      </c>
      <c r="AX553" s="193" t="s">
        <v>308</v>
      </c>
      <c r="AY553" s="194" t="s">
        <v>11420</v>
      </c>
      <c r="AZ553" s="195" t="s">
        <v>215</v>
      </c>
      <c r="BA553" s="196" t="s">
        <v>11416</v>
      </c>
      <c r="BB553" s="197" t="s">
        <v>153</v>
      </c>
      <c r="BC553" s="198" t="s">
        <v>153</v>
      </c>
      <c r="BD553" s="199" t="s">
        <v>216</v>
      </c>
      <c r="BE553" s="200" t="s">
        <v>217</v>
      </c>
      <c r="BF553" s="201" t="s">
        <v>11421</v>
      </c>
      <c r="BG553" s="202" t="s">
        <v>11422</v>
      </c>
      <c r="BH553" s="203">
        <v>38</v>
      </c>
      <c r="BI553" s="204" t="s">
        <v>153</v>
      </c>
      <c r="BJ553" s="205" t="s">
        <v>153</v>
      </c>
      <c r="BK553" s="206" t="s">
        <v>11423</v>
      </c>
      <c r="BL553" s="207" t="s">
        <v>11424</v>
      </c>
      <c r="BM553" s="208" t="s">
        <v>153</v>
      </c>
      <c r="BN553" s="209" t="s">
        <v>153</v>
      </c>
      <c r="BO553" s="210" t="s">
        <v>11425</v>
      </c>
      <c r="BP553" s="211" t="s">
        <v>11426</v>
      </c>
      <c r="BQ553" s="212">
        <v>42377</v>
      </c>
      <c r="BR553" s="213">
        <v>100</v>
      </c>
      <c r="BS553" s="214" t="s">
        <v>187</v>
      </c>
      <c r="BT553" s="215">
        <v>250</v>
      </c>
      <c r="BU553" s="216" t="s">
        <v>187</v>
      </c>
      <c r="BV553" s="217" t="s">
        <v>471</v>
      </c>
      <c r="BW553" s="218" t="s">
        <v>1811</v>
      </c>
      <c r="BX553" s="219" t="s">
        <v>153</v>
      </c>
      <c r="BY553" s="220" t="s">
        <v>472</v>
      </c>
      <c r="BZ553" s="221" t="s">
        <v>153</v>
      </c>
      <c r="CA553" s="222" t="s">
        <v>190</v>
      </c>
      <c r="CB553" s="223">
        <v>44095</v>
      </c>
      <c r="CC553" s="224">
        <v>8000</v>
      </c>
      <c r="CD553" s="225" t="s">
        <v>186</v>
      </c>
      <c r="CE553" s="226">
        <v>8000</v>
      </c>
      <c r="CF553" s="227" t="s">
        <v>186</v>
      </c>
      <c r="CG553" s="228" t="s">
        <v>226</v>
      </c>
      <c r="CH553" s="229" t="s">
        <v>153</v>
      </c>
      <c r="CI553" s="230" t="s">
        <v>153</v>
      </c>
      <c r="CJ553" s="231" t="s">
        <v>225</v>
      </c>
      <c r="CK553" s="232">
        <v>44095</v>
      </c>
      <c r="CL553" s="233" t="s">
        <v>153</v>
      </c>
      <c r="CM553" s="234" t="s">
        <v>153</v>
      </c>
      <c r="CN553" s="235" t="s">
        <v>1278</v>
      </c>
      <c r="CO553" s="236">
        <v>1.91</v>
      </c>
      <c r="CP553" s="237">
        <v>98</v>
      </c>
      <c r="CQ553" s="238">
        <v>-0.22</v>
      </c>
      <c r="CR553" s="239">
        <v>-10.34</v>
      </c>
      <c r="CS553" s="240">
        <v>3.17</v>
      </c>
      <c r="CT553" s="241">
        <v>99</v>
      </c>
      <c r="CU553" s="242">
        <v>3.84</v>
      </c>
      <c r="CV553" s="243">
        <v>100</v>
      </c>
      <c r="CW553" s="244">
        <v>6.33</v>
      </c>
      <c r="CX553" s="245">
        <v>96</v>
      </c>
      <c r="CY553" s="246">
        <v>0</v>
      </c>
      <c r="CZ553" s="247">
        <v>5</v>
      </c>
      <c r="DA553" s="248">
        <v>3.84</v>
      </c>
      <c r="DB553" s="249">
        <v>100</v>
      </c>
      <c r="DC553" s="250">
        <v>28.31</v>
      </c>
      <c r="DD553" s="251">
        <v>97</v>
      </c>
      <c r="DE553" s="252">
        <v>0.12</v>
      </c>
      <c r="DF553" s="253">
        <v>0.44</v>
      </c>
      <c r="DG553" s="254">
        <v>21.34</v>
      </c>
      <c r="DH553" s="255">
        <v>96</v>
      </c>
      <c r="DI553" s="256">
        <v>51.98</v>
      </c>
      <c r="DJ553" s="257">
        <v>96</v>
      </c>
      <c r="DK553" s="258">
        <v>36.549999999999997</v>
      </c>
      <c r="DL553" s="259">
        <v>94</v>
      </c>
      <c r="DM553" s="260">
        <v>6.13</v>
      </c>
      <c r="DN553" s="261">
        <v>85</v>
      </c>
      <c r="DO553" s="262">
        <v>51.98</v>
      </c>
      <c r="DP553" s="263">
        <v>96</v>
      </c>
      <c r="DQ553" s="264">
        <v>21229</v>
      </c>
      <c r="DR553" s="265">
        <v>1630</v>
      </c>
      <c r="DS553" s="266">
        <v>8.32</v>
      </c>
      <c r="DT553" s="267">
        <v>97</v>
      </c>
      <c r="DU553" s="268">
        <v>1</v>
      </c>
      <c r="DV553" s="269">
        <v>1.04</v>
      </c>
      <c r="DW553" s="270">
        <v>16321</v>
      </c>
      <c r="DX553" s="271">
        <v>97</v>
      </c>
      <c r="DY553" s="272">
        <v>0.6</v>
      </c>
      <c r="DZ553" s="273" t="s">
        <v>191</v>
      </c>
      <c r="EA553" s="274">
        <v>44403</v>
      </c>
      <c r="EB553" s="275">
        <v>8000</v>
      </c>
      <c r="EC553" s="276">
        <v>44095</v>
      </c>
      <c r="ED553" s="277" t="s">
        <v>226</v>
      </c>
      <c r="EE553" s="279" t="str">
        <f>HYPERLINK("https://my.pitchbook.com?c=151193-08", "View company online")</f>
        <v>View company online</v>
      </c>
    </row>
    <row r="554" spans="1:135" x14ac:dyDescent="0.45">
      <c r="A554" s="10" t="s">
        <v>11427</v>
      </c>
      <c r="B554" s="11" t="s">
        <v>11428</v>
      </c>
      <c r="C554" s="12" t="s">
        <v>153</v>
      </c>
      <c r="D554" s="13" t="s">
        <v>153</v>
      </c>
      <c r="E554" s="14" t="s">
        <v>153</v>
      </c>
      <c r="F554" s="15" t="s">
        <v>11429</v>
      </c>
      <c r="G554" s="16" t="s">
        <v>11430</v>
      </c>
      <c r="H554" s="17" t="s">
        <v>11431</v>
      </c>
      <c r="I554" s="18" t="s">
        <v>11427</v>
      </c>
      <c r="J554" s="19" t="s">
        <v>11432</v>
      </c>
      <c r="K554" s="20" t="s">
        <v>157</v>
      </c>
      <c r="L554" s="21" t="s">
        <v>817</v>
      </c>
      <c r="M554" s="22" t="s">
        <v>1499</v>
      </c>
      <c r="N554" s="23" t="s">
        <v>2944</v>
      </c>
      <c r="O554" s="24" t="s">
        <v>261</v>
      </c>
      <c r="P554" s="25" t="s">
        <v>11433</v>
      </c>
      <c r="Q554" s="26" t="s">
        <v>204</v>
      </c>
      <c r="R554" s="27" t="s">
        <v>153</v>
      </c>
      <c r="S554" s="28" t="s">
        <v>163</v>
      </c>
      <c r="T554" s="29" t="s">
        <v>164</v>
      </c>
      <c r="U554" s="30" t="s">
        <v>206</v>
      </c>
      <c r="V554" s="31" t="s">
        <v>11434</v>
      </c>
      <c r="W554" s="32" t="s">
        <v>153</v>
      </c>
      <c r="X554" s="33" t="s">
        <v>153</v>
      </c>
      <c r="Y554" s="34" t="s">
        <v>153</v>
      </c>
      <c r="Z554" s="35" t="s">
        <v>153</v>
      </c>
      <c r="AA554" s="36">
        <v>1889</v>
      </c>
      <c r="AB554" s="37" t="s">
        <v>6372</v>
      </c>
      <c r="AC554" s="38" t="s">
        <v>153</v>
      </c>
      <c r="AD554" s="39" t="s">
        <v>153</v>
      </c>
      <c r="AE554" s="40" t="s">
        <v>153</v>
      </c>
      <c r="AF554" s="41" t="s">
        <v>153</v>
      </c>
      <c r="AG554" s="42" t="s">
        <v>153</v>
      </c>
      <c r="AH554" s="43" t="s">
        <v>153</v>
      </c>
      <c r="AI554" s="44" t="s">
        <v>153</v>
      </c>
      <c r="AJ554" s="45" t="s">
        <v>153</v>
      </c>
      <c r="AK554" s="46" t="s">
        <v>153</v>
      </c>
      <c r="AL554" s="47" t="s">
        <v>153</v>
      </c>
      <c r="AM554" s="48" t="s">
        <v>153</v>
      </c>
      <c r="AN554" s="49" t="s">
        <v>153</v>
      </c>
      <c r="AO554" s="50" t="s">
        <v>11435</v>
      </c>
      <c r="AP554" s="51" t="s">
        <v>11436</v>
      </c>
      <c r="AQ554" s="52" t="s">
        <v>968</v>
      </c>
      <c r="AR554" s="53" t="s">
        <v>11437</v>
      </c>
      <c r="AS554" s="54" t="s">
        <v>153</v>
      </c>
      <c r="AT554" s="55" t="s">
        <v>11438</v>
      </c>
      <c r="AU554" s="56" t="s">
        <v>11439</v>
      </c>
      <c r="AV554" s="57" t="s">
        <v>11440</v>
      </c>
      <c r="AW554" s="58" t="s">
        <v>11441</v>
      </c>
      <c r="AX554" s="59" t="s">
        <v>153</v>
      </c>
      <c r="AY554" s="60" t="s">
        <v>153</v>
      </c>
      <c r="AZ554" s="61" t="s">
        <v>11442</v>
      </c>
      <c r="BA554" s="62" t="s">
        <v>153</v>
      </c>
      <c r="BB554" s="63" t="s">
        <v>153</v>
      </c>
      <c r="BC554" s="64" t="s">
        <v>153</v>
      </c>
      <c r="BD554" s="65" t="s">
        <v>216</v>
      </c>
      <c r="BE554" s="66" t="s">
        <v>3004</v>
      </c>
      <c r="BF554" s="67" t="s">
        <v>11443</v>
      </c>
      <c r="BG554" s="68" t="s">
        <v>153</v>
      </c>
      <c r="BH554" s="69" t="s">
        <v>153</v>
      </c>
      <c r="BI554" s="70" t="s">
        <v>6372</v>
      </c>
      <c r="BJ554" s="71" t="s">
        <v>153</v>
      </c>
      <c r="BK554" s="72" t="s">
        <v>153</v>
      </c>
      <c r="BL554" s="73" t="s">
        <v>153</v>
      </c>
      <c r="BM554" s="74" t="s">
        <v>153</v>
      </c>
      <c r="BN554" s="75" t="s">
        <v>153</v>
      </c>
      <c r="BO554" s="76" t="s">
        <v>11444</v>
      </c>
      <c r="BP554" s="77" t="s">
        <v>153</v>
      </c>
      <c r="BQ554" s="78">
        <v>38552</v>
      </c>
      <c r="BR554" s="79">
        <v>8000</v>
      </c>
      <c r="BS554" s="80" t="s">
        <v>186</v>
      </c>
      <c r="BT554" s="81">
        <v>8000</v>
      </c>
      <c r="BU554" s="82" t="s">
        <v>187</v>
      </c>
      <c r="BV554" s="83" t="s">
        <v>226</v>
      </c>
      <c r="BW554" s="84" t="s">
        <v>153</v>
      </c>
      <c r="BX554" s="85" t="s">
        <v>153</v>
      </c>
      <c r="BY554" s="86" t="s">
        <v>225</v>
      </c>
      <c r="BZ554" s="87" t="s">
        <v>153</v>
      </c>
      <c r="CA554" s="88" t="s">
        <v>190</v>
      </c>
      <c r="CB554" s="89">
        <v>38552</v>
      </c>
      <c r="CC554" s="90">
        <v>8000</v>
      </c>
      <c r="CD554" s="91" t="s">
        <v>186</v>
      </c>
      <c r="CE554" s="92">
        <v>8000</v>
      </c>
      <c r="CF554" s="93" t="s">
        <v>187</v>
      </c>
      <c r="CG554" s="94" t="s">
        <v>226</v>
      </c>
      <c r="CH554" s="95" t="s">
        <v>153</v>
      </c>
      <c r="CI554" s="96" t="s">
        <v>153</v>
      </c>
      <c r="CJ554" s="97" t="s">
        <v>225</v>
      </c>
      <c r="CK554" s="98">
        <v>38552</v>
      </c>
      <c r="CL554" s="99" t="s">
        <v>153</v>
      </c>
      <c r="CM554" s="100" t="s">
        <v>153</v>
      </c>
      <c r="CN554" s="101" t="s">
        <v>190</v>
      </c>
      <c r="CO554" s="102">
        <v>0.23</v>
      </c>
      <c r="CP554" s="103">
        <v>91</v>
      </c>
      <c r="CQ554" s="104">
        <v>-0.02</v>
      </c>
      <c r="CR554" s="105">
        <v>-8.91</v>
      </c>
      <c r="CS554" s="106">
        <v>0.46</v>
      </c>
      <c r="CT554" s="107">
        <v>92</v>
      </c>
      <c r="CU554" s="108">
        <v>0</v>
      </c>
      <c r="CV554" s="109">
        <v>41</v>
      </c>
      <c r="CW554" s="110" t="s">
        <v>153</v>
      </c>
      <c r="CX554" s="111" t="s">
        <v>153</v>
      </c>
      <c r="CY554" s="112">
        <v>0.46</v>
      </c>
      <c r="CZ554" s="113">
        <v>94</v>
      </c>
      <c r="DA554" s="114">
        <v>0</v>
      </c>
      <c r="DB554" s="115">
        <v>41</v>
      </c>
      <c r="DC554" s="116">
        <v>11.99</v>
      </c>
      <c r="DD554" s="117">
        <v>93</v>
      </c>
      <c r="DE554" s="118">
        <v>0.1</v>
      </c>
      <c r="DF554" s="119">
        <v>0.86</v>
      </c>
      <c r="DG554" s="120">
        <v>21.13</v>
      </c>
      <c r="DH554" s="121">
        <v>96</v>
      </c>
      <c r="DI554" s="122">
        <v>2.85</v>
      </c>
      <c r="DJ554" s="123">
        <v>69</v>
      </c>
      <c r="DK554" s="124" t="s">
        <v>153</v>
      </c>
      <c r="DL554" s="125" t="s">
        <v>153</v>
      </c>
      <c r="DM554" s="126">
        <v>21.13</v>
      </c>
      <c r="DN554" s="127">
        <v>95</v>
      </c>
      <c r="DO554" s="128">
        <v>2.85</v>
      </c>
      <c r="DP554" s="129">
        <v>69</v>
      </c>
      <c r="DQ554" s="130" t="s">
        <v>153</v>
      </c>
      <c r="DR554" s="131" t="s">
        <v>153</v>
      </c>
      <c r="DS554" s="132" t="s">
        <v>153</v>
      </c>
      <c r="DT554" s="133">
        <v>336</v>
      </c>
      <c r="DU554" s="134">
        <v>4</v>
      </c>
      <c r="DV554" s="135">
        <v>1.2</v>
      </c>
      <c r="DW554" s="136">
        <v>895</v>
      </c>
      <c r="DX554" s="137">
        <v>1</v>
      </c>
      <c r="DY554" s="138">
        <v>0.11</v>
      </c>
      <c r="DZ554" s="139" t="s">
        <v>191</v>
      </c>
      <c r="EA554" s="140">
        <v>43755</v>
      </c>
      <c r="EB554" s="141">
        <v>8000</v>
      </c>
      <c r="EC554" s="142">
        <v>38552</v>
      </c>
      <c r="ED554" s="143" t="s">
        <v>226</v>
      </c>
      <c r="EE554" s="278" t="str">
        <f>HYPERLINK("https://my.pitchbook.com?c=158485-06", "View company online")</f>
        <v>View company online</v>
      </c>
    </row>
    <row r="555" spans="1:135" x14ac:dyDescent="0.45">
      <c r="A555" s="144" t="s">
        <v>11445</v>
      </c>
      <c r="B555" s="145" t="s">
        <v>11446</v>
      </c>
      <c r="C555" s="146" t="s">
        <v>153</v>
      </c>
      <c r="D555" s="147" t="s">
        <v>153</v>
      </c>
      <c r="E555" s="148" t="s">
        <v>11447</v>
      </c>
      <c r="F555" s="149" t="s">
        <v>11448</v>
      </c>
      <c r="G555" s="150" t="s">
        <v>11449</v>
      </c>
      <c r="H555" s="151" t="s">
        <v>11450</v>
      </c>
      <c r="I555" s="152" t="s">
        <v>11445</v>
      </c>
      <c r="J555" s="153" t="s">
        <v>11451</v>
      </c>
      <c r="K555" s="154" t="s">
        <v>157</v>
      </c>
      <c r="L555" s="155" t="s">
        <v>937</v>
      </c>
      <c r="M555" s="156" t="s">
        <v>938</v>
      </c>
      <c r="N555" s="157" t="s">
        <v>11452</v>
      </c>
      <c r="O555" s="158" t="s">
        <v>11453</v>
      </c>
      <c r="P555" s="159" t="s">
        <v>11454</v>
      </c>
      <c r="Q555" s="160" t="s">
        <v>204</v>
      </c>
      <c r="R555" s="161">
        <v>2.58</v>
      </c>
      <c r="S555" s="162" t="s">
        <v>290</v>
      </c>
      <c r="T555" s="163" t="s">
        <v>164</v>
      </c>
      <c r="U555" s="164" t="s">
        <v>292</v>
      </c>
      <c r="V555" s="165" t="s">
        <v>11455</v>
      </c>
      <c r="W555" s="166">
        <v>30000</v>
      </c>
      <c r="X555" s="167" t="s">
        <v>11456</v>
      </c>
      <c r="Y555" s="168" t="s">
        <v>153</v>
      </c>
      <c r="Z555" s="169" t="s">
        <v>153</v>
      </c>
      <c r="AA555" s="170">
        <v>1953</v>
      </c>
      <c r="AB555" s="171" t="s">
        <v>11457</v>
      </c>
      <c r="AC555" s="172" t="s">
        <v>428</v>
      </c>
      <c r="AD555" s="173" t="s">
        <v>537</v>
      </c>
      <c r="AE555" s="174" t="s">
        <v>153</v>
      </c>
      <c r="AF555" s="175" t="s">
        <v>153</v>
      </c>
      <c r="AG555" s="176" t="s">
        <v>153</v>
      </c>
      <c r="AH555" s="177" t="s">
        <v>153</v>
      </c>
      <c r="AI555" s="178" t="s">
        <v>153</v>
      </c>
      <c r="AJ555" s="179" t="s">
        <v>153</v>
      </c>
      <c r="AK555" s="180" t="s">
        <v>153</v>
      </c>
      <c r="AL555" s="181" t="s">
        <v>153</v>
      </c>
      <c r="AM555" s="182" t="s">
        <v>153</v>
      </c>
      <c r="AN555" s="183" t="s">
        <v>4877</v>
      </c>
      <c r="AO555" s="184" t="s">
        <v>11458</v>
      </c>
      <c r="AP555" s="185" t="s">
        <v>11459</v>
      </c>
      <c r="AQ555" s="186" t="s">
        <v>11460</v>
      </c>
      <c r="AR555" s="187" t="s">
        <v>11461</v>
      </c>
      <c r="AS555" s="188" t="s">
        <v>153</v>
      </c>
      <c r="AT555" s="189" t="s">
        <v>946</v>
      </c>
      <c r="AU555" s="190" t="s">
        <v>11462</v>
      </c>
      <c r="AV555" s="191" t="s">
        <v>153</v>
      </c>
      <c r="AW555" s="192" t="s">
        <v>948</v>
      </c>
      <c r="AX555" s="193" t="s">
        <v>213</v>
      </c>
      <c r="AY555" s="194" t="s">
        <v>11463</v>
      </c>
      <c r="AZ555" s="195" t="s">
        <v>215</v>
      </c>
      <c r="BA555" s="196" t="s">
        <v>153</v>
      </c>
      <c r="BB555" s="197" t="s">
        <v>153</v>
      </c>
      <c r="BC555" s="198" t="s">
        <v>11464</v>
      </c>
      <c r="BD555" s="199" t="s">
        <v>216</v>
      </c>
      <c r="BE555" s="200" t="s">
        <v>217</v>
      </c>
      <c r="BF555" s="201" t="s">
        <v>11465</v>
      </c>
      <c r="BG555" s="202" t="s">
        <v>153</v>
      </c>
      <c r="BH555" s="203" t="s">
        <v>153</v>
      </c>
      <c r="BI555" s="204" t="s">
        <v>11457</v>
      </c>
      <c r="BJ555" s="205" t="s">
        <v>11466</v>
      </c>
      <c r="BK555" s="206" t="s">
        <v>11467</v>
      </c>
      <c r="BL555" s="207" t="s">
        <v>153</v>
      </c>
      <c r="BM555" s="208" t="s">
        <v>11468</v>
      </c>
      <c r="BN555" s="209" t="s">
        <v>10803</v>
      </c>
      <c r="BO555" s="210" t="s">
        <v>11469</v>
      </c>
      <c r="BP555" s="211" t="s">
        <v>11470</v>
      </c>
      <c r="BQ555" s="212">
        <v>28856</v>
      </c>
      <c r="BR555" s="213" t="s">
        <v>153</v>
      </c>
      <c r="BS555" s="214" t="s">
        <v>153</v>
      </c>
      <c r="BT555" s="215" t="s">
        <v>153</v>
      </c>
      <c r="BU555" s="216" t="s">
        <v>153</v>
      </c>
      <c r="BV555" s="217" t="s">
        <v>905</v>
      </c>
      <c r="BW555" s="218" t="s">
        <v>153</v>
      </c>
      <c r="BX555" s="219" t="s">
        <v>153</v>
      </c>
      <c r="BY555" s="220" t="s">
        <v>472</v>
      </c>
      <c r="BZ555" s="221" t="s">
        <v>153</v>
      </c>
      <c r="CA555" s="222" t="s">
        <v>190</v>
      </c>
      <c r="CB555" s="223">
        <v>42805</v>
      </c>
      <c r="CC555" s="224">
        <v>8000</v>
      </c>
      <c r="CD555" s="225" t="s">
        <v>187</v>
      </c>
      <c r="CE555" s="226">
        <v>8000</v>
      </c>
      <c r="CF555" s="227" t="s">
        <v>187</v>
      </c>
      <c r="CG555" s="228" t="s">
        <v>226</v>
      </c>
      <c r="CH555" s="229" t="s">
        <v>153</v>
      </c>
      <c r="CI555" s="230" t="s">
        <v>153</v>
      </c>
      <c r="CJ555" s="231" t="s">
        <v>225</v>
      </c>
      <c r="CK555" s="232">
        <v>42805</v>
      </c>
      <c r="CL555" s="233" t="s">
        <v>153</v>
      </c>
      <c r="CM555" s="234" t="s">
        <v>153</v>
      </c>
      <c r="CN555" s="235" t="s">
        <v>190</v>
      </c>
      <c r="CO555" s="236">
        <v>-0.37</v>
      </c>
      <c r="CP555" s="237">
        <v>5</v>
      </c>
      <c r="CQ555" s="238">
        <v>-0.01</v>
      </c>
      <c r="CR555" s="239">
        <v>-2.3199999999999998</v>
      </c>
      <c r="CS555" s="240">
        <v>-0.09</v>
      </c>
      <c r="CT555" s="241">
        <v>7</v>
      </c>
      <c r="CU555" s="242">
        <v>0</v>
      </c>
      <c r="CV555" s="243">
        <v>41</v>
      </c>
      <c r="CW555" s="244">
        <v>-0.71</v>
      </c>
      <c r="CX555" s="245">
        <v>18</v>
      </c>
      <c r="CY555" s="246">
        <v>0.53</v>
      </c>
      <c r="CZ555" s="247">
        <v>95</v>
      </c>
      <c r="DA555" s="248">
        <v>0</v>
      </c>
      <c r="DB555" s="249">
        <v>41</v>
      </c>
      <c r="DC555" s="250">
        <v>347.32</v>
      </c>
      <c r="DD555" s="251">
        <v>100</v>
      </c>
      <c r="DE555" s="252">
        <v>-0.04</v>
      </c>
      <c r="DF555" s="253">
        <v>-0.01</v>
      </c>
      <c r="DG555" s="254">
        <v>162.22999999999999</v>
      </c>
      <c r="DH555" s="255">
        <v>100</v>
      </c>
      <c r="DI555" s="256">
        <v>68.930000000000007</v>
      </c>
      <c r="DJ555" s="257">
        <v>97</v>
      </c>
      <c r="DK555" s="258">
        <v>49.39</v>
      </c>
      <c r="DL555" s="259">
        <v>95</v>
      </c>
      <c r="DM555" s="260">
        <v>275.06</v>
      </c>
      <c r="DN555" s="261">
        <v>100</v>
      </c>
      <c r="DO555" s="262">
        <v>68.930000000000007</v>
      </c>
      <c r="DP555" s="263">
        <v>97</v>
      </c>
      <c r="DQ555" s="264">
        <v>29288</v>
      </c>
      <c r="DR555" s="265">
        <v>1</v>
      </c>
      <c r="DS555" s="266">
        <v>0</v>
      </c>
      <c r="DT555" s="267">
        <v>4408</v>
      </c>
      <c r="DU555" s="268">
        <v>-20</v>
      </c>
      <c r="DV555" s="269">
        <v>-0.45</v>
      </c>
      <c r="DW555" s="270">
        <v>21641</v>
      </c>
      <c r="DX555" s="271">
        <v>9</v>
      </c>
      <c r="DY555" s="272">
        <v>0.04</v>
      </c>
      <c r="DZ555" s="273" t="s">
        <v>191</v>
      </c>
      <c r="EA555" s="274">
        <v>44389</v>
      </c>
      <c r="EB555" s="275">
        <v>8000</v>
      </c>
      <c r="EC555" s="276">
        <v>42805</v>
      </c>
      <c r="ED555" s="277" t="s">
        <v>226</v>
      </c>
      <c r="EE555" s="279" t="str">
        <f>HYPERLINK("https://my.pitchbook.com?c=10440-01", "View company online")</f>
        <v>View company online</v>
      </c>
    </row>
    <row r="556" spans="1:135" x14ac:dyDescent="0.45">
      <c r="A556" s="10" t="s">
        <v>11471</v>
      </c>
      <c r="B556" s="11" t="s">
        <v>11472</v>
      </c>
      <c r="C556" s="12" t="s">
        <v>153</v>
      </c>
      <c r="D556" s="13" t="s">
        <v>153</v>
      </c>
      <c r="E556" s="14" t="s">
        <v>11473</v>
      </c>
      <c r="F556" s="15" t="s">
        <v>11474</v>
      </c>
      <c r="G556" s="16" t="s">
        <v>153</v>
      </c>
      <c r="H556" s="17" t="s">
        <v>153</v>
      </c>
      <c r="I556" s="18" t="s">
        <v>11471</v>
      </c>
      <c r="J556" s="19" t="s">
        <v>11475</v>
      </c>
      <c r="K556" s="20" t="s">
        <v>792</v>
      </c>
      <c r="L556" s="21" t="s">
        <v>793</v>
      </c>
      <c r="M556" s="22" t="s">
        <v>1211</v>
      </c>
      <c r="N556" s="23" t="s">
        <v>2221</v>
      </c>
      <c r="O556" s="24" t="s">
        <v>1119</v>
      </c>
      <c r="P556" s="25" t="s">
        <v>11476</v>
      </c>
      <c r="Q556" s="26" t="s">
        <v>204</v>
      </c>
      <c r="R556" s="27" t="s">
        <v>153</v>
      </c>
      <c r="S556" s="28" t="s">
        <v>290</v>
      </c>
      <c r="T556" s="29" t="s">
        <v>164</v>
      </c>
      <c r="U556" s="30" t="s">
        <v>237</v>
      </c>
      <c r="V556" s="31" t="s">
        <v>11477</v>
      </c>
      <c r="W556" s="32">
        <v>4500</v>
      </c>
      <c r="X556" s="33" t="s">
        <v>11478</v>
      </c>
      <c r="Y556" s="34" t="s">
        <v>153</v>
      </c>
      <c r="Z556" s="35" t="s">
        <v>153</v>
      </c>
      <c r="AA556" s="36">
        <v>1855</v>
      </c>
      <c r="AB556" s="37" t="s">
        <v>11479</v>
      </c>
      <c r="AC556" s="38" t="s">
        <v>153</v>
      </c>
      <c r="AD556" s="39" t="s">
        <v>153</v>
      </c>
      <c r="AE556" s="40">
        <v>3493</v>
      </c>
      <c r="AF556" s="41">
        <v>1534</v>
      </c>
      <c r="AG556" s="42">
        <v>598</v>
      </c>
      <c r="AH556" s="43" t="s">
        <v>153</v>
      </c>
      <c r="AI556" s="44">
        <v>1490</v>
      </c>
      <c r="AJ556" s="45">
        <v>994</v>
      </c>
      <c r="AK556" s="46" t="s">
        <v>153</v>
      </c>
      <c r="AL556" s="47">
        <v>6524</v>
      </c>
      <c r="AM556" s="48">
        <v>-5.82</v>
      </c>
      <c r="AN556" s="49" t="s">
        <v>5929</v>
      </c>
      <c r="AO556" s="50" t="s">
        <v>11480</v>
      </c>
      <c r="AP556" s="51" t="s">
        <v>11481</v>
      </c>
      <c r="AQ556" s="52" t="s">
        <v>9786</v>
      </c>
      <c r="AR556" s="53" t="s">
        <v>11482</v>
      </c>
      <c r="AS556" s="54" t="s">
        <v>11483</v>
      </c>
      <c r="AT556" s="55" t="s">
        <v>404</v>
      </c>
      <c r="AU556" s="56" t="s">
        <v>11484</v>
      </c>
      <c r="AV556" s="57" t="s">
        <v>153</v>
      </c>
      <c r="AW556" s="58" t="s">
        <v>407</v>
      </c>
      <c r="AX556" s="59" t="s">
        <v>408</v>
      </c>
      <c r="AY556" s="60" t="s">
        <v>11485</v>
      </c>
      <c r="AZ556" s="61" t="s">
        <v>215</v>
      </c>
      <c r="BA556" s="62" t="s">
        <v>11483</v>
      </c>
      <c r="BB556" s="63" t="s">
        <v>153</v>
      </c>
      <c r="BC556" s="64" t="s">
        <v>153</v>
      </c>
      <c r="BD556" s="65" t="s">
        <v>216</v>
      </c>
      <c r="BE556" s="66" t="s">
        <v>217</v>
      </c>
      <c r="BF556" s="67" t="s">
        <v>11486</v>
      </c>
      <c r="BG556" s="68" t="s">
        <v>153</v>
      </c>
      <c r="BH556" s="69" t="s">
        <v>153</v>
      </c>
      <c r="BI556" s="70" t="s">
        <v>11479</v>
      </c>
      <c r="BJ556" s="71" t="s">
        <v>153</v>
      </c>
      <c r="BK556" s="72" t="s">
        <v>153</v>
      </c>
      <c r="BL556" s="73" t="s">
        <v>153</v>
      </c>
      <c r="BM556" s="74" t="s">
        <v>153</v>
      </c>
      <c r="BN556" s="75" t="s">
        <v>153</v>
      </c>
      <c r="BO556" s="76" t="s">
        <v>11487</v>
      </c>
      <c r="BP556" s="77" t="s">
        <v>11488</v>
      </c>
      <c r="BQ556" s="78">
        <v>26451</v>
      </c>
      <c r="BR556" s="79" t="s">
        <v>153</v>
      </c>
      <c r="BS556" s="80" t="s">
        <v>153</v>
      </c>
      <c r="BT556" s="81" t="s">
        <v>153</v>
      </c>
      <c r="BU556" s="82" t="s">
        <v>153</v>
      </c>
      <c r="BV556" s="83" t="s">
        <v>251</v>
      </c>
      <c r="BW556" s="84" t="s">
        <v>153</v>
      </c>
      <c r="BX556" s="85" t="s">
        <v>153</v>
      </c>
      <c r="BY556" s="86" t="s">
        <v>252</v>
      </c>
      <c r="BZ556" s="87" t="s">
        <v>153</v>
      </c>
      <c r="CA556" s="88" t="s">
        <v>190</v>
      </c>
      <c r="CB556" s="89">
        <v>42552</v>
      </c>
      <c r="CC556" s="90">
        <v>8000</v>
      </c>
      <c r="CD556" s="91" t="s">
        <v>186</v>
      </c>
      <c r="CE556" s="92">
        <v>8000</v>
      </c>
      <c r="CF556" s="93" t="s">
        <v>187</v>
      </c>
      <c r="CG556" s="94" t="s">
        <v>226</v>
      </c>
      <c r="CH556" s="95" t="s">
        <v>153</v>
      </c>
      <c r="CI556" s="96" t="s">
        <v>153</v>
      </c>
      <c r="CJ556" s="97" t="s">
        <v>225</v>
      </c>
      <c r="CK556" s="98">
        <v>42552</v>
      </c>
      <c r="CL556" s="99">
        <v>4000</v>
      </c>
      <c r="CM556" s="100" t="s">
        <v>153</v>
      </c>
      <c r="CN556" s="101" t="s">
        <v>190</v>
      </c>
      <c r="CO556" s="102">
        <v>0.15</v>
      </c>
      <c r="CP556" s="103">
        <v>90</v>
      </c>
      <c r="CQ556" s="104">
        <v>-0.04</v>
      </c>
      <c r="CR556" s="105">
        <v>-20.49</v>
      </c>
      <c r="CS556" s="106">
        <v>0.18</v>
      </c>
      <c r="CT556" s="107">
        <v>90</v>
      </c>
      <c r="CU556" s="108">
        <v>0.11</v>
      </c>
      <c r="CV556" s="109">
        <v>86</v>
      </c>
      <c r="CW556" s="110" t="s">
        <v>153</v>
      </c>
      <c r="CX556" s="111" t="s">
        <v>153</v>
      </c>
      <c r="CY556" s="112">
        <v>0.18</v>
      </c>
      <c r="CZ556" s="113">
        <v>91</v>
      </c>
      <c r="DA556" s="114">
        <v>0.11</v>
      </c>
      <c r="DB556" s="115">
        <v>86</v>
      </c>
      <c r="DC556" s="116">
        <v>18.5</v>
      </c>
      <c r="DD556" s="117">
        <v>96</v>
      </c>
      <c r="DE556" s="118">
        <v>-0.04</v>
      </c>
      <c r="DF556" s="119">
        <v>-0.23</v>
      </c>
      <c r="DG556" s="120">
        <v>30.94</v>
      </c>
      <c r="DH556" s="121">
        <v>97</v>
      </c>
      <c r="DI556" s="122">
        <v>6.06</v>
      </c>
      <c r="DJ556" s="123">
        <v>81</v>
      </c>
      <c r="DK556" s="124" t="s">
        <v>153</v>
      </c>
      <c r="DL556" s="125" t="s">
        <v>153</v>
      </c>
      <c r="DM556" s="126">
        <v>30.94</v>
      </c>
      <c r="DN556" s="127">
        <v>97</v>
      </c>
      <c r="DO556" s="128">
        <v>6.06</v>
      </c>
      <c r="DP556" s="129">
        <v>81</v>
      </c>
      <c r="DQ556" s="130" t="s">
        <v>153</v>
      </c>
      <c r="DR556" s="131" t="s">
        <v>153</v>
      </c>
      <c r="DS556" s="132" t="s">
        <v>153</v>
      </c>
      <c r="DT556" s="133">
        <v>495</v>
      </c>
      <c r="DU556" s="134">
        <v>-2</v>
      </c>
      <c r="DV556" s="135">
        <v>-0.4</v>
      </c>
      <c r="DW556" s="136">
        <v>1902</v>
      </c>
      <c r="DX556" s="137">
        <v>1</v>
      </c>
      <c r="DY556" s="138">
        <v>0.05</v>
      </c>
      <c r="DZ556" s="139" t="s">
        <v>191</v>
      </c>
      <c r="EA556" s="140">
        <v>44249</v>
      </c>
      <c r="EB556" s="141">
        <v>8000</v>
      </c>
      <c r="EC556" s="142">
        <v>42552</v>
      </c>
      <c r="ED556" s="143" t="s">
        <v>226</v>
      </c>
      <c r="EE556" s="278" t="str">
        <f>HYPERLINK("https://my.pitchbook.com?c=41203-99", "View company online")</f>
        <v>View company online</v>
      </c>
    </row>
    <row r="557" spans="1:135" x14ac:dyDescent="0.45">
      <c r="A557" s="144" t="s">
        <v>11489</v>
      </c>
      <c r="B557" s="145" t="s">
        <v>11490</v>
      </c>
      <c r="C557" s="146" t="s">
        <v>153</v>
      </c>
      <c r="D557" s="147" t="s">
        <v>153</v>
      </c>
      <c r="E557" s="148" t="s">
        <v>11491</v>
      </c>
      <c r="F557" s="149" t="s">
        <v>153</v>
      </c>
      <c r="G557" s="150" t="s">
        <v>11492</v>
      </c>
      <c r="H557" s="151" t="s">
        <v>153</v>
      </c>
      <c r="I557" s="152" t="s">
        <v>11489</v>
      </c>
      <c r="J557" s="153" t="s">
        <v>11493</v>
      </c>
      <c r="K557" s="154" t="s">
        <v>792</v>
      </c>
      <c r="L557" s="155" t="s">
        <v>3864</v>
      </c>
      <c r="M557" s="156" t="s">
        <v>11494</v>
      </c>
      <c r="N557" s="157" t="s">
        <v>11495</v>
      </c>
      <c r="O557" s="158" t="s">
        <v>1119</v>
      </c>
      <c r="P557" s="159" t="s">
        <v>11496</v>
      </c>
      <c r="Q557" s="160" t="s">
        <v>204</v>
      </c>
      <c r="R557" s="161" t="s">
        <v>153</v>
      </c>
      <c r="S557" s="162" t="s">
        <v>290</v>
      </c>
      <c r="T557" s="163" t="s">
        <v>291</v>
      </c>
      <c r="U557" s="164" t="s">
        <v>237</v>
      </c>
      <c r="V557" s="165" t="s">
        <v>11497</v>
      </c>
      <c r="W557" s="166">
        <v>245</v>
      </c>
      <c r="X557" s="167" t="s">
        <v>11498</v>
      </c>
      <c r="Y557" s="168" t="s">
        <v>3412</v>
      </c>
      <c r="Z557" s="169" t="s">
        <v>11499</v>
      </c>
      <c r="AA557" s="170">
        <v>1949</v>
      </c>
      <c r="AB557" s="171" t="s">
        <v>2232</v>
      </c>
      <c r="AC557" s="172" t="s">
        <v>153</v>
      </c>
      <c r="AD557" s="173" t="s">
        <v>153</v>
      </c>
      <c r="AE557" s="174">
        <v>488.12</v>
      </c>
      <c r="AF557" s="175">
        <v>378.57</v>
      </c>
      <c r="AG557" s="176">
        <v>254.12</v>
      </c>
      <c r="AH557" s="177" t="s">
        <v>153</v>
      </c>
      <c r="AI557" s="178">
        <v>421.05</v>
      </c>
      <c r="AJ557" s="179">
        <v>311.5</v>
      </c>
      <c r="AK557" s="180" t="s">
        <v>153</v>
      </c>
      <c r="AL557" s="181">
        <v>1475.11</v>
      </c>
      <c r="AM557" s="182">
        <v>-43.44</v>
      </c>
      <c r="AN557" s="183" t="s">
        <v>168</v>
      </c>
      <c r="AO557" s="184" t="s">
        <v>11500</v>
      </c>
      <c r="AP557" s="185" t="s">
        <v>11501</v>
      </c>
      <c r="AQ557" s="186" t="s">
        <v>11502</v>
      </c>
      <c r="AR557" s="187" t="s">
        <v>153</v>
      </c>
      <c r="AS557" s="188" t="s">
        <v>11503</v>
      </c>
      <c r="AT557" s="189" t="s">
        <v>3419</v>
      </c>
      <c r="AU557" s="190" t="s">
        <v>11504</v>
      </c>
      <c r="AV557" s="191" t="s">
        <v>11505</v>
      </c>
      <c r="AW557" s="192" t="s">
        <v>3422</v>
      </c>
      <c r="AX557" s="193" t="s">
        <v>3423</v>
      </c>
      <c r="AY557" s="194" t="s">
        <v>11506</v>
      </c>
      <c r="AZ557" s="195" t="s">
        <v>1358</v>
      </c>
      <c r="BA557" s="196" t="s">
        <v>11503</v>
      </c>
      <c r="BB557" s="197" t="s">
        <v>11507</v>
      </c>
      <c r="BC557" s="198" t="s">
        <v>153</v>
      </c>
      <c r="BD557" s="199" t="s">
        <v>216</v>
      </c>
      <c r="BE557" s="200" t="s">
        <v>217</v>
      </c>
      <c r="BF557" s="201" t="s">
        <v>11508</v>
      </c>
      <c r="BG557" s="202" t="s">
        <v>153</v>
      </c>
      <c r="BH557" s="203" t="s">
        <v>153</v>
      </c>
      <c r="BI557" s="204" t="s">
        <v>2232</v>
      </c>
      <c r="BJ557" s="205" t="s">
        <v>153</v>
      </c>
      <c r="BK557" s="206" t="s">
        <v>153</v>
      </c>
      <c r="BL557" s="207" t="s">
        <v>153</v>
      </c>
      <c r="BM557" s="208" t="s">
        <v>153</v>
      </c>
      <c r="BN557" s="209" t="s">
        <v>153</v>
      </c>
      <c r="BO557" s="210" t="s">
        <v>153</v>
      </c>
      <c r="BP557" s="211" t="s">
        <v>153</v>
      </c>
      <c r="BQ557" s="212">
        <v>37329</v>
      </c>
      <c r="BR557" s="213">
        <v>8000</v>
      </c>
      <c r="BS557" s="214" t="s">
        <v>186</v>
      </c>
      <c r="BT557" s="215">
        <v>8000</v>
      </c>
      <c r="BU557" s="216" t="s">
        <v>153</v>
      </c>
      <c r="BV557" s="217" t="s">
        <v>226</v>
      </c>
      <c r="BW557" s="218" t="s">
        <v>153</v>
      </c>
      <c r="BX557" s="219" t="s">
        <v>153</v>
      </c>
      <c r="BY557" s="220" t="s">
        <v>225</v>
      </c>
      <c r="BZ557" s="221" t="s">
        <v>153</v>
      </c>
      <c r="CA557" s="222" t="s">
        <v>190</v>
      </c>
      <c r="CB557" s="223">
        <v>37329</v>
      </c>
      <c r="CC557" s="224">
        <v>8000</v>
      </c>
      <c r="CD557" s="225" t="s">
        <v>186</v>
      </c>
      <c r="CE557" s="226">
        <v>8000</v>
      </c>
      <c r="CF557" s="227" t="s">
        <v>153</v>
      </c>
      <c r="CG557" s="228" t="s">
        <v>226</v>
      </c>
      <c r="CH557" s="229" t="s">
        <v>153</v>
      </c>
      <c r="CI557" s="230" t="s">
        <v>153</v>
      </c>
      <c r="CJ557" s="231" t="s">
        <v>225</v>
      </c>
      <c r="CK557" s="232">
        <v>37329</v>
      </c>
      <c r="CL557" s="233" t="s">
        <v>153</v>
      </c>
      <c r="CM557" s="234" t="s">
        <v>153</v>
      </c>
      <c r="CN557" s="235" t="s">
        <v>190</v>
      </c>
      <c r="CO557" s="236" t="s">
        <v>153</v>
      </c>
      <c r="CP557" s="237" t="s">
        <v>153</v>
      </c>
      <c r="CQ557" s="238" t="s">
        <v>153</v>
      </c>
      <c r="CR557" s="239" t="s">
        <v>153</v>
      </c>
      <c r="CS557" s="240" t="s">
        <v>153</v>
      </c>
      <c r="CT557" s="241" t="s">
        <v>153</v>
      </c>
      <c r="CU557" s="242" t="s">
        <v>153</v>
      </c>
      <c r="CV557" s="243" t="s">
        <v>153</v>
      </c>
      <c r="CW557" s="244" t="s">
        <v>153</v>
      </c>
      <c r="CX557" s="245" t="s">
        <v>153</v>
      </c>
      <c r="CY557" s="246" t="s">
        <v>153</v>
      </c>
      <c r="CZ557" s="247" t="s">
        <v>153</v>
      </c>
      <c r="DA557" s="248" t="s">
        <v>153</v>
      </c>
      <c r="DB557" s="249" t="s">
        <v>153</v>
      </c>
      <c r="DC557" s="250" t="s">
        <v>153</v>
      </c>
      <c r="DD557" s="251" t="s">
        <v>153</v>
      </c>
      <c r="DE557" s="252" t="s">
        <v>153</v>
      </c>
      <c r="DF557" s="253" t="s">
        <v>153</v>
      </c>
      <c r="DG557" s="254" t="s">
        <v>153</v>
      </c>
      <c r="DH557" s="255" t="s">
        <v>153</v>
      </c>
      <c r="DI557" s="256" t="s">
        <v>153</v>
      </c>
      <c r="DJ557" s="257" t="s">
        <v>153</v>
      </c>
      <c r="DK557" s="258" t="s">
        <v>153</v>
      </c>
      <c r="DL557" s="259" t="s">
        <v>153</v>
      </c>
      <c r="DM557" s="260" t="s">
        <v>153</v>
      </c>
      <c r="DN557" s="261" t="s">
        <v>153</v>
      </c>
      <c r="DO557" s="262" t="s">
        <v>153</v>
      </c>
      <c r="DP557" s="263" t="s">
        <v>153</v>
      </c>
      <c r="DQ557" s="264" t="s">
        <v>153</v>
      </c>
      <c r="DR557" s="265" t="s">
        <v>153</v>
      </c>
      <c r="DS557" s="266" t="s">
        <v>153</v>
      </c>
      <c r="DT557" s="267" t="s">
        <v>153</v>
      </c>
      <c r="DU557" s="268" t="s">
        <v>153</v>
      </c>
      <c r="DV557" s="269" t="s">
        <v>153</v>
      </c>
      <c r="DW557" s="270" t="s">
        <v>153</v>
      </c>
      <c r="DX557" s="271" t="s">
        <v>153</v>
      </c>
      <c r="DY557" s="272" t="s">
        <v>153</v>
      </c>
      <c r="DZ557" s="273" t="s">
        <v>191</v>
      </c>
      <c r="EA557" s="274">
        <v>44383</v>
      </c>
      <c r="EB557" s="275">
        <v>8000</v>
      </c>
      <c r="EC557" s="276">
        <v>37329</v>
      </c>
      <c r="ED557" s="277" t="s">
        <v>226</v>
      </c>
      <c r="EE557" s="279" t="str">
        <f>HYPERLINK("https://my.pitchbook.com?c=100063-27", "View company online")</f>
        <v>View company online</v>
      </c>
    </row>
    <row r="558" spans="1:135" x14ac:dyDescent="0.45">
      <c r="A558" s="10" t="s">
        <v>11509</v>
      </c>
      <c r="B558" s="11" t="s">
        <v>11510</v>
      </c>
      <c r="C558" s="12" t="s">
        <v>153</v>
      </c>
      <c r="D558" s="13" t="s">
        <v>153</v>
      </c>
      <c r="E558" s="14" t="s">
        <v>153</v>
      </c>
      <c r="F558" s="15" t="s">
        <v>153</v>
      </c>
      <c r="G558" s="16" t="s">
        <v>153</v>
      </c>
      <c r="H558" s="17" t="s">
        <v>153</v>
      </c>
      <c r="I558" s="18" t="s">
        <v>11509</v>
      </c>
      <c r="J558" s="19" t="s">
        <v>11511</v>
      </c>
      <c r="K558" s="20" t="s">
        <v>157</v>
      </c>
      <c r="L558" s="21" t="s">
        <v>817</v>
      </c>
      <c r="M558" s="22" t="s">
        <v>863</v>
      </c>
      <c r="N558" s="23" t="s">
        <v>2494</v>
      </c>
      <c r="O558" s="24" t="s">
        <v>261</v>
      </c>
      <c r="P558" s="25" t="s">
        <v>11512</v>
      </c>
      <c r="Q558" s="26" t="s">
        <v>162</v>
      </c>
      <c r="R558" s="27" t="s">
        <v>153</v>
      </c>
      <c r="S558" s="28" t="s">
        <v>163</v>
      </c>
      <c r="T558" s="29" t="s">
        <v>1392</v>
      </c>
      <c r="U558" s="30" t="s">
        <v>165</v>
      </c>
      <c r="V558" s="31" t="s">
        <v>153</v>
      </c>
      <c r="W558" s="32" t="s">
        <v>153</v>
      </c>
      <c r="X558" s="33" t="s">
        <v>153</v>
      </c>
      <c r="Y558" s="34" t="s">
        <v>153</v>
      </c>
      <c r="Z558" s="35" t="s">
        <v>153</v>
      </c>
      <c r="AA558" s="36" t="s">
        <v>153</v>
      </c>
      <c r="AB558" s="37" t="s">
        <v>153</v>
      </c>
      <c r="AC558" s="38" t="s">
        <v>153</v>
      </c>
      <c r="AD558" s="39" t="s">
        <v>153</v>
      </c>
      <c r="AE558" s="40" t="s">
        <v>153</v>
      </c>
      <c r="AF558" s="41" t="s">
        <v>153</v>
      </c>
      <c r="AG558" s="42" t="s">
        <v>153</v>
      </c>
      <c r="AH558" s="43" t="s">
        <v>153</v>
      </c>
      <c r="AI558" s="44" t="s">
        <v>153</v>
      </c>
      <c r="AJ558" s="45" t="s">
        <v>153</v>
      </c>
      <c r="AK558" s="46" t="s">
        <v>153</v>
      </c>
      <c r="AL558" s="47" t="s">
        <v>153</v>
      </c>
      <c r="AM558" s="48" t="s">
        <v>153</v>
      </c>
      <c r="AN558" s="49" t="s">
        <v>153</v>
      </c>
      <c r="AO558" s="50" t="s">
        <v>11513</v>
      </c>
      <c r="AP558" s="51" t="s">
        <v>11514</v>
      </c>
      <c r="AQ558" s="52" t="s">
        <v>171</v>
      </c>
      <c r="AR558" s="53" t="s">
        <v>153</v>
      </c>
      <c r="AS558" s="54" t="s">
        <v>153</v>
      </c>
      <c r="AT558" s="55" t="s">
        <v>1071</v>
      </c>
      <c r="AU558" s="56" t="s">
        <v>11515</v>
      </c>
      <c r="AV558" s="57" t="s">
        <v>11516</v>
      </c>
      <c r="AW558" s="58" t="s">
        <v>1074</v>
      </c>
      <c r="AX558" s="59" t="s">
        <v>177</v>
      </c>
      <c r="AY558" s="60" t="s">
        <v>11517</v>
      </c>
      <c r="AZ558" s="61" t="s">
        <v>179</v>
      </c>
      <c r="BA558" s="62" t="s">
        <v>153</v>
      </c>
      <c r="BB558" s="63" t="s">
        <v>153</v>
      </c>
      <c r="BC558" s="64" t="s">
        <v>153</v>
      </c>
      <c r="BD558" s="65" t="s">
        <v>180</v>
      </c>
      <c r="BE558" s="66" t="s">
        <v>181</v>
      </c>
      <c r="BF558" s="67" t="s">
        <v>11518</v>
      </c>
      <c r="BG558" s="68" t="s">
        <v>10802</v>
      </c>
      <c r="BH558" s="69">
        <v>1</v>
      </c>
      <c r="BI558" s="70" t="s">
        <v>153</v>
      </c>
      <c r="BJ558" s="71" t="s">
        <v>2498</v>
      </c>
      <c r="BK558" s="72" t="s">
        <v>153</v>
      </c>
      <c r="BL558" s="73" t="s">
        <v>10803</v>
      </c>
      <c r="BM558" s="74" t="s">
        <v>2506</v>
      </c>
      <c r="BN558" s="75" t="s">
        <v>153</v>
      </c>
      <c r="BO558" s="76" t="s">
        <v>153</v>
      </c>
      <c r="BP558" s="77" t="s">
        <v>153</v>
      </c>
      <c r="BQ558" s="78">
        <v>43283</v>
      </c>
      <c r="BR558" s="79">
        <v>7964.25</v>
      </c>
      <c r="BS558" s="80" t="s">
        <v>186</v>
      </c>
      <c r="BT558" s="81">
        <v>7964.25</v>
      </c>
      <c r="BU558" s="82" t="s">
        <v>187</v>
      </c>
      <c r="BV558" s="83" t="s">
        <v>188</v>
      </c>
      <c r="BW558" s="84" t="s">
        <v>729</v>
      </c>
      <c r="BX558" s="85" t="s">
        <v>153</v>
      </c>
      <c r="BY558" s="86" t="s">
        <v>165</v>
      </c>
      <c r="BZ558" s="87" t="s">
        <v>153</v>
      </c>
      <c r="CA558" s="88" t="s">
        <v>190</v>
      </c>
      <c r="CB558" s="89">
        <v>43283</v>
      </c>
      <c r="CC558" s="90">
        <v>7964.25</v>
      </c>
      <c r="CD558" s="91" t="s">
        <v>186</v>
      </c>
      <c r="CE558" s="92">
        <v>7964.25</v>
      </c>
      <c r="CF558" s="93" t="s">
        <v>187</v>
      </c>
      <c r="CG558" s="94" t="s">
        <v>188</v>
      </c>
      <c r="CH558" s="95" t="s">
        <v>729</v>
      </c>
      <c r="CI558" s="96" t="s">
        <v>153</v>
      </c>
      <c r="CJ558" s="97" t="s">
        <v>165</v>
      </c>
      <c r="CK558" s="98">
        <v>43283</v>
      </c>
      <c r="CL558" s="99" t="s">
        <v>153</v>
      </c>
      <c r="CM558" s="100" t="s">
        <v>153</v>
      </c>
      <c r="CN558" s="101" t="s">
        <v>190</v>
      </c>
      <c r="CO558" s="102" t="s">
        <v>153</v>
      </c>
      <c r="CP558" s="103" t="s">
        <v>153</v>
      </c>
      <c r="CQ558" s="104" t="s">
        <v>153</v>
      </c>
      <c r="CR558" s="105" t="s">
        <v>153</v>
      </c>
      <c r="CS558" s="106" t="s">
        <v>153</v>
      </c>
      <c r="CT558" s="107" t="s">
        <v>153</v>
      </c>
      <c r="CU558" s="108" t="s">
        <v>153</v>
      </c>
      <c r="CV558" s="109" t="s">
        <v>153</v>
      </c>
      <c r="CW558" s="110" t="s">
        <v>153</v>
      </c>
      <c r="CX558" s="111" t="s">
        <v>153</v>
      </c>
      <c r="CY558" s="112" t="s">
        <v>153</v>
      </c>
      <c r="CZ558" s="113" t="s">
        <v>153</v>
      </c>
      <c r="DA558" s="114" t="s">
        <v>153</v>
      </c>
      <c r="DB558" s="115" t="s">
        <v>153</v>
      </c>
      <c r="DC558" s="116" t="s">
        <v>153</v>
      </c>
      <c r="DD558" s="117" t="s">
        <v>153</v>
      </c>
      <c r="DE558" s="118" t="s">
        <v>153</v>
      </c>
      <c r="DF558" s="119" t="s">
        <v>153</v>
      </c>
      <c r="DG558" s="120" t="s">
        <v>153</v>
      </c>
      <c r="DH558" s="121" t="s">
        <v>153</v>
      </c>
      <c r="DI558" s="122" t="s">
        <v>153</v>
      </c>
      <c r="DJ558" s="123" t="s">
        <v>153</v>
      </c>
      <c r="DK558" s="124" t="s">
        <v>153</v>
      </c>
      <c r="DL558" s="125" t="s">
        <v>153</v>
      </c>
      <c r="DM558" s="126" t="s">
        <v>153</v>
      </c>
      <c r="DN558" s="127" t="s">
        <v>153</v>
      </c>
      <c r="DO558" s="128" t="s">
        <v>153</v>
      </c>
      <c r="DP558" s="129" t="s">
        <v>153</v>
      </c>
      <c r="DQ558" s="130" t="s">
        <v>153</v>
      </c>
      <c r="DR558" s="131" t="s">
        <v>153</v>
      </c>
      <c r="DS558" s="132" t="s">
        <v>153</v>
      </c>
      <c r="DT558" s="133" t="s">
        <v>153</v>
      </c>
      <c r="DU558" s="134" t="s">
        <v>153</v>
      </c>
      <c r="DV558" s="135" t="s">
        <v>153</v>
      </c>
      <c r="DW558" s="136" t="s">
        <v>153</v>
      </c>
      <c r="DX558" s="137" t="s">
        <v>153</v>
      </c>
      <c r="DY558" s="138" t="s">
        <v>153</v>
      </c>
      <c r="DZ558" s="139" t="s">
        <v>191</v>
      </c>
      <c r="EA558" s="140">
        <v>43867</v>
      </c>
      <c r="EB558" s="141">
        <v>7964.25</v>
      </c>
      <c r="EC558" s="142">
        <v>43283</v>
      </c>
      <c r="ED558" s="143" t="s">
        <v>188</v>
      </c>
      <c r="EE558" s="278" t="str">
        <f>HYPERLINK("https://my.pitchbook.com?c=431194-96", "View company online")</f>
        <v>View company online</v>
      </c>
    </row>
    <row r="559" spans="1:135" x14ac:dyDescent="0.45">
      <c r="A559" s="144" t="s">
        <v>11519</v>
      </c>
      <c r="B559" s="145" t="s">
        <v>11520</v>
      </c>
      <c r="C559" s="146" t="s">
        <v>153</v>
      </c>
      <c r="D559" s="147" t="s">
        <v>153</v>
      </c>
      <c r="E559" s="148" t="s">
        <v>153</v>
      </c>
      <c r="F559" s="149" t="s">
        <v>153</v>
      </c>
      <c r="G559" s="150" t="s">
        <v>11521</v>
      </c>
      <c r="H559" s="151" t="s">
        <v>153</v>
      </c>
      <c r="I559" s="152" t="s">
        <v>11519</v>
      </c>
      <c r="J559" s="153" t="s">
        <v>11522</v>
      </c>
      <c r="K559" s="154" t="s">
        <v>157</v>
      </c>
      <c r="L559" s="155" t="s">
        <v>817</v>
      </c>
      <c r="M559" s="156" t="s">
        <v>863</v>
      </c>
      <c r="N559" s="157" t="s">
        <v>2494</v>
      </c>
      <c r="O559" s="158" t="s">
        <v>153</v>
      </c>
      <c r="P559" s="159" t="s">
        <v>11523</v>
      </c>
      <c r="Q559" s="160" t="s">
        <v>162</v>
      </c>
      <c r="R559" s="161" t="s">
        <v>153</v>
      </c>
      <c r="S559" s="162" t="s">
        <v>163</v>
      </c>
      <c r="T559" s="163" t="s">
        <v>1392</v>
      </c>
      <c r="U559" s="164" t="s">
        <v>165</v>
      </c>
      <c r="V559" s="165" t="s">
        <v>11524</v>
      </c>
      <c r="W559" s="166">
        <v>4200</v>
      </c>
      <c r="X559" s="167" t="s">
        <v>11525</v>
      </c>
      <c r="Y559" s="168" t="s">
        <v>153</v>
      </c>
      <c r="Z559" s="169" t="s">
        <v>153</v>
      </c>
      <c r="AA559" s="170">
        <v>1870</v>
      </c>
      <c r="AB559" s="171" t="s">
        <v>153</v>
      </c>
      <c r="AC559" s="172" t="s">
        <v>153</v>
      </c>
      <c r="AD559" s="173" t="s">
        <v>428</v>
      </c>
      <c r="AE559" s="174" t="s">
        <v>153</v>
      </c>
      <c r="AF559" s="175" t="s">
        <v>153</v>
      </c>
      <c r="AG559" s="176" t="s">
        <v>153</v>
      </c>
      <c r="AH559" s="177" t="s">
        <v>153</v>
      </c>
      <c r="AI559" s="178" t="s">
        <v>153</v>
      </c>
      <c r="AJ559" s="179" t="s">
        <v>153</v>
      </c>
      <c r="AK559" s="180" t="s">
        <v>153</v>
      </c>
      <c r="AL559" s="181" t="s">
        <v>153</v>
      </c>
      <c r="AM559" s="182" t="s">
        <v>153</v>
      </c>
      <c r="AN559" s="183" t="s">
        <v>456</v>
      </c>
      <c r="AO559" s="184" t="s">
        <v>11526</v>
      </c>
      <c r="AP559" s="185" t="s">
        <v>11527</v>
      </c>
      <c r="AQ559" s="186" t="s">
        <v>11528</v>
      </c>
      <c r="AR559" s="187" t="s">
        <v>11529</v>
      </c>
      <c r="AS559" s="188" t="s">
        <v>153</v>
      </c>
      <c r="AT559" s="189" t="s">
        <v>4519</v>
      </c>
      <c r="AU559" s="190" t="s">
        <v>11530</v>
      </c>
      <c r="AV559" s="191" t="s">
        <v>153</v>
      </c>
      <c r="AW559" s="192" t="s">
        <v>4522</v>
      </c>
      <c r="AX559" s="193" t="s">
        <v>153</v>
      </c>
      <c r="AY559" s="194" t="s">
        <v>11531</v>
      </c>
      <c r="AZ559" s="195" t="s">
        <v>335</v>
      </c>
      <c r="BA559" s="196" t="s">
        <v>153</v>
      </c>
      <c r="BB559" s="197" t="s">
        <v>153</v>
      </c>
      <c r="BC559" s="198" t="s">
        <v>153</v>
      </c>
      <c r="BD559" s="199" t="s">
        <v>180</v>
      </c>
      <c r="BE559" s="200" t="s">
        <v>181</v>
      </c>
      <c r="BF559" s="201" t="s">
        <v>11532</v>
      </c>
      <c r="BG559" s="202" t="s">
        <v>10802</v>
      </c>
      <c r="BH559" s="203">
        <v>1</v>
      </c>
      <c r="BI559" s="204" t="s">
        <v>153</v>
      </c>
      <c r="BJ559" s="205" t="s">
        <v>2498</v>
      </c>
      <c r="BK559" s="206" t="s">
        <v>11533</v>
      </c>
      <c r="BL559" s="207" t="s">
        <v>10803</v>
      </c>
      <c r="BM559" s="208" t="s">
        <v>2506</v>
      </c>
      <c r="BN559" s="209" t="s">
        <v>11534</v>
      </c>
      <c r="BO559" s="210" t="s">
        <v>153</v>
      </c>
      <c r="BP559" s="211" t="s">
        <v>11535</v>
      </c>
      <c r="BQ559" s="212">
        <v>43283</v>
      </c>
      <c r="BR559" s="213">
        <v>7962.52</v>
      </c>
      <c r="BS559" s="214" t="s">
        <v>186</v>
      </c>
      <c r="BT559" s="215">
        <v>7962.52</v>
      </c>
      <c r="BU559" s="216" t="s">
        <v>187</v>
      </c>
      <c r="BV559" s="217" t="s">
        <v>188</v>
      </c>
      <c r="BW559" s="218" t="s">
        <v>729</v>
      </c>
      <c r="BX559" s="219" t="s">
        <v>153</v>
      </c>
      <c r="BY559" s="220" t="s">
        <v>165</v>
      </c>
      <c r="BZ559" s="221" t="s">
        <v>153</v>
      </c>
      <c r="CA559" s="222" t="s">
        <v>190</v>
      </c>
      <c r="CB559" s="223">
        <v>43283</v>
      </c>
      <c r="CC559" s="224">
        <v>7962.52</v>
      </c>
      <c r="CD559" s="225" t="s">
        <v>186</v>
      </c>
      <c r="CE559" s="226">
        <v>7962.52</v>
      </c>
      <c r="CF559" s="227" t="s">
        <v>187</v>
      </c>
      <c r="CG559" s="228" t="s">
        <v>188</v>
      </c>
      <c r="CH559" s="229" t="s">
        <v>729</v>
      </c>
      <c r="CI559" s="230" t="s">
        <v>153</v>
      </c>
      <c r="CJ559" s="231" t="s">
        <v>165</v>
      </c>
      <c r="CK559" s="232">
        <v>43283</v>
      </c>
      <c r="CL559" s="233" t="s">
        <v>153</v>
      </c>
      <c r="CM559" s="234" t="s">
        <v>153</v>
      </c>
      <c r="CN559" s="235" t="s">
        <v>190</v>
      </c>
      <c r="CO559" s="236">
        <v>-0.36</v>
      </c>
      <c r="CP559" s="237">
        <v>5</v>
      </c>
      <c r="CQ559" s="238">
        <v>0.01</v>
      </c>
      <c r="CR559" s="239">
        <v>1.64</v>
      </c>
      <c r="CS559" s="240">
        <v>-1.02</v>
      </c>
      <c r="CT559" s="241">
        <v>4</v>
      </c>
      <c r="CU559" s="242">
        <v>-0.1</v>
      </c>
      <c r="CV559" s="243">
        <v>19</v>
      </c>
      <c r="CW559" s="244">
        <v>-2.33</v>
      </c>
      <c r="CX559" s="245">
        <v>11</v>
      </c>
      <c r="CY559" s="246">
        <v>0.28999999999999998</v>
      </c>
      <c r="CZ559" s="247">
        <v>92</v>
      </c>
      <c r="DA559" s="248">
        <v>-0.1</v>
      </c>
      <c r="DB559" s="249">
        <v>19</v>
      </c>
      <c r="DC559" s="250">
        <v>63.16</v>
      </c>
      <c r="DD559" s="251">
        <v>99</v>
      </c>
      <c r="DE559" s="252">
        <v>0.12</v>
      </c>
      <c r="DF559" s="253">
        <v>0.19</v>
      </c>
      <c r="DG559" s="254">
        <v>22.53</v>
      </c>
      <c r="DH559" s="255">
        <v>96</v>
      </c>
      <c r="DI559" s="256">
        <v>53.45</v>
      </c>
      <c r="DJ559" s="257">
        <v>96</v>
      </c>
      <c r="DK559" s="258">
        <v>19.559999999999999</v>
      </c>
      <c r="DL559" s="259">
        <v>91</v>
      </c>
      <c r="DM559" s="260">
        <v>25.5</v>
      </c>
      <c r="DN559" s="261">
        <v>96</v>
      </c>
      <c r="DO559" s="262">
        <v>53.45</v>
      </c>
      <c r="DP559" s="263">
        <v>96</v>
      </c>
      <c r="DQ559" s="264">
        <v>11556</v>
      </c>
      <c r="DR559" s="265">
        <v>163</v>
      </c>
      <c r="DS559" s="266">
        <v>1.43</v>
      </c>
      <c r="DT559" s="267">
        <v>407</v>
      </c>
      <c r="DU559" s="268">
        <v>2</v>
      </c>
      <c r="DV559" s="269">
        <v>0.49</v>
      </c>
      <c r="DW559" s="270">
        <v>16787</v>
      </c>
      <c r="DX559" s="271">
        <v>-14</v>
      </c>
      <c r="DY559" s="272">
        <v>-0.08</v>
      </c>
      <c r="DZ559" s="273" t="s">
        <v>191</v>
      </c>
      <c r="EA559" s="274">
        <v>44358</v>
      </c>
      <c r="EB559" s="275">
        <v>7962.52</v>
      </c>
      <c r="EC559" s="276">
        <v>43283</v>
      </c>
      <c r="ED559" s="277" t="s">
        <v>188</v>
      </c>
      <c r="EE559" s="279" t="str">
        <f>HYPERLINK("https://my.pitchbook.com?c=182677-69", "View company online")</f>
        <v>View company online</v>
      </c>
    </row>
    <row r="560" spans="1:135" x14ac:dyDescent="0.45">
      <c r="A560" s="10" t="s">
        <v>11536</v>
      </c>
      <c r="B560" s="11" t="s">
        <v>11537</v>
      </c>
      <c r="C560" s="12" t="s">
        <v>153</v>
      </c>
      <c r="D560" s="13" t="s">
        <v>153</v>
      </c>
      <c r="E560" s="14" t="s">
        <v>11538</v>
      </c>
      <c r="F560" s="15" t="s">
        <v>11539</v>
      </c>
      <c r="G560" s="16" t="s">
        <v>11540</v>
      </c>
      <c r="H560" s="17" t="s">
        <v>153</v>
      </c>
      <c r="I560" s="18" t="s">
        <v>11536</v>
      </c>
      <c r="J560" s="19" t="s">
        <v>11541</v>
      </c>
      <c r="K560" s="20" t="s">
        <v>792</v>
      </c>
      <c r="L560" s="21" t="s">
        <v>841</v>
      </c>
      <c r="M560" s="22" t="s">
        <v>2326</v>
      </c>
      <c r="N560" s="23" t="s">
        <v>11542</v>
      </c>
      <c r="O560" s="24" t="s">
        <v>796</v>
      </c>
      <c r="P560" s="25" t="s">
        <v>11543</v>
      </c>
      <c r="Q560" s="26" t="s">
        <v>564</v>
      </c>
      <c r="R560" s="27">
        <v>980.76</v>
      </c>
      <c r="S560" s="28" t="s">
        <v>290</v>
      </c>
      <c r="T560" s="29" t="s">
        <v>205</v>
      </c>
      <c r="U560" s="30" t="s">
        <v>369</v>
      </c>
      <c r="V560" s="31" t="s">
        <v>11544</v>
      </c>
      <c r="W560" s="32">
        <v>2300</v>
      </c>
      <c r="X560" s="33" t="s">
        <v>11545</v>
      </c>
      <c r="Y560" s="34" t="s">
        <v>153</v>
      </c>
      <c r="Z560" s="35" t="s">
        <v>153</v>
      </c>
      <c r="AA560" s="36">
        <v>1932</v>
      </c>
      <c r="AB560" s="37" t="s">
        <v>153</v>
      </c>
      <c r="AC560" s="38" t="s">
        <v>153</v>
      </c>
      <c r="AD560" s="39" t="s">
        <v>153</v>
      </c>
      <c r="AE560" s="40" t="s">
        <v>153</v>
      </c>
      <c r="AF560" s="41" t="s">
        <v>153</v>
      </c>
      <c r="AG560" s="42" t="s">
        <v>153</v>
      </c>
      <c r="AH560" s="43" t="s">
        <v>153</v>
      </c>
      <c r="AI560" s="44" t="s">
        <v>153</v>
      </c>
      <c r="AJ560" s="45" t="s">
        <v>153</v>
      </c>
      <c r="AK560" s="46" t="s">
        <v>153</v>
      </c>
      <c r="AL560" s="47" t="s">
        <v>153</v>
      </c>
      <c r="AM560" s="48" t="s">
        <v>153</v>
      </c>
      <c r="AN560" s="49" t="s">
        <v>825</v>
      </c>
      <c r="AO560" s="50" t="s">
        <v>11546</v>
      </c>
      <c r="AP560" s="51" t="s">
        <v>11547</v>
      </c>
      <c r="AQ560" s="52" t="s">
        <v>512</v>
      </c>
      <c r="AR560" s="53" t="s">
        <v>153</v>
      </c>
      <c r="AS560" s="54" t="s">
        <v>11548</v>
      </c>
      <c r="AT560" s="55" t="s">
        <v>7091</v>
      </c>
      <c r="AU560" s="56" t="s">
        <v>11549</v>
      </c>
      <c r="AV560" s="57" t="s">
        <v>1577</v>
      </c>
      <c r="AW560" s="58" t="s">
        <v>7094</v>
      </c>
      <c r="AX560" s="59" t="s">
        <v>213</v>
      </c>
      <c r="AY560" s="60" t="s">
        <v>11550</v>
      </c>
      <c r="AZ560" s="61" t="s">
        <v>215</v>
      </c>
      <c r="BA560" s="62" t="s">
        <v>11548</v>
      </c>
      <c r="BB560" s="63" t="s">
        <v>11551</v>
      </c>
      <c r="BC560" s="64" t="s">
        <v>153</v>
      </c>
      <c r="BD560" s="65" t="s">
        <v>216</v>
      </c>
      <c r="BE560" s="66" t="s">
        <v>217</v>
      </c>
      <c r="BF560" s="67" t="s">
        <v>11552</v>
      </c>
      <c r="BG560" s="68" t="s">
        <v>153</v>
      </c>
      <c r="BH560" s="69" t="s">
        <v>153</v>
      </c>
      <c r="BI560" s="70" t="s">
        <v>11553</v>
      </c>
      <c r="BJ560" s="71" t="s">
        <v>11554</v>
      </c>
      <c r="BK560" s="72" t="s">
        <v>153</v>
      </c>
      <c r="BL560" s="73" t="s">
        <v>153</v>
      </c>
      <c r="BM560" s="74" t="s">
        <v>11555</v>
      </c>
      <c r="BN560" s="75" t="s">
        <v>153</v>
      </c>
      <c r="BO560" s="76" t="s">
        <v>153</v>
      </c>
      <c r="BP560" s="77" t="s">
        <v>11556</v>
      </c>
      <c r="BQ560" s="78" t="s">
        <v>153</v>
      </c>
      <c r="BR560" s="79" t="s">
        <v>153</v>
      </c>
      <c r="BS560" s="80" t="s">
        <v>153</v>
      </c>
      <c r="BT560" s="81" t="s">
        <v>153</v>
      </c>
      <c r="BU560" s="82" t="s">
        <v>153</v>
      </c>
      <c r="BV560" s="83" t="s">
        <v>251</v>
      </c>
      <c r="BW560" s="84" t="s">
        <v>153</v>
      </c>
      <c r="BX560" s="85" t="s">
        <v>153</v>
      </c>
      <c r="BY560" s="86" t="s">
        <v>252</v>
      </c>
      <c r="BZ560" s="87" t="s">
        <v>153</v>
      </c>
      <c r="CA560" s="88" t="s">
        <v>190</v>
      </c>
      <c r="CB560" s="89">
        <v>38596</v>
      </c>
      <c r="CC560" s="90">
        <v>7949</v>
      </c>
      <c r="CD560" s="91" t="s">
        <v>186</v>
      </c>
      <c r="CE560" s="92">
        <v>7949</v>
      </c>
      <c r="CF560" s="93" t="s">
        <v>186</v>
      </c>
      <c r="CG560" s="94" t="s">
        <v>226</v>
      </c>
      <c r="CH560" s="95" t="s">
        <v>153</v>
      </c>
      <c r="CI560" s="96" t="s">
        <v>153</v>
      </c>
      <c r="CJ560" s="97" t="s">
        <v>225</v>
      </c>
      <c r="CK560" s="98">
        <v>38596</v>
      </c>
      <c r="CL560" s="99" t="s">
        <v>153</v>
      </c>
      <c r="CM560" s="100" t="s">
        <v>153</v>
      </c>
      <c r="CN560" s="101" t="s">
        <v>190</v>
      </c>
      <c r="CO560" s="102" t="s">
        <v>153</v>
      </c>
      <c r="CP560" s="103" t="s">
        <v>153</v>
      </c>
      <c r="CQ560" s="104" t="s">
        <v>153</v>
      </c>
      <c r="CR560" s="105" t="s">
        <v>153</v>
      </c>
      <c r="CS560" s="106" t="s">
        <v>153</v>
      </c>
      <c r="CT560" s="107" t="s">
        <v>153</v>
      </c>
      <c r="CU560" s="108" t="s">
        <v>153</v>
      </c>
      <c r="CV560" s="109" t="s">
        <v>153</v>
      </c>
      <c r="CW560" s="110" t="s">
        <v>153</v>
      </c>
      <c r="CX560" s="111" t="s">
        <v>153</v>
      </c>
      <c r="CY560" s="112" t="s">
        <v>153</v>
      </c>
      <c r="CZ560" s="113" t="s">
        <v>153</v>
      </c>
      <c r="DA560" s="114" t="s">
        <v>153</v>
      </c>
      <c r="DB560" s="115" t="s">
        <v>153</v>
      </c>
      <c r="DC560" s="116" t="s">
        <v>153</v>
      </c>
      <c r="DD560" s="117" t="s">
        <v>153</v>
      </c>
      <c r="DE560" s="118" t="s">
        <v>153</v>
      </c>
      <c r="DF560" s="119" t="s">
        <v>153</v>
      </c>
      <c r="DG560" s="120" t="s">
        <v>153</v>
      </c>
      <c r="DH560" s="121" t="s">
        <v>153</v>
      </c>
      <c r="DI560" s="122" t="s">
        <v>153</v>
      </c>
      <c r="DJ560" s="123" t="s">
        <v>153</v>
      </c>
      <c r="DK560" s="124" t="s">
        <v>153</v>
      </c>
      <c r="DL560" s="125" t="s">
        <v>153</v>
      </c>
      <c r="DM560" s="126" t="s">
        <v>153</v>
      </c>
      <c r="DN560" s="127" t="s">
        <v>153</v>
      </c>
      <c r="DO560" s="128" t="s">
        <v>153</v>
      </c>
      <c r="DP560" s="129" t="s">
        <v>153</v>
      </c>
      <c r="DQ560" s="130" t="s">
        <v>153</v>
      </c>
      <c r="DR560" s="131" t="s">
        <v>153</v>
      </c>
      <c r="DS560" s="132" t="s">
        <v>153</v>
      </c>
      <c r="DT560" s="133" t="s">
        <v>153</v>
      </c>
      <c r="DU560" s="134" t="s">
        <v>153</v>
      </c>
      <c r="DV560" s="135" t="s">
        <v>153</v>
      </c>
      <c r="DW560" s="136" t="s">
        <v>153</v>
      </c>
      <c r="DX560" s="137" t="s">
        <v>153</v>
      </c>
      <c r="DY560" s="138" t="s">
        <v>153</v>
      </c>
      <c r="DZ560" s="139" t="s">
        <v>191</v>
      </c>
      <c r="EA560" s="140">
        <v>44260</v>
      </c>
      <c r="EB560" s="141">
        <v>7949</v>
      </c>
      <c r="EC560" s="142">
        <v>38596</v>
      </c>
      <c r="ED560" s="143" t="s">
        <v>226</v>
      </c>
      <c r="EE560" s="278" t="str">
        <f>HYPERLINK("https://my.pitchbook.com?c=11822-95", "View company online")</f>
        <v>View company online</v>
      </c>
    </row>
    <row r="561" spans="1:135" x14ac:dyDescent="0.45">
      <c r="A561" s="144" t="s">
        <v>11557</v>
      </c>
      <c r="B561" s="145" t="s">
        <v>11558</v>
      </c>
      <c r="C561" s="146" t="s">
        <v>153</v>
      </c>
      <c r="D561" s="147" t="s">
        <v>153</v>
      </c>
      <c r="E561" s="148" t="s">
        <v>153</v>
      </c>
      <c r="F561" s="149" t="s">
        <v>11559</v>
      </c>
      <c r="G561" s="150" t="s">
        <v>11560</v>
      </c>
      <c r="H561" s="151" t="s">
        <v>153</v>
      </c>
      <c r="I561" s="152" t="s">
        <v>11557</v>
      </c>
      <c r="J561" s="153" t="s">
        <v>11561</v>
      </c>
      <c r="K561" s="154" t="s">
        <v>792</v>
      </c>
      <c r="L561" s="155" t="s">
        <v>2586</v>
      </c>
      <c r="M561" s="156" t="s">
        <v>2587</v>
      </c>
      <c r="N561" s="157" t="s">
        <v>11562</v>
      </c>
      <c r="O561" s="158" t="s">
        <v>796</v>
      </c>
      <c r="P561" s="159" t="s">
        <v>11563</v>
      </c>
      <c r="Q561" s="160" t="s">
        <v>204</v>
      </c>
      <c r="R561" s="161">
        <v>932.89</v>
      </c>
      <c r="S561" s="162" t="s">
        <v>290</v>
      </c>
      <c r="T561" s="163" t="s">
        <v>205</v>
      </c>
      <c r="U561" s="164" t="s">
        <v>482</v>
      </c>
      <c r="V561" s="165" t="s">
        <v>11564</v>
      </c>
      <c r="W561" s="166">
        <v>392</v>
      </c>
      <c r="X561" s="167" t="s">
        <v>11565</v>
      </c>
      <c r="Y561" s="168" t="s">
        <v>153</v>
      </c>
      <c r="Z561" s="169" t="s">
        <v>153</v>
      </c>
      <c r="AA561" s="170">
        <v>2005</v>
      </c>
      <c r="AB561" s="171" t="s">
        <v>153</v>
      </c>
      <c r="AC561" s="172" t="s">
        <v>153</v>
      </c>
      <c r="AD561" s="173" t="s">
        <v>153</v>
      </c>
      <c r="AE561" s="174" t="s">
        <v>153</v>
      </c>
      <c r="AF561" s="175" t="s">
        <v>153</v>
      </c>
      <c r="AG561" s="176" t="s">
        <v>153</v>
      </c>
      <c r="AH561" s="177" t="s">
        <v>153</v>
      </c>
      <c r="AI561" s="178" t="s">
        <v>153</v>
      </c>
      <c r="AJ561" s="179" t="s">
        <v>153</v>
      </c>
      <c r="AK561" s="180" t="s">
        <v>153</v>
      </c>
      <c r="AL561" s="181" t="s">
        <v>153</v>
      </c>
      <c r="AM561" s="182" t="s">
        <v>153</v>
      </c>
      <c r="AN561" s="183" t="s">
        <v>1421</v>
      </c>
      <c r="AO561" s="184" t="s">
        <v>11566</v>
      </c>
      <c r="AP561" s="185" t="s">
        <v>11567</v>
      </c>
      <c r="AQ561" s="186" t="s">
        <v>1376</v>
      </c>
      <c r="AR561" s="187" t="s">
        <v>11568</v>
      </c>
      <c r="AS561" s="188" t="s">
        <v>153</v>
      </c>
      <c r="AT561" s="189" t="s">
        <v>11569</v>
      </c>
      <c r="AU561" s="190" t="s">
        <v>11570</v>
      </c>
      <c r="AV561" s="191" t="s">
        <v>11571</v>
      </c>
      <c r="AW561" s="192" t="s">
        <v>11572</v>
      </c>
      <c r="AX561" s="193" t="s">
        <v>153</v>
      </c>
      <c r="AY561" s="194" t="s">
        <v>11573</v>
      </c>
      <c r="AZ561" s="195" t="s">
        <v>2050</v>
      </c>
      <c r="BA561" s="196" t="s">
        <v>153</v>
      </c>
      <c r="BB561" s="197" t="s">
        <v>153</v>
      </c>
      <c r="BC561" s="198" t="s">
        <v>153</v>
      </c>
      <c r="BD561" s="199" t="s">
        <v>180</v>
      </c>
      <c r="BE561" s="200" t="s">
        <v>2051</v>
      </c>
      <c r="BF561" s="201" t="s">
        <v>11574</v>
      </c>
      <c r="BG561" s="202" t="s">
        <v>153</v>
      </c>
      <c r="BH561" s="203" t="s">
        <v>153</v>
      </c>
      <c r="BI561" s="204" t="s">
        <v>3937</v>
      </c>
      <c r="BJ561" s="205" t="s">
        <v>11575</v>
      </c>
      <c r="BK561" s="206" t="s">
        <v>153</v>
      </c>
      <c r="BL561" s="207" t="s">
        <v>153</v>
      </c>
      <c r="BM561" s="208" t="s">
        <v>153</v>
      </c>
      <c r="BN561" s="209" t="s">
        <v>153</v>
      </c>
      <c r="BO561" s="210" t="s">
        <v>11576</v>
      </c>
      <c r="BP561" s="211" t="s">
        <v>11577</v>
      </c>
      <c r="BQ561" s="212">
        <v>38707</v>
      </c>
      <c r="BR561" s="213" t="s">
        <v>153</v>
      </c>
      <c r="BS561" s="214" t="s">
        <v>153</v>
      </c>
      <c r="BT561" s="215" t="s">
        <v>153</v>
      </c>
      <c r="BU561" s="216" t="s">
        <v>153</v>
      </c>
      <c r="BV561" s="217" t="s">
        <v>251</v>
      </c>
      <c r="BW561" s="218" t="s">
        <v>153</v>
      </c>
      <c r="BX561" s="219" t="s">
        <v>153</v>
      </c>
      <c r="BY561" s="220" t="s">
        <v>252</v>
      </c>
      <c r="BZ561" s="221" t="s">
        <v>153</v>
      </c>
      <c r="CA561" s="222" t="s">
        <v>190</v>
      </c>
      <c r="CB561" s="223">
        <v>40819</v>
      </c>
      <c r="CC561" s="224">
        <v>7900</v>
      </c>
      <c r="CD561" s="225" t="s">
        <v>186</v>
      </c>
      <c r="CE561" s="226">
        <v>9813.66</v>
      </c>
      <c r="CF561" s="227" t="s">
        <v>186</v>
      </c>
      <c r="CG561" s="228" t="s">
        <v>226</v>
      </c>
      <c r="CH561" s="229" t="s">
        <v>930</v>
      </c>
      <c r="CI561" s="230" t="s">
        <v>153</v>
      </c>
      <c r="CJ561" s="231" t="s">
        <v>225</v>
      </c>
      <c r="CK561" s="232">
        <v>40819</v>
      </c>
      <c r="CL561" s="233" t="s">
        <v>153</v>
      </c>
      <c r="CM561" s="234" t="s">
        <v>153</v>
      </c>
      <c r="CN561" s="235" t="s">
        <v>190</v>
      </c>
      <c r="CO561" s="236" t="s">
        <v>153</v>
      </c>
      <c r="CP561" s="237" t="s">
        <v>153</v>
      </c>
      <c r="CQ561" s="238" t="s">
        <v>153</v>
      </c>
      <c r="CR561" s="239" t="s">
        <v>153</v>
      </c>
      <c r="CS561" s="240" t="s">
        <v>153</v>
      </c>
      <c r="CT561" s="241" t="s">
        <v>153</v>
      </c>
      <c r="CU561" s="242" t="s">
        <v>153</v>
      </c>
      <c r="CV561" s="243" t="s">
        <v>153</v>
      </c>
      <c r="CW561" s="244" t="s">
        <v>153</v>
      </c>
      <c r="CX561" s="245" t="s">
        <v>153</v>
      </c>
      <c r="CY561" s="246" t="s">
        <v>153</v>
      </c>
      <c r="CZ561" s="247" t="s">
        <v>153</v>
      </c>
      <c r="DA561" s="248" t="s">
        <v>153</v>
      </c>
      <c r="DB561" s="249" t="s">
        <v>153</v>
      </c>
      <c r="DC561" s="250" t="s">
        <v>153</v>
      </c>
      <c r="DD561" s="251" t="s">
        <v>153</v>
      </c>
      <c r="DE561" s="252" t="s">
        <v>153</v>
      </c>
      <c r="DF561" s="253" t="s">
        <v>153</v>
      </c>
      <c r="DG561" s="254" t="s">
        <v>153</v>
      </c>
      <c r="DH561" s="255" t="s">
        <v>153</v>
      </c>
      <c r="DI561" s="256" t="s">
        <v>153</v>
      </c>
      <c r="DJ561" s="257" t="s">
        <v>153</v>
      </c>
      <c r="DK561" s="258" t="s">
        <v>153</v>
      </c>
      <c r="DL561" s="259" t="s">
        <v>153</v>
      </c>
      <c r="DM561" s="260" t="s">
        <v>153</v>
      </c>
      <c r="DN561" s="261" t="s">
        <v>153</v>
      </c>
      <c r="DO561" s="262" t="s">
        <v>153</v>
      </c>
      <c r="DP561" s="263" t="s">
        <v>153</v>
      </c>
      <c r="DQ561" s="264" t="s">
        <v>153</v>
      </c>
      <c r="DR561" s="265" t="s">
        <v>153</v>
      </c>
      <c r="DS561" s="266" t="s">
        <v>153</v>
      </c>
      <c r="DT561" s="267" t="s">
        <v>153</v>
      </c>
      <c r="DU561" s="268" t="s">
        <v>153</v>
      </c>
      <c r="DV561" s="269" t="s">
        <v>153</v>
      </c>
      <c r="DW561" s="270" t="s">
        <v>153</v>
      </c>
      <c r="DX561" s="271" t="s">
        <v>153</v>
      </c>
      <c r="DY561" s="272" t="s">
        <v>153</v>
      </c>
      <c r="DZ561" s="273" t="s">
        <v>191</v>
      </c>
      <c r="EA561" s="274">
        <v>44368</v>
      </c>
      <c r="EB561" s="275">
        <v>9813.66</v>
      </c>
      <c r="EC561" s="276">
        <v>40819</v>
      </c>
      <c r="ED561" s="277" t="s">
        <v>226</v>
      </c>
      <c r="EE561" s="279" t="str">
        <f>HYPERLINK("https://my.pitchbook.com?c=112543-39", "View company online")</f>
        <v>View company online</v>
      </c>
    </row>
    <row r="562" spans="1:135" x14ac:dyDescent="0.45">
      <c r="A562" s="10" t="s">
        <v>11578</v>
      </c>
      <c r="B562" s="11" t="s">
        <v>11579</v>
      </c>
      <c r="C562" s="12" t="s">
        <v>153</v>
      </c>
      <c r="D562" s="13" t="s">
        <v>153</v>
      </c>
      <c r="E562" s="14" t="s">
        <v>11580</v>
      </c>
      <c r="F562" s="15" t="s">
        <v>11581</v>
      </c>
      <c r="G562" s="16" t="s">
        <v>11582</v>
      </c>
      <c r="H562" s="17" t="s">
        <v>153</v>
      </c>
      <c r="I562" s="18" t="s">
        <v>11578</v>
      </c>
      <c r="J562" s="19" t="s">
        <v>11583</v>
      </c>
      <c r="K562" s="20" t="s">
        <v>792</v>
      </c>
      <c r="L562" s="21" t="s">
        <v>3864</v>
      </c>
      <c r="M562" s="22" t="s">
        <v>3865</v>
      </c>
      <c r="N562" s="23" t="s">
        <v>3866</v>
      </c>
      <c r="O562" s="24" t="s">
        <v>796</v>
      </c>
      <c r="P562" s="25" t="s">
        <v>11584</v>
      </c>
      <c r="Q562" s="26" t="s">
        <v>204</v>
      </c>
      <c r="R562" s="27" t="s">
        <v>153</v>
      </c>
      <c r="S562" s="28" t="s">
        <v>163</v>
      </c>
      <c r="T562" s="29" t="s">
        <v>164</v>
      </c>
      <c r="U562" s="30" t="s">
        <v>237</v>
      </c>
      <c r="V562" s="31" t="s">
        <v>153</v>
      </c>
      <c r="W562" s="32">
        <v>7900</v>
      </c>
      <c r="X562" s="33" t="s">
        <v>11585</v>
      </c>
      <c r="Y562" s="34" t="s">
        <v>153</v>
      </c>
      <c r="Z562" s="35" t="s">
        <v>153</v>
      </c>
      <c r="AA562" s="36">
        <v>1999</v>
      </c>
      <c r="AB562" s="37" t="s">
        <v>11586</v>
      </c>
      <c r="AC562" s="38" t="s">
        <v>153</v>
      </c>
      <c r="AD562" s="39" t="s">
        <v>153</v>
      </c>
      <c r="AE562" s="40" t="s">
        <v>153</v>
      </c>
      <c r="AF562" s="41" t="s">
        <v>153</v>
      </c>
      <c r="AG562" s="42" t="s">
        <v>153</v>
      </c>
      <c r="AH562" s="43" t="s">
        <v>153</v>
      </c>
      <c r="AI562" s="44" t="s">
        <v>153</v>
      </c>
      <c r="AJ562" s="45" t="s">
        <v>153</v>
      </c>
      <c r="AK562" s="46" t="s">
        <v>153</v>
      </c>
      <c r="AL562" s="47" t="s">
        <v>153</v>
      </c>
      <c r="AM562" s="48" t="s">
        <v>153</v>
      </c>
      <c r="AN562" s="49" t="s">
        <v>330</v>
      </c>
      <c r="AO562" s="50" t="s">
        <v>11587</v>
      </c>
      <c r="AP562" s="51" t="s">
        <v>11588</v>
      </c>
      <c r="AQ562" s="52" t="s">
        <v>994</v>
      </c>
      <c r="AR562" s="53" t="s">
        <v>153</v>
      </c>
      <c r="AS562" s="54" t="s">
        <v>153</v>
      </c>
      <c r="AT562" s="55" t="s">
        <v>11589</v>
      </c>
      <c r="AU562" s="56" t="s">
        <v>11590</v>
      </c>
      <c r="AV562" s="57" t="s">
        <v>7334</v>
      </c>
      <c r="AW562" s="58" t="s">
        <v>11591</v>
      </c>
      <c r="AX562" s="59" t="s">
        <v>5957</v>
      </c>
      <c r="AY562" s="60" t="s">
        <v>11592</v>
      </c>
      <c r="AZ562" s="61" t="s">
        <v>215</v>
      </c>
      <c r="BA562" s="62" t="s">
        <v>11593</v>
      </c>
      <c r="BB562" s="63" t="s">
        <v>153</v>
      </c>
      <c r="BC562" s="64" t="s">
        <v>153</v>
      </c>
      <c r="BD562" s="65" t="s">
        <v>216</v>
      </c>
      <c r="BE562" s="66" t="s">
        <v>217</v>
      </c>
      <c r="BF562" s="67" t="s">
        <v>11594</v>
      </c>
      <c r="BG562" s="68" t="s">
        <v>153</v>
      </c>
      <c r="BH562" s="69" t="s">
        <v>153</v>
      </c>
      <c r="BI562" s="70" t="s">
        <v>11595</v>
      </c>
      <c r="BJ562" s="71" t="s">
        <v>153</v>
      </c>
      <c r="BK562" s="72" t="s">
        <v>1238</v>
      </c>
      <c r="BL562" s="73" t="s">
        <v>153</v>
      </c>
      <c r="BM562" s="74" t="s">
        <v>153</v>
      </c>
      <c r="BN562" s="75" t="s">
        <v>11596</v>
      </c>
      <c r="BO562" s="76" t="s">
        <v>153</v>
      </c>
      <c r="BP562" s="77" t="s">
        <v>11597</v>
      </c>
      <c r="BQ562" s="78">
        <v>39799</v>
      </c>
      <c r="BR562" s="79">
        <v>4700</v>
      </c>
      <c r="BS562" s="80" t="s">
        <v>186</v>
      </c>
      <c r="BT562" s="81">
        <v>4700</v>
      </c>
      <c r="BU562" s="82" t="s">
        <v>186</v>
      </c>
      <c r="BV562" s="83" t="s">
        <v>226</v>
      </c>
      <c r="BW562" s="84" t="s">
        <v>153</v>
      </c>
      <c r="BX562" s="85" t="s">
        <v>153</v>
      </c>
      <c r="BY562" s="86" t="s">
        <v>225</v>
      </c>
      <c r="BZ562" s="87" t="s">
        <v>153</v>
      </c>
      <c r="CA562" s="88" t="s">
        <v>394</v>
      </c>
      <c r="CB562" s="89">
        <v>40981</v>
      </c>
      <c r="CC562" s="90">
        <v>7900</v>
      </c>
      <c r="CD562" s="91" t="s">
        <v>186</v>
      </c>
      <c r="CE562" s="92">
        <v>7900</v>
      </c>
      <c r="CF562" s="93" t="s">
        <v>153</v>
      </c>
      <c r="CG562" s="94" t="s">
        <v>226</v>
      </c>
      <c r="CH562" s="95" t="s">
        <v>153</v>
      </c>
      <c r="CI562" s="96" t="s">
        <v>153</v>
      </c>
      <c r="CJ562" s="97" t="s">
        <v>225</v>
      </c>
      <c r="CK562" s="98">
        <v>40981</v>
      </c>
      <c r="CL562" s="99" t="s">
        <v>153</v>
      </c>
      <c r="CM562" s="100" t="s">
        <v>153</v>
      </c>
      <c r="CN562" s="101" t="s">
        <v>190</v>
      </c>
      <c r="CO562" s="102">
        <v>0.56000000000000005</v>
      </c>
      <c r="CP562" s="103">
        <v>94</v>
      </c>
      <c r="CQ562" s="104">
        <v>0.02</v>
      </c>
      <c r="CR562" s="105">
        <v>3.25</v>
      </c>
      <c r="CS562" s="106">
        <v>1.1599999999999999</v>
      </c>
      <c r="CT562" s="107">
        <v>96</v>
      </c>
      <c r="CU562" s="108">
        <v>-0.03</v>
      </c>
      <c r="CV562" s="109">
        <v>36</v>
      </c>
      <c r="CW562" s="110">
        <v>1.1599999999999999</v>
      </c>
      <c r="CX562" s="111">
        <v>82</v>
      </c>
      <c r="CY562" s="112" t="s">
        <v>153</v>
      </c>
      <c r="CZ562" s="113" t="s">
        <v>153</v>
      </c>
      <c r="DA562" s="114">
        <v>-0.03</v>
      </c>
      <c r="DB562" s="115">
        <v>36</v>
      </c>
      <c r="DC562" s="116">
        <v>100.39</v>
      </c>
      <c r="DD562" s="117">
        <v>99</v>
      </c>
      <c r="DE562" s="118">
        <v>0.13</v>
      </c>
      <c r="DF562" s="119">
        <v>0.13</v>
      </c>
      <c r="DG562" s="120">
        <v>162.66</v>
      </c>
      <c r="DH562" s="121">
        <v>100</v>
      </c>
      <c r="DI562" s="122">
        <v>38.119999999999997</v>
      </c>
      <c r="DJ562" s="123">
        <v>95</v>
      </c>
      <c r="DK562" s="124">
        <v>162.66</v>
      </c>
      <c r="DL562" s="125">
        <v>98</v>
      </c>
      <c r="DM562" s="126" t="s">
        <v>153</v>
      </c>
      <c r="DN562" s="127" t="s">
        <v>153</v>
      </c>
      <c r="DO562" s="128">
        <v>38.119999999999997</v>
      </c>
      <c r="DP562" s="129">
        <v>95</v>
      </c>
      <c r="DQ562" s="130">
        <v>96458</v>
      </c>
      <c r="DR562" s="131">
        <v>7</v>
      </c>
      <c r="DS562" s="132">
        <v>0.01</v>
      </c>
      <c r="DT562" s="133" t="s">
        <v>153</v>
      </c>
      <c r="DU562" s="134" t="s">
        <v>153</v>
      </c>
      <c r="DV562" s="135" t="s">
        <v>153</v>
      </c>
      <c r="DW562" s="136">
        <v>11966</v>
      </c>
      <c r="DX562" s="137">
        <v>9</v>
      </c>
      <c r="DY562" s="138">
        <v>0.08</v>
      </c>
      <c r="DZ562" s="139" t="s">
        <v>191</v>
      </c>
      <c r="EA562" s="140">
        <v>44355</v>
      </c>
      <c r="EB562" s="141">
        <v>7900</v>
      </c>
      <c r="EC562" s="142">
        <v>40981</v>
      </c>
      <c r="ED562" s="143" t="s">
        <v>226</v>
      </c>
      <c r="EE562" s="278" t="str">
        <f>HYPERLINK("https://my.pitchbook.com?c=12646-18", "View company online")</f>
        <v>View company online</v>
      </c>
    </row>
    <row r="563" spans="1:135" x14ac:dyDescent="0.45">
      <c r="A563" s="144" t="s">
        <v>11598</v>
      </c>
      <c r="B563" s="145" t="s">
        <v>11599</v>
      </c>
      <c r="C563" s="146" t="s">
        <v>153</v>
      </c>
      <c r="D563" s="147" t="s">
        <v>153</v>
      </c>
      <c r="E563" s="148" t="s">
        <v>153</v>
      </c>
      <c r="F563" s="149" t="s">
        <v>153</v>
      </c>
      <c r="G563" s="150" t="s">
        <v>11600</v>
      </c>
      <c r="H563" s="151" t="s">
        <v>11601</v>
      </c>
      <c r="I563" s="152" t="s">
        <v>11598</v>
      </c>
      <c r="J563" s="153" t="s">
        <v>11602</v>
      </c>
      <c r="K563" s="154" t="s">
        <v>559</v>
      </c>
      <c r="L563" s="155" t="s">
        <v>1345</v>
      </c>
      <c r="M563" s="156" t="s">
        <v>8571</v>
      </c>
      <c r="N563" s="157" t="s">
        <v>8572</v>
      </c>
      <c r="O563" s="158" t="s">
        <v>153</v>
      </c>
      <c r="P563" s="159" t="s">
        <v>11603</v>
      </c>
      <c r="Q563" s="160" t="s">
        <v>204</v>
      </c>
      <c r="R563" s="161" t="s">
        <v>153</v>
      </c>
      <c r="S563" s="162" t="s">
        <v>290</v>
      </c>
      <c r="T563" s="163" t="s">
        <v>205</v>
      </c>
      <c r="U563" s="164" t="s">
        <v>237</v>
      </c>
      <c r="V563" s="165" t="s">
        <v>11604</v>
      </c>
      <c r="W563" s="166">
        <v>12435</v>
      </c>
      <c r="X563" s="167" t="s">
        <v>11605</v>
      </c>
      <c r="Y563" s="168" t="s">
        <v>153</v>
      </c>
      <c r="Z563" s="169" t="s">
        <v>153</v>
      </c>
      <c r="AA563" s="170">
        <v>1995</v>
      </c>
      <c r="AB563" s="171" t="s">
        <v>153</v>
      </c>
      <c r="AC563" s="172" t="s">
        <v>153</v>
      </c>
      <c r="AD563" s="173" t="s">
        <v>570</v>
      </c>
      <c r="AE563" s="174" t="s">
        <v>153</v>
      </c>
      <c r="AF563" s="175" t="s">
        <v>153</v>
      </c>
      <c r="AG563" s="176" t="s">
        <v>153</v>
      </c>
      <c r="AH563" s="177" t="s">
        <v>153</v>
      </c>
      <c r="AI563" s="178" t="s">
        <v>153</v>
      </c>
      <c r="AJ563" s="179" t="s">
        <v>153</v>
      </c>
      <c r="AK563" s="180" t="s">
        <v>153</v>
      </c>
      <c r="AL563" s="181" t="s">
        <v>153</v>
      </c>
      <c r="AM563" s="182" t="s">
        <v>153</v>
      </c>
      <c r="AN563" s="183" t="s">
        <v>538</v>
      </c>
      <c r="AO563" s="184" t="s">
        <v>11606</v>
      </c>
      <c r="AP563" s="185" t="s">
        <v>11607</v>
      </c>
      <c r="AQ563" s="186" t="s">
        <v>11608</v>
      </c>
      <c r="AR563" s="187" t="s">
        <v>11609</v>
      </c>
      <c r="AS563" s="188" t="s">
        <v>11610</v>
      </c>
      <c r="AT563" s="189" t="s">
        <v>11611</v>
      </c>
      <c r="AU563" s="190" t="s">
        <v>11612</v>
      </c>
      <c r="AV563" s="191" t="s">
        <v>11613</v>
      </c>
      <c r="AW563" s="192" t="s">
        <v>11614</v>
      </c>
      <c r="AX563" s="193" t="s">
        <v>11615</v>
      </c>
      <c r="AY563" s="194" t="s">
        <v>11616</v>
      </c>
      <c r="AZ563" s="195" t="s">
        <v>179</v>
      </c>
      <c r="BA563" s="196" t="s">
        <v>153</v>
      </c>
      <c r="BB563" s="197" t="s">
        <v>153</v>
      </c>
      <c r="BC563" s="198" t="s">
        <v>153</v>
      </c>
      <c r="BD563" s="199" t="s">
        <v>180</v>
      </c>
      <c r="BE563" s="200" t="s">
        <v>181</v>
      </c>
      <c r="BF563" s="201" t="s">
        <v>11617</v>
      </c>
      <c r="BG563" s="202" t="s">
        <v>153</v>
      </c>
      <c r="BH563" s="203" t="s">
        <v>153</v>
      </c>
      <c r="BI563" s="204" t="s">
        <v>11618</v>
      </c>
      <c r="BJ563" s="205" t="s">
        <v>153</v>
      </c>
      <c r="BK563" s="206" t="s">
        <v>153</v>
      </c>
      <c r="BL563" s="207" t="s">
        <v>153</v>
      </c>
      <c r="BM563" s="208" t="s">
        <v>153</v>
      </c>
      <c r="BN563" s="209" t="s">
        <v>153</v>
      </c>
      <c r="BO563" s="210" t="s">
        <v>153</v>
      </c>
      <c r="BP563" s="211" t="s">
        <v>11619</v>
      </c>
      <c r="BQ563" s="212">
        <v>35612</v>
      </c>
      <c r="BR563" s="213" t="s">
        <v>153</v>
      </c>
      <c r="BS563" s="214" t="s">
        <v>153</v>
      </c>
      <c r="BT563" s="215" t="s">
        <v>153</v>
      </c>
      <c r="BU563" s="216" t="s">
        <v>153</v>
      </c>
      <c r="BV563" s="217" t="s">
        <v>251</v>
      </c>
      <c r="BW563" s="218" t="s">
        <v>153</v>
      </c>
      <c r="BX563" s="219" t="s">
        <v>153</v>
      </c>
      <c r="BY563" s="220" t="s">
        <v>252</v>
      </c>
      <c r="BZ563" s="221" t="s">
        <v>153</v>
      </c>
      <c r="CA563" s="222" t="s">
        <v>190</v>
      </c>
      <c r="CB563" s="223">
        <v>43466</v>
      </c>
      <c r="CC563" s="224">
        <v>7900</v>
      </c>
      <c r="CD563" s="225" t="s">
        <v>186</v>
      </c>
      <c r="CE563" s="226">
        <v>7900</v>
      </c>
      <c r="CF563" s="227" t="s">
        <v>186</v>
      </c>
      <c r="CG563" s="228" t="s">
        <v>226</v>
      </c>
      <c r="CH563" s="229" t="s">
        <v>153</v>
      </c>
      <c r="CI563" s="230" t="s">
        <v>153</v>
      </c>
      <c r="CJ563" s="231" t="s">
        <v>225</v>
      </c>
      <c r="CK563" s="232">
        <v>43466</v>
      </c>
      <c r="CL563" s="233" t="s">
        <v>153</v>
      </c>
      <c r="CM563" s="234" t="s">
        <v>153</v>
      </c>
      <c r="CN563" s="235" t="s">
        <v>190</v>
      </c>
      <c r="CO563" s="236" t="s">
        <v>153</v>
      </c>
      <c r="CP563" s="237" t="s">
        <v>153</v>
      </c>
      <c r="CQ563" s="238" t="s">
        <v>153</v>
      </c>
      <c r="CR563" s="239" t="s">
        <v>153</v>
      </c>
      <c r="CS563" s="240" t="s">
        <v>153</v>
      </c>
      <c r="CT563" s="241" t="s">
        <v>153</v>
      </c>
      <c r="CU563" s="242" t="s">
        <v>153</v>
      </c>
      <c r="CV563" s="243" t="s">
        <v>153</v>
      </c>
      <c r="CW563" s="244" t="s">
        <v>153</v>
      </c>
      <c r="CX563" s="245" t="s">
        <v>153</v>
      </c>
      <c r="CY563" s="246" t="s">
        <v>153</v>
      </c>
      <c r="CZ563" s="247" t="s">
        <v>153</v>
      </c>
      <c r="DA563" s="248" t="s">
        <v>153</v>
      </c>
      <c r="DB563" s="249" t="s">
        <v>153</v>
      </c>
      <c r="DC563" s="250" t="s">
        <v>153</v>
      </c>
      <c r="DD563" s="251" t="s">
        <v>153</v>
      </c>
      <c r="DE563" s="252" t="s">
        <v>153</v>
      </c>
      <c r="DF563" s="253" t="s">
        <v>153</v>
      </c>
      <c r="DG563" s="254" t="s">
        <v>153</v>
      </c>
      <c r="DH563" s="255" t="s">
        <v>153</v>
      </c>
      <c r="DI563" s="256" t="s">
        <v>153</v>
      </c>
      <c r="DJ563" s="257" t="s">
        <v>153</v>
      </c>
      <c r="DK563" s="258" t="s">
        <v>153</v>
      </c>
      <c r="DL563" s="259" t="s">
        <v>153</v>
      </c>
      <c r="DM563" s="260" t="s">
        <v>153</v>
      </c>
      <c r="DN563" s="261" t="s">
        <v>153</v>
      </c>
      <c r="DO563" s="262" t="s">
        <v>153</v>
      </c>
      <c r="DP563" s="263" t="s">
        <v>153</v>
      </c>
      <c r="DQ563" s="264" t="s">
        <v>153</v>
      </c>
      <c r="DR563" s="265" t="s">
        <v>153</v>
      </c>
      <c r="DS563" s="266" t="s">
        <v>153</v>
      </c>
      <c r="DT563" s="267" t="s">
        <v>153</v>
      </c>
      <c r="DU563" s="268" t="s">
        <v>153</v>
      </c>
      <c r="DV563" s="269" t="s">
        <v>153</v>
      </c>
      <c r="DW563" s="270" t="s">
        <v>153</v>
      </c>
      <c r="DX563" s="271" t="s">
        <v>153</v>
      </c>
      <c r="DY563" s="272" t="s">
        <v>153</v>
      </c>
      <c r="DZ563" s="273" t="s">
        <v>191</v>
      </c>
      <c r="EA563" s="274">
        <v>44217</v>
      </c>
      <c r="EB563" s="275">
        <v>7900</v>
      </c>
      <c r="EC563" s="276">
        <v>43466</v>
      </c>
      <c r="ED563" s="277" t="s">
        <v>226</v>
      </c>
      <c r="EE563" s="279" t="str">
        <f>HYPERLINK("https://my.pitchbook.com?c=43042-42", "View company online")</f>
        <v>View company online</v>
      </c>
    </row>
    <row r="564" spans="1:135" x14ac:dyDescent="0.45">
      <c r="A564" s="10" t="s">
        <v>11620</v>
      </c>
      <c r="B564" s="11" t="s">
        <v>11621</v>
      </c>
      <c r="C564" s="12" t="s">
        <v>153</v>
      </c>
      <c r="D564" s="13" t="s">
        <v>153</v>
      </c>
      <c r="E564" s="14" t="s">
        <v>11622</v>
      </c>
      <c r="F564" s="15" t="s">
        <v>153</v>
      </c>
      <c r="G564" s="16" t="s">
        <v>11623</v>
      </c>
      <c r="H564" s="17" t="s">
        <v>153</v>
      </c>
      <c r="I564" s="18" t="s">
        <v>11620</v>
      </c>
      <c r="J564" s="19" t="s">
        <v>11624</v>
      </c>
      <c r="K564" s="20" t="s">
        <v>198</v>
      </c>
      <c r="L564" s="21" t="s">
        <v>199</v>
      </c>
      <c r="M564" s="22" t="s">
        <v>344</v>
      </c>
      <c r="N564" s="23" t="s">
        <v>345</v>
      </c>
      <c r="O564" s="24" t="s">
        <v>399</v>
      </c>
      <c r="P564" s="25" t="s">
        <v>11625</v>
      </c>
      <c r="Q564" s="26" t="s">
        <v>564</v>
      </c>
      <c r="R564" s="27">
        <v>1034.24</v>
      </c>
      <c r="S564" s="28" t="s">
        <v>290</v>
      </c>
      <c r="T564" s="29" t="s">
        <v>291</v>
      </c>
      <c r="U564" s="30" t="s">
        <v>565</v>
      </c>
      <c r="V564" s="31" t="s">
        <v>11626</v>
      </c>
      <c r="W564" s="32">
        <v>14</v>
      </c>
      <c r="X564" s="33" t="s">
        <v>11627</v>
      </c>
      <c r="Y564" s="34" t="s">
        <v>11628</v>
      </c>
      <c r="Z564" s="35" t="s">
        <v>11629</v>
      </c>
      <c r="AA564" s="36">
        <v>1994</v>
      </c>
      <c r="AB564" s="37" t="s">
        <v>4069</v>
      </c>
      <c r="AC564" s="38" t="s">
        <v>153</v>
      </c>
      <c r="AD564" s="39" t="s">
        <v>153</v>
      </c>
      <c r="AE564" s="40">
        <v>0</v>
      </c>
      <c r="AF564" s="41" t="s">
        <v>153</v>
      </c>
      <c r="AG564" s="42">
        <v>-16.32</v>
      </c>
      <c r="AH564" s="43">
        <v>105.62</v>
      </c>
      <c r="AI564" s="44">
        <v>-16.170000000000002</v>
      </c>
      <c r="AJ564" s="45">
        <v>-16.29</v>
      </c>
      <c r="AK564" s="46">
        <v>98.09</v>
      </c>
      <c r="AL564" s="47">
        <v>-25.26</v>
      </c>
      <c r="AM564" s="48">
        <v>0</v>
      </c>
      <c r="AN564" s="49" t="s">
        <v>168</v>
      </c>
      <c r="AO564" s="50" t="s">
        <v>11630</v>
      </c>
      <c r="AP564" s="51" t="s">
        <v>11631</v>
      </c>
      <c r="AQ564" s="52" t="s">
        <v>11632</v>
      </c>
      <c r="AR564" s="53" t="s">
        <v>153</v>
      </c>
      <c r="AS564" s="54" t="s">
        <v>11633</v>
      </c>
      <c r="AT564" s="55" t="s">
        <v>9860</v>
      </c>
      <c r="AU564" s="56" t="s">
        <v>11634</v>
      </c>
      <c r="AV564" s="57" t="s">
        <v>11635</v>
      </c>
      <c r="AW564" s="58" t="s">
        <v>9861</v>
      </c>
      <c r="AX564" s="59" t="s">
        <v>153</v>
      </c>
      <c r="AY564" s="60" t="s">
        <v>11636</v>
      </c>
      <c r="AZ564" s="61" t="s">
        <v>9862</v>
      </c>
      <c r="BA564" s="62" t="s">
        <v>11633</v>
      </c>
      <c r="BB564" s="63" t="s">
        <v>11637</v>
      </c>
      <c r="BC564" s="64" t="s">
        <v>11638</v>
      </c>
      <c r="BD564" s="65" t="s">
        <v>180</v>
      </c>
      <c r="BE564" s="66" t="s">
        <v>684</v>
      </c>
      <c r="BF564" s="67" t="s">
        <v>11639</v>
      </c>
      <c r="BG564" s="68" t="s">
        <v>153</v>
      </c>
      <c r="BH564" s="69" t="s">
        <v>153</v>
      </c>
      <c r="BI564" s="70" t="s">
        <v>4069</v>
      </c>
      <c r="BJ564" s="71" t="s">
        <v>11640</v>
      </c>
      <c r="BK564" s="72" t="s">
        <v>11641</v>
      </c>
      <c r="BL564" s="73" t="s">
        <v>153</v>
      </c>
      <c r="BM564" s="74" t="s">
        <v>11642</v>
      </c>
      <c r="BN564" s="75" t="s">
        <v>11643</v>
      </c>
      <c r="BO564" s="76" t="s">
        <v>11644</v>
      </c>
      <c r="BP564" s="77" t="s">
        <v>5311</v>
      </c>
      <c r="BQ564" s="78">
        <v>34851</v>
      </c>
      <c r="BR564" s="79" t="s">
        <v>153</v>
      </c>
      <c r="BS564" s="80" t="s">
        <v>153</v>
      </c>
      <c r="BT564" s="81" t="s">
        <v>153</v>
      </c>
      <c r="BU564" s="82" t="s">
        <v>153</v>
      </c>
      <c r="BV564" s="83" t="s">
        <v>251</v>
      </c>
      <c r="BW564" s="84" t="s">
        <v>153</v>
      </c>
      <c r="BX564" s="85" t="s">
        <v>153</v>
      </c>
      <c r="BY564" s="86" t="s">
        <v>252</v>
      </c>
      <c r="BZ564" s="87" t="s">
        <v>153</v>
      </c>
      <c r="CA564" s="88" t="s">
        <v>190</v>
      </c>
      <c r="CB564" s="89">
        <v>42157</v>
      </c>
      <c r="CC564" s="90">
        <v>7877.5</v>
      </c>
      <c r="CD564" s="91" t="s">
        <v>186</v>
      </c>
      <c r="CE564" s="92">
        <v>7877.5</v>
      </c>
      <c r="CF564" s="93" t="s">
        <v>186</v>
      </c>
      <c r="CG564" s="94" t="s">
        <v>226</v>
      </c>
      <c r="CH564" s="95" t="s">
        <v>153</v>
      </c>
      <c r="CI564" s="96" t="s">
        <v>153</v>
      </c>
      <c r="CJ564" s="97" t="s">
        <v>225</v>
      </c>
      <c r="CK564" s="98">
        <v>42157</v>
      </c>
      <c r="CL564" s="99" t="s">
        <v>153</v>
      </c>
      <c r="CM564" s="100" t="s">
        <v>153</v>
      </c>
      <c r="CN564" s="101" t="s">
        <v>190</v>
      </c>
      <c r="CO564" s="102">
        <v>0</v>
      </c>
      <c r="CP564" s="103">
        <v>11</v>
      </c>
      <c r="CQ564" s="104">
        <v>0</v>
      </c>
      <c r="CR564" s="105">
        <v>0</v>
      </c>
      <c r="CS564" s="106">
        <v>0</v>
      </c>
      <c r="CT564" s="107">
        <v>8</v>
      </c>
      <c r="CU564" s="108">
        <v>0</v>
      </c>
      <c r="CV564" s="109">
        <v>41</v>
      </c>
      <c r="CW564" s="110" t="s">
        <v>153</v>
      </c>
      <c r="CX564" s="111" t="s">
        <v>153</v>
      </c>
      <c r="CY564" s="112">
        <v>0</v>
      </c>
      <c r="CZ564" s="113">
        <v>5</v>
      </c>
      <c r="DA564" s="114">
        <v>0</v>
      </c>
      <c r="DB564" s="115">
        <v>41</v>
      </c>
      <c r="DC564" s="116">
        <v>0.44</v>
      </c>
      <c r="DD564" s="117">
        <v>31</v>
      </c>
      <c r="DE564" s="118">
        <v>0</v>
      </c>
      <c r="DF564" s="119">
        <v>0</v>
      </c>
      <c r="DG564" s="120">
        <v>0.88</v>
      </c>
      <c r="DH564" s="121">
        <v>48</v>
      </c>
      <c r="DI564" s="122">
        <v>0</v>
      </c>
      <c r="DJ564" s="123">
        <v>1</v>
      </c>
      <c r="DK564" s="124" t="s">
        <v>153</v>
      </c>
      <c r="DL564" s="125" t="s">
        <v>153</v>
      </c>
      <c r="DM564" s="126">
        <v>0.88</v>
      </c>
      <c r="DN564" s="127">
        <v>47</v>
      </c>
      <c r="DO564" s="128">
        <v>0</v>
      </c>
      <c r="DP564" s="129">
        <v>1</v>
      </c>
      <c r="DQ564" s="130" t="s">
        <v>153</v>
      </c>
      <c r="DR564" s="131" t="s">
        <v>153</v>
      </c>
      <c r="DS564" s="132" t="s">
        <v>153</v>
      </c>
      <c r="DT564" s="133">
        <v>14</v>
      </c>
      <c r="DU564" s="134">
        <v>0</v>
      </c>
      <c r="DV564" s="135">
        <v>0</v>
      </c>
      <c r="DW564" s="136">
        <v>1</v>
      </c>
      <c r="DX564" s="137">
        <v>0</v>
      </c>
      <c r="DY564" s="138">
        <v>0</v>
      </c>
      <c r="DZ564" s="139" t="s">
        <v>191</v>
      </c>
      <c r="EA564" s="140">
        <v>44402</v>
      </c>
      <c r="EB564" s="141">
        <v>7877.5</v>
      </c>
      <c r="EC564" s="142">
        <v>42157</v>
      </c>
      <c r="ED564" s="143" t="s">
        <v>226</v>
      </c>
      <c r="EE564" s="278" t="str">
        <f>HYPERLINK("https://my.pitchbook.com?c=42013-81", "View company online")</f>
        <v>View company online</v>
      </c>
    </row>
    <row r="565" spans="1:135" x14ac:dyDescent="0.45">
      <c r="A565" s="144" t="s">
        <v>11645</v>
      </c>
      <c r="B565" s="145" t="s">
        <v>11646</v>
      </c>
      <c r="C565" s="146" t="s">
        <v>153</v>
      </c>
      <c r="D565" s="147" t="s">
        <v>153</v>
      </c>
      <c r="E565" s="148" t="s">
        <v>11647</v>
      </c>
      <c r="F565" s="149" t="s">
        <v>153</v>
      </c>
      <c r="G565" s="150" t="s">
        <v>11648</v>
      </c>
      <c r="H565" s="151" t="s">
        <v>153</v>
      </c>
      <c r="I565" s="152" t="s">
        <v>11645</v>
      </c>
      <c r="J565" s="153" t="s">
        <v>11649</v>
      </c>
      <c r="K565" s="154" t="s">
        <v>157</v>
      </c>
      <c r="L565" s="155" t="s">
        <v>421</v>
      </c>
      <c r="M565" s="156" t="s">
        <v>422</v>
      </c>
      <c r="N565" s="157" t="s">
        <v>11650</v>
      </c>
      <c r="O565" s="158" t="s">
        <v>399</v>
      </c>
      <c r="P565" s="159" t="s">
        <v>11651</v>
      </c>
      <c r="Q565" s="160" t="s">
        <v>204</v>
      </c>
      <c r="R565" s="161">
        <v>441.02</v>
      </c>
      <c r="S565" s="162" t="s">
        <v>290</v>
      </c>
      <c r="T565" s="163" t="s">
        <v>164</v>
      </c>
      <c r="U565" s="164" t="s">
        <v>369</v>
      </c>
      <c r="V565" s="165" t="s">
        <v>11652</v>
      </c>
      <c r="W565" s="166">
        <v>1001</v>
      </c>
      <c r="X565" s="167" t="s">
        <v>11653</v>
      </c>
      <c r="Y565" s="168" t="s">
        <v>153</v>
      </c>
      <c r="Z565" s="169" t="s">
        <v>153</v>
      </c>
      <c r="AA565" s="170">
        <v>1991</v>
      </c>
      <c r="AB565" s="171" t="s">
        <v>1434</v>
      </c>
      <c r="AC565" s="172" t="s">
        <v>570</v>
      </c>
      <c r="AD565" s="173" t="s">
        <v>622</v>
      </c>
      <c r="AE565" s="174" t="s">
        <v>153</v>
      </c>
      <c r="AF565" s="175" t="s">
        <v>153</v>
      </c>
      <c r="AG565" s="176" t="s">
        <v>153</v>
      </c>
      <c r="AH565" s="177" t="s">
        <v>153</v>
      </c>
      <c r="AI565" s="178" t="s">
        <v>153</v>
      </c>
      <c r="AJ565" s="179" t="s">
        <v>153</v>
      </c>
      <c r="AK565" s="180" t="s">
        <v>153</v>
      </c>
      <c r="AL565" s="181" t="s">
        <v>153</v>
      </c>
      <c r="AM565" s="182" t="s">
        <v>153</v>
      </c>
      <c r="AN565" s="183" t="s">
        <v>11654</v>
      </c>
      <c r="AO565" s="184" t="s">
        <v>11655</v>
      </c>
      <c r="AP565" s="185" t="s">
        <v>11656</v>
      </c>
      <c r="AQ565" s="186" t="s">
        <v>512</v>
      </c>
      <c r="AR565" s="187" t="s">
        <v>11657</v>
      </c>
      <c r="AS565" s="188" t="s">
        <v>153</v>
      </c>
      <c r="AT565" s="189" t="s">
        <v>11658</v>
      </c>
      <c r="AU565" s="190" t="s">
        <v>11659</v>
      </c>
      <c r="AV565" s="191" t="s">
        <v>153</v>
      </c>
      <c r="AW565" s="192" t="s">
        <v>11660</v>
      </c>
      <c r="AX565" s="193" t="s">
        <v>153</v>
      </c>
      <c r="AY565" s="194" t="s">
        <v>11661</v>
      </c>
      <c r="AZ565" s="195" t="s">
        <v>352</v>
      </c>
      <c r="BA565" s="196" t="s">
        <v>153</v>
      </c>
      <c r="BB565" s="197" t="s">
        <v>153</v>
      </c>
      <c r="BC565" s="198" t="s">
        <v>11662</v>
      </c>
      <c r="BD565" s="199" t="s">
        <v>180</v>
      </c>
      <c r="BE565" s="200" t="s">
        <v>181</v>
      </c>
      <c r="BF565" s="201" t="s">
        <v>11663</v>
      </c>
      <c r="BG565" s="202" t="s">
        <v>153</v>
      </c>
      <c r="BH565" s="203" t="s">
        <v>153</v>
      </c>
      <c r="BI565" s="204" t="s">
        <v>1434</v>
      </c>
      <c r="BJ565" s="205" t="s">
        <v>11664</v>
      </c>
      <c r="BK565" s="206" t="s">
        <v>153</v>
      </c>
      <c r="BL565" s="207" t="s">
        <v>153</v>
      </c>
      <c r="BM565" s="208" t="s">
        <v>11665</v>
      </c>
      <c r="BN565" s="209" t="s">
        <v>153</v>
      </c>
      <c r="BO565" s="210" t="s">
        <v>11666</v>
      </c>
      <c r="BP565" s="211" t="s">
        <v>11667</v>
      </c>
      <c r="BQ565" s="212">
        <v>37670</v>
      </c>
      <c r="BR565" s="213">
        <v>1184.49</v>
      </c>
      <c r="BS565" s="214" t="s">
        <v>186</v>
      </c>
      <c r="BT565" s="215">
        <v>1184.49</v>
      </c>
      <c r="BU565" s="216" t="s">
        <v>186</v>
      </c>
      <c r="BV565" s="217" t="s">
        <v>188</v>
      </c>
      <c r="BW565" s="218" t="s">
        <v>153</v>
      </c>
      <c r="BX565" s="219" t="s">
        <v>153</v>
      </c>
      <c r="BY565" s="220" t="s">
        <v>165</v>
      </c>
      <c r="BZ565" s="221" t="s">
        <v>153</v>
      </c>
      <c r="CA565" s="222" t="s">
        <v>190</v>
      </c>
      <c r="CB565" s="223">
        <v>42262</v>
      </c>
      <c r="CC565" s="224">
        <v>7850</v>
      </c>
      <c r="CD565" s="225" t="s">
        <v>186</v>
      </c>
      <c r="CE565" s="226">
        <v>7850</v>
      </c>
      <c r="CF565" s="227" t="s">
        <v>187</v>
      </c>
      <c r="CG565" s="228" t="s">
        <v>226</v>
      </c>
      <c r="CH565" s="229" t="s">
        <v>729</v>
      </c>
      <c r="CI565" s="230" t="s">
        <v>153</v>
      </c>
      <c r="CJ565" s="231" t="s">
        <v>225</v>
      </c>
      <c r="CK565" s="232">
        <v>42262</v>
      </c>
      <c r="CL565" s="233" t="s">
        <v>153</v>
      </c>
      <c r="CM565" s="234" t="s">
        <v>153</v>
      </c>
      <c r="CN565" s="235" t="s">
        <v>190</v>
      </c>
      <c r="CO565" s="236">
        <v>-0.64</v>
      </c>
      <c r="CP565" s="237">
        <v>4</v>
      </c>
      <c r="CQ565" s="238">
        <v>0.09</v>
      </c>
      <c r="CR565" s="239">
        <v>12.73</v>
      </c>
      <c r="CS565" s="240">
        <v>-1.95</v>
      </c>
      <c r="CT565" s="241">
        <v>2</v>
      </c>
      <c r="CU565" s="242">
        <v>-0.02</v>
      </c>
      <c r="CV565" s="243">
        <v>38</v>
      </c>
      <c r="CW565" s="244">
        <v>-3.93</v>
      </c>
      <c r="CX565" s="245">
        <v>7</v>
      </c>
      <c r="CY565" s="246">
        <v>0.03</v>
      </c>
      <c r="CZ565" s="247">
        <v>90</v>
      </c>
      <c r="DA565" s="248">
        <v>-0.02</v>
      </c>
      <c r="DB565" s="249">
        <v>38</v>
      </c>
      <c r="DC565" s="250">
        <v>312.47000000000003</v>
      </c>
      <c r="DD565" s="251">
        <v>100</v>
      </c>
      <c r="DE565" s="252">
        <v>2.42</v>
      </c>
      <c r="DF565" s="253">
        <v>0.78</v>
      </c>
      <c r="DG565" s="254">
        <v>743.08</v>
      </c>
      <c r="DH565" s="255">
        <v>100</v>
      </c>
      <c r="DI565" s="256">
        <v>182.49</v>
      </c>
      <c r="DJ565" s="257">
        <v>99</v>
      </c>
      <c r="DK565" s="258">
        <v>868.46</v>
      </c>
      <c r="DL565" s="259">
        <v>100</v>
      </c>
      <c r="DM565" s="260">
        <v>617.69000000000005</v>
      </c>
      <c r="DN565" s="261">
        <v>100</v>
      </c>
      <c r="DO565" s="262">
        <v>182.49</v>
      </c>
      <c r="DP565" s="263">
        <v>99</v>
      </c>
      <c r="DQ565" s="264">
        <v>523281</v>
      </c>
      <c r="DR565" s="265">
        <v>-30370</v>
      </c>
      <c r="DS565" s="266">
        <v>-5.49</v>
      </c>
      <c r="DT565" s="267">
        <v>9801</v>
      </c>
      <c r="DU565" s="268">
        <v>214</v>
      </c>
      <c r="DV565" s="269">
        <v>2.23</v>
      </c>
      <c r="DW565" s="270">
        <v>57308</v>
      </c>
      <c r="DX565" s="271">
        <v>5</v>
      </c>
      <c r="DY565" s="272">
        <v>0.01</v>
      </c>
      <c r="DZ565" s="273" t="s">
        <v>191</v>
      </c>
      <c r="EA565" s="274">
        <v>44257</v>
      </c>
      <c r="EB565" s="275">
        <v>7850</v>
      </c>
      <c r="EC565" s="276">
        <v>42262</v>
      </c>
      <c r="ED565" s="277" t="s">
        <v>226</v>
      </c>
      <c r="EE565" s="279" t="str">
        <f>HYPERLINK("https://my.pitchbook.com?c=54714-97", "View company online")</f>
        <v>View company online</v>
      </c>
    </row>
    <row r="566" spans="1:135" x14ac:dyDescent="0.45">
      <c r="A566" s="10" t="s">
        <v>11668</v>
      </c>
      <c r="B566" s="11" t="s">
        <v>11669</v>
      </c>
      <c r="C566" s="12" t="s">
        <v>153</v>
      </c>
      <c r="D566" s="13" t="s">
        <v>153</v>
      </c>
      <c r="E566" s="14" t="s">
        <v>153</v>
      </c>
      <c r="F566" s="15" t="s">
        <v>11670</v>
      </c>
      <c r="G566" s="16" t="s">
        <v>11671</v>
      </c>
      <c r="H566" s="17" t="s">
        <v>153</v>
      </c>
      <c r="I566" s="18" t="s">
        <v>11668</v>
      </c>
      <c r="J566" s="19" t="s">
        <v>11672</v>
      </c>
      <c r="K566" s="20" t="s">
        <v>157</v>
      </c>
      <c r="L566" s="21" t="s">
        <v>817</v>
      </c>
      <c r="M566" s="22" t="s">
        <v>1499</v>
      </c>
      <c r="N566" s="23" t="s">
        <v>2944</v>
      </c>
      <c r="O566" s="24" t="s">
        <v>261</v>
      </c>
      <c r="P566" s="25" t="s">
        <v>11673</v>
      </c>
      <c r="Q566" s="26" t="s">
        <v>204</v>
      </c>
      <c r="R566" s="27" t="s">
        <v>153</v>
      </c>
      <c r="S566" s="28" t="s">
        <v>163</v>
      </c>
      <c r="T566" s="29" t="s">
        <v>205</v>
      </c>
      <c r="U566" s="30" t="s">
        <v>206</v>
      </c>
      <c r="V566" s="31" t="s">
        <v>153</v>
      </c>
      <c r="W566" s="32" t="s">
        <v>153</v>
      </c>
      <c r="X566" s="33" t="s">
        <v>153</v>
      </c>
      <c r="Y566" s="34" t="s">
        <v>153</v>
      </c>
      <c r="Z566" s="35" t="s">
        <v>153</v>
      </c>
      <c r="AA566" s="36">
        <v>2003</v>
      </c>
      <c r="AB566" s="37" t="s">
        <v>153</v>
      </c>
      <c r="AC566" s="38" t="s">
        <v>153</v>
      </c>
      <c r="AD566" s="39" t="s">
        <v>153</v>
      </c>
      <c r="AE566" s="40" t="s">
        <v>153</v>
      </c>
      <c r="AF566" s="41" t="s">
        <v>153</v>
      </c>
      <c r="AG566" s="42" t="s">
        <v>153</v>
      </c>
      <c r="AH566" s="43" t="s">
        <v>153</v>
      </c>
      <c r="AI566" s="44" t="s">
        <v>153</v>
      </c>
      <c r="AJ566" s="45" t="s">
        <v>153</v>
      </c>
      <c r="AK566" s="46" t="s">
        <v>153</v>
      </c>
      <c r="AL566" s="47" t="s">
        <v>153</v>
      </c>
      <c r="AM566" s="48" t="s">
        <v>153</v>
      </c>
      <c r="AN566" s="49" t="s">
        <v>484</v>
      </c>
      <c r="AO566" s="50" t="s">
        <v>153</v>
      </c>
      <c r="AP566" s="51" t="s">
        <v>153</v>
      </c>
      <c r="AQ566" s="52" t="s">
        <v>153</v>
      </c>
      <c r="AR566" s="53" t="s">
        <v>153</v>
      </c>
      <c r="AS566" s="54" t="s">
        <v>153</v>
      </c>
      <c r="AT566" s="55" t="s">
        <v>4202</v>
      </c>
      <c r="AU566" s="56" t="s">
        <v>153</v>
      </c>
      <c r="AV566" s="57" t="s">
        <v>153</v>
      </c>
      <c r="AW566" s="58" t="s">
        <v>4205</v>
      </c>
      <c r="AX566" s="59" t="s">
        <v>153</v>
      </c>
      <c r="AY566" s="60" t="s">
        <v>153</v>
      </c>
      <c r="AZ566" s="61" t="s">
        <v>1519</v>
      </c>
      <c r="BA566" s="62" t="s">
        <v>153</v>
      </c>
      <c r="BB566" s="63" t="s">
        <v>153</v>
      </c>
      <c r="BC566" s="64" t="s">
        <v>153</v>
      </c>
      <c r="BD566" s="65" t="s">
        <v>1406</v>
      </c>
      <c r="BE566" s="66" t="s">
        <v>1407</v>
      </c>
      <c r="BF566" s="67" t="s">
        <v>11674</v>
      </c>
      <c r="BG566" s="68" t="s">
        <v>153</v>
      </c>
      <c r="BH566" s="69" t="s">
        <v>153</v>
      </c>
      <c r="BI566" s="70" t="s">
        <v>11675</v>
      </c>
      <c r="BJ566" s="71" t="s">
        <v>153</v>
      </c>
      <c r="BK566" s="72" t="s">
        <v>153</v>
      </c>
      <c r="BL566" s="73" t="s">
        <v>153</v>
      </c>
      <c r="BM566" s="74" t="s">
        <v>153</v>
      </c>
      <c r="BN566" s="75" t="s">
        <v>153</v>
      </c>
      <c r="BO566" s="76" t="s">
        <v>153</v>
      </c>
      <c r="BP566" s="77" t="s">
        <v>153</v>
      </c>
      <c r="BQ566" s="78">
        <v>37622</v>
      </c>
      <c r="BR566" s="79" t="s">
        <v>153</v>
      </c>
      <c r="BS566" s="80" t="s">
        <v>153</v>
      </c>
      <c r="BT566" s="81" t="s">
        <v>153</v>
      </c>
      <c r="BU566" s="82" t="s">
        <v>153</v>
      </c>
      <c r="BV566" s="83" t="s">
        <v>224</v>
      </c>
      <c r="BW566" s="84" t="s">
        <v>153</v>
      </c>
      <c r="BX566" s="85" t="s">
        <v>153</v>
      </c>
      <c r="BY566" s="86" t="s">
        <v>321</v>
      </c>
      <c r="BZ566" s="87" t="s">
        <v>153</v>
      </c>
      <c r="CA566" s="88" t="s">
        <v>190</v>
      </c>
      <c r="CB566" s="89">
        <v>42157</v>
      </c>
      <c r="CC566" s="90">
        <v>7830.42</v>
      </c>
      <c r="CD566" s="91" t="s">
        <v>187</v>
      </c>
      <c r="CE566" s="92">
        <v>7830.42</v>
      </c>
      <c r="CF566" s="93" t="s">
        <v>187</v>
      </c>
      <c r="CG566" s="94" t="s">
        <v>226</v>
      </c>
      <c r="CH566" s="95" t="s">
        <v>153</v>
      </c>
      <c r="CI566" s="96" t="s">
        <v>153</v>
      </c>
      <c r="CJ566" s="97" t="s">
        <v>225</v>
      </c>
      <c r="CK566" s="98">
        <v>42157</v>
      </c>
      <c r="CL566" s="99" t="s">
        <v>153</v>
      </c>
      <c r="CM566" s="100" t="s">
        <v>153</v>
      </c>
      <c r="CN566" s="101" t="s">
        <v>190</v>
      </c>
      <c r="CO566" s="102" t="s">
        <v>153</v>
      </c>
      <c r="CP566" s="103" t="s">
        <v>153</v>
      </c>
      <c r="CQ566" s="104" t="s">
        <v>153</v>
      </c>
      <c r="CR566" s="105" t="s">
        <v>153</v>
      </c>
      <c r="CS566" s="106" t="s">
        <v>153</v>
      </c>
      <c r="CT566" s="107" t="s">
        <v>153</v>
      </c>
      <c r="CU566" s="108" t="s">
        <v>153</v>
      </c>
      <c r="CV566" s="109" t="s">
        <v>153</v>
      </c>
      <c r="CW566" s="110" t="s">
        <v>153</v>
      </c>
      <c r="CX566" s="111" t="s">
        <v>153</v>
      </c>
      <c r="CY566" s="112" t="s">
        <v>153</v>
      </c>
      <c r="CZ566" s="113" t="s">
        <v>153</v>
      </c>
      <c r="DA566" s="114" t="s">
        <v>153</v>
      </c>
      <c r="DB566" s="115" t="s">
        <v>153</v>
      </c>
      <c r="DC566" s="116" t="s">
        <v>153</v>
      </c>
      <c r="DD566" s="117" t="s">
        <v>153</v>
      </c>
      <c r="DE566" s="118" t="s">
        <v>153</v>
      </c>
      <c r="DF566" s="119" t="s">
        <v>153</v>
      </c>
      <c r="DG566" s="120" t="s">
        <v>153</v>
      </c>
      <c r="DH566" s="121" t="s">
        <v>153</v>
      </c>
      <c r="DI566" s="122" t="s">
        <v>153</v>
      </c>
      <c r="DJ566" s="123" t="s">
        <v>153</v>
      </c>
      <c r="DK566" s="124" t="s">
        <v>153</v>
      </c>
      <c r="DL566" s="125" t="s">
        <v>153</v>
      </c>
      <c r="DM566" s="126" t="s">
        <v>153</v>
      </c>
      <c r="DN566" s="127" t="s">
        <v>153</v>
      </c>
      <c r="DO566" s="128" t="s">
        <v>153</v>
      </c>
      <c r="DP566" s="129" t="s">
        <v>153</v>
      </c>
      <c r="DQ566" s="130" t="s">
        <v>153</v>
      </c>
      <c r="DR566" s="131" t="s">
        <v>153</v>
      </c>
      <c r="DS566" s="132" t="s">
        <v>153</v>
      </c>
      <c r="DT566" s="133" t="s">
        <v>153</v>
      </c>
      <c r="DU566" s="134" t="s">
        <v>153</v>
      </c>
      <c r="DV566" s="135" t="s">
        <v>153</v>
      </c>
      <c r="DW566" s="136" t="s">
        <v>153</v>
      </c>
      <c r="DX566" s="137" t="s">
        <v>153</v>
      </c>
      <c r="DY566" s="138" t="s">
        <v>153</v>
      </c>
      <c r="DZ566" s="139" t="s">
        <v>191</v>
      </c>
      <c r="EA566" s="140">
        <v>44147</v>
      </c>
      <c r="EB566" s="141">
        <v>7830.42</v>
      </c>
      <c r="EC566" s="142">
        <v>42157</v>
      </c>
      <c r="ED566" s="143" t="s">
        <v>226</v>
      </c>
      <c r="EE566" s="278" t="str">
        <f>HYPERLINK("https://my.pitchbook.com?c=97463-44", "View company online")</f>
        <v>View company online</v>
      </c>
    </row>
    <row r="567" spans="1:135" x14ac:dyDescent="0.45">
      <c r="A567" s="144" t="s">
        <v>11676</v>
      </c>
      <c r="B567" s="145" t="s">
        <v>11677</v>
      </c>
      <c r="C567" s="146" t="s">
        <v>153</v>
      </c>
      <c r="D567" s="147" t="s">
        <v>153</v>
      </c>
      <c r="E567" s="148" t="s">
        <v>153</v>
      </c>
      <c r="F567" s="149" t="s">
        <v>153</v>
      </c>
      <c r="G567" s="150" t="s">
        <v>153</v>
      </c>
      <c r="H567" s="151" t="s">
        <v>153</v>
      </c>
      <c r="I567" s="152" t="s">
        <v>11676</v>
      </c>
      <c r="J567" s="153" t="s">
        <v>11678</v>
      </c>
      <c r="K567" s="154" t="s">
        <v>157</v>
      </c>
      <c r="L567" s="155" t="s">
        <v>817</v>
      </c>
      <c r="M567" s="156" t="s">
        <v>1499</v>
      </c>
      <c r="N567" s="157" t="s">
        <v>2944</v>
      </c>
      <c r="O567" s="158" t="s">
        <v>153</v>
      </c>
      <c r="P567" s="159" t="s">
        <v>11679</v>
      </c>
      <c r="Q567" s="160" t="s">
        <v>204</v>
      </c>
      <c r="R567" s="161" t="s">
        <v>153</v>
      </c>
      <c r="S567" s="162" t="s">
        <v>163</v>
      </c>
      <c r="T567" s="163" t="s">
        <v>205</v>
      </c>
      <c r="U567" s="164" t="s">
        <v>206</v>
      </c>
      <c r="V567" s="165" t="s">
        <v>153</v>
      </c>
      <c r="W567" s="166" t="s">
        <v>153</v>
      </c>
      <c r="X567" s="167" t="s">
        <v>153</v>
      </c>
      <c r="Y567" s="168" t="s">
        <v>153</v>
      </c>
      <c r="Z567" s="169" t="s">
        <v>153</v>
      </c>
      <c r="AA567" s="170" t="s">
        <v>153</v>
      </c>
      <c r="AB567" s="171" t="s">
        <v>153</v>
      </c>
      <c r="AC567" s="172" t="s">
        <v>153</v>
      </c>
      <c r="AD567" s="173" t="s">
        <v>153</v>
      </c>
      <c r="AE567" s="174" t="s">
        <v>153</v>
      </c>
      <c r="AF567" s="175" t="s">
        <v>153</v>
      </c>
      <c r="AG567" s="176" t="s">
        <v>153</v>
      </c>
      <c r="AH567" s="177" t="s">
        <v>153</v>
      </c>
      <c r="AI567" s="178" t="s">
        <v>153</v>
      </c>
      <c r="AJ567" s="179" t="s">
        <v>153</v>
      </c>
      <c r="AK567" s="180" t="s">
        <v>153</v>
      </c>
      <c r="AL567" s="181" t="s">
        <v>153</v>
      </c>
      <c r="AM567" s="182" t="s">
        <v>153</v>
      </c>
      <c r="AN567" s="183" t="s">
        <v>153</v>
      </c>
      <c r="AO567" s="184" t="s">
        <v>153</v>
      </c>
      <c r="AP567" s="185" t="s">
        <v>153</v>
      </c>
      <c r="AQ567" s="186" t="s">
        <v>153</v>
      </c>
      <c r="AR567" s="187" t="s">
        <v>153</v>
      </c>
      <c r="AS567" s="188" t="s">
        <v>153</v>
      </c>
      <c r="AT567" s="189" t="s">
        <v>153</v>
      </c>
      <c r="AU567" s="190" t="s">
        <v>153</v>
      </c>
      <c r="AV567" s="191" t="s">
        <v>153</v>
      </c>
      <c r="AW567" s="192" t="s">
        <v>153</v>
      </c>
      <c r="AX567" s="193" t="s">
        <v>153</v>
      </c>
      <c r="AY567" s="194" t="s">
        <v>153</v>
      </c>
      <c r="AZ567" s="195" t="s">
        <v>153</v>
      </c>
      <c r="BA567" s="196" t="s">
        <v>153</v>
      </c>
      <c r="BB567" s="197" t="s">
        <v>153</v>
      </c>
      <c r="BC567" s="198" t="s">
        <v>153</v>
      </c>
      <c r="BD567" s="199" t="s">
        <v>153</v>
      </c>
      <c r="BE567" s="200" t="s">
        <v>153</v>
      </c>
      <c r="BF567" s="201" t="s">
        <v>11680</v>
      </c>
      <c r="BG567" s="202" t="s">
        <v>153</v>
      </c>
      <c r="BH567" s="203" t="s">
        <v>153</v>
      </c>
      <c r="BI567" s="204" t="s">
        <v>11681</v>
      </c>
      <c r="BJ567" s="205" t="s">
        <v>3508</v>
      </c>
      <c r="BK567" s="206" t="s">
        <v>11682</v>
      </c>
      <c r="BL567" s="207" t="s">
        <v>153</v>
      </c>
      <c r="BM567" s="208" t="s">
        <v>11683</v>
      </c>
      <c r="BN567" s="209" t="s">
        <v>11684</v>
      </c>
      <c r="BO567" s="210" t="s">
        <v>153</v>
      </c>
      <c r="BP567" s="211" t="s">
        <v>153</v>
      </c>
      <c r="BQ567" s="212">
        <v>42825</v>
      </c>
      <c r="BR567" s="213">
        <v>7809.03</v>
      </c>
      <c r="BS567" s="214" t="s">
        <v>186</v>
      </c>
      <c r="BT567" s="215">
        <v>7809.03</v>
      </c>
      <c r="BU567" s="216" t="s">
        <v>186</v>
      </c>
      <c r="BV567" s="217" t="s">
        <v>226</v>
      </c>
      <c r="BW567" s="218" t="s">
        <v>729</v>
      </c>
      <c r="BX567" s="219" t="s">
        <v>153</v>
      </c>
      <c r="BY567" s="220" t="s">
        <v>225</v>
      </c>
      <c r="BZ567" s="221" t="s">
        <v>153</v>
      </c>
      <c r="CA567" s="222" t="s">
        <v>190</v>
      </c>
      <c r="CB567" s="223">
        <v>42825</v>
      </c>
      <c r="CC567" s="224">
        <v>7809.03</v>
      </c>
      <c r="CD567" s="225" t="s">
        <v>186</v>
      </c>
      <c r="CE567" s="226">
        <v>7809.03</v>
      </c>
      <c r="CF567" s="227" t="s">
        <v>186</v>
      </c>
      <c r="CG567" s="228" t="s">
        <v>226</v>
      </c>
      <c r="CH567" s="229" t="s">
        <v>729</v>
      </c>
      <c r="CI567" s="230" t="s">
        <v>153</v>
      </c>
      <c r="CJ567" s="231" t="s">
        <v>225</v>
      </c>
      <c r="CK567" s="232">
        <v>42825</v>
      </c>
      <c r="CL567" s="233" t="s">
        <v>153</v>
      </c>
      <c r="CM567" s="234" t="s">
        <v>153</v>
      </c>
      <c r="CN567" s="235" t="s">
        <v>190</v>
      </c>
      <c r="CO567" s="236" t="s">
        <v>153</v>
      </c>
      <c r="CP567" s="237" t="s">
        <v>153</v>
      </c>
      <c r="CQ567" s="238" t="s">
        <v>153</v>
      </c>
      <c r="CR567" s="239" t="s">
        <v>153</v>
      </c>
      <c r="CS567" s="240" t="s">
        <v>153</v>
      </c>
      <c r="CT567" s="241" t="s">
        <v>153</v>
      </c>
      <c r="CU567" s="242" t="s">
        <v>153</v>
      </c>
      <c r="CV567" s="243" t="s">
        <v>153</v>
      </c>
      <c r="CW567" s="244" t="s">
        <v>153</v>
      </c>
      <c r="CX567" s="245" t="s">
        <v>153</v>
      </c>
      <c r="CY567" s="246" t="s">
        <v>153</v>
      </c>
      <c r="CZ567" s="247" t="s">
        <v>153</v>
      </c>
      <c r="DA567" s="248" t="s">
        <v>153</v>
      </c>
      <c r="DB567" s="249" t="s">
        <v>153</v>
      </c>
      <c r="DC567" s="250" t="s">
        <v>153</v>
      </c>
      <c r="DD567" s="251" t="s">
        <v>153</v>
      </c>
      <c r="DE567" s="252" t="s">
        <v>153</v>
      </c>
      <c r="DF567" s="253" t="s">
        <v>153</v>
      </c>
      <c r="DG567" s="254" t="s">
        <v>153</v>
      </c>
      <c r="DH567" s="255" t="s">
        <v>153</v>
      </c>
      <c r="DI567" s="256" t="s">
        <v>153</v>
      </c>
      <c r="DJ567" s="257" t="s">
        <v>153</v>
      </c>
      <c r="DK567" s="258" t="s">
        <v>153</v>
      </c>
      <c r="DL567" s="259" t="s">
        <v>153</v>
      </c>
      <c r="DM567" s="260" t="s">
        <v>153</v>
      </c>
      <c r="DN567" s="261" t="s">
        <v>153</v>
      </c>
      <c r="DO567" s="262" t="s">
        <v>153</v>
      </c>
      <c r="DP567" s="263" t="s">
        <v>153</v>
      </c>
      <c r="DQ567" s="264" t="s">
        <v>153</v>
      </c>
      <c r="DR567" s="265" t="s">
        <v>153</v>
      </c>
      <c r="DS567" s="266" t="s">
        <v>153</v>
      </c>
      <c r="DT567" s="267" t="s">
        <v>153</v>
      </c>
      <c r="DU567" s="268" t="s">
        <v>153</v>
      </c>
      <c r="DV567" s="269" t="s">
        <v>153</v>
      </c>
      <c r="DW567" s="270" t="s">
        <v>153</v>
      </c>
      <c r="DX567" s="271" t="s">
        <v>153</v>
      </c>
      <c r="DY567" s="272" t="s">
        <v>153</v>
      </c>
      <c r="DZ567" s="273" t="s">
        <v>191</v>
      </c>
      <c r="EA567" s="274">
        <v>44147</v>
      </c>
      <c r="EB567" s="275">
        <v>7809.03</v>
      </c>
      <c r="EC567" s="276">
        <v>42825</v>
      </c>
      <c r="ED567" s="277" t="s">
        <v>226</v>
      </c>
      <c r="EE567" s="279" t="str">
        <f>HYPERLINK("https://my.pitchbook.com?c=167407-57", "View company online")</f>
        <v>View company online</v>
      </c>
    </row>
    <row r="568" spans="1:135" x14ac:dyDescent="0.45">
      <c r="A568" s="10" t="s">
        <v>11685</v>
      </c>
      <c r="B568" s="11" t="s">
        <v>11686</v>
      </c>
      <c r="C568" s="12" t="s">
        <v>153</v>
      </c>
      <c r="D568" s="13" t="s">
        <v>153</v>
      </c>
      <c r="E568" s="14" t="s">
        <v>153</v>
      </c>
      <c r="F568" s="15" t="s">
        <v>153</v>
      </c>
      <c r="G568" s="16" t="s">
        <v>153</v>
      </c>
      <c r="H568" s="17" t="s">
        <v>153</v>
      </c>
      <c r="I568" s="18" t="s">
        <v>11685</v>
      </c>
      <c r="J568" s="19" t="s">
        <v>11687</v>
      </c>
      <c r="K568" s="20" t="s">
        <v>882</v>
      </c>
      <c r="L568" s="21" t="s">
        <v>2888</v>
      </c>
      <c r="M568" s="22" t="s">
        <v>2889</v>
      </c>
      <c r="N568" s="23" t="s">
        <v>11688</v>
      </c>
      <c r="O568" s="24" t="s">
        <v>153</v>
      </c>
      <c r="P568" s="25" t="s">
        <v>11689</v>
      </c>
      <c r="Q568" s="26" t="s">
        <v>204</v>
      </c>
      <c r="R568" s="27" t="s">
        <v>153</v>
      </c>
      <c r="S568" s="28" t="s">
        <v>153</v>
      </c>
      <c r="T568" s="29" t="s">
        <v>205</v>
      </c>
      <c r="U568" s="30" t="s">
        <v>206</v>
      </c>
      <c r="V568" s="31" t="s">
        <v>153</v>
      </c>
      <c r="W568" s="32" t="s">
        <v>153</v>
      </c>
      <c r="X568" s="33" t="s">
        <v>153</v>
      </c>
      <c r="Y568" s="34" t="s">
        <v>153</v>
      </c>
      <c r="Z568" s="35" t="s">
        <v>153</v>
      </c>
      <c r="AA568" s="36" t="s">
        <v>153</v>
      </c>
      <c r="AB568" s="37" t="s">
        <v>153</v>
      </c>
      <c r="AC568" s="38" t="s">
        <v>153</v>
      </c>
      <c r="AD568" s="39" t="s">
        <v>153</v>
      </c>
      <c r="AE568" s="40" t="s">
        <v>153</v>
      </c>
      <c r="AF568" s="41" t="s">
        <v>153</v>
      </c>
      <c r="AG568" s="42" t="s">
        <v>153</v>
      </c>
      <c r="AH568" s="43" t="s">
        <v>153</v>
      </c>
      <c r="AI568" s="44" t="s">
        <v>153</v>
      </c>
      <c r="AJ568" s="45" t="s">
        <v>153</v>
      </c>
      <c r="AK568" s="46" t="s">
        <v>153</v>
      </c>
      <c r="AL568" s="47" t="s">
        <v>153</v>
      </c>
      <c r="AM568" s="48" t="s">
        <v>153</v>
      </c>
      <c r="AN568" s="49" t="s">
        <v>153</v>
      </c>
      <c r="AO568" s="50" t="s">
        <v>153</v>
      </c>
      <c r="AP568" s="51" t="s">
        <v>153</v>
      </c>
      <c r="AQ568" s="52" t="s">
        <v>153</v>
      </c>
      <c r="AR568" s="53" t="s">
        <v>153</v>
      </c>
      <c r="AS568" s="54" t="s">
        <v>153</v>
      </c>
      <c r="AT568" s="55" t="s">
        <v>1071</v>
      </c>
      <c r="AU568" s="56" t="s">
        <v>11690</v>
      </c>
      <c r="AV568" s="57" t="s">
        <v>153</v>
      </c>
      <c r="AW568" s="58" t="s">
        <v>1074</v>
      </c>
      <c r="AX568" s="59" t="s">
        <v>177</v>
      </c>
      <c r="AY568" s="60" t="s">
        <v>153</v>
      </c>
      <c r="AZ568" s="61" t="s">
        <v>179</v>
      </c>
      <c r="BA568" s="62" t="s">
        <v>153</v>
      </c>
      <c r="BB568" s="63" t="s">
        <v>153</v>
      </c>
      <c r="BC568" s="64" t="s">
        <v>153</v>
      </c>
      <c r="BD568" s="65" t="s">
        <v>180</v>
      </c>
      <c r="BE568" s="66" t="s">
        <v>181</v>
      </c>
      <c r="BF568" s="67" t="s">
        <v>11691</v>
      </c>
      <c r="BG568" s="68" t="s">
        <v>153</v>
      </c>
      <c r="BH568" s="69" t="s">
        <v>153</v>
      </c>
      <c r="BI568" s="70" t="s">
        <v>11681</v>
      </c>
      <c r="BJ568" s="71" t="s">
        <v>6372</v>
      </c>
      <c r="BK568" s="72" t="s">
        <v>11692</v>
      </c>
      <c r="BL568" s="73" t="s">
        <v>153</v>
      </c>
      <c r="BM568" s="74" t="s">
        <v>6912</v>
      </c>
      <c r="BN568" s="75" t="s">
        <v>11693</v>
      </c>
      <c r="BO568" s="76" t="s">
        <v>11694</v>
      </c>
      <c r="BP568" s="77" t="s">
        <v>1990</v>
      </c>
      <c r="BQ568" s="78">
        <v>42825</v>
      </c>
      <c r="BR568" s="79">
        <v>7809.03</v>
      </c>
      <c r="BS568" s="80" t="s">
        <v>186</v>
      </c>
      <c r="BT568" s="81">
        <v>7809.03</v>
      </c>
      <c r="BU568" s="82" t="s">
        <v>187</v>
      </c>
      <c r="BV568" s="83" t="s">
        <v>1524</v>
      </c>
      <c r="BW568" s="84" t="s">
        <v>1525</v>
      </c>
      <c r="BX568" s="85" t="s">
        <v>1526</v>
      </c>
      <c r="BY568" s="86" t="s">
        <v>225</v>
      </c>
      <c r="BZ568" s="87" t="s">
        <v>153</v>
      </c>
      <c r="CA568" s="88" t="s">
        <v>190</v>
      </c>
      <c r="CB568" s="89">
        <v>42825</v>
      </c>
      <c r="CC568" s="90">
        <v>7809.03</v>
      </c>
      <c r="CD568" s="91" t="s">
        <v>186</v>
      </c>
      <c r="CE568" s="92">
        <v>7809.03</v>
      </c>
      <c r="CF568" s="93" t="s">
        <v>187</v>
      </c>
      <c r="CG568" s="94" t="s">
        <v>1524</v>
      </c>
      <c r="CH568" s="95" t="s">
        <v>1525</v>
      </c>
      <c r="CI568" s="96" t="s">
        <v>1526</v>
      </c>
      <c r="CJ568" s="97" t="s">
        <v>225</v>
      </c>
      <c r="CK568" s="98">
        <v>42825</v>
      </c>
      <c r="CL568" s="99" t="s">
        <v>153</v>
      </c>
      <c r="CM568" s="100" t="s">
        <v>153</v>
      </c>
      <c r="CN568" s="101" t="s">
        <v>190</v>
      </c>
      <c r="CO568" s="102" t="s">
        <v>153</v>
      </c>
      <c r="CP568" s="103" t="s">
        <v>153</v>
      </c>
      <c r="CQ568" s="104" t="s">
        <v>153</v>
      </c>
      <c r="CR568" s="105" t="s">
        <v>153</v>
      </c>
      <c r="CS568" s="106" t="s">
        <v>153</v>
      </c>
      <c r="CT568" s="107" t="s">
        <v>153</v>
      </c>
      <c r="CU568" s="108" t="s">
        <v>153</v>
      </c>
      <c r="CV568" s="109" t="s">
        <v>153</v>
      </c>
      <c r="CW568" s="110" t="s">
        <v>153</v>
      </c>
      <c r="CX568" s="111" t="s">
        <v>153</v>
      </c>
      <c r="CY568" s="112" t="s">
        <v>153</v>
      </c>
      <c r="CZ568" s="113" t="s">
        <v>153</v>
      </c>
      <c r="DA568" s="114" t="s">
        <v>153</v>
      </c>
      <c r="DB568" s="115" t="s">
        <v>153</v>
      </c>
      <c r="DC568" s="116" t="s">
        <v>153</v>
      </c>
      <c r="DD568" s="117" t="s">
        <v>153</v>
      </c>
      <c r="DE568" s="118" t="s">
        <v>153</v>
      </c>
      <c r="DF568" s="119" t="s">
        <v>153</v>
      </c>
      <c r="DG568" s="120" t="s">
        <v>153</v>
      </c>
      <c r="DH568" s="121" t="s">
        <v>153</v>
      </c>
      <c r="DI568" s="122" t="s">
        <v>153</v>
      </c>
      <c r="DJ568" s="123" t="s">
        <v>153</v>
      </c>
      <c r="DK568" s="124" t="s">
        <v>153</v>
      </c>
      <c r="DL568" s="125" t="s">
        <v>153</v>
      </c>
      <c r="DM568" s="126" t="s">
        <v>153</v>
      </c>
      <c r="DN568" s="127" t="s">
        <v>153</v>
      </c>
      <c r="DO568" s="128" t="s">
        <v>153</v>
      </c>
      <c r="DP568" s="129" t="s">
        <v>153</v>
      </c>
      <c r="DQ568" s="130" t="s">
        <v>153</v>
      </c>
      <c r="DR568" s="131" t="s">
        <v>153</v>
      </c>
      <c r="DS568" s="132" t="s">
        <v>153</v>
      </c>
      <c r="DT568" s="133" t="s">
        <v>153</v>
      </c>
      <c r="DU568" s="134" t="s">
        <v>153</v>
      </c>
      <c r="DV568" s="135" t="s">
        <v>153</v>
      </c>
      <c r="DW568" s="136" t="s">
        <v>153</v>
      </c>
      <c r="DX568" s="137" t="s">
        <v>153</v>
      </c>
      <c r="DY568" s="138" t="s">
        <v>153</v>
      </c>
      <c r="DZ568" s="139" t="s">
        <v>191</v>
      </c>
      <c r="EA568" s="140">
        <v>44147</v>
      </c>
      <c r="EB568" s="141">
        <v>7809.03</v>
      </c>
      <c r="EC568" s="142">
        <v>42825</v>
      </c>
      <c r="ED568" s="143" t="s">
        <v>1524</v>
      </c>
      <c r="EE568" s="278" t="str">
        <f>HYPERLINK("https://my.pitchbook.com?c=158143-69", "View company online")</f>
        <v>View company online</v>
      </c>
    </row>
    <row r="569" spans="1:135" x14ac:dyDescent="0.45">
      <c r="A569" s="144" t="s">
        <v>11695</v>
      </c>
      <c r="B569" s="145" t="s">
        <v>11696</v>
      </c>
      <c r="C569" s="146" t="s">
        <v>153</v>
      </c>
      <c r="D569" s="147" t="s">
        <v>153</v>
      </c>
      <c r="E569" s="148" t="s">
        <v>11697</v>
      </c>
      <c r="F569" s="149" t="s">
        <v>153</v>
      </c>
      <c r="G569" s="150" t="s">
        <v>11698</v>
      </c>
      <c r="H569" s="151" t="s">
        <v>153</v>
      </c>
      <c r="I569" s="152" t="s">
        <v>11695</v>
      </c>
      <c r="J569" s="153" t="s">
        <v>11699</v>
      </c>
      <c r="K569" s="154" t="s">
        <v>198</v>
      </c>
      <c r="L569" s="155" t="s">
        <v>984</v>
      </c>
      <c r="M569" s="156" t="s">
        <v>3544</v>
      </c>
      <c r="N569" s="157" t="s">
        <v>11700</v>
      </c>
      <c r="O569" s="158" t="s">
        <v>5594</v>
      </c>
      <c r="P569" s="159" t="s">
        <v>11701</v>
      </c>
      <c r="Q569" s="160" t="s">
        <v>289</v>
      </c>
      <c r="R569" s="161">
        <v>606.79999999999995</v>
      </c>
      <c r="S569" s="162" t="s">
        <v>8608</v>
      </c>
      <c r="T569" s="163" t="s">
        <v>205</v>
      </c>
      <c r="U569" s="164" t="s">
        <v>941</v>
      </c>
      <c r="V569" s="165" t="s">
        <v>153</v>
      </c>
      <c r="W569" s="166" t="s">
        <v>153</v>
      </c>
      <c r="X569" s="167" t="s">
        <v>153</v>
      </c>
      <c r="Y569" s="168" t="s">
        <v>153</v>
      </c>
      <c r="Z569" s="169" t="s">
        <v>153</v>
      </c>
      <c r="AA569" s="170">
        <v>1996</v>
      </c>
      <c r="AB569" s="171" t="s">
        <v>153</v>
      </c>
      <c r="AC569" s="172" t="s">
        <v>153</v>
      </c>
      <c r="AD569" s="173" t="s">
        <v>153</v>
      </c>
      <c r="AE569" s="174" t="s">
        <v>153</v>
      </c>
      <c r="AF569" s="175" t="s">
        <v>153</v>
      </c>
      <c r="AG569" s="176" t="s">
        <v>153</v>
      </c>
      <c r="AH569" s="177" t="s">
        <v>153</v>
      </c>
      <c r="AI569" s="178" t="s">
        <v>153</v>
      </c>
      <c r="AJ569" s="179" t="s">
        <v>153</v>
      </c>
      <c r="AK569" s="180" t="s">
        <v>153</v>
      </c>
      <c r="AL569" s="181" t="s">
        <v>153</v>
      </c>
      <c r="AM569" s="182" t="s">
        <v>153</v>
      </c>
      <c r="AN569" s="183" t="s">
        <v>153</v>
      </c>
      <c r="AO569" s="184" t="s">
        <v>153</v>
      </c>
      <c r="AP569" s="185" t="s">
        <v>153</v>
      </c>
      <c r="AQ569" s="186" t="s">
        <v>153</v>
      </c>
      <c r="AR569" s="187" t="s">
        <v>153</v>
      </c>
      <c r="AS569" s="188" t="s">
        <v>153</v>
      </c>
      <c r="AT569" s="189" t="s">
        <v>1379</v>
      </c>
      <c r="AU569" s="190" t="s">
        <v>11702</v>
      </c>
      <c r="AV569" s="191" t="s">
        <v>153</v>
      </c>
      <c r="AW569" s="192" t="s">
        <v>1380</v>
      </c>
      <c r="AX569" s="193" t="s">
        <v>308</v>
      </c>
      <c r="AY569" s="194" t="s">
        <v>5039</v>
      </c>
      <c r="AZ569" s="195" t="s">
        <v>215</v>
      </c>
      <c r="BA569" s="196" t="s">
        <v>11703</v>
      </c>
      <c r="BB569" s="197" t="s">
        <v>11704</v>
      </c>
      <c r="BC569" s="198" t="s">
        <v>153</v>
      </c>
      <c r="BD569" s="199" t="s">
        <v>216</v>
      </c>
      <c r="BE569" s="200" t="s">
        <v>217</v>
      </c>
      <c r="BF569" s="201" t="s">
        <v>11705</v>
      </c>
      <c r="BG569" s="202" t="s">
        <v>153</v>
      </c>
      <c r="BH569" s="203" t="s">
        <v>153</v>
      </c>
      <c r="BI569" s="204" t="s">
        <v>8906</v>
      </c>
      <c r="BJ569" s="205" t="s">
        <v>11706</v>
      </c>
      <c r="BK569" s="206" t="s">
        <v>153</v>
      </c>
      <c r="BL569" s="207" t="s">
        <v>153</v>
      </c>
      <c r="BM569" s="208" t="s">
        <v>11707</v>
      </c>
      <c r="BN569" s="209" t="s">
        <v>153</v>
      </c>
      <c r="BO569" s="210" t="s">
        <v>11708</v>
      </c>
      <c r="BP569" s="211" t="s">
        <v>11709</v>
      </c>
      <c r="BQ569" s="212">
        <v>35186</v>
      </c>
      <c r="BR569" s="213">
        <v>3.9</v>
      </c>
      <c r="BS569" s="214" t="s">
        <v>186</v>
      </c>
      <c r="BT569" s="215" t="s">
        <v>153</v>
      </c>
      <c r="BU569" s="216" t="s">
        <v>153</v>
      </c>
      <c r="BV569" s="217" t="s">
        <v>471</v>
      </c>
      <c r="BW569" s="218" t="s">
        <v>1811</v>
      </c>
      <c r="BX569" s="219" t="s">
        <v>153</v>
      </c>
      <c r="BY569" s="220" t="s">
        <v>472</v>
      </c>
      <c r="BZ569" s="221" t="s">
        <v>153</v>
      </c>
      <c r="CA569" s="222" t="s">
        <v>190</v>
      </c>
      <c r="CB569" s="223">
        <v>36803</v>
      </c>
      <c r="CC569" s="224">
        <v>7800</v>
      </c>
      <c r="CD569" s="225" t="s">
        <v>186</v>
      </c>
      <c r="CE569" s="226">
        <v>7800</v>
      </c>
      <c r="CF569" s="227" t="s">
        <v>153</v>
      </c>
      <c r="CG569" s="228" t="s">
        <v>226</v>
      </c>
      <c r="CH569" s="229" t="s">
        <v>729</v>
      </c>
      <c r="CI569" s="230" t="s">
        <v>153</v>
      </c>
      <c r="CJ569" s="231" t="s">
        <v>225</v>
      </c>
      <c r="CK569" s="232">
        <v>36803</v>
      </c>
      <c r="CL569" s="233" t="s">
        <v>153</v>
      </c>
      <c r="CM569" s="234" t="s">
        <v>153</v>
      </c>
      <c r="CN569" s="235" t="s">
        <v>190</v>
      </c>
      <c r="CO569" s="236" t="s">
        <v>153</v>
      </c>
      <c r="CP569" s="237" t="s">
        <v>153</v>
      </c>
      <c r="CQ569" s="238" t="s">
        <v>153</v>
      </c>
      <c r="CR569" s="239" t="s">
        <v>153</v>
      </c>
      <c r="CS569" s="240" t="s">
        <v>153</v>
      </c>
      <c r="CT569" s="241" t="s">
        <v>153</v>
      </c>
      <c r="CU569" s="242" t="s">
        <v>153</v>
      </c>
      <c r="CV569" s="243" t="s">
        <v>153</v>
      </c>
      <c r="CW569" s="244" t="s">
        <v>153</v>
      </c>
      <c r="CX569" s="245" t="s">
        <v>153</v>
      </c>
      <c r="CY569" s="246" t="s">
        <v>153</v>
      </c>
      <c r="CZ569" s="247" t="s">
        <v>153</v>
      </c>
      <c r="DA569" s="248" t="s">
        <v>153</v>
      </c>
      <c r="DB569" s="249" t="s">
        <v>153</v>
      </c>
      <c r="DC569" s="250" t="s">
        <v>153</v>
      </c>
      <c r="DD569" s="251" t="s">
        <v>153</v>
      </c>
      <c r="DE569" s="252" t="s">
        <v>153</v>
      </c>
      <c r="DF569" s="253" t="s">
        <v>153</v>
      </c>
      <c r="DG569" s="254" t="s">
        <v>153</v>
      </c>
      <c r="DH569" s="255" t="s">
        <v>153</v>
      </c>
      <c r="DI569" s="256" t="s">
        <v>153</v>
      </c>
      <c r="DJ569" s="257" t="s">
        <v>153</v>
      </c>
      <c r="DK569" s="258" t="s">
        <v>153</v>
      </c>
      <c r="DL569" s="259" t="s">
        <v>153</v>
      </c>
      <c r="DM569" s="260" t="s">
        <v>153</v>
      </c>
      <c r="DN569" s="261" t="s">
        <v>153</v>
      </c>
      <c r="DO569" s="262" t="s">
        <v>153</v>
      </c>
      <c r="DP569" s="263" t="s">
        <v>153</v>
      </c>
      <c r="DQ569" s="264" t="s">
        <v>153</v>
      </c>
      <c r="DR569" s="265" t="s">
        <v>153</v>
      </c>
      <c r="DS569" s="266" t="s">
        <v>153</v>
      </c>
      <c r="DT569" s="267" t="s">
        <v>153</v>
      </c>
      <c r="DU569" s="268" t="s">
        <v>153</v>
      </c>
      <c r="DV569" s="269" t="s">
        <v>153</v>
      </c>
      <c r="DW569" s="270" t="s">
        <v>153</v>
      </c>
      <c r="DX569" s="271" t="s">
        <v>153</v>
      </c>
      <c r="DY569" s="272" t="s">
        <v>153</v>
      </c>
      <c r="DZ569" s="273" t="s">
        <v>191</v>
      </c>
      <c r="EA569" s="274">
        <v>44147</v>
      </c>
      <c r="EB569" s="275">
        <v>7800</v>
      </c>
      <c r="EC569" s="276">
        <v>36803</v>
      </c>
      <c r="ED569" s="277" t="s">
        <v>226</v>
      </c>
      <c r="EE569" s="279" t="str">
        <f>HYPERLINK("https://my.pitchbook.com?c=51314-95", "View company online")</f>
        <v>View company online</v>
      </c>
    </row>
    <row r="570" spans="1:135" x14ac:dyDescent="0.45">
      <c r="A570" s="10" t="s">
        <v>11710</v>
      </c>
      <c r="B570" s="11" t="s">
        <v>11711</v>
      </c>
      <c r="C570" s="12" t="s">
        <v>153</v>
      </c>
      <c r="D570" s="13" t="s">
        <v>153</v>
      </c>
      <c r="E570" s="14" t="s">
        <v>11712</v>
      </c>
      <c r="F570" s="15" t="s">
        <v>11713</v>
      </c>
      <c r="G570" s="16" t="s">
        <v>11714</v>
      </c>
      <c r="H570" s="17" t="s">
        <v>11715</v>
      </c>
      <c r="I570" s="18" t="s">
        <v>11710</v>
      </c>
      <c r="J570" s="19" t="s">
        <v>11716</v>
      </c>
      <c r="K570" s="20" t="s">
        <v>157</v>
      </c>
      <c r="L570" s="21" t="s">
        <v>817</v>
      </c>
      <c r="M570" s="22" t="s">
        <v>2107</v>
      </c>
      <c r="N570" s="23" t="s">
        <v>2108</v>
      </c>
      <c r="O570" s="24" t="s">
        <v>261</v>
      </c>
      <c r="P570" s="25" t="s">
        <v>11717</v>
      </c>
      <c r="Q570" s="26" t="s">
        <v>204</v>
      </c>
      <c r="R570" s="27" t="s">
        <v>153</v>
      </c>
      <c r="S570" s="28" t="s">
        <v>290</v>
      </c>
      <c r="T570" s="29" t="s">
        <v>164</v>
      </c>
      <c r="U570" s="30" t="s">
        <v>237</v>
      </c>
      <c r="V570" s="31" t="s">
        <v>11718</v>
      </c>
      <c r="W570" s="32">
        <v>58000</v>
      </c>
      <c r="X570" s="33" t="s">
        <v>11719</v>
      </c>
      <c r="Y570" s="34" t="s">
        <v>153</v>
      </c>
      <c r="Z570" s="35" t="s">
        <v>153</v>
      </c>
      <c r="AA570" s="36">
        <v>1999</v>
      </c>
      <c r="AB570" s="37" t="s">
        <v>5453</v>
      </c>
      <c r="AC570" s="38" t="s">
        <v>153</v>
      </c>
      <c r="AD570" s="39" t="s">
        <v>153</v>
      </c>
      <c r="AE570" s="40" t="s">
        <v>153</v>
      </c>
      <c r="AF570" s="41" t="s">
        <v>153</v>
      </c>
      <c r="AG570" s="42" t="s">
        <v>153</v>
      </c>
      <c r="AH570" s="43" t="s">
        <v>153</v>
      </c>
      <c r="AI570" s="44" t="s">
        <v>153</v>
      </c>
      <c r="AJ570" s="45" t="s">
        <v>153</v>
      </c>
      <c r="AK570" s="46" t="s">
        <v>153</v>
      </c>
      <c r="AL570" s="47" t="s">
        <v>153</v>
      </c>
      <c r="AM570" s="48" t="s">
        <v>153</v>
      </c>
      <c r="AN570" s="49" t="s">
        <v>11654</v>
      </c>
      <c r="AO570" s="50" t="s">
        <v>11720</v>
      </c>
      <c r="AP570" s="51" t="s">
        <v>11721</v>
      </c>
      <c r="AQ570" s="52" t="s">
        <v>3351</v>
      </c>
      <c r="AR570" s="53" t="s">
        <v>11722</v>
      </c>
      <c r="AS570" s="54" t="s">
        <v>11723</v>
      </c>
      <c r="AT570" s="55" t="s">
        <v>6605</v>
      </c>
      <c r="AU570" s="56" t="s">
        <v>11724</v>
      </c>
      <c r="AV570" s="57" t="s">
        <v>153</v>
      </c>
      <c r="AW570" s="58" t="s">
        <v>6107</v>
      </c>
      <c r="AX570" s="59" t="s">
        <v>153</v>
      </c>
      <c r="AY570" s="60" t="s">
        <v>11725</v>
      </c>
      <c r="AZ570" s="61" t="s">
        <v>1426</v>
      </c>
      <c r="BA570" s="62" t="s">
        <v>11723</v>
      </c>
      <c r="BB570" s="63" t="s">
        <v>11726</v>
      </c>
      <c r="BC570" s="64" t="s">
        <v>153</v>
      </c>
      <c r="BD570" s="65" t="s">
        <v>180</v>
      </c>
      <c r="BE570" s="66" t="s">
        <v>181</v>
      </c>
      <c r="BF570" s="67" t="s">
        <v>11727</v>
      </c>
      <c r="BG570" s="68" t="s">
        <v>153</v>
      </c>
      <c r="BH570" s="69" t="s">
        <v>153</v>
      </c>
      <c r="BI570" s="70" t="s">
        <v>5453</v>
      </c>
      <c r="BJ570" s="71" t="s">
        <v>11728</v>
      </c>
      <c r="BK570" s="72" t="s">
        <v>153</v>
      </c>
      <c r="BL570" s="73" t="s">
        <v>153</v>
      </c>
      <c r="BM570" s="74" t="s">
        <v>11729</v>
      </c>
      <c r="BN570" s="75" t="s">
        <v>153</v>
      </c>
      <c r="BO570" s="76" t="s">
        <v>11730</v>
      </c>
      <c r="BP570" s="77" t="s">
        <v>153</v>
      </c>
      <c r="BQ570" s="78">
        <v>36220</v>
      </c>
      <c r="BR570" s="79">
        <v>7800</v>
      </c>
      <c r="BS570" s="80" t="s">
        <v>186</v>
      </c>
      <c r="BT570" s="81">
        <v>7800</v>
      </c>
      <c r="BU570" s="82" t="s">
        <v>187</v>
      </c>
      <c r="BV570" s="83" t="s">
        <v>226</v>
      </c>
      <c r="BW570" s="84" t="s">
        <v>729</v>
      </c>
      <c r="BX570" s="85" t="s">
        <v>153</v>
      </c>
      <c r="BY570" s="86" t="s">
        <v>225</v>
      </c>
      <c r="BZ570" s="87" t="s">
        <v>153</v>
      </c>
      <c r="CA570" s="88" t="s">
        <v>190</v>
      </c>
      <c r="CB570" s="89">
        <v>36220</v>
      </c>
      <c r="CC570" s="90">
        <v>7800</v>
      </c>
      <c r="CD570" s="91" t="s">
        <v>186</v>
      </c>
      <c r="CE570" s="92">
        <v>7800</v>
      </c>
      <c r="CF570" s="93" t="s">
        <v>187</v>
      </c>
      <c r="CG570" s="94" t="s">
        <v>226</v>
      </c>
      <c r="CH570" s="95" t="s">
        <v>729</v>
      </c>
      <c r="CI570" s="96" t="s">
        <v>153</v>
      </c>
      <c r="CJ570" s="97" t="s">
        <v>225</v>
      </c>
      <c r="CK570" s="98">
        <v>36220</v>
      </c>
      <c r="CL570" s="99" t="s">
        <v>153</v>
      </c>
      <c r="CM570" s="100" t="s">
        <v>153</v>
      </c>
      <c r="CN570" s="101" t="s">
        <v>190</v>
      </c>
      <c r="CO570" s="102">
        <v>0.18</v>
      </c>
      <c r="CP570" s="103">
        <v>90</v>
      </c>
      <c r="CQ570" s="104">
        <v>-0.06</v>
      </c>
      <c r="CR570" s="105">
        <v>-23.03</v>
      </c>
      <c r="CS570" s="106">
        <v>0.77</v>
      </c>
      <c r="CT570" s="107">
        <v>94</v>
      </c>
      <c r="CU570" s="108">
        <v>0.09</v>
      </c>
      <c r="CV570" s="109">
        <v>85</v>
      </c>
      <c r="CW570" s="110">
        <v>1.7</v>
      </c>
      <c r="CX570" s="111">
        <v>85</v>
      </c>
      <c r="CY570" s="112">
        <v>-0.17</v>
      </c>
      <c r="CZ570" s="113">
        <v>4</v>
      </c>
      <c r="DA570" s="114">
        <v>0.09</v>
      </c>
      <c r="DB570" s="115">
        <v>85</v>
      </c>
      <c r="DC570" s="116">
        <v>570.77</v>
      </c>
      <c r="DD570" s="117">
        <v>100</v>
      </c>
      <c r="DE570" s="118">
        <v>-7.0000000000000007E-2</v>
      </c>
      <c r="DF570" s="119">
        <v>-0.01</v>
      </c>
      <c r="DG570" s="120">
        <v>124.93</v>
      </c>
      <c r="DH570" s="121">
        <v>100</v>
      </c>
      <c r="DI570" s="122">
        <v>19.809999999999999</v>
      </c>
      <c r="DJ570" s="123">
        <v>92</v>
      </c>
      <c r="DK570" s="124">
        <v>38.18</v>
      </c>
      <c r="DL570" s="125">
        <v>94</v>
      </c>
      <c r="DM570" s="126">
        <v>211.69</v>
      </c>
      <c r="DN570" s="127">
        <v>100</v>
      </c>
      <c r="DO570" s="128">
        <v>19.809999999999999</v>
      </c>
      <c r="DP570" s="129">
        <v>92</v>
      </c>
      <c r="DQ570" s="130">
        <v>22748</v>
      </c>
      <c r="DR570" s="131">
        <v>-401</v>
      </c>
      <c r="DS570" s="132">
        <v>-1.73</v>
      </c>
      <c r="DT570" s="133">
        <v>3391</v>
      </c>
      <c r="DU570" s="134">
        <v>-12</v>
      </c>
      <c r="DV570" s="135">
        <v>-0.35</v>
      </c>
      <c r="DW570" s="136">
        <v>6218</v>
      </c>
      <c r="DX570" s="137">
        <v>4</v>
      </c>
      <c r="DY570" s="138">
        <v>0.06</v>
      </c>
      <c r="DZ570" s="139" t="s">
        <v>191</v>
      </c>
      <c r="EA570" s="140">
        <v>44363</v>
      </c>
      <c r="EB570" s="141">
        <v>7800</v>
      </c>
      <c r="EC570" s="142">
        <v>36220</v>
      </c>
      <c r="ED570" s="143" t="s">
        <v>226</v>
      </c>
      <c r="EE570" s="278" t="str">
        <f>HYPERLINK("https://my.pitchbook.com?c=124909-30", "View company online")</f>
        <v>View company online</v>
      </c>
    </row>
    <row r="571" spans="1:135" x14ac:dyDescent="0.45">
      <c r="A571" s="144" t="s">
        <v>11731</v>
      </c>
      <c r="B571" s="145" t="s">
        <v>6010</v>
      </c>
      <c r="C571" s="146" t="s">
        <v>153</v>
      </c>
      <c r="D571" s="147" t="s">
        <v>153</v>
      </c>
      <c r="E571" s="148" t="s">
        <v>11732</v>
      </c>
      <c r="F571" s="149" t="s">
        <v>153</v>
      </c>
      <c r="G571" s="150" t="s">
        <v>11733</v>
      </c>
      <c r="H571" s="151" t="s">
        <v>11734</v>
      </c>
      <c r="I571" s="152" t="s">
        <v>11731</v>
      </c>
      <c r="J571" s="153" t="s">
        <v>11735</v>
      </c>
      <c r="K571" s="154" t="s">
        <v>882</v>
      </c>
      <c r="L571" s="155" t="s">
        <v>883</v>
      </c>
      <c r="M571" s="156" t="s">
        <v>1615</v>
      </c>
      <c r="N571" s="157" t="s">
        <v>11736</v>
      </c>
      <c r="O571" s="158" t="s">
        <v>11737</v>
      </c>
      <c r="P571" s="159" t="s">
        <v>11738</v>
      </c>
      <c r="Q571" s="160" t="s">
        <v>204</v>
      </c>
      <c r="R571" s="161" t="s">
        <v>153</v>
      </c>
      <c r="S571" s="162" t="s">
        <v>290</v>
      </c>
      <c r="T571" s="163" t="s">
        <v>205</v>
      </c>
      <c r="U571" s="164" t="s">
        <v>206</v>
      </c>
      <c r="V571" s="165" t="s">
        <v>11739</v>
      </c>
      <c r="W571" s="166">
        <v>93700</v>
      </c>
      <c r="X571" s="167" t="s">
        <v>11740</v>
      </c>
      <c r="Y571" s="168" t="s">
        <v>153</v>
      </c>
      <c r="Z571" s="169" t="s">
        <v>153</v>
      </c>
      <c r="AA571" s="170">
        <v>1901</v>
      </c>
      <c r="AB571" s="171" t="s">
        <v>153</v>
      </c>
      <c r="AC571" s="172" t="s">
        <v>153</v>
      </c>
      <c r="AD571" s="173" t="s">
        <v>153</v>
      </c>
      <c r="AE571" s="174" t="s">
        <v>153</v>
      </c>
      <c r="AF571" s="175" t="s">
        <v>153</v>
      </c>
      <c r="AG571" s="176" t="s">
        <v>153</v>
      </c>
      <c r="AH571" s="177" t="s">
        <v>153</v>
      </c>
      <c r="AI571" s="178" t="s">
        <v>153</v>
      </c>
      <c r="AJ571" s="179" t="s">
        <v>153</v>
      </c>
      <c r="AK571" s="180" t="s">
        <v>153</v>
      </c>
      <c r="AL571" s="181" t="s">
        <v>153</v>
      </c>
      <c r="AM571" s="182" t="s">
        <v>153</v>
      </c>
      <c r="AN571" s="183" t="s">
        <v>11741</v>
      </c>
      <c r="AO571" s="184" t="s">
        <v>11742</v>
      </c>
      <c r="AP571" s="185" t="s">
        <v>11743</v>
      </c>
      <c r="AQ571" s="186" t="s">
        <v>573</v>
      </c>
      <c r="AR571" s="187" t="s">
        <v>153</v>
      </c>
      <c r="AS571" s="188" t="s">
        <v>153</v>
      </c>
      <c r="AT571" s="189" t="s">
        <v>7379</v>
      </c>
      <c r="AU571" s="190" t="s">
        <v>11744</v>
      </c>
      <c r="AV571" s="191" t="s">
        <v>153</v>
      </c>
      <c r="AW571" s="192" t="s">
        <v>7382</v>
      </c>
      <c r="AX571" s="193" t="s">
        <v>724</v>
      </c>
      <c r="AY571" s="194" t="s">
        <v>11745</v>
      </c>
      <c r="AZ571" s="195" t="s">
        <v>215</v>
      </c>
      <c r="BA571" s="196" t="s">
        <v>153</v>
      </c>
      <c r="BB571" s="197" t="s">
        <v>153</v>
      </c>
      <c r="BC571" s="198" t="s">
        <v>153</v>
      </c>
      <c r="BD571" s="199" t="s">
        <v>216</v>
      </c>
      <c r="BE571" s="200" t="s">
        <v>217</v>
      </c>
      <c r="BF571" s="201" t="s">
        <v>11746</v>
      </c>
      <c r="BG571" s="202" t="s">
        <v>153</v>
      </c>
      <c r="BH571" s="203" t="s">
        <v>153</v>
      </c>
      <c r="BI571" s="204" t="s">
        <v>9369</v>
      </c>
      <c r="BJ571" s="205" t="s">
        <v>153</v>
      </c>
      <c r="BK571" s="206" t="s">
        <v>153</v>
      </c>
      <c r="BL571" s="207" t="s">
        <v>153</v>
      </c>
      <c r="BM571" s="208" t="s">
        <v>153</v>
      </c>
      <c r="BN571" s="209" t="s">
        <v>153</v>
      </c>
      <c r="BO571" s="210" t="s">
        <v>11747</v>
      </c>
      <c r="BP571" s="211" t="s">
        <v>11748</v>
      </c>
      <c r="BQ571" s="212">
        <v>37601</v>
      </c>
      <c r="BR571" s="213">
        <v>7800</v>
      </c>
      <c r="BS571" s="214" t="s">
        <v>186</v>
      </c>
      <c r="BT571" s="215">
        <v>7800</v>
      </c>
      <c r="BU571" s="216" t="s">
        <v>187</v>
      </c>
      <c r="BV571" s="217" t="s">
        <v>226</v>
      </c>
      <c r="BW571" s="218" t="s">
        <v>153</v>
      </c>
      <c r="BX571" s="219" t="s">
        <v>153</v>
      </c>
      <c r="BY571" s="220" t="s">
        <v>225</v>
      </c>
      <c r="BZ571" s="221" t="s">
        <v>153</v>
      </c>
      <c r="CA571" s="222" t="s">
        <v>190</v>
      </c>
      <c r="CB571" s="223">
        <v>37601</v>
      </c>
      <c r="CC571" s="224">
        <v>7800</v>
      </c>
      <c r="CD571" s="225" t="s">
        <v>186</v>
      </c>
      <c r="CE571" s="226">
        <v>7800</v>
      </c>
      <c r="CF571" s="227" t="s">
        <v>187</v>
      </c>
      <c r="CG571" s="228" t="s">
        <v>226</v>
      </c>
      <c r="CH571" s="229" t="s">
        <v>153</v>
      </c>
      <c r="CI571" s="230" t="s">
        <v>153</v>
      </c>
      <c r="CJ571" s="231" t="s">
        <v>225</v>
      </c>
      <c r="CK571" s="232">
        <v>37601</v>
      </c>
      <c r="CL571" s="233" t="s">
        <v>153</v>
      </c>
      <c r="CM571" s="234" t="s">
        <v>153</v>
      </c>
      <c r="CN571" s="235" t="s">
        <v>190</v>
      </c>
      <c r="CO571" s="236" t="s">
        <v>153</v>
      </c>
      <c r="CP571" s="237" t="s">
        <v>153</v>
      </c>
      <c r="CQ571" s="238" t="s">
        <v>153</v>
      </c>
      <c r="CR571" s="239" t="s">
        <v>153</v>
      </c>
      <c r="CS571" s="240" t="s">
        <v>153</v>
      </c>
      <c r="CT571" s="241" t="s">
        <v>153</v>
      </c>
      <c r="CU571" s="242" t="s">
        <v>153</v>
      </c>
      <c r="CV571" s="243" t="s">
        <v>153</v>
      </c>
      <c r="CW571" s="244" t="s">
        <v>153</v>
      </c>
      <c r="CX571" s="245" t="s">
        <v>153</v>
      </c>
      <c r="CY571" s="246" t="s">
        <v>153</v>
      </c>
      <c r="CZ571" s="247" t="s">
        <v>153</v>
      </c>
      <c r="DA571" s="248" t="s">
        <v>153</v>
      </c>
      <c r="DB571" s="249" t="s">
        <v>153</v>
      </c>
      <c r="DC571" s="250" t="s">
        <v>153</v>
      </c>
      <c r="DD571" s="251" t="s">
        <v>153</v>
      </c>
      <c r="DE571" s="252" t="s">
        <v>153</v>
      </c>
      <c r="DF571" s="253" t="s">
        <v>153</v>
      </c>
      <c r="DG571" s="254" t="s">
        <v>153</v>
      </c>
      <c r="DH571" s="255" t="s">
        <v>153</v>
      </c>
      <c r="DI571" s="256" t="s">
        <v>153</v>
      </c>
      <c r="DJ571" s="257" t="s">
        <v>153</v>
      </c>
      <c r="DK571" s="258" t="s">
        <v>153</v>
      </c>
      <c r="DL571" s="259" t="s">
        <v>153</v>
      </c>
      <c r="DM571" s="260" t="s">
        <v>153</v>
      </c>
      <c r="DN571" s="261" t="s">
        <v>153</v>
      </c>
      <c r="DO571" s="262" t="s">
        <v>153</v>
      </c>
      <c r="DP571" s="263" t="s">
        <v>153</v>
      </c>
      <c r="DQ571" s="264" t="s">
        <v>153</v>
      </c>
      <c r="DR571" s="265" t="s">
        <v>153</v>
      </c>
      <c r="DS571" s="266" t="s">
        <v>153</v>
      </c>
      <c r="DT571" s="267" t="s">
        <v>153</v>
      </c>
      <c r="DU571" s="268" t="s">
        <v>153</v>
      </c>
      <c r="DV571" s="269" t="s">
        <v>153</v>
      </c>
      <c r="DW571" s="270" t="s">
        <v>153</v>
      </c>
      <c r="DX571" s="271" t="s">
        <v>153</v>
      </c>
      <c r="DY571" s="272" t="s">
        <v>153</v>
      </c>
      <c r="DZ571" s="273" t="s">
        <v>191</v>
      </c>
      <c r="EA571" s="274">
        <v>44210</v>
      </c>
      <c r="EB571" s="275">
        <v>7800</v>
      </c>
      <c r="EC571" s="276">
        <v>37601</v>
      </c>
      <c r="ED571" s="277" t="s">
        <v>226</v>
      </c>
      <c r="EE571" s="279" t="str">
        <f>HYPERLINK("https://my.pitchbook.com?c=228008-89", "View company online")</f>
        <v>View company online</v>
      </c>
    </row>
    <row r="572" spans="1:135" x14ac:dyDescent="0.45">
      <c r="A572" s="10" t="s">
        <v>11749</v>
      </c>
      <c r="B572" s="11" t="s">
        <v>11750</v>
      </c>
      <c r="C572" s="12" t="s">
        <v>153</v>
      </c>
      <c r="D572" s="13" t="s">
        <v>153</v>
      </c>
      <c r="E572" s="14" t="s">
        <v>153</v>
      </c>
      <c r="F572" s="15" t="s">
        <v>11751</v>
      </c>
      <c r="G572" s="16" t="s">
        <v>11752</v>
      </c>
      <c r="H572" s="17" t="s">
        <v>11753</v>
      </c>
      <c r="I572" s="18" t="s">
        <v>11749</v>
      </c>
      <c r="J572" s="19" t="s">
        <v>11754</v>
      </c>
      <c r="K572" s="20" t="s">
        <v>792</v>
      </c>
      <c r="L572" s="21" t="s">
        <v>841</v>
      </c>
      <c r="M572" s="22" t="s">
        <v>842</v>
      </c>
      <c r="N572" s="23" t="s">
        <v>843</v>
      </c>
      <c r="O572" s="24" t="s">
        <v>796</v>
      </c>
      <c r="P572" s="25" t="s">
        <v>11755</v>
      </c>
      <c r="Q572" s="26" t="s">
        <v>564</v>
      </c>
      <c r="R572" s="27">
        <v>1248.22</v>
      </c>
      <c r="S572" s="28" t="s">
        <v>290</v>
      </c>
      <c r="T572" s="29" t="s">
        <v>205</v>
      </c>
      <c r="U572" s="30" t="s">
        <v>1063</v>
      </c>
      <c r="V572" s="31" t="s">
        <v>11756</v>
      </c>
      <c r="W572" s="32">
        <v>467</v>
      </c>
      <c r="X572" s="33" t="s">
        <v>11757</v>
      </c>
      <c r="Y572" s="34" t="s">
        <v>153</v>
      </c>
      <c r="Z572" s="35" t="s">
        <v>153</v>
      </c>
      <c r="AA572" s="36">
        <v>2008</v>
      </c>
      <c r="AB572" s="37" t="s">
        <v>153</v>
      </c>
      <c r="AC572" s="38" t="s">
        <v>153</v>
      </c>
      <c r="AD572" s="39" t="s">
        <v>428</v>
      </c>
      <c r="AE572" s="40" t="s">
        <v>153</v>
      </c>
      <c r="AF572" s="41" t="s">
        <v>153</v>
      </c>
      <c r="AG572" s="42" t="s">
        <v>153</v>
      </c>
      <c r="AH572" s="43" t="s">
        <v>153</v>
      </c>
      <c r="AI572" s="44" t="s">
        <v>153</v>
      </c>
      <c r="AJ572" s="45" t="s">
        <v>153</v>
      </c>
      <c r="AK572" s="46" t="s">
        <v>153</v>
      </c>
      <c r="AL572" s="47" t="s">
        <v>153</v>
      </c>
      <c r="AM572" s="48" t="s">
        <v>153</v>
      </c>
      <c r="AN572" s="49" t="s">
        <v>2675</v>
      </c>
      <c r="AO572" s="50" t="s">
        <v>11758</v>
      </c>
      <c r="AP572" s="51" t="s">
        <v>11759</v>
      </c>
      <c r="AQ572" s="52" t="s">
        <v>11760</v>
      </c>
      <c r="AR572" s="53" t="s">
        <v>11761</v>
      </c>
      <c r="AS572" s="54" t="s">
        <v>11762</v>
      </c>
      <c r="AT572" s="55" t="s">
        <v>11763</v>
      </c>
      <c r="AU572" s="56" t="s">
        <v>11764</v>
      </c>
      <c r="AV572" s="57" t="s">
        <v>153</v>
      </c>
      <c r="AW572" s="58" t="s">
        <v>11765</v>
      </c>
      <c r="AX572" s="59" t="s">
        <v>2727</v>
      </c>
      <c r="AY572" s="60" t="s">
        <v>11766</v>
      </c>
      <c r="AZ572" s="61" t="s">
        <v>215</v>
      </c>
      <c r="BA572" s="62" t="s">
        <v>153</v>
      </c>
      <c r="BB572" s="63" t="s">
        <v>153</v>
      </c>
      <c r="BC572" s="64" t="s">
        <v>153</v>
      </c>
      <c r="BD572" s="65" t="s">
        <v>216</v>
      </c>
      <c r="BE572" s="66" t="s">
        <v>217</v>
      </c>
      <c r="BF572" s="67" t="s">
        <v>11767</v>
      </c>
      <c r="BG572" s="68" t="s">
        <v>153</v>
      </c>
      <c r="BH572" s="69" t="s">
        <v>153</v>
      </c>
      <c r="BI572" s="70" t="s">
        <v>11768</v>
      </c>
      <c r="BJ572" s="71" t="s">
        <v>11769</v>
      </c>
      <c r="BK572" s="72" t="s">
        <v>153</v>
      </c>
      <c r="BL572" s="73" t="s">
        <v>153</v>
      </c>
      <c r="BM572" s="74" t="s">
        <v>11770</v>
      </c>
      <c r="BN572" s="75" t="s">
        <v>153</v>
      </c>
      <c r="BO572" s="76" t="s">
        <v>11771</v>
      </c>
      <c r="BP572" s="77" t="s">
        <v>11772</v>
      </c>
      <c r="BQ572" s="78">
        <v>40544</v>
      </c>
      <c r="BR572" s="79">
        <v>400</v>
      </c>
      <c r="BS572" s="80" t="s">
        <v>186</v>
      </c>
      <c r="BT572" s="81" t="s">
        <v>153</v>
      </c>
      <c r="BU572" s="82" t="s">
        <v>153</v>
      </c>
      <c r="BV572" s="83" t="s">
        <v>709</v>
      </c>
      <c r="BW572" s="84" t="s">
        <v>153</v>
      </c>
      <c r="BX572" s="85" t="s">
        <v>153</v>
      </c>
      <c r="BY572" s="86" t="s">
        <v>165</v>
      </c>
      <c r="BZ572" s="87" t="s">
        <v>153</v>
      </c>
      <c r="CA572" s="88" t="s">
        <v>190</v>
      </c>
      <c r="CB572" s="89">
        <v>43052</v>
      </c>
      <c r="CC572" s="90">
        <v>7783</v>
      </c>
      <c r="CD572" s="91" t="s">
        <v>186</v>
      </c>
      <c r="CE572" s="92">
        <v>7783</v>
      </c>
      <c r="CF572" s="93" t="s">
        <v>186</v>
      </c>
      <c r="CG572" s="94" t="s">
        <v>226</v>
      </c>
      <c r="CH572" s="95" t="s">
        <v>153</v>
      </c>
      <c r="CI572" s="96" t="s">
        <v>153</v>
      </c>
      <c r="CJ572" s="97" t="s">
        <v>225</v>
      </c>
      <c r="CK572" s="98">
        <v>43052</v>
      </c>
      <c r="CL572" s="99" t="s">
        <v>153</v>
      </c>
      <c r="CM572" s="100" t="s">
        <v>153</v>
      </c>
      <c r="CN572" s="101" t="s">
        <v>190</v>
      </c>
      <c r="CO572" s="102" t="s">
        <v>153</v>
      </c>
      <c r="CP572" s="103" t="s">
        <v>153</v>
      </c>
      <c r="CQ572" s="104" t="s">
        <v>153</v>
      </c>
      <c r="CR572" s="105" t="s">
        <v>153</v>
      </c>
      <c r="CS572" s="106" t="s">
        <v>153</v>
      </c>
      <c r="CT572" s="107" t="s">
        <v>153</v>
      </c>
      <c r="CU572" s="108" t="s">
        <v>153</v>
      </c>
      <c r="CV572" s="109" t="s">
        <v>153</v>
      </c>
      <c r="CW572" s="110" t="s">
        <v>153</v>
      </c>
      <c r="CX572" s="111" t="s">
        <v>153</v>
      </c>
      <c r="CY572" s="112" t="s">
        <v>153</v>
      </c>
      <c r="CZ572" s="113" t="s">
        <v>153</v>
      </c>
      <c r="DA572" s="114" t="s">
        <v>153</v>
      </c>
      <c r="DB572" s="115" t="s">
        <v>153</v>
      </c>
      <c r="DC572" s="116" t="s">
        <v>153</v>
      </c>
      <c r="DD572" s="117" t="s">
        <v>153</v>
      </c>
      <c r="DE572" s="118" t="s">
        <v>153</v>
      </c>
      <c r="DF572" s="119" t="s">
        <v>153</v>
      </c>
      <c r="DG572" s="120" t="s">
        <v>153</v>
      </c>
      <c r="DH572" s="121" t="s">
        <v>153</v>
      </c>
      <c r="DI572" s="122" t="s">
        <v>153</v>
      </c>
      <c r="DJ572" s="123" t="s">
        <v>153</v>
      </c>
      <c r="DK572" s="124" t="s">
        <v>153</v>
      </c>
      <c r="DL572" s="125" t="s">
        <v>153</v>
      </c>
      <c r="DM572" s="126" t="s">
        <v>153</v>
      </c>
      <c r="DN572" s="127" t="s">
        <v>153</v>
      </c>
      <c r="DO572" s="128" t="s">
        <v>153</v>
      </c>
      <c r="DP572" s="129" t="s">
        <v>153</v>
      </c>
      <c r="DQ572" s="130" t="s">
        <v>153</v>
      </c>
      <c r="DR572" s="131" t="s">
        <v>153</v>
      </c>
      <c r="DS572" s="132" t="s">
        <v>153</v>
      </c>
      <c r="DT572" s="133" t="s">
        <v>153</v>
      </c>
      <c r="DU572" s="134" t="s">
        <v>153</v>
      </c>
      <c r="DV572" s="135" t="s">
        <v>153</v>
      </c>
      <c r="DW572" s="136" t="s">
        <v>153</v>
      </c>
      <c r="DX572" s="137" t="s">
        <v>153</v>
      </c>
      <c r="DY572" s="138" t="s">
        <v>153</v>
      </c>
      <c r="DZ572" s="139" t="s">
        <v>191</v>
      </c>
      <c r="EA572" s="140">
        <v>44402</v>
      </c>
      <c r="EB572" s="141">
        <v>7783</v>
      </c>
      <c r="EC572" s="142">
        <v>43052</v>
      </c>
      <c r="ED572" s="143" t="s">
        <v>226</v>
      </c>
      <c r="EE572" s="278" t="str">
        <f>HYPERLINK("https://my.pitchbook.com?c=55180-36", "View company online")</f>
        <v>View company online</v>
      </c>
    </row>
    <row r="573" spans="1:135" x14ac:dyDescent="0.45">
      <c r="A573" s="144" t="s">
        <v>11773</v>
      </c>
      <c r="B573" s="145" t="s">
        <v>11774</v>
      </c>
      <c r="C573" s="146" t="s">
        <v>153</v>
      </c>
      <c r="D573" s="147" t="s">
        <v>153</v>
      </c>
      <c r="E573" s="148" t="s">
        <v>11775</v>
      </c>
      <c r="F573" s="149" t="s">
        <v>11776</v>
      </c>
      <c r="G573" s="150" t="s">
        <v>11777</v>
      </c>
      <c r="H573" s="151" t="s">
        <v>153</v>
      </c>
      <c r="I573" s="152" t="s">
        <v>11773</v>
      </c>
      <c r="J573" s="153" t="s">
        <v>11778</v>
      </c>
      <c r="K573" s="154" t="s">
        <v>882</v>
      </c>
      <c r="L573" s="155" t="s">
        <v>883</v>
      </c>
      <c r="M573" s="156" t="s">
        <v>1369</v>
      </c>
      <c r="N573" s="157" t="s">
        <v>1566</v>
      </c>
      <c r="O573" s="158" t="s">
        <v>261</v>
      </c>
      <c r="P573" s="159" t="s">
        <v>11779</v>
      </c>
      <c r="Q573" s="160" t="s">
        <v>204</v>
      </c>
      <c r="R573" s="161" t="s">
        <v>153</v>
      </c>
      <c r="S573" s="162" t="s">
        <v>163</v>
      </c>
      <c r="T573" s="163" t="s">
        <v>164</v>
      </c>
      <c r="U573" s="164" t="s">
        <v>206</v>
      </c>
      <c r="V573" s="165" t="s">
        <v>11780</v>
      </c>
      <c r="W573" s="166" t="s">
        <v>153</v>
      </c>
      <c r="X573" s="167" t="s">
        <v>153</v>
      </c>
      <c r="Y573" s="168" t="s">
        <v>153</v>
      </c>
      <c r="Z573" s="169" t="s">
        <v>153</v>
      </c>
      <c r="AA573" s="170">
        <v>2008</v>
      </c>
      <c r="AB573" s="171" t="s">
        <v>11781</v>
      </c>
      <c r="AC573" s="172" t="s">
        <v>153</v>
      </c>
      <c r="AD573" s="173" t="s">
        <v>153</v>
      </c>
      <c r="AE573" s="174" t="s">
        <v>153</v>
      </c>
      <c r="AF573" s="175" t="s">
        <v>153</v>
      </c>
      <c r="AG573" s="176" t="s">
        <v>153</v>
      </c>
      <c r="AH573" s="177" t="s">
        <v>153</v>
      </c>
      <c r="AI573" s="178" t="s">
        <v>153</v>
      </c>
      <c r="AJ573" s="179" t="s">
        <v>153</v>
      </c>
      <c r="AK573" s="180" t="s">
        <v>153</v>
      </c>
      <c r="AL573" s="181" t="s">
        <v>153</v>
      </c>
      <c r="AM573" s="182" t="s">
        <v>153</v>
      </c>
      <c r="AN573" s="183" t="s">
        <v>153</v>
      </c>
      <c r="AO573" s="184" t="s">
        <v>153</v>
      </c>
      <c r="AP573" s="185" t="s">
        <v>153</v>
      </c>
      <c r="AQ573" s="186" t="s">
        <v>153</v>
      </c>
      <c r="AR573" s="187" t="s">
        <v>153</v>
      </c>
      <c r="AS573" s="188" t="s">
        <v>153</v>
      </c>
      <c r="AT573" s="189" t="s">
        <v>11782</v>
      </c>
      <c r="AU573" s="190" t="s">
        <v>11783</v>
      </c>
      <c r="AV573" s="191" t="s">
        <v>11784</v>
      </c>
      <c r="AW573" s="192" t="s">
        <v>11785</v>
      </c>
      <c r="AX573" s="193" t="s">
        <v>153</v>
      </c>
      <c r="AY573" s="194" t="s">
        <v>153</v>
      </c>
      <c r="AZ573" s="195" t="s">
        <v>1519</v>
      </c>
      <c r="BA573" s="196" t="s">
        <v>11786</v>
      </c>
      <c r="BB573" s="197" t="s">
        <v>11787</v>
      </c>
      <c r="BC573" s="198" t="s">
        <v>153</v>
      </c>
      <c r="BD573" s="199" t="s">
        <v>1406</v>
      </c>
      <c r="BE573" s="200" t="s">
        <v>1407</v>
      </c>
      <c r="BF573" s="201" t="s">
        <v>11788</v>
      </c>
      <c r="BG573" s="202" t="s">
        <v>153</v>
      </c>
      <c r="BH573" s="203" t="s">
        <v>153</v>
      </c>
      <c r="BI573" s="204" t="s">
        <v>11781</v>
      </c>
      <c r="BJ573" s="205" t="s">
        <v>153</v>
      </c>
      <c r="BK573" s="206" t="s">
        <v>153</v>
      </c>
      <c r="BL573" s="207" t="s">
        <v>153</v>
      </c>
      <c r="BM573" s="208" t="s">
        <v>153</v>
      </c>
      <c r="BN573" s="209" t="s">
        <v>153</v>
      </c>
      <c r="BO573" s="210" t="s">
        <v>153</v>
      </c>
      <c r="BP573" s="211" t="s">
        <v>153</v>
      </c>
      <c r="BQ573" s="212">
        <v>42005</v>
      </c>
      <c r="BR573" s="213">
        <v>7778.35</v>
      </c>
      <c r="BS573" s="214" t="s">
        <v>186</v>
      </c>
      <c r="BT573" s="215">
        <v>7778.35</v>
      </c>
      <c r="BU573" s="216" t="s">
        <v>186</v>
      </c>
      <c r="BV573" s="217" t="s">
        <v>226</v>
      </c>
      <c r="BW573" s="218" t="s">
        <v>153</v>
      </c>
      <c r="BX573" s="219" t="s">
        <v>153</v>
      </c>
      <c r="BY573" s="220" t="s">
        <v>225</v>
      </c>
      <c r="BZ573" s="221" t="s">
        <v>153</v>
      </c>
      <c r="CA573" s="222" t="s">
        <v>190</v>
      </c>
      <c r="CB573" s="223">
        <v>42005</v>
      </c>
      <c r="CC573" s="224">
        <v>7778.35</v>
      </c>
      <c r="CD573" s="225" t="s">
        <v>186</v>
      </c>
      <c r="CE573" s="226">
        <v>7778.35</v>
      </c>
      <c r="CF573" s="227" t="s">
        <v>186</v>
      </c>
      <c r="CG573" s="228" t="s">
        <v>226</v>
      </c>
      <c r="CH573" s="229" t="s">
        <v>153</v>
      </c>
      <c r="CI573" s="230" t="s">
        <v>153</v>
      </c>
      <c r="CJ573" s="231" t="s">
        <v>225</v>
      </c>
      <c r="CK573" s="232">
        <v>42005</v>
      </c>
      <c r="CL573" s="233" t="s">
        <v>153</v>
      </c>
      <c r="CM573" s="234" t="s">
        <v>153</v>
      </c>
      <c r="CN573" s="235" t="s">
        <v>190</v>
      </c>
      <c r="CO573" s="236">
        <v>0</v>
      </c>
      <c r="CP573" s="237">
        <v>11</v>
      </c>
      <c r="CQ573" s="238">
        <v>0</v>
      </c>
      <c r="CR573" s="239">
        <v>0</v>
      </c>
      <c r="CS573" s="240">
        <v>0</v>
      </c>
      <c r="CT573" s="241">
        <v>8</v>
      </c>
      <c r="CU573" s="242" t="s">
        <v>153</v>
      </c>
      <c r="CV573" s="243" t="s">
        <v>153</v>
      </c>
      <c r="CW573" s="244" t="s">
        <v>153</v>
      </c>
      <c r="CX573" s="245" t="s">
        <v>153</v>
      </c>
      <c r="CY573" s="246">
        <v>0</v>
      </c>
      <c r="CZ573" s="247">
        <v>5</v>
      </c>
      <c r="DA573" s="248" t="s">
        <v>153</v>
      </c>
      <c r="DB573" s="249" t="s">
        <v>153</v>
      </c>
      <c r="DC573" s="250">
        <v>0.38</v>
      </c>
      <c r="DD573" s="251">
        <v>27</v>
      </c>
      <c r="DE573" s="252">
        <v>0</v>
      </c>
      <c r="DF573" s="253">
        <v>0</v>
      </c>
      <c r="DG573" s="254">
        <v>0.38</v>
      </c>
      <c r="DH573" s="255">
        <v>27</v>
      </c>
      <c r="DI573" s="256" t="s">
        <v>153</v>
      </c>
      <c r="DJ573" s="257" t="s">
        <v>153</v>
      </c>
      <c r="DK573" s="258" t="s">
        <v>153</v>
      </c>
      <c r="DL573" s="259" t="s">
        <v>153</v>
      </c>
      <c r="DM573" s="260">
        <v>0.38</v>
      </c>
      <c r="DN573" s="261">
        <v>26</v>
      </c>
      <c r="DO573" s="262" t="s">
        <v>153</v>
      </c>
      <c r="DP573" s="263" t="s">
        <v>153</v>
      </c>
      <c r="DQ573" s="264" t="s">
        <v>153</v>
      </c>
      <c r="DR573" s="265" t="s">
        <v>153</v>
      </c>
      <c r="DS573" s="266" t="s">
        <v>153</v>
      </c>
      <c r="DT573" s="267">
        <v>6</v>
      </c>
      <c r="DU573" s="268">
        <v>0</v>
      </c>
      <c r="DV573" s="269">
        <v>0</v>
      </c>
      <c r="DW573" s="270" t="s">
        <v>153</v>
      </c>
      <c r="DX573" s="271" t="s">
        <v>153</v>
      </c>
      <c r="DY573" s="272" t="s">
        <v>153</v>
      </c>
      <c r="DZ573" s="273" t="s">
        <v>191</v>
      </c>
      <c r="EA573" s="274">
        <v>43755</v>
      </c>
      <c r="EB573" s="275">
        <v>7778.35</v>
      </c>
      <c r="EC573" s="276">
        <v>42005</v>
      </c>
      <c r="ED573" s="277" t="s">
        <v>226</v>
      </c>
      <c r="EE573" s="279" t="str">
        <f>HYPERLINK("https://my.pitchbook.com?c=162705-34", "View company online")</f>
        <v>View company online</v>
      </c>
    </row>
    <row r="574" spans="1:135" x14ac:dyDescent="0.45">
      <c r="A574" s="10" t="s">
        <v>11789</v>
      </c>
      <c r="B574" s="11" t="s">
        <v>11790</v>
      </c>
      <c r="C574" s="12" t="s">
        <v>153</v>
      </c>
      <c r="D574" s="13" t="s">
        <v>153</v>
      </c>
      <c r="E574" s="14" t="s">
        <v>11791</v>
      </c>
      <c r="F574" s="15" t="s">
        <v>153</v>
      </c>
      <c r="G574" s="16" t="s">
        <v>11792</v>
      </c>
      <c r="H574" s="17" t="s">
        <v>153</v>
      </c>
      <c r="I574" s="18" t="s">
        <v>11789</v>
      </c>
      <c r="J574" s="19" t="s">
        <v>11793</v>
      </c>
      <c r="K574" s="20" t="s">
        <v>792</v>
      </c>
      <c r="L574" s="21" t="s">
        <v>3864</v>
      </c>
      <c r="M574" s="22" t="s">
        <v>3865</v>
      </c>
      <c r="N574" s="23" t="s">
        <v>8440</v>
      </c>
      <c r="O574" s="24" t="s">
        <v>796</v>
      </c>
      <c r="P574" s="25" t="s">
        <v>11794</v>
      </c>
      <c r="Q574" s="26" t="s">
        <v>204</v>
      </c>
      <c r="R574" s="27" t="s">
        <v>153</v>
      </c>
      <c r="S574" s="28" t="s">
        <v>163</v>
      </c>
      <c r="T574" s="29" t="s">
        <v>205</v>
      </c>
      <c r="U574" s="30" t="s">
        <v>237</v>
      </c>
      <c r="V574" s="31" t="s">
        <v>11795</v>
      </c>
      <c r="W574" s="32">
        <v>11742</v>
      </c>
      <c r="X574" s="33" t="s">
        <v>11796</v>
      </c>
      <c r="Y574" s="34" t="s">
        <v>153</v>
      </c>
      <c r="Z574" s="35" t="s">
        <v>153</v>
      </c>
      <c r="AA574" s="36">
        <v>1989</v>
      </c>
      <c r="AB574" s="37" t="s">
        <v>153</v>
      </c>
      <c r="AC574" s="38" t="s">
        <v>153</v>
      </c>
      <c r="AD574" s="39" t="s">
        <v>153</v>
      </c>
      <c r="AE574" s="40" t="s">
        <v>153</v>
      </c>
      <c r="AF574" s="41" t="s">
        <v>153</v>
      </c>
      <c r="AG574" s="42" t="s">
        <v>153</v>
      </c>
      <c r="AH574" s="43" t="s">
        <v>153</v>
      </c>
      <c r="AI574" s="44" t="s">
        <v>153</v>
      </c>
      <c r="AJ574" s="45" t="s">
        <v>153</v>
      </c>
      <c r="AK574" s="46" t="s">
        <v>153</v>
      </c>
      <c r="AL574" s="47" t="s">
        <v>153</v>
      </c>
      <c r="AM574" s="48" t="s">
        <v>153</v>
      </c>
      <c r="AN574" s="49" t="s">
        <v>11741</v>
      </c>
      <c r="AO574" s="50" t="s">
        <v>153</v>
      </c>
      <c r="AP574" s="51" t="s">
        <v>153</v>
      </c>
      <c r="AQ574" s="52" t="s">
        <v>153</v>
      </c>
      <c r="AR574" s="53" t="s">
        <v>153</v>
      </c>
      <c r="AS574" s="54" t="s">
        <v>153</v>
      </c>
      <c r="AT574" s="55" t="s">
        <v>11797</v>
      </c>
      <c r="AU574" s="56" t="s">
        <v>11798</v>
      </c>
      <c r="AV574" s="57" t="s">
        <v>11799</v>
      </c>
      <c r="AW574" s="58" t="s">
        <v>11800</v>
      </c>
      <c r="AX574" s="59" t="s">
        <v>177</v>
      </c>
      <c r="AY574" s="60" t="s">
        <v>11801</v>
      </c>
      <c r="AZ574" s="61" t="s">
        <v>179</v>
      </c>
      <c r="BA574" s="62" t="s">
        <v>153</v>
      </c>
      <c r="BB574" s="63" t="s">
        <v>153</v>
      </c>
      <c r="BC574" s="64" t="s">
        <v>153</v>
      </c>
      <c r="BD574" s="65" t="s">
        <v>180</v>
      </c>
      <c r="BE574" s="66" t="s">
        <v>181</v>
      </c>
      <c r="BF574" s="67" t="s">
        <v>11802</v>
      </c>
      <c r="BG574" s="68" t="s">
        <v>153</v>
      </c>
      <c r="BH574" s="69" t="s">
        <v>153</v>
      </c>
      <c r="BI574" s="70" t="s">
        <v>11803</v>
      </c>
      <c r="BJ574" s="71" t="s">
        <v>153</v>
      </c>
      <c r="BK574" s="72" t="s">
        <v>153</v>
      </c>
      <c r="BL574" s="73" t="s">
        <v>153</v>
      </c>
      <c r="BM574" s="74" t="s">
        <v>153</v>
      </c>
      <c r="BN574" s="75" t="s">
        <v>153</v>
      </c>
      <c r="BO574" s="76" t="s">
        <v>153</v>
      </c>
      <c r="BP574" s="77" t="s">
        <v>153</v>
      </c>
      <c r="BQ574" s="78">
        <v>35074</v>
      </c>
      <c r="BR574" s="79" t="s">
        <v>153</v>
      </c>
      <c r="BS574" s="80" t="s">
        <v>153</v>
      </c>
      <c r="BT574" s="81" t="s">
        <v>153</v>
      </c>
      <c r="BU574" s="82" t="s">
        <v>153</v>
      </c>
      <c r="BV574" s="83" t="s">
        <v>251</v>
      </c>
      <c r="BW574" s="84" t="s">
        <v>153</v>
      </c>
      <c r="BX574" s="85" t="s">
        <v>153</v>
      </c>
      <c r="BY574" s="86" t="s">
        <v>252</v>
      </c>
      <c r="BZ574" s="87" t="s">
        <v>153</v>
      </c>
      <c r="CA574" s="88" t="s">
        <v>190</v>
      </c>
      <c r="CB574" s="89">
        <v>37438</v>
      </c>
      <c r="CC574" s="90">
        <v>7778.2</v>
      </c>
      <c r="CD574" s="91" t="s">
        <v>186</v>
      </c>
      <c r="CE574" s="92">
        <v>7778.2</v>
      </c>
      <c r="CF574" s="93" t="s">
        <v>187</v>
      </c>
      <c r="CG574" s="94" t="s">
        <v>226</v>
      </c>
      <c r="CH574" s="95" t="s">
        <v>153</v>
      </c>
      <c r="CI574" s="96" t="s">
        <v>153</v>
      </c>
      <c r="CJ574" s="97" t="s">
        <v>225</v>
      </c>
      <c r="CK574" s="98">
        <v>37438</v>
      </c>
      <c r="CL574" s="99" t="s">
        <v>153</v>
      </c>
      <c r="CM574" s="100" t="s">
        <v>153</v>
      </c>
      <c r="CN574" s="101" t="s">
        <v>190</v>
      </c>
      <c r="CO574" s="102" t="s">
        <v>153</v>
      </c>
      <c r="CP574" s="103" t="s">
        <v>153</v>
      </c>
      <c r="CQ574" s="104" t="s">
        <v>153</v>
      </c>
      <c r="CR574" s="105" t="s">
        <v>153</v>
      </c>
      <c r="CS574" s="106" t="s">
        <v>153</v>
      </c>
      <c r="CT574" s="107" t="s">
        <v>153</v>
      </c>
      <c r="CU574" s="108" t="s">
        <v>153</v>
      </c>
      <c r="CV574" s="109" t="s">
        <v>153</v>
      </c>
      <c r="CW574" s="110" t="s">
        <v>153</v>
      </c>
      <c r="CX574" s="111" t="s">
        <v>153</v>
      </c>
      <c r="CY574" s="112" t="s">
        <v>153</v>
      </c>
      <c r="CZ574" s="113" t="s">
        <v>153</v>
      </c>
      <c r="DA574" s="114" t="s">
        <v>153</v>
      </c>
      <c r="DB574" s="115" t="s">
        <v>153</v>
      </c>
      <c r="DC574" s="116" t="s">
        <v>153</v>
      </c>
      <c r="DD574" s="117" t="s">
        <v>153</v>
      </c>
      <c r="DE574" s="118" t="s">
        <v>153</v>
      </c>
      <c r="DF574" s="119" t="s">
        <v>153</v>
      </c>
      <c r="DG574" s="120" t="s">
        <v>153</v>
      </c>
      <c r="DH574" s="121" t="s">
        <v>153</v>
      </c>
      <c r="DI574" s="122" t="s">
        <v>153</v>
      </c>
      <c r="DJ574" s="123" t="s">
        <v>153</v>
      </c>
      <c r="DK574" s="124" t="s">
        <v>153</v>
      </c>
      <c r="DL574" s="125" t="s">
        <v>153</v>
      </c>
      <c r="DM574" s="126" t="s">
        <v>153</v>
      </c>
      <c r="DN574" s="127" t="s">
        <v>153</v>
      </c>
      <c r="DO574" s="128" t="s">
        <v>153</v>
      </c>
      <c r="DP574" s="129" t="s">
        <v>153</v>
      </c>
      <c r="DQ574" s="130" t="s">
        <v>153</v>
      </c>
      <c r="DR574" s="131" t="s">
        <v>153</v>
      </c>
      <c r="DS574" s="132" t="s">
        <v>153</v>
      </c>
      <c r="DT574" s="133" t="s">
        <v>153</v>
      </c>
      <c r="DU574" s="134" t="s">
        <v>153</v>
      </c>
      <c r="DV574" s="135" t="s">
        <v>153</v>
      </c>
      <c r="DW574" s="136" t="s">
        <v>153</v>
      </c>
      <c r="DX574" s="137" t="s">
        <v>153</v>
      </c>
      <c r="DY574" s="138" t="s">
        <v>153</v>
      </c>
      <c r="DZ574" s="139" t="s">
        <v>191</v>
      </c>
      <c r="EA574" s="140">
        <v>44290</v>
      </c>
      <c r="EB574" s="141">
        <v>7778.2</v>
      </c>
      <c r="EC574" s="142">
        <v>37438</v>
      </c>
      <c r="ED574" s="143" t="s">
        <v>226</v>
      </c>
      <c r="EE574" s="278" t="str">
        <f>HYPERLINK("https://my.pitchbook.com?c=230777-56", "View company online")</f>
        <v>View company online</v>
      </c>
    </row>
    <row r="575" spans="1:135" x14ac:dyDescent="0.45">
      <c r="A575" s="144" t="s">
        <v>11804</v>
      </c>
      <c r="B575" s="145" t="s">
        <v>11805</v>
      </c>
      <c r="C575" s="146" t="s">
        <v>153</v>
      </c>
      <c r="D575" s="147" t="s">
        <v>153</v>
      </c>
      <c r="E575" s="148" t="s">
        <v>153</v>
      </c>
      <c r="F575" s="149" t="s">
        <v>11806</v>
      </c>
      <c r="G575" s="150" t="s">
        <v>11807</v>
      </c>
      <c r="H575" s="151" t="s">
        <v>153</v>
      </c>
      <c r="I575" s="152" t="s">
        <v>11804</v>
      </c>
      <c r="J575" s="153" t="s">
        <v>11808</v>
      </c>
      <c r="K575" s="154" t="s">
        <v>257</v>
      </c>
      <c r="L575" s="155" t="s">
        <v>258</v>
      </c>
      <c r="M575" s="156" t="s">
        <v>6646</v>
      </c>
      <c r="N575" s="157" t="s">
        <v>11809</v>
      </c>
      <c r="O575" s="158" t="s">
        <v>450</v>
      </c>
      <c r="P575" s="159" t="s">
        <v>11810</v>
      </c>
      <c r="Q575" s="160" t="s">
        <v>204</v>
      </c>
      <c r="R575" s="161" t="s">
        <v>153</v>
      </c>
      <c r="S575" s="162" t="s">
        <v>163</v>
      </c>
      <c r="T575" s="163" t="s">
        <v>205</v>
      </c>
      <c r="U575" s="164" t="s">
        <v>206</v>
      </c>
      <c r="V575" s="165" t="s">
        <v>153</v>
      </c>
      <c r="W575" s="166" t="s">
        <v>153</v>
      </c>
      <c r="X575" s="167" t="s">
        <v>153</v>
      </c>
      <c r="Y575" s="168" t="s">
        <v>153</v>
      </c>
      <c r="Z575" s="169" t="s">
        <v>153</v>
      </c>
      <c r="AA575" s="170">
        <v>1991</v>
      </c>
      <c r="AB575" s="171" t="s">
        <v>153</v>
      </c>
      <c r="AC575" s="172" t="s">
        <v>153</v>
      </c>
      <c r="AD575" s="173" t="s">
        <v>153</v>
      </c>
      <c r="AE575" s="174" t="s">
        <v>153</v>
      </c>
      <c r="AF575" s="175" t="s">
        <v>153</v>
      </c>
      <c r="AG575" s="176" t="s">
        <v>153</v>
      </c>
      <c r="AH575" s="177" t="s">
        <v>153</v>
      </c>
      <c r="AI575" s="178" t="s">
        <v>153</v>
      </c>
      <c r="AJ575" s="179" t="s">
        <v>153</v>
      </c>
      <c r="AK575" s="180" t="s">
        <v>153</v>
      </c>
      <c r="AL575" s="181" t="s">
        <v>153</v>
      </c>
      <c r="AM575" s="182" t="s">
        <v>153</v>
      </c>
      <c r="AN575" s="183" t="s">
        <v>11741</v>
      </c>
      <c r="AO575" s="184" t="s">
        <v>11811</v>
      </c>
      <c r="AP575" s="185" t="s">
        <v>11812</v>
      </c>
      <c r="AQ575" s="186" t="s">
        <v>11813</v>
      </c>
      <c r="AR575" s="187" t="s">
        <v>153</v>
      </c>
      <c r="AS575" s="188" t="s">
        <v>153</v>
      </c>
      <c r="AT575" s="189" t="s">
        <v>9618</v>
      </c>
      <c r="AU575" s="190" t="s">
        <v>11814</v>
      </c>
      <c r="AV575" s="191" t="s">
        <v>153</v>
      </c>
      <c r="AW575" s="192" t="s">
        <v>4255</v>
      </c>
      <c r="AX575" s="193" t="s">
        <v>9620</v>
      </c>
      <c r="AY575" s="194" t="s">
        <v>11815</v>
      </c>
      <c r="AZ575" s="195" t="s">
        <v>215</v>
      </c>
      <c r="BA575" s="196" t="s">
        <v>153</v>
      </c>
      <c r="BB575" s="197" t="s">
        <v>153</v>
      </c>
      <c r="BC575" s="198" t="s">
        <v>153</v>
      </c>
      <c r="BD575" s="199" t="s">
        <v>216</v>
      </c>
      <c r="BE575" s="200" t="s">
        <v>217</v>
      </c>
      <c r="BF575" s="201" t="s">
        <v>11816</v>
      </c>
      <c r="BG575" s="202" t="s">
        <v>153</v>
      </c>
      <c r="BH575" s="203" t="s">
        <v>153</v>
      </c>
      <c r="BI575" s="204" t="s">
        <v>455</v>
      </c>
      <c r="BJ575" s="205" t="s">
        <v>4839</v>
      </c>
      <c r="BK575" s="206" t="s">
        <v>153</v>
      </c>
      <c r="BL575" s="207" t="s">
        <v>153</v>
      </c>
      <c r="BM575" s="208" t="s">
        <v>153</v>
      </c>
      <c r="BN575" s="209" t="s">
        <v>153</v>
      </c>
      <c r="BO575" s="210" t="s">
        <v>153</v>
      </c>
      <c r="BP575" s="211" t="s">
        <v>153</v>
      </c>
      <c r="BQ575" s="212">
        <v>37165</v>
      </c>
      <c r="BR575" s="213">
        <v>7774</v>
      </c>
      <c r="BS575" s="214" t="s">
        <v>186</v>
      </c>
      <c r="BT575" s="215">
        <v>7774</v>
      </c>
      <c r="BU575" s="216" t="s">
        <v>186</v>
      </c>
      <c r="BV575" s="217" t="s">
        <v>226</v>
      </c>
      <c r="BW575" s="218" t="s">
        <v>729</v>
      </c>
      <c r="BX575" s="219" t="s">
        <v>153</v>
      </c>
      <c r="BY575" s="220" t="s">
        <v>225</v>
      </c>
      <c r="BZ575" s="221" t="s">
        <v>153</v>
      </c>
      <c r="CA575" s="222" t="s">
        <v>190</v>
      </c>
      <c r="CB575" s="223">
        <v>37165</v>
      </c>
      <c r="CC575" s="224">
        <v>7774</v>
      </c>
      <c r="CD575" s="225" t="s">
        <v>186</v>
      </c>
      <c r="CE575" s="226">
        <v>7774</v>
      </c>
      <c r="CF575" s="227" t="s">
        <v>186</v>
      </c>
      <c r="CG575" s="228" t="s">
        <v>226</v>
      </c>
      <c r="CH575" s="229" t="s">
        <v>729</v>
      </c>
      <c r="CI575" s="230" t="s">
        <v>153</v>
      </c>
      <c r="CJ575" s="231" t="s">
        <v>225</v>
      </c>
      <c r="CK575" s="232">
        <v>37165</v>
      </c>
      <c r="CL575" s="233" t="s">
        <v>153</v>
      </c>
      <c r="CM575" s="234" t="s">
        <v>153</v>
      </c>
      <c r="CN575" s="235" t="s">
        <v>190</v>
      </c>
      <c r="CO575" s="236" t="s">
        <v>153</v>
      </c>
      <c r="CP575" s="237" t="s">
        <v>153</v>
      </c>
      <c r="CQ575" s="238" t="s">
        <v>153</v>
      </c>
      <c r="CR575" s="239" t="s">
        <v>153</v>
      </c>
      <c r="CS575" s="240" t="s">
        <v>153</v>
      </c>
      <c r="CT575" s="241" t="s">
        <v>153</v>
      </c>
      <c r="CU575" s="242" t="s">
        <v>153</v>
      </c>
      <c r="CV575" s="243" t="s">
        <v>153</v>
      </c>
      <c r="CW575" s="244" t="s">
        <v>153</v>
      </c>
      <c r="CX575" s="245" t="s">
        <v>153</v>
      </c>
      <c r="CY575" s="246" t="s">
        <v>153</v>
      </c>
      <c r="CZ575" s="247" t="s">
        <v>153</v>
      </c>
      <c r="DA575" s="248" t="s">
        <v>153</v>
      </c>
      <c r="DB575" s="249" t="s">
        <v>153</v>
      </c>
      <c r="DC575" s="250" t="s">
        <v>153</v>
      </c>
      <c r="DD575" s="251" t="s">
        <v>153</v>
      </c>
      <c r="DE575" s="252" t="s">
        <v>153</v>
      </c>
      <c r="DF575" s="253" t="s">
        <v>153</v>
      </c>
      <c r="DG575" s="254" t="s">
        <v>153</v>
      </c>
      <c r="DH575" s="255" t="s">
        <v>153</v>
      </c>
      <c r="DI575" s="256" t="s">
        <v>153</v>
      </c>
      <c r="DJ575" s="257" t="s">
        <v>153</v>
      </c>
      <c r="DK575" s="258" t="s">
        <v>153</v>
      </c>
      <c r="DL575" s="259" t="s">
        <v>153</v>
      </c>
      <c r="DM575" s="260" t="s">
        <v>153</v>
      </c>
      <c r="DN575" s="261" t="s">
        <v>153</v>
      </c>
      <c r="DO575" s="262" t="s">
        <v>153</v>
      </c>
      <c r="DP575" s="263" t="s">
        <v>153</v>
      </c>
      <c r="DQ575" s="264" t="s">
        <v>153</v>
      </c>
      <c r="DR575" s="265" t="s">
        <v>153</v>
      </c>
      <c r="DS575" s="266" t="s">
        <v>153</v>
      </c>
      <c r="DT575" s="267" t="s">
        <v>153</v>
      </c>
      <c r="DU575" s="268" t="s">
        <v>153</v>
      </c>
      <c r="DV575" s="269" t="s">
        <v>153</v>
      </c>
      <c r="DW575" s="270" t="s">
        <v>153</v>
      </c>
      <c r="DX575" s="271" t="s">
        <v>153</v>
      </c>
      <c r="DY575" s="272" t="s">
        <v>153</v>
      </c>
      <c r="DZ575" s="273" t="s">
        <v>191</v>
      </c>
      <c r="EA575" s="274">
        <v>44210</v>
      </c>
      <c r="EB575" s="275">
        <v>7774</v>
      </c>
      <c r="EC575" s="276">
        <v>37165</v>
      </c>
      <c r="ED575" s="277" t="s">
        <v>226</v>
      </c>
      <c r="EE575" s="279" t="str">
        <f>HYPERLINK("https://my.pitchbook.com?c=124259-32", "View company online")</f>
        <v>View company online</v>
      </c>
    </row>
    <row r="576" spans="1:135" x14ac:dyDescent="0.45">
      <c r="A576" s="10" t="s">
        <v>11817</v>
      </c>
      <c r="B576" s="11" t="s">
        <v>11818</v>
      </c>
      <c r="C576" s="12" t="s">
        <v>153</v>
      </c>
      <c r="D576" s="13" t="s">
        <v>153</v>
      </c>
      <c r="E576" s="14" t="s">
        <v>11819</v>
      </c>
      <c r="F576" s="15" t="s">
        <v>11820</v>
      </c>
      <c r="G576" s="16" t="s">
        <v>11821</v>
      </c>
      <c r="H576" s="17" t="s">
        <v>11822</v>
      </c>
      <c r="I576" s="18" t="s">
        <v>11817</v>
      </c>
      <c r="J576" s="19" t="s">
        <v>11823</v>
      </c>
      <c r="K576" s="20" t="s">
        <v>198</v>
      </c>
      <c r="L576" s="21" t="s">
        <v>984</v>
      </c>
      <c r="M576" s="22" t="s">
        <v>9264</v>
      </c>
      <c r="N576" s="23" t="s">
        <v>11282</v>
      </c>
      <c r="O576" s="24" t="s">
        <v>202</v>
      </c>
      <c r="P576" s="25" t="s">
        <v>11824</v>
      </c>
      <c r="Q576" s="26" t="s">
        <v>204</v>
      </c>
      <c r="R576" s="27">
        <v>1657.36</v>
      </c>
      <c r="S576" s="28" t="s">
        <v>290</v>
      </c>
      <c r="T576" s="29" t="s">
        <v>164</v>
      </c>
      <c r="U576" s="30" t="s">
        <v>1169</v>
      </c>
      <c r="V576" s="31" t="s">
        <v>11825</v>
      </c>
      <c r="W576" s="32">
        <v>4591</v>
      </c>
      <c r="X576" s="33" t="s">
        <v>11826</v>
      </c>
      <c r="Y576" s="34" t="s">
        <v>153</v>
      </c>
      <c r="Z576" s="35" t="s">
        <v>153</v>
      </c>
      <c r="AA576" s="36">
        <v>2004</v>
      </c>
      <c r="AB576" s="37" t="s">
        <v>8426</v>
      </c>
      <c r="AC576" s="38" t="s">
        <v>153</v>
      </c>
      <c r="AD576" s="39" t="s">
        <v>153</v>
      </c>
      <c r="AE576" s="40" t="s">
        <v>153</v>
      </c>
      <c r="AF576" s="41" t="s">
        <v>153</v>
      </c>
      <c r="AG576" s="42" t="s">
        <v>153</v>
      </c>
      <c r="AH576" s="43" t="s">
        <v>153</v>
      </c>
      <c r="AI576" s="44" t="s">
        <v>153</v>
      </c>
      <c r="AJ576" s="45" t="s">
        <v>153</v>
      </c>
      <c r="AK576" s="46" t="s">
        <v>153</v>
      </c>
      <c r="AL576" s="47" t="s">
        <v>153</v>
      </c>
      <c r="AM576" s="48" t="s">
        <v>153</v>
      </c>
      <c r="AN576" s="49" t="s">
        <v>456</v>
      </c>
      <c r="AO576" s="50" t="s">
        <v>11827</v>
      </c>
      <c r="AP576" s="51" t="s">
        <v>11828</v>
      </c>
      <c r="AQ576" s="52" t="s">
        <v>11829</v>
      </c>
      <c r="AR576" s="53" t="s">
        <v>11830</v>
      </c>
      <c r="AS576" s="54" t="s">
        <v>11831</v>
      </c>
      <c r="AT576" s="55" t="s">
        <v>3708</v>
      </c>
      <c r="AU576" s="56" t="s">
        <v>11832</v>
      </c>
      <c r="AV576" s="57" t="s">
        <v>11833</v>
      </c>
      <c r="AW576" s="58" t="s">
        <v>3711</v>
      </c>
      <c r="AX576" s="59" t="s">
        <v>3712</v>
      </c>
      <c r="AY576" s="60" t="s">
        <v>11834</v>
      </c>
      <c r="AZ576" s="61" t="s">
        <v>1358</v>
      </c>
      <c r="BA576" s="62" t="s">
        <v>11831</v>
      </c>
      <c r="BB576" s="63" t="s">
        <v>153</v>
      </c>
      <c r="BC576" s="64" t="s">
        <v>153</v>
      </c>
      <c r="BD576" s="65" t="s">
        <v>216</v>
      </c>
      <c r="BE576" s="66" t="s">
        <v>217</v>
      </c>
      <c r="BF576" s="67" t="s">
        <v>11835</v>
      </c>
      <c r="BG576" s="68" t="s">
        <v>153</v>
      </c>
      <c r="BH576" s="69" t="s">
        <v>153</v>
      </c>
      <c r="BI576" s="70" t="s">
        <v>8426</v>
      </c>
      <c r="BJ576" s="71" t="s">
        <v>11836</v>
      </c>
      <c r="BK576" s="72" t="s">
        <v>11837</v>
      </c>
      <c r="BL576" s="73" t="s">
        <v>153</v>
      </c>
      <c r="BM576" s="74" t="s">
        <v>11838</v>
      </c>
      <c r="BN576" s="75" t="s">
        <v>11839</v>
      </c>
      <c r="BO576" s="76" t="s">
        <v>11840</v>
      </c>
      <c r="BP576" s="77" t="s">
        <v>11841</v>
      </c>
      <c r="BQ576" s="78">
        <v>40380</v>
      </c>
      <c r="BR576" s="79">
        <v>4.78</v>
      </c>
      <c r="BS576" s="80" t="s">
        <v>186</v>
      </c>
      <c r="BT576" s="81">
        <v>33.46</v>
      </c>
      <c r="BU576" s="82" t="s">
        <v>186</v>
      </c>
      <c r="BV576" s="83" t="s">
        <v>251</v>
      </c>
      <c r="BW576" s="84" t="s">
        <v>153</v>
      </c>
      <c r="BX576" s="85" t="s">
        <v>153</v>
      </c>
      <c r="BY576" s="86" t="s">
        <v>252</v>
      </c>
      <c r="BZ576" s="87" t="s">
        <v>153</v>
      </c>
      <c r="CA576" s="88" t="s">
        <v>190</v>
      </c>
      <c r="CB576" s="89">
        <v>43956</v>
      </c>
      <c r="CC576" s="90">
        <v>7773.34</v>
      </c>
      <c r="CD576" s="91" t="s">
        <v>186</v>
      </c>
      <c r="CE576" s="92">
        <v>7773.34</v>
      </c>
      <c r="CF576" s="93" t="s">
        <v>187</v>
      </c>
      <c r="CG576" s="94" t="s">
        <v>226</v>
      </c>
      <c r="CH576" s="95" t="s">
        <v>153</v>
      </c>
      <c r="CI576" s="96" t="s">
        <v>153</v>
      </c>
      <c r="CJ576" s="97" t="s">
        <v>225</v>
      </c>
      <c r="CK576" s="98">
        <v>43956</v>
      </c>
      <c r="CL576" s="99" t="s">
        <v>153</v>
      </c>
      <c r="CM576" s="100" t="s">
        <v>153</v>
      </c>
      <c r="CN576" s="101" t="s">
        <v>190</v>
      </c>
      <c r="CO576" s="102">
        <v>-0.92</v>
      </c>
      <c r="CP576" s="103">
        <v>3</v>
      </c>
      <c r="CQ576" s="104">
        <v>0.26</v>
      </c>
      <c r="CR576" s="105">
        <v>21.82</v>
      </c>
      <c r="CS576" s="106">
        <v>-1.81</v>
      </c>
      <c r="CT576" s="107">
        <v>2</v>
      </c>
      <c r="CU576" s="108">
        <v>-0.02</v>
      </c>
      <c r="CV576" s="109">
        <v>38</v>
      </c>
      <c r="CW576" s="110">
        <v>-4.8600000000000003</v>
      </c>
      <c r="CX576" s="111">
        <v>5</v>
      </c>
      <c r="CY576" s="112">
        <v>1.24</v>
      </c>
      <c r="CZ576" s="113">
        <v>98</v>
      </c>
      <c r="DA576" s="114">
        <v>-0.02</v>
      </c>
      <c r="DB576" s="115">
        <v>38</v>
      </c>
      <c r="DC576" s="116">
        <v>20.56</v>
      </c>
      <c r="DD576" s="117">
        <v>96</v>
      </c>
      <c r="DE576" s="118">
        <v>-0.78</v>
      </c>
      <c r="DF576" s="119">
        <v>-3.63</v>
      </c>
      <c r="DG576" s="120">
        <v>39.36</v>
      </c>
      <c r="DH576" s="121">
        <v>98</v>
      </c>
      <c r="DI576" s="122">
        <v>1.77</v>
      </c>
      <c r="DJ576" s="123">
        <v>61</v>
      </c>
      <c r="DK576" s="124">
        <v>5.03</v>
      </c>
      <c r="DL576" s="125">
        <v>78</v>
      </c>
      <c r="DM576" s="126">
        <v>73.69</v>
      </c>
      <c r="DN576" s="127">
        <v>99</v>
      </c>
      <c r="DO576" s="128">
        <v>1.77</v>
      </c>
      <c r="DP576" s="129">
        <v>61</v>
      </c>
      <c r="DQ576" s="130">
        <v>2972</v>
      </c>
      <c r="DR576" s="131">
        <v>38</v>
      </c>
      <c r="DS576" s="132">
        <v>1.3</v>
      </c>
      <c r="DT576" s="133">
        <v>1199</v>
      </c>
      <c r="DU576" s="134">
        <v>-11</v>
      </c>
      <c r="DV576" s="135">
        <v>-0.91</v>
      </c>
      <c r="DW576" s="136">
        <v>555</v>
      </c>
      <c r="DX576" s="137">
        <v>0</v>
      </c>
      <c r="DY576" s="138">
        <v>0</v>
      </c>
      <c r="DZ576" s="139" t="s">
        <v>191</v>
      </c>
      <c r="EA576" s="140">
        <v>44380</v>
      </c>
      <c r="EB576" s="141">
        <v>7773.34</v>
      </c>
      <c r="EC576" s="142">
        <v>43956</v>
      </c>
      <c r="ED576" s="143" t="s">
        <v>226</v>
      </c>
      <c r="EE576" s="278" t="str">
        <f>HYPERLINK("https://my.pitchbook.com?c=59728-06", "View company online")</f>
        <v>View company online</v>
      </c>
    </row>
    <row r="577" spans="1:135" x14ac:dyDescent="0.45">
      <c r="A577" s="144" t="s">
        <v>11842</v>
      </c>
      <c r="B577" s="145" t="s">
        <v>11843</v>
      </c>
      <c r="C577" s="146" t="s">
        <v>153</v>
      </c>
      <c r="D577" s="147" t="s">
        <v>153</v>
      </c>
      <c r="E577" s="148" t="s">
        <v>153</v>
      </c>
      <c r="F577" s="149" t="s">
        <v>153</v>
      </c>
      <c r="G577" s="150" t="s">
        <v>11844</v>
      </c>
      <c r="H577" s="151" t="s">
        <v>11845</v>
      </c>
      <c r="I577" s="152" t="s">
        <v>11842</v>
      </c>
      <c r="J577" s="153" t="s">
        <v>11846</v>
      </c>
      <c r="K577" s="154" t="s">
        <v>882</v>
      </c>
      <c r="L577" s="155" t="s">
        <v>883</v>
      </c>
      <c r="M577" s="156" t="s">
        <v>1615</v>
      </c>
      <c r="N577" s="157" t="s">
        <v>11847</v>
      </c>
      <c r="O577" s="158" t="s">
        <v>365</v>
      </c>
      <c r="P577" s="159" t="s">
        <v>11848</v>
      </c>
      <c r="Q577" s="160" t="s">
        <v>367</v>
      </c>
      <c r="R577" s="161">
        <v>875</v>
      </c>
      <c r="S577" s="162" t="s">
        <v>290</v>
      </c>
      <c r="T577" s="163" t="s">
        <v>291</v>
      </c>
      <c r="U577" s="164" t="s">
        <v>1063</v>
      </c>
      <c r="V577" s="165" t="s">
        <v>11849</v>
      </c>
      <c r="W577" s="166">
        <v>4647</v>
      </c>
      <c r="X577" s="167" t="s">
        <v>11850</v>
      </c>
      <c r="Y577" s="168" t="s">
        <v>372</v>
      </c>
      <c r="Z577" s="169" t="s">
        <v>11851</v>
      </c>
      <c r="AA577" s="170">
        <v>1946</v>
      </c>
      <c r="AB577" s="171" t="s">
        <v>153</v>
      </c>
      <c r="AC577" s="172" t="s">
        <v>153</v>
      </c>
      <c r="AD577" s="173" t="s">
        <v>622</v>
      </c>
      <c r="AE577" s="174">
        <v>1271.7</v>
      </c>
      <c r="AF577" s="175">
        <v>151.9</v>
      </c>
      <c r="AG577" s="176">
        <v>-24.7</v>
      </c>
      <c r="AH577" s="177">
        <v>5511.72</v>
      </c>
      <c r="AI577" s="178">
        <v>78.099999999999994</v>
      </c>
      <c r="AJ577" s="179">
        <v>-61.8</v>
      </c>
      <c r="AK577" s="180">
        <v>4835.3500000000004</v>
      </c>
      <c r="AL577" s="181">
        <v>830.3</v>
      </c>
      <c r="AM577" s="182">
        <v>-44.39</v>
      </c>
      <c r="AN577" s="183" t="s">
        <v>376</v>
      </c>
      <c r="AO577" s="184" t="s">
        <v>11852</v>
      </c>
      <c r="AP577" s="185" t="s">
        <v>11853</v>
      </c>
      <c r="AQ577" s="186" t="s">
        <v>11854</v>
      </c>
      <c r="AR577" s="187" t="s">
        <v>11855</v>
      </c>
      <c r="AS577" s="188" t="s">
        <v>11856</v>
      </c>
      <c r="AT577" s="189" t="s">
        <v>946</v>
      </c>
      <c r="AU577" s="190" t="s">
        <v>11857</v>
      </c>
      <c r="AV577" s="191" t="s">
        <v>11858</v>
      </c>
      <c r="AW577" s="192" t="s">
        <v>948</v>
      </c>
      <c r="AX577" s="193" t="s">
        <v>213</v>
      </c>
      <c r="AY577" s="194" t="s">
        <v>11463</v>
      </c>
      <c r="AZ577" s="195" t="s">
        <v>215</v>
      </c>
      <c r="BA577" s="196" t="s">
        <v>11856</v>
      </c>
      <c r="BB577" s="197" t="s">
        <v>153</v>
      </c>
      <c r="BC577" s="198" t="s">
        <v>153</v>
      </c>
      <c r="BD577" s="199" t="s">
        <v>216</v>
      </c>
      <c r="BE577" s="200" t="s">
        <v>217</v>
      </c>
      <c r="BF577" s="201" t="s">
        <v>11859</v>
      </c>
      <c r="BG577" s="202" t="s">
        <v>153</v>
      </c>
      <c r="BH577" s="203" t="s">
        <v>153</v>
      </c>
      <c r="BI577" s="204" t="s">
        <v>153</v>
      </c>
      <c r="BJ577" s="205" t="s">
        <v>11860</v>
      </c>
      <c r="BK577" s="206" t="s">
        <v>11861</v>
      </c>
      <c r="BL577" s="207" t="s">
        <v>153</v>
      </c>
      <c r="BM577" s="208" t="s">
        <v>11862</v>
      </c>
      <c r="BN577" s="209" t="s">
        <v>153</v>
      </c>
      <c r="BO577" s="210" t="s">
        <v>11863</v>
      </c>
      <c r="BP577" s="211" t="s">
        <v>11864</v>
      </c>
      <c r="BQ577" s="212">
        <v>29283</v>
      </c>
      <c r="BR577" s="213" t="s">
        <v>153</v>
      </c>
      <c r="BS577" s="214" t="s">
        <v>153</v>
      </c>
      <c r="BT577" s="215" t="s">
        <v>153</v>
      </c>
      <c r="BU577" s="216" t="s">
        <v>153</v>
      </c>
      <c r="BV577" s="217" t="s">
        <v>251</v>
      </c>
      <c r="BW577" s="218" t="s">
        <v>153</v>
      </c>
      <c r="BX577" s="219" t="s">
        <v>153</v>
      </c>
      <c r="BY577" s="220" t="s">
        <v>252</v>
      </c>
      <c r="BZ577" s="221" t="s">
        <v>153</v>
      </c>
      <c r="CA577" s="222" t="s">
        <v>190</v>
      </c>
      <c r="CB577" s="223">
        <v>43927</v>
      </c>
      <c r="CC577" s="224">
        <v>7740.58</v>
      </c>
      <c r="CD577" s="225" t="s">
        <v>186</v>
      </c>
      <c r="CE577" s="226">
        <v>7740.58</v>
      </c>
      <c r="CF577" s="227" t="s">
        <v>187</v>
      </c>
      <c r="CG577" s="228" t="s">
        <v>226</v>
      </c>
      <c r="CH577" s="229" t="s">
        <v>153</v>
      </c>
      <c r="CI577" s="230" t="s">
        <v>153</v>
      </c>
      <c r="CJ577" s="231" t="s">
        <v>225</v>
      </c>
      <c r="CK577" s="232">
        <v>43927</v>
      </c>
      <c r="CL577" s="233" t="s">
        <v>153</v>
      </c>
      <c r="CM577" s="234" t="s">
        <v>153</v>
      </c>
      <c r="CN577" s="235" t="s">
        <v>394</v>
      </c>
      <c r="CO577" s="236">
        <v>-0.45</v>
      </c>
      <c r="CP577" s="237">
        <v>5</v>
      </c>
      <c r="CQ577" s="238">
        <v>-0.05</v>
      </c>
      <c r="CR577" s="239">
        <v>-11.67</v>
      </c>
      <c r="CS577" s="240">
        <v>-0.91</v>
      </c>
      <c r="CT577" s="241">
        <v>4</v>
      </c>
      <c r="CU577" s="242">
        <v>0.01</v>
      </c>
      <c r="CV577" s="243">
        <v>77</v>
      </c>
      <c r="CW577" s="244">
        <v>-1.5</v>
      </c>
      <c r="CX577" s="245">
        <v>14</v>
      </c>
      <c r="CY577" s="246">
        <v>-0.33</v>
      </c>
      <c r="CZ577" s="247">
        <v>3</v>
      </c>
      <c r="DA577" s="248">
        <v>0.01</v>
      </c>
      <c r="DB577" s="249">
        <v>77</v>
      </c>
      <c r="DC577" s="250">
        <v>27.52</v>
      </c>
      <c r="DD577" s="251">
        <v>97</v>
      </c>
      <c r="DE577" s="252">
        <v>-0.06</v>
      </c>
      <c r="DF577" s="253">
        <v>-0.2</v>
      </c>
      <c r="DG577" s="254">
        <v>47.89</v>
      </c>
      <c r="DH577" s="255">
        <v>98</v>
      </c>
      <c r="DI577" s="256">
        <v>7.16</v>
      </c>
      <c r="DJ577" s="257">
        <v>83</v>
      </c>
      <c r="DK577" s="258">
        <v>14.59</v>
      </c>
      <c r="DL577" s="259">
        <v>89</v>
      </c>
      <c r="DM577" s="260">
        <v>81.19</v>
      </c>
      <c r="DN577" s="261">
        <v>99</v>
      </c>
      <c r="DO577" s="262">
        <v>7.16</v>
      </c>
      <c r="DP577" s="263">
        <v>83</v>
      </c>
      <c r="DQ577" s="264">
        <v>8756</v>
      </c>
      <c r="DR577" s="265">
        <v>-391</v>
      </c>
      <c r="DS577" s="266">
        <v>-4.2699999999999996</v>
      </c>
      <c r="DT577" s="267">
        <v>1301</v>
      </c>
      <c r="DU577" s="268">
        <v>-5</v>
      </c>
      <c r="DV577" s="269">
        <v>-0.38</v>
      </c>
      <c r="DW577" s="270">
        <v>2244</v>
      </c>
      <c r="DX577" s="271">
        <v>1</v>
      </c>
      <c r="DY577" s="272">
        <v>0.04</v>
      </c>
      <c r="DZ577" s="273" t="s">
        <v>191</v>
      </c>
      <c r="EA577" s="274">
        <v>44393</v>
      </c>
      <c r="EB577" s="275">
        <v>7740.58</v>
      </c>
      <c r="EC577" s="276">
        <v>43927</v>
      </c>
      <c r="ED577" s="277" t="s">
        <v>226</v>
      </c>
      <c r="EE577" s="279" t="str">
        <f>HYPERLINK("https://my.pitchbook.com?c=12006-10", "View company online")</f>
        <v>View company online</v>
      </c>
    </row>
    <row r="578" spans="1:135" x14ac:dyDescent="0.45">
      <c r="A578" s="10" t="s">
        <v>11865</v>
      </c>
      <c r="B578" s="11" t="s">
        <v>11866</v>
      </c>
      <c r="C578" s="12" t="s">
        <v>153</v>
      </c>
      <c r="D578" s="13" t="s">
        <v>153</v>
      </c>
      <c r="E578" s="14" t="s">
        <v>153</v>
      </c>
      <c r="F578" s="15" t="s">
        <v>153</v>
      </c>
      <c r="G578" s="16" t="s">
        <v>153</v>
      </c>
      <c r="H578" s="17" t="s">
        <v>153</v>
      </c>
      <c r="I578" s="18" t="s">
        <v>11865</v>
      </c>
      <c r="J578" s="19" t="s">
        <v>11867</v>
      </c>
      <c r="K578" s="20" t="s">
        <v>232</v>
      </c>
      <c r="L578" s="21" t="s">
        <v>362</v>
      </c>
      <c r="M578" s="22" t="s">
        <v>362</v>
      </c>
      <c r="N578" s="23" t="s">
        <v>1102</v>
      </c>
      <c r="O578" s="24" t="s">
        <v>153</v>
      </c>
      <c r="P578" s="25" t="s">
        <v>11868</v>
      </c>
      <c r="Q578" s="26" t="s">
        <v>204</v>
      </c>
      <c r="R578" s="27" t="s">
        <v>153</v>
      </c>
      <c r="S578" s="28" t="s">
        <v>163</v>
      </c>
      <c r="T578" s="29" t="s">
        <v>205</v>
      </c>
      <c r="U578" s="30" t="s">
        <v>206</v>
      </c>
      <c r="V578" s="31" t="s">
        <v>153</v>
      </c>
      <c r="W578" s="32" t="s">
        <v>153</v>
      </c>
      <c r="X578" s="33" t="s">
        <v>153</v>
      </c>
      <c r="Y578" s="34" t="s">
        <v>153</v>
      </c>
      <c r="Z578" s="35" t="s">
        <v>153</v>
      </c>
      <c r="AA578" s="36" t="s">
        <v>153</v>
      </c>
      <c r="AB578" s="37" t="s">
        <v>153</v>
      </c>
      <c r="AC578" s="38" t="s">
        <v>153</v>
      </c>
      <c r="AD578" s="39" t="s">
        <v>153</v>
      </c>
      <c r="AE578" s="40" t="s">
        <v>153</v>
      </c>
      <c r="AF578" s="41" t="s">
        <v>153</v>
      </c>
      <c r="AG578" s="42" t="s">
        <v>153</v>
      </c>
      <c r="AH578" s="43" t="s">
        <v>153</v>
      </c>
      <c r="AI578" s="44" t="s">
        <v>153</v>
      </c>
      <c r="AJ578" s="45" t="s">
        <v>153</v>
      </c>
      <c r="AK578" s="46" t="s">
        <v>153</v>
      </c>
      <c r="AL578" s="47" t="s">
        <v>153</v>
      </c>
      <c r="AM578" s="48" t="s">
        <v>153</v>
      </c>
      <c r="AN578" s="49" t="s">
        <v>153</v>
      </c>
      <c r="AO578" s="50" t="s">
        <v>153</v>
      </c>
      <c r="AP578" s="51" t="s">
        <v>153</v>
      </c>
      <c r="AQ578" s="52" t="s">
        <v>153</v>
      </c>
      <c r="AR578" s="53" t="s">
        <v>153</v>
      </c>
      <c r="AS578" s="54" t="s">
        <v>153</v>
      </c>
      <c r="AT578" s="55" t="s">
        <v>544</v>
      </c>
      <c r="AU578" s="56" t="s">
        <v>545</v>
      </c>
      <c r="AV578" s="57" t="s">
        <v>153</v>
      </c>
      <c r="AW578" s="58" t="s">
        <v>546</v>
      </c>
      <c r="AX578" s="59" t="s">
        <v>213</v>
      </c>
      <c r="AY578" s="60" t="s">
        <v>547</v>
      </c>
      <c r="AZ578" s="61" t="s">
        <v>215</v>
      </c>
      <c r="BA578" s="62" t="s">
        <v>153</v>
      </c>
      <c r="BB578" s="63" t="s">
        <v>153</v>
      </c>
      <c r="BC578" s="64" t="s">
        <v>153</v>
      </c>
      <c r="BD578" s="65" t="s">
        <v>216</v>
      </c>
      <c r="BE578" s="66" t="s">
        <v>217</v>
      </c>
      <c r="BF578" s="67" t="s">
        <v>11869</v>
      </c>
      <c r="BG578" s="68" t="s">
        <v>153</v>
      </c>
      <c r="BH578" s="69" t="s">
        <v>153</v>
      </c>
      <c r="BI578" s="70" t="s">
        <v>9617</v>
      </c>
      <c r="BJ578" s="71" t="s">
        <v>526</v>
      </c>
      <c r="BK578" s="72" t="s">
        <v>153</v>
      </c>
      <c r="BL578" s="73" t="s">
        <v>153</v>
      </c>
      <c r="BM578" s="74" t="s">
        <v>11870</v>
      </c>
      <c r="BN578" s="75" t="s">
        <v>153</v>
      </c>
      <c r="BO578" s="76" t="s">
        <v>153</v>
      </c>
      <c r="BP578" s="77" t="s">
        <v>153</v>
      </c>
      <c r="BQ578" s="78">
        <v>36873</v>
      </c>
      <c r="BR578" s="79">
        <v>7700</v>
      </c>
      <c r="BS578" s="80" t="s">
        <v>187</v>
      </c>
      <c r="BT578" s="81">
        <v>7700</v>
      </c>
      <c r="BU578" s="82" t="s">
        <v>187</v>
      </c>
      <c r="BV578" s="83" t="s">
        <v>226</v>
      </c>
      <c r="BW578" s="84" t="s">
        <v>729</v>
      </c>
      <c r="BX578" s="85" t="s">
        <v>153</v>
      </c>
      <c r="BY578" s="86" t="s">
        <v>225</v>
      </c>
      <c r="BZ578" s="87" t="s">
        <v>153</v>
      </c>
      <c r="CA578" s="88" t="s">
        <v>190</v>
      </c>
      <c r="CB578" s="89">
        <v>36873</v>
      </c>
      <c r="CC578" s="90">
        <v>7700</v>
      </c>
      <c r="CD578" s="91" t="s">
        <v>187</v>
      </c>
      <c r="CE578" s="92">
        <v>7700</v>
      </c>
      <c r="CF578" s="93" t="s">
        <v>187</v>
      </c>
      <c r="CG578" s="94" t="s">
        <v>226</v>
      </c>
      <c r="CH578" s="95" t="s">
        <v>729</v>
      </c>
      <c r="CI578" s="96" t="s">
        <v>153</v>
      </c>
      <c r="CJ578" s="97" t="s">
        <v>225</v>
      </c>
      <c r="CK578" s="98">
        <v>36873</v>
      </c>
      <c r="CL578" s="99" t="s">
        <v>153</v>
      </c>
      <c r="CM578" s="100" t="s">
        <v>153</v>
      </c>
      <c r="CN578" s="101" t="s">
        <v>190</v>
      </c>
      <c r="CO578" s="102" t="s">
        <v>153</v>
      </c>
      <c r="CP578" s="103" t="s">
        <v>153</v>
      </c>
      <c r="CQ578" s="104" t="s">
        <v>153</v>
      </c>
      <c r="CR578" s="105" t="s">
        <v>153</v>
      </c>
      <c r="CS578" s="106" t="s">
        <v>153</v>
      </c>
      <c r="CT578" s="107" t="s">
        <v>153</v>
      </c>
      <c r="CU578" s="108" t="s">
        <v>153</v>
      </c>
      <c r="CV578" s="109" t="s">
        <v>153</v>
      </c>
      <c r="CW578" s="110" t="s">
        <v>153</v>
      </c>
      <c r="CX578" s="111" t="s">
        <v>153</v>
      </c>
      <c r="CY578" s="112" t="s">
        <v>153</v>
      </c>
      <c r="CZ578" s="113" t="s">
        <v>153</v>
      </c>
      <c r="DA578" s="114" t="s">
        <v>153</v>
      </c>
      <c r="DB578" s="115" t="s">
        <v>153</v>
      </c>
      <c r="DC578" s="116" t="s">
        <v>153</v>
      </c>
      <c r="DD578" s="117" t="s">
        <v>153</v>
      </c>
      <c r="DE578" s="118" t="s">
        <v>153</v>
      </c>
      <c r="DF578" s="119" t="s">
        <v>153</v>
      </c>
      <c r="DG578" s="120" t="s">
        <v>153</v>
      </c>
      <c r="DH578" s="121" t="s">
        <v>153</v>
      </c>
      <c r="DI578" s="122" t="s">
        <v>153</v>
      </c>
      <c r="DJ578" s="123" t="s">
        <v>153</v>
      </c>
      <c r="DK578" s="124" t="s">
        <v>153</v>
      </c>
      <c r="DL578" s="125" t="s">
        <v>153</v>
      </c>
      <c r="DM578" s="126" t="s">
        <v>153</v>
      </c>
      <c r="DN578" s="127" t="s">
        <v>153</v>
      </c>
      <c r="DO578" s="128" t="s">
        <v>153</v>
      </c>
      <c r="DP578" s="129" t="s">
        <v>153</v>
      </c>
      <c r="DQ578" s="130" t="s">
        <v>153</v>
      </c>
      <c r="DR578" s="131" t="s">
        <v>153</v>
      </c>
      <c r="DS578" s="132" t="s">
        <v>153</v>
      </c>
      <c r="DT578" s="133" t="s">
        <v>153</v>
      </c>
      <c r="DU578" s="134" t="s">
        <v>153</v>
      </c>
      <c r="DV578" s="135" t="s">
        <v>153</v>
      </c>
      <c r="DW578" s="136" t="s">
        <v>153</v>
      </c>
      <c r="DX578" s="137" t="s">
        <v>153</v>
      </c>
      <c r="DY578" s="138" t="s">
        <v>153</v>
      </c>
      <c r="DZ578" s="139" t="s">
        <v>191</v>
      </c>
      <c r="EA578" s="140">
        <v>43928</v>
      </c>
      <c r="EB578" s="141">
        <v>7700</v>
      </c>
      <c r="EC578" s="142">
        <v>36873</v>
      </c>
      <c r="ED578" s="143" t="s">
        <v>226</v>
      </c>
      <c r="EE578" s="278" t="str">
        <f>HYPERLINK("https://my.pitchbook.com?c=223864-03", "View company online")</f>
        <v>View company online</v>
      </c>
    </row>
    <row r="579" spans="1:135" x14ac:dyDescent="0.45">
      <c r="A579" s="144" t="s">
        <v>11871</v>
      </c>
      <c r="B579" s="145" t="s">
        <v>11872</v>
      </c>
      <c r="C579" s="146" t="s">
        <v>153</v>
      </c>
      <c r="D579" s="147" t="s">
        <v>153</v>
      </c>
      <c r="E579" s="148" t="s">
        <v>11873</v>
      </c>
      <c r="F579" s="149" t="s">
        <v>153</v>
      </c>
      <c r="G579" s="150" t="s">
        <v>11874</v>
      </c>
      <c r="H579" s="151" t="s">
        <v>11875</v>
      </c>
      <c r="I579" s="152" t="s">
        <v>11871</v>
      </c>
      <c r="J579" s="153" t="s">
        <v>11876</v>
      </c>
      <c r="K579" s="154" t="s">
        <v>559</v>
      </c>
      <c r="L579" s="155" t="s">
        <v>641</v>
      </c>
      <c r="M579" s="156" t="s">
        <v>10031</v>
      </c>
      <c r="N579" s="157" t="s">
        <v>10032</v>
      </c>
      <c r="O579" s="158" t="s">
        <v>153</v>
      </c>
      <c r="P579" s="159" t="s">
        <v>11877</v>
      </c>
      <c r="Q579" s="160" t="s">
        <v>204</v>
      </c>
      <c r="R579" s="161">
        <v>1700</v>
      </c>
      <c r="S579" s="162" t="s">
        <v>290</v>
      </c>
      <c r="T579" s="163" t="s">
        <v>164</v>
      </c>
      <c r="U579" s="164" t="s">
        <v>237</v>
      </c>
      <c r="V579" s="165" t="s">
        <v>11878</v>
      </c>
      <c r="W579" s="166">
        <v>2600</v>
      </c>
      <c r="X579" s="167" t="s">
        <v>11879</v>
      </c>
      <c r="Y579" s="168" t="s">
        <v>153</v>
      </c>
      <c r="Z579" s="169" t="s">
        <v>153</v>
      </c>
      <c r="AA579" s="170">
        <v>1926</v>
      </c>
      <c r="AB579" s="171" t="s">
        <v>4839</v>
      </c>
      <c r="AC579" s="172" t="s">
        <v>153</v>
      </c>
      <c r="AD579" s="173" t="s">
        <v>428</v>
      </c>
      <c r="AE579" s="174" t="s">
        <v>153</v>
      </c>
      <c r="AF579" s="175" t="s">
        <v>153</v>
      </c>
      <c r="AG579" s="176" t="s">
        <v>153</v>
      </c>
      <c r="AH579" s="177" t="s">
        <v>153</v>
      </c>
      <c r="AI579" s="178" t="s">
        <v>153</v>
      </c>
      <c r="AJ579" s="179" t="s">
        <v>153</v>
      </c>
      <c r="AK579" s="180" t="s">
        <v>153</v>
      </c>
      <c r="AL579" s="181" t="s">
        <v>153</v>
      </c>
      <c r="AM579" s="182" t="s">
        <v>153</v>
      </c>
      <c r="AN579" s="183" t="s">
        <v>11880</v>
      </c>
      <c r="AO579" s="184" t="s">
        <v>11881</v>
      </c>
      <c r="AP579" s="185" t="s">
        <v>11882</v>
      </c>
      <c r="AQ579" s="186" t="s">
        <v>11883</v>
      </c>
      <c r="AR579" s="187" t="s">
        <v>153</v>
      </c>
      <c r="AS579" s="188" t="s">
        <v>11884</v>
      </c>
      <c r="AT579" s="189" t="s">
        <v>11885</v>
      </c>
      <c r="AU579" s="190" t="s">
        <v>11886</v>
      </c>
      <c r="AV579" s="191" t="s">
        <v>11887</v>
      </c>
      <c r="AW579" s="192" t="s">
        <v>11888</v>
      </c>
      <c r="AX579" s="193" t="s">
        <v>9463</v>
      </c>
      <c r="AY579" s="194" t="s">
        <v>11889</v>
      </c>
      <c r="AZ579" s="195" t="s">
        <v>215</v>
      </c>
      <c r="BA579" s="196" t="s">
        <v>11884</v>
      </c>
      <c r="BB579" s="197" t="s">
        <v>153</v>
      </c>
      <c r="BC579" s="198" t="s">
        <v>153</v>
      </c>
      <c r="BD579" s="199" t="s">
        <v>216</v>
      </c>
      <c r="BE579" s="200" t="s">
        <v>217</v>
      </c>
      <c r="BF579" s="201" t="s">
        <v>11890</v>
      </c>
      <c r="BG579" s="202" t="s">
        <v>153</v>
      </c>
      <c r="BH579" s="203" t="s">
        <v>153</v>
      </c>
      <c r="BI579" s="204" t="s">
        <v>4839</v>
      </c>
      <c r="BJ579" s="205" t="s">
        <v>153</v>
      </c>
      <c r="BK579" s="206" t="s">
        <v>153</v>
      </c>
      <c r="BL579" s="207" t="s">
        <v>153</v>
      </c>
      <c r="BM579" s="208" t="s">
        <v>153</v>
      </c>
      <c r="BN579" s="209" t="s">
        <v>153</v>
      </c>
      <c r="BO579" s="210" t="s">
        <v>11891</v>
      </c>
      <c r="BP579" s="211" t="s">
        <v>11892</v>
      </c>
      <c r="BQ579" s="212">
        <v>34700</v>
      </c>
      <c r="BR579" s="213" t="s">
        <v>153</v>
      </c>
      <c r="BS579" s="214" t="s">
        <v>153</v>
      </c>
      <c r="BT579" s="215" t="s">
        <v>153</v>
      </c>
      <c r="BU579" s="216" t="s">
        <v>153</v>
      </c>
      <c r="BV579" s="217" t="s">
        <v>251</v>
      </c>
      <c r="BW579" s="218" t="s">
        <v>153</v>
      </c>
      <c r="BX579" s="219" t="s">
        <v>153</v>
      </c>
      <c r="BY579" s="220" t="s">
        <v>252</v>
      </c>
      <c r="BZ579" s="221" t="s">
        <v>153</v>
      </c>
      <c r="CA579" s="222" t="s">
        <v>190</v>
      </c>
      <c r="CB579" s="223">
        <v>36434</v>
      </c>
      <c r="CC579" s="224">
        <v>7700</v>
      </c>
      <c r="CD579" s="225" t="s">
        <v>186</v>
      </c>
      <c r="CE579" s="226">
        <v>9625</v>
      </c>
      <c r="CF579" s="227" t="s">
        <v>186</v>
      </c>
      <c r="CG579" s="228" t="s">
        <v>226</v>
      </c>
      <c r="CH579" s="229" t="s">
        <v>153</v>
      </c>
      <c r="CI579" s="230" t="s">
        <v>153</v>
      </c>
      <c r="CJ579" s="231" t="s">
        <v>225</v>
      </c>
      <c r="CK579" s="232">
        <v>36434</v>
      </c>
      <c r="CL579" s="233" t="s">
        <v>153</v>
      </c>
      <c r="CM579" s="234" t="s">
        <v>153</v>
      </c>
      <c r="CN579" s="235" t="s">
        <v>190</v>
      </c>
      <c r="CO579" s="236">
        <v>-0.57999999999999996</v>
      </c>
      <c r="CP579" s="237">
        <v>4</v>
      </c>
      <c r="CQ579" s="238">
        <v>-0.04</v>
      </c>
      <c r="CR579" s="239">
        <v>-7.66</v>
      </c>
      <c r="CS579" s="240">
        <v>-0.57999999999999996</v>
      </c>
      <c r="CT579" s="241">
        <v>5</v>
      </c>
      <c r="CU579" s="242" t="s">
        <v>153</v>
      </c>
      <c r="CV579" s="243" t="s">
        <v>153</v>
      </c>
      <c r="CW579" s="244">
        <v>-1.29</v>
      </c>
      <c r="CX579" s="245">
        <v>15</v>
      </c>
      <c r="CY579" s="246">
        <v>0.14000000000000001</v>
      </c>
      <c r="CZ579" s="247">
        <v>91</v>
      </c>
      <c r="DA579" s="248" t="s">
        <v>153</v>
      </c>
      <c r="DB579" s="249" t="s">
        <v>153</v>
      </c>
      <c r="DC579" s="250">
        <v>143.9</v>
      </c>
      <c r="DD579" s="251">
        <v>100</v>
      </c>
      <c r="DE579" s="252">
        <v>0.13</v>
      </c>
      <c r="DF579" s="253">
        <v>0.09</v>
      </c>
      <c r="DG579" s="254">
        <v>143.9</v>
      </c>
      <c r="DH579" s="255">
        <v>100</v>
      </c>
      <c r="DI579" s="256" t="s">
        <v>153</v>
      </c>
      <c r="DJ579" s="257" t="s">
        <v>153</v>
      </c>
      <c r="DK579" s="258">
        <v>53.3</v>
      </c>
      <c r="DL579" s="259">
        <v>95</v>
      </c>
      <c r="DM579" s="260">
        <v>234.5</v>
      </c>
      <c r="DN579" s="261">
        <v>100</v>
      </c>
      <c r="DO579" s="262" t="s">
        <v>153</v>
      </c>
      <c r="DP579" s="263" t="s">
        <v>153</v>
      </c>
      <c r="DQ579" s="264">
        <v>31344</v>
      </c>
      <c r="DR579" s="265">
        <v>959</v>
      </c>
      <c r="DS579" s="266">
        <v>3.16</v>
      </c>
      <c r="DT579" s="267">
        <v>3750</v>
      </c>
      <c r="DU579" s="268">
        <v>5</v>
      </c>
      <c r="DV579" s="269">
        <v>0.13</v>
      </c>
      <c r="DW579" s="270" t="s">
        <v>153</v>
      </c>
      <c r="DX579" s="271" t="s">
        <v>153</v>
      </c>
      <c r="DY579" s="272" t="s">
        <v>153</v>
      </c>
      <c r="DZ579" s="273" t="s">
        <v>191</v>
      </c>
      <c r="EA579" s="274">
        <v>44368</v>
      </c>
      <c r="EB579" s="275">
        <v>9625</v>
      </c>
      <c r="EC579" s="276">
        <v>36434</v>
      </c>
      <c r="ED579" s="277" t="s">
        <v>226</v>
      </c>
      <c r="EE579" s="279" t="str">
        <f>HYPERLINK("https://my.pitchbook.com?c=94723-57", "View company online")</f>
        <v>View company online</v>
      </c>
    </row>
    <row r="580" spans="1:135" x14ac:dyDescent="0.45">
      <c r="A580" s="10" t="s">
        <v>11893</v>
      </c>
      <c r="B580" s="11" t="s">
        <v>11894</v>
      </c>
      <c r="C580" s="12" t="s">
        <v>153</v>
      </c>
      <c r="D580" s="13" t="s">
        <v>153</v>
      </c>
      <c r="E580" s="14" t="s">
        <v>153</v>
      </c>
      <c r="F580" s="15" t="s">
        <v>153</v>
      </c>
      <c r="G580" s="16" t="s">
        <v>11895</v>
      </c>
      <c r="H580" s="17" t="s">
        <v>153</v>
      </c>
      <c r="I580" s="18" t="s">
        <v>11893</v>
      </c>
      <c r="J580" s="19" t="s">
        <v>11896</v>
      </c>
      <c r="K580" s="20" t="s">
        <v>559</v>
      </c>
      <c r="L580" s="21" t="s">
        <v>1345</v>
      </c>
      <c r="M580" s="22" t="s">
        <v>3286</v>
      </c>
      <c r="N580" s="23" t="s">
        <v>3287</v>
      </c>
      <c r="O580" s="24" t="s">
        <v>153</v>
      </c>
      <c r="P580" s="25" t="s">
        <v>11897</v>
      </c>
      <c r="Q580" s="26" t="s">
        <v>204</v>
      </c>
      <c r="R580" s="27" t="s">
        <v>153</v>
      </c>
      <c r="S580" s="28" t="s">
        <v>163</v>
      </c>
      <c r="T580" s="29" t="s">
        <v>205</v>
      </c>
      <c r="U580" s="30" t="s">
        <v>206</v>
      </c>
      <c r="V580" s="31" t="s">
        <v>153</v>
      </c>
      <c r="W580" s="32" t="s">
        <v>153</v>
      </c>
      <c r="X580" s="33" t="s">
        <v>153</v>
      </c>
      <c r="Y580" s="34" t="s">
        <v>153</v>
      </c>
      <c r="Z580" s="35" t="s">
        <v>153</v>
      </c>
      <c r="AA580" s="36" t="s">
        <v>153</v>
      </c>
      <c r="AB580" s="37" t="s">
        <v>153</v>
      </c>
      <c r="AC580" s="38" t="s">
        <v>153</v>
      </c>
      <c r="AD580" s="39" t="s">
        <v>153</v>
      </c>
      <c r="AE580" s="40" t="s">
        <v>153</v>
      </c>
      <c r="AF580" s="41" t="s">
        <v>153</v>
      </c>
      <c r="AG580" s="42" t="s">
        <v>153</v>
      </c>
      <c r="AH580" s="43" t="s">
        <v>153</v>
      </c>
      <c r="AI580" s="44" t="s">
        <v>153</v>
      </c>
      <c r="AJ580" s="45" t="s">
        <v>153</v>
      </c>
      <c r="AK580" s="46" t="s">
        <v>153</v>
      </c>
      <c r="AL580" s="47" t="s">
        <v>153</v>
      </c>
      <c r="AM580" s="48" t="s">
        <v>153</v>
      </c>
      <c r="AN580" s="49" t="s">
        <v>153</v>
      </c>
      <c r="AO580" s="50" t="s">
        <v>153</v>
      </c>
      <c r="AP580" s="51" t="s">
        <v>153</v>
      </c>
      <c r="AQ580" s="52" t="s">
        <v>153</v>
      </c>
      <c r="AR580" s="53" t="s">
        <v>153</v>
      </c>
      <c r="AS580" s="54" t="s">
        <v>153</v>
      </c>
      <c r="AT580" s="55" t="s">
        <v>11898</v>
      </c>
      <c r="AU580" s="56" t="s">
        <v>153</v>
      </c>
      <c r="AV580" s="57" t="s">
        <v>153</v>
      </c>
      <c r="AW580" s="58" t="s">
        <v>11899</v>
      </c>
      <c r="AX580" s="59" t="s">
        <v>153</v>
      </c>
      <c r="AY580" s="60" t="s">
        <v>153</v>
      </c>
      <c r="AZ580" s="61" t="s">
        <v>11900</v>
      </c>
      <c r="BA580" s="62" t="s">
        <v>153</v>
      </c>
      <c r="BB580" s="63" t="s">
        <v>153</v>
      </c>
      <c r="BC580" s="64" t="s">
        <v>153</v>
      </c>
      <c r="BD580" s="65" t="s">
        <v>1406</v>
      </c>
      <c r="BE580" s="66" t="s">
        <v>7536</v>
      </c>
      <c r="BF580" s="67" t="s">
        <v>11901</v>
      </c>
      <c r="BG580" s="68" t="s">
        <v>153</v>
      </c>
      <c r="BH580" s="69" t="s">
        <v>153</v>
      </c>
      <c r="BI580" s="70" t="s">
        <v>11902</v>
      </c>
      <c r="BJ580" s="71" t="s">
        <v>11903</v>
      </c>
      <c r="BK580" s="72" t="s">
        <v>153</v>
      </c>
      <c r="BL580" s="73" t="s">
        <v>153</v>
      </c>
      <c r="BM580" s="74" t="s">
        <v>153</v>
      </c>
      <c r="BN580" s="75" t="s">
        <v>153</v>
      </c>
      <c r="BO580" s="76" t="s">
        <v>153</v>
      </c>
      <c r="BP580" s="77" t="s">
        <v>153</v>
      </c>
      <c r="BQ580" s="78">
        <v>41743</v>
      </c>
      <c r="BR580" s="79">
        <v>7700</v>
      </c>
      <c r="BS580" s="80" t="s">
        <v>186</v>
      </c>
      <c r="BT580" s="81">
        <v>7700</v>
      </c>
      <c r="BU580" s="82" t="s">
        <v>186</v>
      </c>
      <c r="BV580" s="83" t="s">
        <v>226</v>
      </c>
      <c r="BW580" s="84" t="s">
        <v>729</v>
      </c>
      <c r="BX580" s="85" t="s">
        <v>153</v>
      </c>
      <c r="BY580" s="86" t="s">
        <v>225</v>
      </c>
      <c r="BZ580" s="87" t="s">
        <v>153</v>
      </c>
      <c r="CA580" s="88" t="s">
        <v>190</v>
      </c>
      <c r="CB580" s="89">
        <v>41743</v>
      </c>
      <c r="CC580" s="90">
        <v>7700</v>
      </c>
      <c r="CD580" s="91" t="s">
        <v>186</v>
      </c>
      <c r="CE580" s="92">
        <v>7700</v>
      </c>
      <c r="CF580" s="93" t="s">
        <v>186</v>
      </c>
      <c r="CG580" s="94" t="s">
        <v>226</v>
      </c>
      <c r="CH580" s="95" t="s">
        <v>729</v>
      </c>
      <c r="CI580" s="96" t="s">
        <v>153</v>
      </c>
      <c r="CJ580" s="97" t="s">
        <v>225</v>
      </c>
      <c r="CK580" s="98">
        <v>41743</v>
      </c>
      <c r="CL580" s="99" t="s">
        <v>153</v>
      </c>
      <c r="CM580" s="100" t="s">
        <v>153</v>
      </c>
      <c r="CN580" s="101" t="s">
        <v>190</v>
      </c>
      <c r="CO580" s="102" t="s">
        <v>153</v>
      </c>
      <c r="CP580" s="103" t="s">
        <v>153</v>
      </c>
      <c r="CQ580" s="104" t="s">
        <v>153</v>
      </c>
      <c r="CR580" s="105" t="s">
        <v>153</v>
      </c>
      <c r="CS580" s="106" t="s">
        <v>153</v>
      </c>
      <c r="CT580" s="107" t="s">
        <v>153</v>
      </c>
      <c r="CU580" s="108" t="s">
        <v>153</v>
      </c>
      <c r="CV580" s="109" t="s">
        <v>153</v>
      </c>
      <c r="CW580" s="110" t="s">
        <v>153</v>
      </c>
      <c r="CX580" s="111" t="s">
        <v>153</v>
      </c>
      <c r="CY580" s="112" t="s">
        <v>153</v>
      </c>
      <c r="CZ580" s="113" t="s">
        <v>153</v>
      </c>
      <c r="DA580" s="114" t="s">
        <v>153</v>
      </c>
      <c r="DB580" s="115" t="s">
        <v>153</v>
      </c>
      <c r="DC580" s="116" t="s">
        <v>153</v>
      </c>
      <c r="DD580" s="117" t="s">
        <v>153</v>
      </c>
      <c r="DE580" s="118" t="s">
        <v>153</v>
      </c>
      <c r="DF580" s="119" t="s">
        <v>153</v>
      </c>
      <c r="DG580" s="120" t="s">
        <v>153</v>
      </c>
      <c r="DH580" s="121" t="s">
        <v>153</v>
      </c>
      <c r="DI580" s="122" t="s">
        <v>153</v>
      </c>
      <c r="DJ580" s="123" t="s">
        <v>153</v>
      </c>
      <c r="DK580" s="124" t="s">
        <v>153</v>
      </c>
      <c r="DL580" s="125" t="s">
        <v>153</v>
      </c>
      <c r="DM580" s="126" t="s">
        <v>153</v>
      </c>
      <c r="DN580" s="127" t="s">
        <v>153</v>
      </c>
      <c r="DO580" s="128" t="s">
        <v>153</v>
      </c>
      <c r="DP580" s="129" t="s">
        <v>153</v>
      </c>
      <c r="DQ580" s="130" t="s">
        <v>153</v>
      </c>
      <c r="DR580" s="131" t="s">
        <v>153</v>
      </c>
      <c r="DS580" s="132" t="s">
        <v>153</v>
      </c>
      <c r="DT580" s="133" t="s">
        <v>153</v>
      </c>
      <c r="DU580" s="134" t="s">
        <v>153</v>
      </c>
      <c r="DV580" s="135" t="s">
        <v>153</v>
      </c>
      <c r="DW580" s="136" t="s">
        <v>153</v>
      </c>
      <c r="DX580" s="137" t="s">
        <v>153</v>
      </c>
      <c r="DY580" s="138" t="s">
        <v>153</v>
      </c>
      <c r="DZ580" s="139" t="s">
        <v>191</v>
      </c>
      <c r="EA580" s="140">
        <v>44147</v>
      </c>
      <c r="EB580" s="141">
        <v>7700</v>
      </c>
      <c r="EC580" s="142">
        <v>41743</v>
      </c>
      <c r="ED580" s="143" t="s">
        <v>226</v>
      </c>
      <c r="EE580" s="278" t="str">
        <f>HYPERLINK("https://my.pitchbook.com?c=63357-76", "View company online")</f>
        <v>View company online</v>
      </c>
    </row>
    <row r="581" spans="1:135" x14ac:dyDescent="0.45">
      <c r="A581" s="144" t="s">
        <v>11904</v>
      </c>
      <c r="B581" s="145" t="s">
        <v>11905</v>
      </c>
      <c r="C581" s="146" t="s">
        <v>153</v>
      </c>
      <c r="D581" s="147" t="s">
        <v>153</v>
      </c>
      <c r="E581" s="148" t="s">
        <v>11906</v>
      </c>
      <c r="F581" s="149" t="s">
        <v>153</v>
      </c>
      <c r="G581" s="150" t="s">
        <v>11907</v>
      </c>
      <c r="H581" s="151" t="s">
        <v>153</v>
      </c>
      <c r="I581" s="152" t="s">
        <v>11904</v>
      </c>
      <c r="J581" s="153" t="s">
        <v>11908</v>
      </c>
      <c r="K581" s="154" t="s">
        <v>559</v>
      </c>
      <c r="L581" s="155" t="s">
        <v>1345</v>
      </c>
      <c r="M581" s="156" t="s">
        <v>8571</v>
      </c>
      <c r="N581" s="157" t="s">
        <v>11909</v>
      </c>
      <c r="O581" s="158" t="s">
        <v>153</v>
      </c>
      <c r="P581" s="159" t="s">
        <v>11910</v>
      </c>
      <c r="Q581" s="160" t="s">
        <v>204</v>
      </c>
      <c r="R581" s="161">
        <v>835</v>
      </c>
      <c r="S581" s="162" t="s">
        <v>163</v>
      </c>
      <c r="T581" s="163" t="s">
        <v>205</v>
      </c>
      <c r="U581" s="164" t="s">
        <v>1706</v>
      </c>
      <c r="V581" s="165" t="s">
        <v>11911</v>
      </c>
      <c r="W581" s="166">
        <v>51</v>
      </c>
      <c r="X581" s="167" t="s">
        <v>11912</v>
      </c>
      <c r="Y581" s="168" t="s">
        <v>153</v>
      </c>
      <c r="Z581" s="169" t="s">
        <v>153</v>
      </c>
      <c r="AA581" s="170">
        <v>1993</v>
      </c>
      <c r="AB581" s="171" t="s">
        <v>153</v>
      </c>
      <c r="AC581" s="172" t="s">
        <v>153</v>
      </c>
      <c r="AD581" s="173" t="s">
        <v>153</v>
      </c>
      <c r="AE581" s="174" t="s">
        <v>153</v>
      </c>
      <c r="AF581" s="175" t="s">
        <v>153</v>
      </c>
      <c r="AG581" s="176" t="s">
        <v>153</v>
      </c>
      <c r="AH581" s="177" t="s">
        <v>153</v>
      </c>
      <c r="AI581" s="178" t="s">
        <v>153</v>
      </c>
      <c r="AJ581" s="179" t="s">
        <v>153</v>
      </c>
      <c r="AK581" s="180" t="s">
        <v>153</v>
      </c>
      <c r="AL581" s="181" t="s">
        <v>153</v>
      </c>
      <c r="AM581" s="182" t="s">
        <v>153</v>
      </c>
      <c r="AN581" s="183" t="s">
        <v>9935</v>
      </c>
      <c r="AO581" s="184" t="s">
        <v>11913</v>
      </c>
      <c r="AP581" s="185" t="s">
        <v>11914</v>
      </c>
      <c r="AQ581" s="186" t="s">
        <v>512</v>
      </c>
      <c r="AR581" s="187" t="s">
        <v>153</v>
      </c>
      <c r="AS581" s="188" t="s">
        <v>153</v>
      </c>
      <c r="AT581" s="189" t="s">
        <v>11915</v>
      </c>
      <c r="AU581" s="190" t="s">
        <v>11916</v>
      </c>
      <c r="AV581" s="191" t="s">
        <v>11917</v>
      </c>
      <c r="AW581" s="192" t="s">
        <v>11918</v>
      </c>
      <c r="AX581" s="193" t="s">
        <v>5263</v>
      </c>
      <c r="AY581" s="194" t="s">
        <v>11919</v>
      </c>
      <c r="AZ581" s="195" t="s">
        <v>2546</v>
      </c>
      <c r="BA581" s="196" t="s">
        <v>153</v>
      </c>
      <c r="BB581" s="197" t="s">
        <v>153</v>
      </c>
      <c r="BC581" s="198" t="s">
        <v>153</v>
      </c>
      <c r="BD581" s="199" t="s">
        <v>2547</v>
      </c>
      <c r="BE581" s="200" t="s">
        <v>2547</v>
      </c>
      <c r="BF581" s="201" t="s">
        <v>11920</v>
      </c>
      <c r="BG581" s="202" t="s">
        <v>153</v>
      </c>
      <c r="BH581" s="203" t="s">
        <v>153</v>
      </c>
      <c r="BI581" s="204" t="s">
        <v>11618</v>
      </c>
      <c r="BJ581" s="205" t="s">
        <v>11921</v>
      </c>
      <c r="BK581" s="206" t="s">
        <v>153</v>
      </c>
      <c r="BL581" s="207" t="s">
        <v>153</v>
      </c>
      <c r="BM581" s="208" t="s">
        <v>11922</v>
      </c>
      <c r="BN581" s="209" t="s">
        <v>153</v>
      </c>
      <c r="BO581" s="210" t="s">
        <v>153</v>
      </c>
      <c r="BP581" s="211" t="s">
        <v>11923</v>
      </c>
      <c r="BQ581" s="212">
        <v>38718</v>
      </c>
      <c r="BR581" s="213">
        <v>30</v>
      </c>
      <c r="BS581" s="214" t="s">
        <v>186</v>
      </c>
      <c r="BT581" s="215" t="s">
        <v>153</v>
      </c>
      <c r="BU581" s="216" t="s">
        <v>153</v>
      </c>
      <c r="BV581" s="217" t="s">
        <v>225</v>
      </c>
      <c r="BW581" s="218" t="s">
        <v>225</v>
      </c>
      <c r="BX581" s="219" t="s">
        <v>153</v>
      </c>
      <c r="BY581" s="220" t="s">
        <v>225</v>
      </c>
      <c r="BZ581" s="221" t="s">
        <v>153</v>
      </c>
      <c r="CA581" s="222" t="s">
        <v>190</v>
      </c>
      <c r="CB581" s="223">
        <v>40544</v>
      </c>
      <c r="CC581" s="224">
        <v>7700</v>
      </c>
      <c r="CD581" s="225" t="s">
        <v>186</v>
      </c>
      <c r="CE581" s="226">
        <v>7700</v>
      </c>
      <c r="CF581" s="227" t="s">
        <v>186</v>
      </c>
      <c r="CG581" s="228" t="s">
        <v>226</v>
      </c>
      <c r="CH581" s="229" t="s">
        <v>153</v>
      </c>
      <c r="CI581" s="230" t="s">
        <v>153</v>
      </c>
      <c r="CJ581" s="231" t="s">
        <v>225</v>
      </c>
      <c r="CK581" s="232">
        <v>40544</v>
      </c>
      <c r="CL581" s="233" t="s">
        <v>153</v>
      </c>
      <c r="CM581" s="234" t="s">
        <v>153</v>
      </c>
      <c r="CN581" s="235" t="s">
        <v>190</v>
      </c>
      <c r="CO581" s="236" t="s">
        <v>153</v>
      </c>
      <c r="CP581" s="237" t="s">
        <v>153</v>
      </c>
      <c r="CQ581" s="238" t="s">
        <v>153</v>
      </c>
      <c r="CR581" s="239" t="s">
        <v>153</v>
      </c>
      <c r="CS581" s="240" t="s">
        <v>153</v>
      </c>
      <c r="CT581" s="241" t="s">
        <v>153</v>
      </c>
      <c r="CU581" s="242" t="s">
        <v>153</v>
      </c>
      <c r="CV581" s="243" t="s">
        <v>153</v>
      </c>
      <c r="CW581" s="244" t="s">
        <v>153</v>
      </c>
      <c r="CX581" s="245" t="s">
        <v>153</v>
      </c>
      <c r="CY581" s="246" t="s">
        <v>153</v>
      </c>
      <c r="CZ581" s="247" t="s">
        <v>153</v>
      </c>
      <c r="DA581" s="248" t="s">
        <v>153</v>
      </c>
      <c r="DB581" s="249" t="s">
        <v>153</v>
      </c>
      <c r="DC581" s="250" t="s">
        <v>153</v>
      </c>
      <c r="DD581" s="251" t="s">
        <v>153</v>
      </c>
      <c r="DE581" s="252" t="s">
        <v>153</v>
      </c>
      <c r="DF581" s="253" t="s">
        <v>153</v>
      </c>
      <c r="DG581" s="254" t="s">
        <v>153</v>
      </c>
      <c r="DH581" s="255" t="s">
        <v>153</v>
      </c>
      <c r="DI581" s="256" t="s">
        <v>153</v>
      </c>
      <c r="DJ581" s="257" t="s">
        <v>153</v>
      </c>
      <c r="DK581" s="258" t="s">
        <v>153</v>
      </c>
      <c r="DL581" s="259" t="s">
        <v>153</v>
      </c>
      <c r="DM581" s="260" t="s">
        <v>153</v>
      </c>
      <c r="DN581" s="261" t="s">
        <v>153</v>
      </c>
      <c r="DO581" s="262" t="s">
        <v>153</v>
      </c>
      <c r="DP581" s="263" t="s">
        <v>153</v>
      </c>
      <c r="DQ581" s="264" t="s">
        <v>153</v>
      </c>
      <c r="DR581" s="265" t="s">
        <v>153</v>
      </c>
      <c r="DS581" s="266" t="s">
        <v>153</v>
      </c>
      <c r="DT581" s="267" t="s">
        <v>153</v>
      </c>
      <c r="DU581" s="268" t="s">
        <v>153</v>
      </c>
      <c r="DV581" s="269" t="s">
        <v>153</v>
      </c>
      <c r="DW581" s="270" t="s">
        <v>153</v>
      </c>
      <c r="DX581" s="271" t="s">
        <v>153</v>
      </c>
      <c r="DY581" s="272" t="s">
        <v>153</v>
      </c>
      <c r="DZ581" s="273" t="s">
        <v>191</v>
      </c>
      <c r="EA581" s="274">
        <v>44217</v>
      </c>
      <c r="EB581" s="275">
        <v>7700</v>
      </c>
      <c r="EC581" s="276">
        <v>40544</v>
      </c>
      <c r="ED581" s="277" t="s">
        <v>226</v>
      </c>
      <c r="EE581" s="279" t="str">
        <f>HYPERLINK("https://my.pitchbook.com?c=64738-99", "View company online")</f>
        <v>View company online</v>
      </c>
    </row>
    <row r="582" spans="1:135" x14ac:dyDescent="0.45">
      <c r="A582" s="10" t="s">
        <v>11924</v>
      </c>
      <c r="B582" s="11" t="s">
        <v>11925</v>
      </c>
      <c r="C582" s="12" t="s">
        <v>153</v>
      </c>
      <c r="D582" s="13" t="s">
        <v>153</v>
      </c>
      <c r="E582" s="14" t="s">
        <v>153</v>
      </c>
      <c r="F582" s="15" t="s">
        <v>153</v>
      </c>
      <c r="G582" s="16" t="s">
        <v>11926</v>
      </c>
      <c r="H582" s="17" t="s">
        <v>153</v>
      </c>
      <c r="I582" s="18" t="s">
        <v>11924</v>
      </c>
      <c r="J582" s="19" t="s">
        <v>11927</v>
      </c>
      <c r="K582" s="20" t="s">
        <v>198</v>
      </c>
      <c r="L582" s="21" t="s">
        <v>284</v>
      </c>
      <c r="M582" s="22" t="s">
        <v>10868</v>
      </c>
      <c r="N582" s="23" t="s">
        <v>11928</v>
      </c>
      <c r="O582" s="24" t="s">
        <v>153</v>
      </c>
      <c r="P582" s="25" t="s">
        <v>11929</v>
      </c>
      <c r="Q582" s="26" t="s">
        <v>204</v>
      </c>
      <c r="R582" s="27" t="s">
        <v>153</v>
      </c>
      <c r="S582" s="28" t="s">
        <v>163</v>
      </c>
      <c r="T582" s="29" t="s">
        <v>164</v>
      </c>
      <c r="U582" s="30" t="s">
        <v>206</v>
      </c>
      <c r="V582" s="31" t="s">
        <v>11930</v>
      </c>
      <c r="W582" s="32">
        <v>36000</v>
      </c>
      <c r="X582" s="33" t="s">
        <v>11931</v>
      </c>
      <c r="Y582" s="34" t="s">
        <v>153</v>
      </c>
      <c r="Z582" s="35" t="s">
        <v>153</v>
      </c>
      <c r="AA582" s="36" t="s">
        <v>153</v>
      </c>
      <c r="AB582" s="37" t="s">
        <v>10135</v>
      </c>
      <c r="AC582" s="38" t="s">
        <v>508</v>
      </c>
      <c r="AD582" s="39" t="s">
        <v>508</v>
      </c>
      <c r="AE582" s="40" t="s">
        <v>153</v>
      </c>
      <c r="AF582" s="41" t="s">
        <v>153</v>
      </c>
      <c r="AG582" s="42" t="s">
        <v>153</v>
      </c>
      <c r="AH582" s="43" t="s">
        <v>153</v>
      </c>
      <c r="AI582" s="44" t="s">
        <v>153</v>
      </c>
      <c r="AJ582" s="45" t="s">
        <v>153</v>
      </c>
      <c r="AK582" s="46" t="s">
        <v>153</v>
      </c>
      <c r="AL582" s="47" t="s">
        <v>153</v>
      </c>
      <c r="AM582" s="48" t="s">
        <v>153</v>
      </c>
      <c r="AN582" s="49" t="s">
        <v>456</v>
      </c>
      <c r="AO582" s="50" t="s">
        <v>11932</v>
      </c>
      <c r="AP582" s="51" t="s">
        <v>11933</v>
      </c>
      <c r="AQ582" s="52" t="s">
        <v>171</v>
      </c>
      <c r="AR582" s="53" t="s">
        <v>11934</v>
      </c>
      <c r="AS582" s="54" t="s">
        <v>153</v>
      </c>
      <c r="AT582" s="55" t="s">
        <v>3311</v>
      </c>
      <c r="AU582" s="56" t="s">
        <v>11935</v>
      </c>
      <c r="AV582" s="57" t="s">
        <v>153</v>
      </c>
      <c r="AW582" s="58" t="s">
        <v>3313</v>
      </c>
      <c r="AX582" s="59" t="s">
        <v>153</v>
      </c>
      <c r="AY582" s="60" t="s">
        <v>3314</v>
      </c>
      <c r="AZ582" s="61" t="s">
        <v>1426</v>
      </c>
      <c r="BA582" s="62" t="s">
        <v>11936</v>
      </c>
      <c r="BB582" s="63" t="s">
        <v>153</v>
      </c>
      <c r="BC582" s="64" t="s">
        <v>153</v>
      </c>
      <c r="BD582" s="65" t="s">
        <v>180</v>
      </c>
      <c r="BE582" s="66" t="s">
        <v>181</v>
      </c>
      <c r="BF582" s="67" t="s">
        <v>11937</v>
      </c>
      <c r="BG582" s="68" t="s">
        <v>11938</v>
      </c>
      <c r="BH582" s="69">
        <v>1</v>
      </c>
      <c r="BI582" s="70" t="s">
        <v>10135</v>
      </c>
      <c r="BJ582" s="71" t="s">
        <v>153</v>
      </c>
      <c r="BK582" s="72" t="s">
        <v>153</v>
      </c>
      <c r="BL582" s="73" t="s">
        <v>11939</v>
      </c>
      <c r="BM582" s="74" t="s">
        <v>153</v>
      </c>
      <c r="BN582" s="75" t="s">
        <v>153</v>
      </c>
      <c r="BO582" s="76" t="s">
        <v>153</v>
      </c>
      <c r="BP582" s="77" t="s">
        <v>11940</v>
      </c>
      <c r="BQ582" s="78">
        <v>44013</v>
      </c>
      <c r="BR582" s="79">
        <v>7700</v>
      </c>
      <c r="BS582" s="80" t="s">
        <v>187</v>
      </c>
      <c r="BT582" s="81">
        <v>9612.98</v>
      </c>
      <c r="BU582" s="82" t="s">
        <v>187</v>
      </c>
      <c r="BV582" s="83" t="s">
        <v>226</v>
      </c>
      <c r="BW582" s="84" t="s">
        <v>153</v>
      </c>
      <c r="BX582" s="85" t="s">
        <v>153</v>
      </c>
      <c r="BY582" s="86" t="s">
        <v>225</v>
      </c>
      <c r="BZ582" s="87" t="s">
        <v>153</v>
      </c>
      <c r="CA582" s="88" t="s">
        <v>190</v>
      </c>
      <c r="CB582" s="89">
        <v>44013</v>
      </c>
      <c r="CC582" s="90">
        <v>7700</v>
      </c>
      <c r="CD582" s="91" t="s">
        <v>187</v>
      </c>
      <c r="CE582" s="92">
        <v>9612.98</v>
      </c>
      <c r="CF582" s="93" t="s">
        <v>187</v>
      </c>
      <c r="CG582" s="94" t="s">
        <v>226</v>
      </c>
      <c r="CH582" s="95" t="s">
        <v>153</v>
      </c>
      <c r="CI582" s="96" t="s">
        <v>153</v>
      </c>
      <c r="CJ582" s="97" t="s">
        <v>225</v>
      </c>
      <c r="CK582" s="98">
        <v>44013</v>
      </c>
      <c r="CL582" s="99" t="s">
        <v>153</v>
      </c>
      <c r="CM582" s="100" t="s">
        <v>153</v>
      </c>
      <c r="CN582" s="101" t="s">
        <v>190</v>
      </c>
      <c r="CO582" s="102">
        <v>4.76</v>
      </c>
      <c r="CP582" s="103">
        <v>100</v>
      </c>
      <c r="CQ582" s="104">
        <v>-0.21</v>
      </c>
      <c r="CR582" s="105">
        <v>-4.1900000000000004</v>
      </c>
      <c r="CS582" s="106">
        <v>1.47</v>
      </c>
      <c r="CT582" s="107">
        <v>97</v>
      </c>
      <c r="CU582" s="108">
        <v>-0.05</v>
      </c>
      <c r="CV582" s="109">
        <v>32</v>
      </c>
      <c r="CW582" s="110">
        <v>2.21</v>
      </c>
      <c r="CX582" s="111">
        <v>87</v>
      </c>
      <c r="CY582" s="112">
        <v>0.73</v>
      </c>
      <c r="CZ582" s="113">
        <v>96</v>
      </c>
      <c r="DA582" s="114">
        <v>-0.05</v>
      </c>
      <c r="DB582" s="115">
        <v>32</v>
      </c>
      <c r="DC582" s="116">
        <v>423.97</v>
      </c>
      <c r="DD582" s="117">
        <v>100</v>
      </c>
      <c r="DE582" s="118">
        <v>0.03</v>
      </c>
      <c r="DF582" s="119">
        <v>0.01</v>
      </c>
      <c r="DG582" s="120">
        <v>119.46</v>
      </c>
      <c r="DH582" s="121">
        <v>100</v>
      </c>
      <c r="DI582" s="122">
        <v>179.47</v>
      </c>
      <c r="DJ582" s="123">
        <v>99</v>
      </c>
      <c r="DK582" s="124">
        <v>128.55000000000001</v>
      </c>
      <c r="DL582" s="125">
        <v>98</v>
      </c>
      <c r="DM582" s="126">
        <v>110.38</v>
      </c>
      <c r="DN582" s="127">
        <v>99</v>
      </c>
      <c r="DO582" s="128">
        <v>179.47</v>
      </c>
      <c r="DP582" s="129">
        <v>99</v>
      </c>
      <c r="DQ582" s="130">
        <v>75722</v>
      </c>
      <c r="DR582" s="131">
        <v>1864</v>
      </c>
      <c r="DS582" s="132">
        <v>2.52</v>
      </c>
      <c r="DT582" s="133">
        <v>1779</v>
      </c>
      <c r="DU582" s="134">
        <v>-40</v>
      </c>
      <c r="DV582" s="135">
        <v>-2.2000000000000002</v>
      </c>
      <c r="DW582" s="136">
        <v>56353</v>
      </c>
      <c r="DX582" s="137">
        <v>6</v>
      </c>
      <c r="DY582" s="138">
        <v>0.01</v>
      </c>
      <c r="DZ582" s="139" t="s">
        <v>191</v>
      </c>
      <c r="EA582" s="140">
        <v>44365</v>
      </c>
      <c r="EB582" s="141">
        <v>9612.98</v>
      </c>
      <c r="EC582" s="142">
        <v>44013</v>
      </c>
      <c r="ED582" s="143" t="s">
        <v>226</v>
      </c>
      <c r="EE582" s="278" t="str">
        <f>HYPERLINK("https://my.pitchbook.com?c=234601-57", "View company online")</f>
        <v>View company online</v>
      </c>
    </row>
    <row r="583" spans="1:135" x14ac:dyDescent="0.45">
      <c r="A583" s="144" t="s">
        <v>11941</v>
      </c>
      <c r="B583" s="145" t="s">
        <v>11942</v>
      </c>
      <c r="C583" s="146" t="s">
        <v>153</v>
      </c>
      <c r="D583" s="147" t="s">
        <v>153</v>
      </c>
      <c r="E583" s="148" t="s">
        <v>153</v>
      </c>
      <c r="F583" s="149" t="s">
        <v>153</v>
      </c>
      <c r="G583" s="150" t="s">
        <v>11943</v>
      </c>
      <c r="H583" s="151" t="s">
        <v>153</v>
      </c>
      <c r="I583" s="152" t="s">
        <v>11941</v>
      </c>
      <c r="J583" s="153" t="s">
        <v>11944</v>
      </c>
      <c r="K583" s="154" t="s">
        <v>792</v>
      </c>
      <c r="L583" s="155" t="s">
        <v>3864</v>
      </c>
      <c r="M583" s="156" t="s">
        <v>3865</v>
      </c>
      <c r="N583" s="157" t="s">
        <v>7394</v>
      </c>
      <c r="O583" s="158" t="s">
        <v>3141</v>
      </c>
      <c r="P583" s="159" t="s">
        <v>11945</v>
      </c>
      <c r="Q583" s="160" t="s">
        <v>204</v>
      </c>
      <c r="R583" s="161" t="s">
        <v>153</v>
      </c>
      <c r="S583" s="162" t="s">
        <v>163</v>
      </c>
      <c r="T583" s="163" t="s">
        <v>1392</v>
      </c>
      <c r="U583" s="164" t="s">
        <v>206</v>
      </c>
      <c r="V583" s="165" t="s">
        <v>11946</v>
      </c>
      <c r="W583" s="166" t="s">
        <v>153</v>
      </c>
      <c r="X583" s="167" t="s">
        <v>153</v>
      </c>
      <c r="Y583" s="168" t="s">
        <v>153</v>
      </c>
      <c r="Z583" s="169" t="s">
        <v>153</v>
      </c>
      <c r="AA583" s="170">
        <v>1974</v>
      </c>
      <c r="AB583" s="171" t="s">
        <v>153</v>
      </c>
      <c r="AC583" s="172" t="s">
        <v>153</v>
      </c>
      <c r="AD583" s="173" t="s">
        <v>153</v>
      </c>
      <c r="AE583" s="174" t="s">
        <v>153</v>
      </c>
      <c r="AF583" s="175" t="s">
        <v>153</v>
      </c>
      <c r="AG583" s="176" t="s">
        <v>153</v>
      </c>
      <c r="AH583" s="177" t="s">
        <v>153</v>
      </c>
      <c r="AI583" s="178" t="s">
        <v>153</v>
      </c>
      <c r="AJ583" s="179" t="s">
        <v>153</v>
      </c>
      <c r="AK583" s="180" t="s">
        <v>153</v>
      </c>
      <c r="AL583" s="181" t="s">
        <v>153</v>
      </c>
      <c r="AM583" s="182" t="s">
        <v>153</v>
      </c>
      <c r="AN583" s="183" t="s">
        <v>456</v>
      </c>
      <c r="AO583" s="184" t="s">
        <v>153</v>
      </c>
      <c r="AP583" s="185" t="s">
        <v>153</v>
      </c>
      <c r="AQ583" s="186" t="s">
        <v>153</v>
      </c>
      <c r="AR583" s="187" t="s">
        <v>153</v>
      </c>
      <c r="AS583" s="188" t="s">
        <v>153</v>
      </c>
      <c r="AT583" s="189" t="s">
        <v>11947</v>
      </c>
      <c r="AU583" s="190" t="s">
        <v>153</v>
      </c>
      <c r="AV583" s="191" t="s">
        <v>153</v>
      </c>
      <c r="AW583" s="192" t="s">
        <v>11948</v>
      </c>
      <c r="AX583" s="193" t="s">
        <v>153</v>
      </c>
      <c r="AY583" s="194" t="s">
        <v>11949</v>
      </c>
      <c r="AZ583" s="195" t="s">
        <v>11950</v>
      </c>
      <c r="BA583" s="196" t="s">
        <v>11951</v>
      </c>
      <c r="BB583" s="197" t="s">
        <v>11952</v>
      </c>
      <c r="BC583" s="198" t="s">
        <v>11953</v>
      </c>
      <c r="BD583" s="199" t="s">
        <v>180</v>
      </c>
      <c r="BE583" s="200" t="s">
        <v>809</v>
      </c>
      <c r="BF583" s="201" t="s">
        <v>11954</v>
      </c>
      <c r="BG583" s="202" t="s">
        <v>11955</v>
      </c>
      <c r="BH583" s="203">
        <v>2</v>
      </c>
      <c r="BI583" s="204" t="s">
        <v>153</v>
      </c>
      <c r="BJ583" s="205" t="s">
        <v>153</v>
      </c>
      <c r="BK583" s="206" t="s">
        <v>153</v>
      </c>
      <c r="BL583" s="207" t="s">
        <v>11956</v>
      </c>
      <c r="BM583" s="208" t="s">
        <v>153</v>
      </c>
      <c r="BN583" s="209" t="s">
        <v>153</v>
      </c>
      <c r="BO583" s="210" t="s">
        <v>153</v>
      </c>
      <c r="BP583" s="211" t="s">
        <v>153</v>
      </c>
      <c r="BQ583" s="212">
        <v>41852</v>
      </c>
      <c r="BR583" s="213" t="s">
        <v>153</v>
      </c>
      <c r="BS583" s="214" t="s">
        <v>153</v>
      </c>
      <c r="BT583" s="215" t="s">
        <v>153</v>
      </c>
      <c r="BU583" s="216" t="s">
        <v>153</v>
      </c>
      <c r="BV583" s="217" t="s">
        <v>906</v>
      </c>
      <c r="BW583" s="218" t="s">
        <v>153</v>
      </c>
      <c r="BX583" s="219" t="s">
        <v>153</v>
      </c>
      <c r="BY583" s="220" t="s">
        <v>225</v>
      </c>
      <c r="BZ583" s="221" t="s">
        <v>153</v>
      </c>
      <c r="CA583" s="222" t="s">
        <v>394</v>
      </c>
      <c r="CB583" s="223">
        <v>42097</v>
      </c>
      <c r="CC583" s="224">
        <v>7700</v>
      </c>
      <c r="CD583" s="225" t="s">
        <v>186</v>
      </c>
      <c r="CE583" s="226">
        <v>15714.28</v>
      </c>
      <c r="CF583" s="227" t="s">
        <v>187</v>
      </c>
      <c r="CG583" s="228" t="s">
        <v>906</v>
      </c>
      <c r="CH583" s="229" t="s">
        <v>153</v>
      </c>
      <c r="CI583" s="230" t="s">
        <v>153</v>
      </c>
      <c r="CJ583" s="231" t="s">
        <v>225</v>
      </c>
      <c r="CK583" s="232">
        <v>42097</v>
      </c>
      <c r="CL583" s="233" t="s">
        <v>153</v>
      </c>
      <c r="CM583" s="234" t="s">
        <v>153</v>
      </c>
      <c r="CN583" s="235" t="s">
        <v>190</v>
      </c>
      <c r="CO583" s="236">
        <v>0.16</v>
      </c>
      <c r="CP583" s="237">
        <v>90</v>
      </c>
      <c r="CQ583" s="238">
        <v>-0.28000000000000003</v>
      </c>
      <c r="CR583" s="239">
        <v>-63.99</v>
      </c>
      <c r="CS583" s="240">
        <v>0.16</v>
      </c>
      <c r="CT583" s="241">
        <v>90</v>
      </c>
      <c r="CU583" s="242" t="s">
        <v>153</v>
      </c>
      <c r="CV583" s="243" t="s">
        <v>153</v>
      </c>
      <c r="CW583" s="244" t="s">
        <v>153</v>
      </c>
      <c r="CX583" s="245" t="s">
        <v>153</v>
      </c>
      <c r="CY583" s="246">
        <v>0.16</v>
      </c>
      <c r="CZ583" s="247">
        <v>91</v>
      </c>
      <c r="DA583" s="248" t="s">
        <v>153</v>
      </c>
      <c r="DB583" s="249" t="s">
        <v>153</v>
      </c>
      <c r="DC583" s="250">
        <v>25.56</v>
      </c>
      <c r="DD583" s="251">
        <v>97</v>
      </c>
      <c r="DE583" s="252">
        <v>-0.38</v>
      </c>
      <c r="DF583" s="253">
        <v>-1.45</v>
      </c>
      <c r="DG583" s="254">
        <v>25.56</v>
      </c>
      <c r="DH583" s="255">
        <v>97</v>
      </c>
      <c r="DI583" s="256" t="s">
        <v>153</v>
      </c>
      <c r="DJ583" s="257" t="s">
        <v>153</v>
      </c>
      <c r="DK583" s="258" t="s">
        <v>153</v>
      </c>
      <c r="DL583" s="259" t="s">
        <v>153</v>
      </c>
      <c r="DM583" s="260">
        <v>25.56</v>
      </c>
      <c r="DN583" s="261">
        <v>96</v>
      </c>
      <c r="DO583" s="262" t="s">
        <v>153</v>
      </c>
      <c r="DP583" s="263" t="s">
        <v>153</v>
      </c>
      <c r="DQ583" s="264" t="s">
        <v>153</v>
      </c>
      <c r="DR583" s="265" t="s">
        <v>153</v>
      </c>
      <c r="DS583" s="266" t="s">
        <v>153</v>
      </c>
      <c r="DT583" s="267">
        <v>411</v>
      </c>
      <c r="DU583" s="268">
        <v>-4</v>
      </c>
      <c r="DV583" s="269">
        <v>-0.96</v>
      </c>
      <c r="DW583" s="270" t="s">
        <v>153</v>
      </c>
      <c r="DX583" s="271" t="s">
        <v>153</v>
      </c>
      <c r="DY583" s="272" t="s">
        <v>153</v>
      </c>
      <c r="DZ583" s="273" t="s">
        <v>191</v>
      </c>
      <c r="EA583" s="274">
        <v>44147</v>
      </c>
      <c r="EB583" s="275">
        <v>15714.28</v>
      </c>
      <c r="EC583" s="276">
        <v>42097</v>
      </c>
      <c r="ED583" s="277" t="s">
        <v>906</v>
      </c>
      <c r="EE583" s="279" t="str">
        <f>HYPERLINK("https://my.pitchbook.com?c=150175-90", "View company online")</f>
        <v>View company online</v>
      </c>
    </row>
    <row r="584" spans="1:135" x14ac:dyDescent="0.45">
      <c r="A584" s="10" t="s">
        <v>11957</v>
      </c>
      <c r="B584" s="11" t="s">
        <v>11958</v>
      </c>
      <c r="C584" s="12" t="s">
        <v>153</v>
      </c>
      <c r="D584" s="13" t="s">
        <v>153</v>
      </c>
      <c r="E584" s="14" t="s">
        <v>153</v>
      </c>
      <c r="F584" s="15" t="s">
        <v>153</v>
      </c>
      <c r="G584" s="16" t="s">
        <v>153</v>
      </c>
      <c r="H584" s="17" t="s">
        <v>153</v>
      </c>
      <c r="I584" s="18" t="s">
        <v>11957</v>
      </c>
      <c r="J584" s="19" t="s">
        <v>11959</v>
      </c>
      <c r="K584" s="20" t="s">
        <v>157</v>
      </c>
      <c r="L584" s="21" t="s">
        <v>817</v>
      </c>
      <c r="M584" s="22" t="s">
        <v>818</v>
      </c>
      <c r="N584" s="23" t="s">
        <v>11960</v>
      </c>
      <c r="O584" s="24" t="s">
        <v>11961</v>
      </c>
      <c r="P584" s="25" t="s">
        <v>11962</v>
      </c>
      <c r="Q584" s="26" t="s">
        <v>204</v>
      </c>
      <c r="R584" s="27" t="s">
        <v>153</v>
      </c>
      <c r="S584" s="28" t="s">
        <v>163</v>
      </c>
      <c r="T584" s="29" t="s">
        <v>205</v>
      </c>
      <c r="U584" s="30" t="s">
        <v>206</v>
      </c>
      <c r="V584" s="31" t="s">
        <v>153</v>
      </c>
      <c r="W584" s="32" t="s">
        <v>153</v>
      </c>
      <c r="X584" s="33" t="s">
        <v>153</v>
      </c>
      <c r="Y584" s="34" t="s">
        <v>153</v>
      </c>
      <c r="Z584" s="35" t="s">
        <v>153</v>
      </c>
      <c r="AA584" s="36" t="s">
        <v>153</v>
      </c>
      <c r="AB584" s="37" t="s">
        <v>153</v>
      </c>
      <c r="AC584" s="38" t="s">
        <v>153</v>
      </c>
      <c r="AD584" s="39" t="s">
        <v>153</v>
      </c>
      <c r="AE584" s="40" t="s">
        <v>153</v>
      </c>
      <c r="AF584" s="41" t="s">
        <v>153</v>
      </c>
      <c r="AG584" s="42" t="s">
        <v>153</v>
      </c>
      <c r="AH584" s="43" t="s">
        <v>153</v>
      </c>
      <c r="AI584" s="44" t="s">
        <v>153</v>
      </c>
      <c r="AJ584" s="45" t="s">
        <v>153</v>
      </c>
      <c r="AK584" s="46" t="s">
        <v>153</v>
      </c>
      <c r="AL584" s="47" t="s">
        <v>153</v>
      </c>
      <c r="AM584" s="48" t="s">
        <v>153</v>
      </c>
      <c r="AN584" s="49" t="s">
        <v>2112</v>
      </c>
      <c r="AO584" s="50" t="s">
        <v>11963</v>
      </c>
      <c r="AP584" s="51" t="s">
        <v>11964</v>
      </c>
      <c r="AQ584" s="52" t="s">
        <v>171</v>
      </c>
      <c r="AR584" s="53" t="s">
        <v>153</v>
      </c>
      <c r="AS584" s="54" t="s">
        <v>153</v>
      </c>
      <c r="AT584" s="55" t="s">
        <v>9582</v>
      </c>
      <c r="AU584" s="56" t="s">
        <v>11965</v>
      </c>
      <c r="AV584" s="57" t="s">
        <v>153</v>
      </c>
      <c r="AW584" s="58" t="s">
        <v>9584</v>
      </c>
      <c r="AX584" s="59" t="s">
        <v>724</v>
      </c>
      <c r="AY584" s="60" t="s">
        <v>11966</v>
      </c>
      <c r="AZ584" s="61" t="s">
        <v>215</v>
      </c>
      <c r="BA584" s="62" t="s">
        <v>153</v>
      </c>
      <c r="BB584" s="63" t="s">
        <v>153</v>
      </c>
      <c r="BC584" s="64" t="s">
        <v>153</v>
      </c>
      <c r="BD584" s="65" t="s">
        <v>216</v>
      </c>
      <c r="BE584" s="66" t="s">
        <v>217</v>
      </c>
      <c r="BF584" s="67" t="s">
        <v>11967</v>
      </c>
      <c r="BG584" s="68" t="s">
        <v>153</v>
      </c>
      <c r="BH584" s="69" t="s">
        <v>153</v>
      </c>
      <c r="BI584" s="70" t="s">
        <v>11968</v>
      </c>
      <c r="BJ584" s="71" t="s">
        <v>824</v>
      </c>
      <c r="BK584" s="72" t="s">
        <v>11969</v>
      </c>
      <c r="BL584" s="73" t="s">
        <v>153</v>
      </c>
      <c r="BM584" s="74" t="s">
        <v>6531</v>
      </c>
      <c r="BN584" s="75" t="s">
        <v>11970</v>
      </c>
      <c r="BO584" s="76" t="s">
        <v>11971</v>
      </c>
      <c r="BP584" s="77" t="s">
        <v>11972</v>
      </c>
      <c r="BQ584" s="78">
        <v>42644</v>
      </c>
      <c r="BR584" s="79">
        <v>7700</v>
      </c>
      <c r="BS584" s="80" t="s">
        <v>186</v>
      </c>
      <c r="BT584" s="81">
        <v>12833.33</v>
      </c>
      <c r="BU584" s="82" t="s">
        <v>187</v>
      </c>
      <c r="BV584" s="83" t="s">
        <v>226</v>
      </c>
      <c r="BW584" s="84" t="s">
        <v>729</v>
      </c>
      <c r="BX584" s="85" t="s">
        <v>153</v>
      </c>
      <c r="BY584" s="86" t="s">
        <v>225</v>
      </c>
      <c r="BZ584" s="87" t="s">
        <v>1607</v>
      </c>
      <c r="CA584" s="88" t="s">
        <v>190</v>
      </c>
      <c r="CB584" s="89">
        <v>42644</v>
      </c>
      <c r="CC584" s="90">
        <v>7700</v>
      </c>
      <c r="CD584" s="91" t="s">
        <v>186</v>
      </c>
      <c r="CE584" s="92">
        <v>12833.33</v>
      </c>
      <c r="CF584" s="93" t="s">
        <v>187</v>
      </c>
      <c r="CG584" s="94" t="s">
        <v>226</v>
      </c>
      <c r="CH584" s="95" t="s">
        <v>729</v>
      </c>
      <c r="CI584" s="96" t="s">
        <v>153</v>
      </c>
      <c r="CJ584" s="97" t="s">
        <v>225</v>
      </c>
      <c r="CK584" s="98">
        <v>42644</v>
      </c>
      <c r="CL584" s="99" t="s">
        <v>153</v>
      </c>
      <c r="CM584" s="100" t="s">
        <v>1607</v>
      </c>
      <c r="CN584" s="101" t="s">
        <v>190</v>
      </c>
      <c r="CO584" s="102" t="s">
        <v>153</v>
      </c>
      <c r="CP584" s="103" t="s">
        <v>153</v>
      </c>
      <c r="CQ584" s="104" t="s">
        <v>153</v>
      </c>
      <c r="CR584" s="105" t="s">
        <v>153</v>
      </c>
      <c r="CS584" s="106" t="s">
        <v>153</v>
      </c>
      <c r="CT584" s="107" t="s">
        <v>153</v>
      </c>
      <c r="CU584" s="108" t="s">
        <v>153</v>
      </c>
      <c r="CV584" s="109" t="s">
        <v>153</v>
      </c>
      <c r="CW584" s="110" t="s">
        <v>153</v>
      </c>
      <c r="CX584" s="111" t="s">
        <v>153</v>
      </c>
      <c r="CY584" s="112" t="s">
        <v>153</v>
      </c>
      <c r="CZ584" s="113" t="s">
        <v>153</v>
      </c>
      <c r="DA584" s="114" t="s">
        <v>153</v>
      </c>
      <c r="DB584" s="115" t="s">
        <v>153</v>
      </c>
      <c r="DC584" s="116" t="s">
        <v>153</v>
      </c>
      <c r="DD584" s="117" t="s">
        <v>153</v>
      </c>
      <c r="DE584" s="118" t="s">
        <v>153</v>
      </c>
      <c r="DF584" s="119" t="s">
        <v>153</v>
      </c>
      <c r="DG584" s="120" t="s">
        <v>153</v>
      </c>
      <c r="DH584" s="121" t="s">
        <v>153</v>
      </c>
      <c r="DI584" s="122" t="s">
        <v>153</v>
      </c>
      <c r="DJ584" s="123" t="s">
        <v>153</v>
      </c>
      <c r="DK584" s="124" t="s">
        <v>153</v>
      </c>
      <c r="DL584" s="125" t="s">
        <v>153</v>
      </c>
      <c r="DM584" s="126" t="s">
        <v>153</v>
      </c>
      <c r="DN584" s="127" t="s">
        <v>153</v>
      </c>
      <c r="DO584" s="128" t="s">
        <v>153</v>
      </c>
      <c r="DP584" s="129" t="s">
        <v>153</v>
      </c>
      <c r="DQ584" s="130" t="s">
        <v>153</v>
      </c>
      <c r="DR584" s="131" t="s">
        <v>153</v>
      </c>
      <c r="DS584" s="132" t="s">
        <v>153</v>
      </c>
      <c r="DT584" s="133" t="s">
        <v>153</v>
      </c>
      <c r="DU584" s="134" t="s">
        <v>153</v>
      </c>
      <c r="DV584" s="135" t="s">
        <v>153</v>
      </c>
      <c r="DW584" s="136" t="s">
        <v>153</v>
      </c>
      <c r="DX584" s="137" t="s">
        <v>153</v>
      </c>
      <c r="DY584" s="138" t="s">
        <v>153</v>
      </c>
      <c r="DZ584" s="139" t="s">
        <v>191</v>
      </c>
      <c r="EA584" s="140">
        <v>44147</v>
      </c>
      <c r="EB584" s="141">
        <v>12833.33</v>
      </c>
      <c r="EC584" s="142">
        <v>42644</v>
      </c>
      <c r="ED584" s="143" t="s">
        <v>226</v>
      </c>
      <c r="EE584" s="278" t="str">
        <f>HYPERLINK("https://my.pitchbook.com?c=110127-61", "View company online")</f>
        <v>View company online</v>
      </c>
    </row>
    <row r="585" spans="1:135" x14ac:dyDescent="0.45">
      <c r="A585" s="144" t="s">
        <v>11973</v>
      </c>
      <c r="B585" s="145" t="s">
        <v>11974</v>
      </c>
      <c r="C585" s="146" t="s">
        <v>153</v>
      </c>
      <c r="D585" s="147" t="s">
        <v>153</v>
      </c>
      <c r="E585" s="148" t="s">
        <v>11975</v>
      </c>
      <c r="F585" s="149" t="s">
        <v>11976</v>
      </c>
      <c r="G585" s="150" t="s">
        <v>11977</v>
      </c>
      <c r="H585" s="151" t="s">
        <v>11978</v>
      </c>
      <c r="I585" s="152" t="s">
        <v>11973</v>
      </c>
      <c r="J585" s="153" t="s">
        <v>11979</v>
      </c>
      <c r="K585" s="154" t="s">
        <v>882</v>
      </c>
      <c r="L585" s="155" t="s">
        <v>883</v>
      </c>
      <c r="M585" s="156" t="s">
        <v>884</v>
      </c>
      <c r="N585" s="157" t="s">
        <v>5317</v>
      </c>
      <c r="O585" s="158" t="s">
        <v>365</v>
      </c>
      <c r="P585" s="159" t="s">
        <v>11980</v>
      </c>
      <c r="Q585" s="160" t="s">
        <v>204</v>
      </c>
      <c r="R585" s="161" t="s">
        <v>153</v>
      </c>
      <c r="S585" s="162" t="s">
        <v>163</v>
      </c>
      <c r="T585" s="163" t="s">
        <v>164</v>
      </c>
      <c r="U585" s="164" t="s">
        <v>237</v>
      </c>
      <c r="V585" s="165" t="s">
        <v>11981</v>
      </c>
      <c r="W585" s="166">
        <v>3700</v>
      </c>
      <c r="X585" s="167" t="s">
        <v>11982</v>
      </c>
      <c r="Y585" s="168" t="s">
        <v>153</v>
      </c>
      <c r="Z585" s="169" t="s">
        <v>153</v>
      </c>
      <c r="AA585" s="170">
        <v>1857</v>
      </c>
      <c r="AB585" s="171" t="s">
        <v>3303</v>
      </c>
      <c r="AC585" s="172" t="s">
        <v>153</v>
      </c>
      <c r="AD585" s="173" t="s">
        <v>153</v>
      </c>
      <c r="AE585" s="174" t="s">
        <v>153</v>
      </c>
      <c r="AF585" s="175" t="s">
        <v>153</v>
      </c>
      <c r="AG585" s="176" t="s">
        <v>153</v>
      </c>
      <c r="AH585" s="177" t="s">
        <v>153</v>
      </c>
      <c r="AI585" s="178" t="s">
        <v>153</v>
      </c>
      <c r="AJ585" s="179" t="s">
        <v>153</v>
      </c>
      <c r="AK585" s="180" t="s">
        <v>153</v>
      </c>
      <c r="AL585" s="181" t="s">
        <v>153</v>
      </c>
      <c r="AM585" s="182" t="s">
        <v>153</v>
      </c>
      <c r="AN585" s="183" t="s">
        <v>153</v>
      </c>
      <c r="AO585" s="184" t="s">
        <v>11983</v>
      </c>
      <c r="AP585" s="185" t="s">
        <v>11984</v>
      </c>
      <c r="AQ585" s="186" t="s">
        <v>11985</v>
      </c>
      <c r="AR585" s="187" t="s">
        <v>11986</v>
      </c>
      <c r="AS585" s="188" t="s">
        <v>11987</v>
      </c>
      <c r="AT585" s="189" t="s">
        <v>11988</v>
      </c>
      <c r="AU585" s="190" t="s">
        <v>11989</v>
      </c>
      <c r="AV585" s="191" t="s">
        <v>11990</v>
      </c>
      <c r="AW585" s="192" t="s">
        <v>11991</v>
      </c>
      <c r="AX585" s="193" t="s">
        <v>177</v>
      </c>
      <c r="AY585" s="194" t="s">
        <v>11992</v>
      </c>
      <c r="AZ585" s="195" t="s">
        <v>179</v>
      </c>
      <c r="BA585" s="196" t="s">
        <v>11987</v>
      </c>
      <c r="BB585" s="197" t="s">
        <v>153</v>
      </c>
      <c r="BC585" s="198" t="s">
        <v>153</v>
      </c>
      <c r="BD585" s="199" t="s">
        <v>180</v>
      </c>
      <c r="BE585" s="200" t="s">
        <v>181</v>
      </c>
      <c r="BF585" s="201" t="s">
        <v>11993</v>
      </c>
      <c r="BG585" s="202" t="s">
        <v>153</v>
      </c>
      <c r="BH585" s="203" t="s">
        <v>153</v>
      </c>
      <c r="BI585" s="204" t="s">
        <v>3303</v>
      </c>
      <c r="BJ585" s="205" t="s">
        <v>153</v>
      </c>
      <c r="BK585" s="206" t="s">
        <v>153</v>
      </c>
      <c r="BL585" s="207" t="s">
        <v>153</v>
      </c>
      <c r="BM585" s="208" t="s">
        <v>153</v>
      </c>
      <c r="BN585" s="209" t="s">
        <v>153</v>
      </c>
      <c r="BO585" s="210" t="s">
        <v>11994</v>
      </c>
      <c r="BP585" s="211" t="s">
        <v>11995</v>
      </c>
      <c r="BQ585" s="212">
        <v>35118</v>
      </c>
      <c r="BR585" s="213" t="s">
        <v>153</v>
      </c>
      <c r="BS585" s="214" t="s">
        <v>153</v>
      </c>
      <c r="BT585" s="215" t="s">
        <v>153</v>
      </c>
      <c r="BU585" s="216" t="s">
        <v>153</v>
      </c>
      <c r="BV585" s="217" t="s">
        <v>251</v>
      </c>
      <c r="BW585" s="218" t="s">
        <v>153</v>
      </c>
      <c r="BX585" s="219" t="s">
        <v>153</v>
      </c>
      <c r="BY585" s="220" t="s">
        <v>252</v>
      </c>
      <c r="BZ585" s="221" t="s">
        <v>153</v>
      </c>
      <c r="CA585" s="222" t="s">
        <v>190</v>
      </c>
      <c r="CB585" s="223">
        <v>38384</v>
      </c>
      <c r="CC585" s="224">
        <v>7697.74</v>
      </c>
      <c r="CD585" s="225" t="s">
        <v>186</v>
      </c>
      <c r="CE585" s="226">
        <v>7697.74</v>
      </c>
      <c r="CF585" s="227" t="s">
        <v>186</v>
      </c>
      <c r="CG585" s="228" t="s">
        <v>226</v>
      </c>
      <c r="CH585" s="229" t="s">
        <v>153</v>
      </c>
      <c r="CI585" s="230" t="s">
        <v>153</v>
      </c>
      <c r="CJ585" s="231" t="s">
        <v>225</v>
      </c>
      <c r="CK585" s="232">
        <v>38384</v>
      </c>
      <c r="CL585" s="233" t="s">
        <v>153</v>
      </c>
      <c r="CM585" s="234" t="s">
        <v>153</v>
      </c>
      <c r="CN585" s="235" t="s">
        <v>190</v>
      </c>
      <c r="CO585" s="236">
        <v>0.56000000000000005</v>
      </c>
      <c r="CP585" s="237">
        <v>94</v>
      </c>
      <c r="CQ585" s="238">
        <v>-0.06</v>
      </c>
      <c r="CR585" s="239">
        <v>-9.8699999999999992</v>
      </c>
      <c r="CS585" s="240">
        <v>1.83</v>
      </c>
      <c r="CT585" s="241">
        <v>97</v>
      </c>
      <c r="CU585" s="242">
        <v>0</v>
      </c>
      <c r="CV585" s="243">
        <v>41</v>
      </c>
      <c r="CW585" s="244">
        <v>3.3</v>
      </c>
      <c r="CX585" s="245">
        <v>90</v>
      </c>
      <c r="CY585" s="246">
        <v>0.36</v>
      </c>
      <c r="CZ585" s="247">
        <v>93</v>
      </c>
      <c r="DA585" s="248">
        <v>0</v>
      </c>
      <c r="DB585" s="249">
        <v>41</v>
      </c>
      <c r="DC585" s="250">
        <v>65.23</v>
      </c>
      <c r="DD585" s="251">
        <v>99</v>
      </c>
      <c r="DE585" s="252">
        <v>0.01</v>
      </c>
      <c r="DF585" s="253">
        <v>0.02</v>
      </c>
      <c r="DG585" s="254">
        <v>60.73</v>
      </c>
      <c r="DH585" s="255">
        <v>99</v>
      </c>
      <c r="DI585" s="256">
        <v>34.96</v>
      </c>
      <c r="DJ585" s="257">
        <v>95</v>
      </c>
      <c r="DK585" s="258">
        <v>19.28</v>
      </c>
      <c r="DL585" s="259">
        <v>91</v>
      </c>
      <c r="DM585" s="260">
        <v>102.19</v>
      </c>
      <c r="DN585" s="261">
        <v>99</v>
      </c>
      <c r="DO585" s="262">
        <v>34.96</v>
      </c>
      <c r="DP585" s="263">
        <v>95</v>
      </c>
      <c r="DQ585" s="264">
        <v>11428</v>
      </c>
      <c r="DR585" s="265">
        <v>15</v>
      </c>
      <c r="DS585" s="266">
        <v>0.13</v>
      </c>
      <c r="DT585" s="267">
        <v>1637</v>
      </c>
      <c r="DU585" s="268">
        <v>-6</v>
      </c>
      <c r="DV585" s="269">
        <v>-0.37</v>
      </c>
      <c r="DW585" s="270">
        <v>10978</v>
      </c>
      <c r="DX585" s="271">
        <v>4</v>
      </c>
      <c r="DY585" s="272">
        <v>0.04</v>
      </c>
      <c r="DZ585" s="273" t="s">
        <v>191</v>
      </c>
      <c r="EA585" s="274">
        <v>44378</v>
      </c>
      <c r="EB585" s="275">
        <v>7697.74</v>
      </c>
      <c r="EC585" s="276">
        <v>38384</v>
      </c>
      <c r="ED585" s="277" t="s">
        <v>226</v>
      </c>
      <c r="EE585" s="279" t="str">
        <f>HYPERLINK("https://my.pitchbook.com?c=10989-73", "View company online")</f>
        <v>View company online</v>
      </c>
    </row>
    <row r="586" spans="1:135" x14ac:dyDescent="0.45">
      <c r="A586" s="10" t="s">
        <v>11996</v>
      </c>
      <c r="B586" s="11" t="s">
        <v>11997</v>
      </c>
      <c r="C586" s="12" t="s">
        <v>153</v>
      </c>
      <c r="D586" s="13" t="s">
        <v>153</v>
      </c>
      <c r="E586" s="14" t="s">
        <v>11998</v>
      </c>
      <c r="F586" s="15" t="s">
        <v>11999</v>
      </c>
      <c r="G586" s="16" t="s">
        <v>12000</v>
      </c>
      <c r="H586" s="17" t="s">
        <v>12001</v>
      </c>
      <c r="I586" s="18" t="s">
        <v>11996</v>
      </c>
      <c r="J586" s="19" t="s">
        <v>12002</v>
      </c>
      <c r="K586" s="20" t="s">
        <v>157</v>
      </c>
      <c r="L586" s="21" t="s">
        <v>817</v>
      </c>
      <c r="M586" s="22" t="s">
        <v>1499</v>
      </c>
      <c r="N586" s="23" t="s">
        <v>12003</v>
      </c>
      <c r="O586" s="24" t="s">
        <v>365</v>
      </c>
      <c r="P586" s="25" t="s">
        <v>12004</v>
      </c>
      <c r="Q586" s="26" t="s">
        <v>204</v>
      </c>
      <c r="R586" s="27" t="s">
        <v>153</v>
      </c>
      <c r="S586" s="28" t="s">
        <v>290</v>
      </c>
      <c r="T586" s="29" t="s">
        <v>164</v>
      </c>
      <c r="U586" s="30" t="s">
        <v>237</v>
      </c>
      <c r="V586" s="31" t="s">
        <v>12005</v>
      </c>
      <c r="W586" s="32">
        <v>8720</v>
      </c>
      <c r="X586" s="33" t="s">
        <v>12006</v>
      </c>
      <c r="Y586" s="34" t="s">
        <v>153</v>
      </c>
      <c r="Z586" s="35" t="s">
        <v>153</v>
      </c>
      <c r="AA586" s="36">
        <v>1904</v>
      </c>
      <c r="AB586" s="37" t="s">
        <v>12007</v>
      </c>
      <c r="AC586" s="38" t="s">
        <v>153</v>
      </c>
      <c r="AD586" s="39" t="s">
        <v>570</v>
      </c>
      <c r="AE586" s="40">
        <v>3287.41</v>
      </c>
      <c r="AF586" s="41">
        <v>1318.86</v>
      </c>
      <c r="AG586" s="42">
        <v>123.74</v>
      </c>
      <c r="AH586" s="43">
        <v>8575.4699999999993</v>
      </c>
      <c r="AI586" s="44">
        <v>432.08</v>
      </c>
      <c r="AJ586" s="45">
        <v>192.58</v>
      </c>
      <c r="AK586" s="46" t="s">
        <v>153</v>
      </c>
      <c r="AL586" s="47">
        <v>1132.3699999999999</v>
      </c>
      <c r="AM586" s="48">
        <v>-5.98</v>
      </c>
      <c r="AN586" s="49" t="s">
        <v>168</v>
      </c>
      <c r="AO586" s="50" t="s">
        <v>12008</v>
      </c>
      <c r="AP586" s="51" t="s">
        <v>12009</v>
      </c>
      <c r="AQ586" s="52" t="s">
        <v>12010</v>
      </c>
      <c r="AR586" s="53" t="s">
        <v>12011</v>
      </c>
      <c r="AS586" s="54" t="s">
        <v>12012</v>
      </c>
      <c r="AT586" s="55" t="s">
        <v>2540</v>
      </c>
      <c r="AU586" s="56" t="s">
        <v>12013</v>
      </c>
      <c r="AV586" s="57" t="s">
        <v>12014</v>
      </c>
      <c r="AW586" s="58" t="s">
        <v>2543</v>
      </c>
      <c r="AX586" s="59" t="s">
        <v>2544</v>
      </c>
      <c r="AY586" s="60" t="s">
        <v>12015</v>
      </c>
      <c r="AZ586" s="61" t="s">
        <v>2546</v>
      </c>
      <c r="BA586" s="62" t="s">
        <v>12012</v>
      </c>
      <c r="BB586" s="63" t="s">
        <v>153</v>
      </c>
      <c r="BC586" s="64" t="s">
        <v>153</v>
      </c>
      <c r="BD586" s="65" t="s">
        <v>2547</v>
      </c>
      <c r="BE586" s="66" t="s">
        <v>2547</v>
      </c>
      <c r="BF586" s="67" t="s">
        <v>12016</v>
      </c>
      <c r="BG586" s="68" t="s">
        <v>153</v>
      </c>
      <c r="BH586" s="69" t="s">
        <v>153</v>
      </c>
      <c r="BI586" s="70" t="s">
        <v>12007</v>
      </c>
      <c r="BJ586" s="71" t="s">
        <v>6090</v>
      </c>
      <c r="BK586" s="72" t="s">
        <v>153</v>
      </c>
      <c r="BL586" s="73" t="s">
        <v>153</v>
      </c>
      <c r="BM586" s="74" t="s">
        <v>6091</v>
      </c>
      <c r="BN586" s="75" t="s">
        <v>153</v>
      </c>
      <c r="BO586" s="76" t="s">
        <v>153</v>
      </c>
      <c r="BP586" s="77" t="s">
        <v>12017</v>
      </c>
      <c r="BQ586" s="78">
        <v>25569</v>
      </c>
      <c r="BR586" s="79" t="s">
        <v>153</v>
      </c>
      <c r="BS586" s="80" t="s">
        <v>153</v>
      </c>
      <c r="BT586" s="81" t="s">
        <v>153</v>
      </c>
      <c r="BU586" s="82" t="s">
        <v>153</v>
      </c>
      <c r="BV586" s="83" t="s">
        <v>251</v>
      </c>
      <c r="BW586" s="84" t="s">
        <v>153</v>
      </c>
      <c r="BX586" s="85" t="s">
        <v>153</v>
      </c>
      <c r="BY586" s="86" t="s">
        <v>252</v>
      </c>
      <c r="BZ586" s="87" t="s">
        <v>153</v>
      </c>
      <c r="CA586" s="88" t="s">
        <v>190</v>
      </c>
      <c r="CB586" s="89">
        <v>44326</v>
      </c>
      <c r="CC586" s="90">
        <v>7678.34</v>
      </c>
      <c r="CD586" s="91" t="s">
        <v>186</v>
      </c>
      <c r="CE586" s="92">
        <v>7678.34</v>
      </c>
      <c r="CF586" s="93" t="s">
        <v>187</v>
      </c>
      <c r="CG586" s="94" t="s">
        <v>226</v>
      </c>
      <c r="CH586" s="95" t="s">
        <v>729</v>
      </c>
      <c r="CI586" s="96" t="s">
        <v>153</v>
      </c>
      <c r="CJ586" s="97" t="s">
        <v>225</v>
      </c>
      <c r="CK586" s="98">
        <v>44326</v>
      </c>
      <c r="CL586" s="99" t="s">
        <v>153</v>
      </c>
      <c r="CM586" s="100" t="s">
        <v>153</v>
      </c>
      <c r="CN586" s="101" t="s">
        <v>190</v>
      </c>
      <c r="CO586" s="102">
        <v>0.42</v>
      </c>
      <c r="CP586" s="103">
        <v>93</v>
      </c>
      <c r="CQ586" s="104">
        <v>7.0000000000000007E-2</v>
      </c>
      <c r="CR586" s="105">
        <v>20.34</v>
      </c>
      <c r="CS586" s="106">
        <v>0.88</v>
      </c>
      <c r="CT586" s="107">
        <v>95</v>
      </c>
      <c r="CU586" s="108">
        <v>-0.03</v>
      </c>
      <c r="CV586" s="109">
        <v>36</v>
      </c>
      <c r="CW586" s="110" t="s">
        <v>153</v>
      </c>
      <c r="CX586" s="111" t="s">
        <v>153</v>
      </c>
      <c r="CY586" s="112">
        <v>0.88</v>
      </c>
      <c r="CZ586" s="113">
        <v>97</v>
      </c>
      <c r="DA586" s="114">
        <v>-0.03</v>
      </c>
      <c r="DB586" s="115">
        <v>36</v>
      </c>
      <c r="DC586" s="116">
        <v>45.4</v>
      </c>
      <c r="DD586" s="117">
        <v>98</v>
      </c>
      <c r="DE586" s="118">
        <v>0.17</v>
      </c>
      <c r="DF586" s="119">
        <v>0.37</v>
      </c>
      <c r="DG586" s="120">
        <v>66.44</v>
      </c>
      <c r="DH586" s="121">
        <v>99</v>
      </c>
      <c r="DI586" s="122">
        <v>24.37</v>
      </c>
      <c r="DJ586" s="123">
        <v>93</v>
      </c>
      <c r="DK586" s="124" t="s">
        <v>153</v>
      </c>
      <c r="DL586" s="125" t="s">
        <v>153</v>
      </c>
      <c r="DM586" s="126">
        <v>66.44</v>
      </c>
      <c r="DN586" s="127">
        <v>99</v>
      </c>
      <c r="DO586" s="128">
        <v>24.37</v>
      </c>
      <c r="DP586" s="129">
        <v>93</v>
      </c>
      <c r="DQ586" s="130" t="s">
        <v>153</v>
      </c>
      <c r="DR586" s="131" t="s">
        <v>153</v>
      </c>
      <c r="DS586" s="132" t="s">
        <v>153</v>
      </c>
      <c r="DT586" s="133">
        <v>1061</v>
      </c>
      <c r="DU586" s="134">
        <v>4</v>
      </c>
      <c r="DV586" s="135">
        <v>0.38</v>
      </c>
      <c r="DW586" s="136">
        <v>7652</v>
      </c>
      <c r="DX586" s="137">
        <v>-4</v>
      </c>
      <c r="DY586" s="138">
        <v>-0.05</v>
      </c>
      <c r="DZ586" s="139" t="s">
        <v>191</v>
      </c>
      <c r="EA586" s="140">
        <v>44352</v>
      </c>
      <c r="EB586" s="141">
        <v>7678.34</v>
      </c>
      <c r="EC586" s="142">
        <v>44326</v>
      </c>
      <c r="ED586" s="143" t="s">
        <v>226</v>
      </c>
      <c r="EE586" s="278" t="str">
        <f>HYPERLINK("https://my.pitchbook.com?c=59307-04", "View company online")</f>
        <v>View company online</v>
      </c>
    </row>
    <row r="587" spans="1:135" x14ac:dyDescent="0.45">
      <c r="A587" s="144" t="s">
        <v>12018</v>
      </c>
      <c r="B587" s="145" t="s">
        <v>12019</v>
      </c>
      <c r="C587" s="146" t="s">
        <v>153</v>
      </c>
      <c r="D587" s="147" t="s">
        <v>153</v>
      </c>
      <c r="E587" s="148" t="s">
        <v>12020</v>
      </c>
      <c r="F587" s="149" t="s">
        <v>153</v>
      </c>
      <c r="G587" s="150" t="s">
        <v>12021</v>
      </c>
      <c r="H587" s="151" t="s">
        <v>153</v>
      </c>
      <c r="I587" s="152" t="s">
        <v>12018</v>
      </c>
      <c r="J587" s="153" t="s">
        <v>12022</v>
      </c>
      <c r="K587" s="154" t="s">
        <v>882</v>
      </c>
      <c r="L587" s="155" t="s">
        <v>883</v>
      </c>
      <c r="M587" s="156" t="s">
        <v>7704</v>
      </c>
      <c r="N587" s="157" t="s">
        <v>12023</v>
      </c>
      <c r="O587" s="158" t="s">
        <v>153</v>
      </c>
      <c r="P587" s="159" t="s">
        <v>12024</v>
      </c>
      <c r="Q587" s="160" t="s">
        <v>204</v>
      </c>
      <c r="R587" s="161" t="s">
        <v>153</v>
      </c>
      <c r="S587" s="162" t="s">
        <v>290</v>
      </c>
      <c r="T587" s="163" t="s">
        <v>205</v>
      </c>
      <c r="U587" s="164" t="s">
        <v>237</v>
      </c>
      <c r="V587" s="165" t="s">
        <v>12025</v>
      </c>
      <c r="W587" s="166" t="s">
        <v>153</v>
      </c>
      <c r="X587" s="167" t="s">
        <v>153</v>
      </c>
      <c r="Y587" s="168" t="s">
        <v>153</v>
      </c>
      <c r="Z587" s="169" t="s">
        <v>153</v>
      </c>
      <c r="AA587" s="170">
        <v>1956</v>
      </c>
      <c r="AB587" s="171" t="s">
        <v>153</v>
      </c>
      <c r="AC587" s="172" t="s">
        <v>153</v>
      </c>
      <c r="AD587" s="173" t="s">
        <v>153</v>
      </c>
      <c r="AE587" s="174" t="s">
        <v>153</v>
      </c>
      <c r="AF587" s="175" t="s">
        <v>153</v>
      </c>
      <c r="AG587" s="176" t="s">
        <v>153</v>
      </c>
      <c r="AH587" s="177" t="s">
        <v>153</v>
      </c>
      <c r="AI587" s="178" t="s">
        <v>153</v>
      </c>
      <c r="AJ587" s="179" t="s">
        <v>153</v>
      </c>
      <c r="AK587" s="180" t="s">
        <v>153</v>
      </c>
      <c r="AL587" s="181" t="s">
        <v>153</v>
      </c>
      <c r="AM587" s="182" t="s">
        <v>153</v>
      </c>
      <c r="AN587" s="183" t="s">
        <v>153</v>
      </c>
      <c r="AO587" s="184" t="s">
        <v>12026</v>
      </c>
      <c r="AP587" s="185" t="s">
        <v>12027</v>
      </c>
      <c r="AQ587" s="186" t="s">
        <v>2928</v>
      </c>
      <c r="AR587" s="187" t="s">
        <v>153</v>
      </c>
      <c r="AS587" s="188" t="s">
        <v>153</v>
      </c>
      <c r="AT587" s="189" t="s">
        <v>12028</v>
      </c>
      <c r="AU587" s="190" t="s">
        <v>153</v>
      </c>
      <c r="AV587" s="191" t="s">
        <v>153</v>
      </c>
      <c r="AW587" s="192" t="s">
        <v>12029</v>
      </c>
      <c r="AX587" s="193" t="s">
        <v>2482</v>
      </c>
      <c r="AY587" s="194" t="s">
        <v>153</v>
      </c>
      <c r="AZ587" s="195" t="s">
        <v>215</v>
      </c>
      <c r="BA587" s="196" t="s">
        <v>153</v>
      </c>
      <c r="BB587" s="197" t="s">
        <v>153</v>
      </c>
      <c r="BC587" s="198" t="s">
        <v>153</v>
      </c>
      <c r="BD587" s="199" t="s">
        <v>216</v>
      </c>
      <c r="BE587" s="200" t="s">
        <v>217</v>
      </c>
      <c r="BF587" s="201" t="s">
        <v>12030</v>
      </c>
      <c r="BG587" s="202" t="s">
        <v>153</v>
      </c>
      <c r="BH587" s="203" t="s">
        <v>153</v>
      </c>
      <c r="BI587" s="204" t="s">
        <v>12031</v>
      </c>
      <c r="BJ587" s="205" t="s">
        <v>153</v>
      </c>
      <c r="BK587" s="206" t="s">
        <v>153</v>
      </c>
      <c r="BL587" s="207" t="s">
        <v>153</v>
      </c>
      <c r="BM587" s="208" t="s">
        <v>153</v>
      </c>
      <c r="BN587" s="209" t="s">
        <v>153</v>
      </c>
      <c r="BO587" s="210" t="s">
        <v>153</v>
      </c>
      <c r="BP587" s="211" t="s">
        <v>153</v>
      </c>
      <c r="BQ587" s="212">
        <v>30682</v>
      </c>
      <c r="BR587" s="213" t="s">
        <v>153</v>
      </c>
      <c r="BS587" s="214" t="s">
        <v>153</v>
      </c>
      <c r="BT587" s="215" t="s">
        <v>153</v>
      </c>
      <c r="BU587" s="216" t="s">
        <v>153</v>
      </c>
      <c r="BV587" s="217" t="s">
        <v>251</v>
      </c>
      <c r="BW587" s="218" t="s">
        <v>153</v>
      </c>
      <c r="BX587" s="219" t="s">
        <v>153</v>
      </c>
      <c r="BY587" s="220" t="s">
        <v>252</v>
      </c>
      <c r="BZ587" s="221" t="s">
        <v>153</v>
      </c>
      <c r="CA587" s="222" t="s">
        <v>190</v>
      </c>
      <c r="CB587" s="223">
        <v>36698</v>
      </c>
      <c r="CC587" s="224">
        <v>7650</v>
      </c>
      <c r="CD587" s="225" t="s">
        <v>186</v>
      </c>
      <c r="CE587" s="226">
        <v>7650</v>
      </c>
      <c r="CF587" s="227" t="s">
        <v>187</v>
      </c>
      <c r="CG587" s="228" t="s">
        <v>226</v>
      </c>
      <c r="CH587" s="229" t="s">
        <v>153</v>
      </c>
      <c r="CI587" s="230" t="s">
        <v>153</v>
      </c>
      <c r="CJ587" s="231" t="s">
        <v>225</v>
      </c>
      <c r="CK587" s="232">
        <v>36698</v>
      </c>
      <c r="CL587" s="233" t="s">
        <v>153</v>
      </c>
      <c r="CM587" s="234" t="s">
        <v>153</v>
      </c>
      <c r="CN587" s="235" t="s">
        <v>190</v>
      </c>
      <c r="CO587" s="236" t="s">
        <v>153</v>
      </c>
      <c r="CP587" s="237" t="s">
        <v>153</v>
      </c>
      <c r="CQ587" s="238" t="s">
        <v>153</v>
      </c>
      <c r="CR587" s="239" t="s">
        <v>153</v>
      </c>
      <c r="CS587" s="240" t="s">
        <v>153</v>
      </c>
      <c r="CT587" s="241" t="s">
        <v>153</v>
      </c>
      <c r="CU587" s="242" t="s">
        <v>153</v>
      </c>
      <c r="CV587" s="243" t="s">
        <v>153</v>
      </c>
      <c r="CW587" s="244" t="s">
        <v>153</v>
      </c>
      <c r="CX587" s="245" t="s">
        <v>153</v>
      </c>
      <c r="CY587" s="246" t="s">
        <v>153</v>
      </c>
      <c r="CZ587" s="247" t="s">
        <v>153</v>
      </c>
      <c r="DA587" s="248" t="s">
        <v>153</v>
      </c>
      <c r="DB587" s="249" t="s">
        <v>153</v>
      </c>
      <c r="DC587" s="250" t="s">
        <v>153</v>
      </c>
      <c r="DD587" s="251" t="s">
        <v>153</v>
      </c>
      <c r="DE587" s="252" t="s">
        <v>153</v>
      </c>
      <c r="DF587" s="253" t="s">
        <v>153</v>
      </c>
      <c r="DG587" s="254" t="s">
        <v>153</v>
      </c>
      <c r="DH587" s="255" t="s">
        <v>153</v>
      </c>
      <c r="DI587" s="256" t="s">
        <v>153</v>
      </c>
      <c r="DJ587" s="257" t="s">
        <v>153</v>
      </c>
      <c r="DK587" s="258" t="s">
        <v>153</v>
      </c>
      <c r="DL587" s="259" t="s">
        <v>153</v>
      </c>
      <c r="DM587" s="260" t="s">
        <v>153</v>
      </c>
      <c r="DN587" s="261" t="s">
        <v>153</v>
      </c>
      <c r="DO587" s="262" t="s">
        <v>153</v>
      </c>
      <c r="DP587" s="263" t="s">
        <v>153</v>
      </c>
      <c r="DQ587" s="264" t="s">
        <v>153</v>
      </c>
      <c r="DR587" s="265" t="s">
        <v>153</v>
      </c>
      <c r="DS587" s="266" t="s">
        <v>153</v>
      </c>
      <c r="DT587" s="267" t="s">
        <v>153</v>
      </c>
      <c r="DU587" s="268" t="s">
        <v>153</v>
      </c>
      <c r="DV587" s="269" t="s">
        <v>153</v>
      </c>
      <c r="DW587" s="270" t="s">
        <v>153</v>
      </c>
      <c r="DX587" s="271" t="s">
        <v>153</v>
      </c>
      <c r="DY587" s="272" t="s">
        <v>153</v>
      </c>
      <c r="DZ587" s="273" t="s">
        <v>191</v>
      </c>
      <c r="EA587" s="274">
        <v>43673</v>
      </c>
      <c r="EB587" s="275">
        <v>7650</v>
      </c>
      <c r="EC587" s="276">
        <v>36698</v>
      </c>
      <c r="ED587" s="277" t="s">
        <v>226</v>
      </c>
      <c r="EE587" s="279" t="str">
        <f>HYPERLINK("https://my.pitchbook.com?c=84044-71", "View company online")</f>
        <v>View company online</v>
      </c>
    </row>
    <row r="588" spans="1:135" x14ac:dyDescent="0.45">
      <c r="A588" s="10" t="s">
        <v>12032</v>
      </c>
      <c r="B588" s="11" t="s">
        <v>12033</v>
      </c>
      <c r="C588" s="12" t="s">
        <v>153</v>
      </c>
      <c r="D588" s="13" t="s">
        <v>153</v>
      </c>
      <c r="E588" s="14" t="s">
        <v>12034</v>
      </c>
      <c r="F588" s="15" t="s">
        <v>153</v>
      </c>
      <c r="G588" s="16" t="s">
        <v>12035</v>
      </c>
      <c r="H588" s="17" t="s">
        <v>153</v>
      </c>
      <c r="I588" s="18" t="s">
        <v>12032</v>
      </c>
      <c r="J588" s="19" t="s">
        <v>12036</v>
      </c>
      <c r="K588" s="20" t="s">
        <v>792</v>
      </c>
      <c r="L588" s="21" t="s">
        <v>793</v>
      </c>
      <c r="M588" s="22" t="s">
        <v>1534</v>
      </c>
      <c r="N588" s="23" t="s">
        <v>12037</v>
      </c>
      <c r="O588" s="24" t="s">
        <v>1119</v>
      </c>
      <c r="P588" s="25" t="s">
        <v>12038</v>
      </c>
      <c r="Q588" s="26" t="s">
        <v>204</v>
      </c>
      <c r="R588" s="27" t="s">
        <v>153</v>
      </c>
      <c r="S588" s="28" t="s">
        <v>290</v>
      </c>
      <c r="T588" s="29" t="s">
        <v>164</v>
      </c>
      <c r="U588" s="30" t="s">
        <v>237</v>
      </c>
      <c r="V588" s="31" t="s">
        <v>12039</v>
      </c>
      <c r="W588" s="32">
        <v>278</v>
      </c>
      <c r="X588" s="33" t="s">
        <v>12040</v>
      </c>
      <c r="Y588" s="34" t="s">
        <v>153</v>
      </c>
      <c r="Z588" s="35" t="s">
        <v>153</v>
      </c>
      <c r="AA588" s="36">
        <v>1997</v>
      </c>
      <c r="AB588" s="37" t="s">
        <v>12041</v>
      </c>
      <c r="AC588" s="38" t="s">
        <v>153</v>
      </c>
      <c r="AD588" s="39" t="s">
        <v>153</v>
      </c>
      <c r="AE588" s="40" t="s">
        <v>153</v>
      </c>
      <c r="AF588" s="41" t="s">
        <v>153</v>
      </c>
      <c r="AG588" s="42" t="s">
        <v>153</v>
      </c>
      <c r="AH588" s="43" t="s">
        <v>153</v>
      </c>
      <c r="AI588" s="44" t="s">
        <v>153</v>
      </c>
      <c r="AJ588" s="45" t="s">
        <v>153</v>
      </c>
      <c r="AK588" s="46" t="s">
        <v>153</v>
      </c>
      <c r="AL588" s="47" t="s">
        <v>153</v>
      </c>
      <c r="AM588" s="48" t="s">
        <v>153</v>
      </c>
      <c r="AN588" s="49" t="s">
        <v>4877</v>
      </c>
      <c r="AO588" s="50" t="s">
        <v>12042</v>
      </c>
      <c r="AP588" s="51" t="s">
        <v>12043</v>
      </c>
      <c r="AQ588" s="52" t="s">
        <v>12044</v>
      </c>
      <c r="AR588" s="53" t="s">
        <v>12045</v>
      </c>
      <c r="AS588" s="54" t="s">
        <v>12046</v>
      </c>
      <c r="AT588" s="55" t="s">
        <v>3419</v>
      </c>
      <c r="AU588" s="56" t="s">
        <v>12047</v>
      </c>
      <c r="AV588" s="57" t="s">
        <v>12048</v>
      </c>
      <c r="AW588" s="58" t="s">
        <v>3422</v>
      </c>
      <c r="AX588" s="59" t="s">
        <v>3423</v>
      </c>
      <c r="AY588" s="60" t="s">
        <v>12049</v>
      </c>
      <c r="AZ588" s="61" t="s">
        <v>1358</v>
      </c>
      <c r="BA588" s="62" t="s">
        <v>12046</v>
      </c>
      <c r="BB588" s="63" t="s">
        <v>153</v>
      </c>
      <c r="BC588" s="64" t="s">
        <v>153</v>
      </c>
      <c r="BD588" s="65" t="s">
        <v>216</v>
      </c>
      <c r="BE588" s="66" t="s">
        <v>217</v>
      </c>
      <c r="BF588" s="67" t="s">
        <v>12050</v>
      </c>
      <c r="BG588" s="68" t="s">
        <v>153</v>
      </c>
      <c r="BH588" s="69" t="s">
        <v>153</v>
      </c>
      <c r="BI588" s="70" t="s">
        <v>12041</v>
      </c>
      <c r="BJ588" s="71" t="s">
        <v>153</v>
      </c>
      <c r="BK588" s="72" t="s">
        <v>153</v>
      </c>
      <c r="BL588" s="73" t="s">
        <v>153</v>
      </c>
      <c r="BM588" s="74" t="s">
        <v>153</v>
      </c>
      <c r="BN588" s="75" t="s">
        <v>153</v>
      </c>
      <c r="BO588" s="76" t="s">
        <v>153</v>
      </c>
      <c r="BP588" s="77" t="s">
        <v>12051</v>
      </c>
      <c r="BQ588" s="78">
        <v>40549</v>
      </c>
      <c r="BR588" s="79" t="s">
        <v>153</v>
      </c>
      <c r="BS588" s="80" t="s">
        <v>153</v>
      </c>
      <c r="BT588" s="81" t="s">
        <v>153</v>
      </c>
      <c r="BU588" s="82" t="s">
        <v>153</v>
      </c>
      <c r="BV588" s="83" t="s">
        <v>251</v>
      </c>
      <c r="BW588" s="84" t="s">
        <v>153</v>
      </c>
      <c r="BX588" s="85" t="s">
        <v>153</v>
      </c>
      <c r="BY588" s="86" t="s">
        <v>252</v>
      </c>
      <c r="BZ588" s="87" t="s">
        <v>153</v>
      </c>
      <c r="CA588" s="88" t="s">
        <v>190</v>
      </c>
      <c r="CB588" s="89">
        <v>43010</v>
      </c>
      <c r="CC588" s="90">
        <v>7641.99</v>
      </c>
      <c r="CD588" s="91" t="s">
        <v>186</v>
      </c>
      <c r="CE588" s="92">
        <v>7641.99</v>
      </c>
      <c r="CF588" s="93" t="s">
        <v>186</v>
      </c>
      <c r="CG588" s="94" t="s">
        <v>226</v>
      </c>
      <c r="CH588" s="95" t="s">
        <v>153</v>
      </c>
      <c r="CI588" s="96" t="s">
        <v>153</v>
      </c>
      <c r="CJ588" s="97" t="s">
        <v>225</v>
      </c>
      <c r="CK588" s="98">
        <v>43010</v>
      </c>
      <c r="CL588" s="99" t="s">
        <v>153</v>
      </c>
      <c r="CM588" s="100" t="s">
        <v>153</v>
      </c>
      <c r="CN588" s="101" t="s">
        <v>190</v>
      </c>
      <c r="CO588" s="102">
        <v>-0.33</v>
      </c>
      <c r="CP588" s="103">
        <v>6</v>
      </c>
      <c r="CQ588" s="104">
        <v>-0.08</v>
      </c>
      <c r="CR588" s="105">
        <v>-33.409999999999997</v>
      </c>
      <c r="CS588" s="106">
        <v>-0.33</v>
      </c>
      <c r="CT588" s="107">
        <v>6</v>
      </c>
      <c r="CU588" s="108" t="s">
        <v>153</v>
      </c>
      <c r="CV588" s="109" t="s">
        <v>153</v>
      </c>
      <c r="CW588" s="110" t="s">
        <v>153</v>
      </c>
      <c r="CX588" s="111" t="s">
        <v>153</v>
      </c>
      <c r="CY588" s="112">
        <v>-0.33</v>
      </c>
      <c r="CZ588" s="113">
        <v>3</v>
      </c>
      <c r="DA588" s="114" t="s">
        <v>153</v>
      </c>
      <c r="DB588" s="115" t="s">
        <v>153</v>
      </c>
      <c r="DC588" s="116">
        <v>9.3800000000000008</v>
      </c>
      <c r="DD588" s="117">
        <v>91</v>
      </c>
      <c r="DE588" s="118">
        <v>0</v>
      </c>
      <c r="DF588" s="119">
        <v>0</v>
      </c>
      <c r="DG588" s="120">
        <v>9.3800000000000008</v>
      </c>
      <c r="DH588" s="121">
        <v>91</v>
      </c>
      <c r="DI588" s="122" t="s">
        <v>153</v>
      </c>
      <c r="DJ588" s="123" t="s">
        <v>153</v>
      </c>
      <c r="DK588" s="124" t="s">
        <v>153</v>
      </c>
      <c r="DL588" s="125" t="s">
        <v>153</v>
      </c>
      <c r="DM588" s="126">
        <v>9.3800000000000008</v>
      </c>
      <c r="DN588" s="127">
        <v>89</v>
      </c>
      <c r="DO588" s="128" t="s">
        <v>153</v>
      </c>
      <c r="DP588" s="129" t="s">
        <v>153</v>
      </c>
      <c r="DQ588" s="130" t="s">
        <v>153</v>
      </c>
      <c r="DR588" s="131" t="s">
        <v>153</v>
      </c>
      <c r="DS588" s="132" t="s">
        <v>153</v>
      </c>
      <c r="DT588" s="133">
        <v>150</v>
      </c>
      <c r="DU588" s="134">
        <v>0</v>
      </c>
      <c r="DV588" s="135">
        <v>0</v>
      </c>
      <c r="DW588" s="136" t="s">
        <v>153</v>
      </c>
      <c r="DX588" s="137" t="s">
        <v>153</v>
      </c>
      <c r="DY588" s="138" t="s">
        <v>153</v>
      </c>
      <c r="DZ588" s="139" t="s">
        <v>191</v>
      </c>
      <c r="EA588" s="140">
        <v>44217</v>
      </c>
      <c r="EB588" s="141">
        <v>7641.99</v>
      </c>
      <c r="EC588" s="142">
        <v>43010</v>
      </c>
      <c r="ED588" s="143" t="s">
        <v>226</v>
      </c>
      <c r="EE588" s="278" t="str">
        <f>HYPERLINK("https://my.pitchbook.com?c=59667-31", "View company online")</f>
        <v>View company online</v>
      </c>
    </row>
    <row r="589" spans="1:135" x14ac:dyDescent="0.45">
      <c r="A589" s="144" t="s">
        <v>12052</v>
      </c>
      <c r="B589" s="145" t="s">
        <v>12053</v>
      </c>
      <c r="C589" s="146" t="s">
        <v>153</v>
      </c>
      <c r="D589" s="147" t="s">
        <v>153</v>
      </c>
      <c r="E589" s="148" t="s">
        <v>153</v>
      </c>
      <c r="F589" s="149" t="s">
        <v>153</v>
      </c>
      <c r="G589" s="150" t="s">
        <v>12054</v>
      </c>
      <c r="H589" s="151" t="s">
        <v>153</v>
      </c>
      <c r="I589" s="152" t="s">
        <v>12052</v>
      </c>
      <c r="J589" s="153" t="s">
        <v>12055</v>
      </c>
      <c r="K589" s="154" t="s">
        <v>882</v>
      </c>
      <c r="L589" s="155" t="s">
        <v>883</v>
      </c>
      <c r="M589" s="156" t="s">
        <v>3626</v>
      </c>
      <c r="N589" s="157" t="s">
        <v>3627</v>
      </c>
      <c r="O589" s="158" t="s">
        <v>365</v>
      </c>
      <c r="P589" s="159" t="s">
        <v>12056</v>
      </c>
      <c r="Q589" s="160" t="s">
        <v>204</v>
      </c>
      <c r="R589" s="161" t="s">
        <v>153</v>
      </c>
      <c r="S589" s="162" t="s">
        <v>290</v>
      </c>
      <c r="T589" s="163" t="s">
        <v>205</v>
      </c>
      <c r="U589" s="164" t="s">
        <v>237</v>
      </c>
      <c r="V589" s="165" t="s">
        <v>12057</v>
      </c>
      <c r="W589" s="166" t="s">
        <v>153</v>
      </c>
      <c r="X589" s="167" t="s">
        <v>153</v>
      </c>
      <c r="Y589" s="168" t="s">
        <v>153</v>
      </c>
      <c r="Z589" s="169" t="s">
        <v>153</v>
      </c>
      <c r="AA589" s="170">
        <v>1992</v>
      </c>
      <c r="AB589" s="171" t="s">
        <v>153</v>
      </c>
      <c r="AC589" s="172" t="s">
        <v>153</v>
      </c>
      <c r="AD589" s="173" t="s">
        <v>153</v>
      </c>
      <c r="AE589" s="174" t="s">
        <v>153</v>
      </c>
      <c r="AF589" s="175" t="s">
        <v>153</v>
      </c>
      <c r="AG589" s="176" t="s">
        <v>153</v>
      </c>
      <c r="AH589" s="177" t="s">
        <v>153</v>
      </c>
      <c r="AI589" s="178" t="s">
        <v>153</v>
      </c>
      <c r="AJ589" s="179" t="s">
        <v>153</v>
      </c>
      <c r="AK589" s="180" t="s">
        <v>153</v>
      </c>
      <c r="AL589" s="181" t="s">
        <v>153</v>
      </c>
      <c r="AM589" s="182" t="s">
        <v>153</v>
      </c>
      <c r="AN589" s="183" t="s">
        <v>153</v>
      </c>
      <c r="AO589" s="184" t="s">
        <v>12058</v>
      </c>
      <c r="AP589" s="185" t="s">
        <v>12059</v>
      </c>
      <c r="AQ589" s="186" t="s">
        <v>12060</v>
      </c>
      <c r="AR589" s="187" t="s">
        <v>12061</v>
      </c>
      <c r="AS589" s="188" t="s">
        <v>12062</v>
      </c>
      <c r="AT589" s="189" t="s">
        <v>12063</v>
      </c>
      <c r="AU589" s="190" t="s">
        <v>12064</v>
      </c>
      <c r="AV589" s="191" t="s">
        <v>12065</v>
      </c>
      <c r="AW589" s="192" t="s">
        <v>12066</v>
      </c>
      <c r="AX589" s="193" t="s">
        <v>153</v>
      </c>
      <c r="AY589" s="194" t="s">
        <v>12067</v>
      </c>
      <c r="AZ589" s="195" t="s">
        <v>1519</v>
      </c>
      <c r="BA589" s="196" t="s">
        <v>12062</v>
      </c>
      <c r="BB589" s="197" t="s">
        <v>12068</v>
      </c>
      <c r="BC589" s="198" t="s">
        <v>12069</v>
      </c>
      <c r="BD589" s="199" t="s">
        <v>1406</v>
      </c>
      <c r="BE589" s="200" t="s">
        <v>1407</v>
      </c>
      <c r="BF589" s="201" t="s">
        <v>12070</v>
      </c>
      <c r="BG589" s="202" t="s">
        <v>153</v>
      </c>
      <c r="BH589" s="203" t="s">
        <v>153</v>
      </c>
      <c r="BI589" s="204" t="s">
        <v>12071</v>
      </c>
      <c r="BJ589" s="205" t="s">
        <v>153</v>
      </c>
      <c r="BK589" s="206" t="s">
        <v>153</v>
      </c>
      <c r="BL589" s="207" t="s">
        <v>153</v>
      </c>
      <c r="BM589" s="208" t="s">
        <v>153</v>
      </c>
      <c r="BN589" s="209" t="s">
        <v>153</v>
      </c>
      <c r="BO589" s="210" t="s">
        <v>153</v>
      </c>
      <c r="BP589" s="211" t="s">
        <v>12072</v>
      </c>
      <c r="BQ589" s="212">
        <v>40924</v>
      </c>
      <c r="BR589" s="213" t="s">
        <v>153</v>
      </c>
      <c r="BS589" s="214" t="s">
        <v>153</v>
      </c>
      <c r="BT589" s="215" t="s">
        <v>153</v>
      </c>
      <c r="BU589" s="216" t="s">
        <v>153</v>
      </c>
      <c r="BV589" s="217" t="s">
        <v>251</v>
      </c>
      <c r="BW589" s="218" t="s">
        <v>153</v>
      </c>
      <c r="BX589" s="219" t="s">
        <v>153</v>
      </c>
      <c r="BY589" s="220" t="s">
        <v>252</v>
      </c>
      <c r="BZ589" s="221" t="s">
        <v>153</v>
      </c>
      <c r="CA589" s="222" t="s">
        <v>190</v>
      </c>
      <c r="CB589" s="223">
        <v>43041</v>
      </c>
      <c r="CC589" s="224">
        <v>7630</v>
      </c>
      <c r="CD589" s="225" t="s">
        <v>153</v>
      </c>
      <c r="CE589" s="226">
        <v>7630</v>
      </c>
      <c r="CF589" s="227" t="s">
        <v>153</v>
      </c>
      <c r="CG589" s="228" t="s">
        <v>226</v>
      </c>
      <c r="CH589" s="229" t="s">
        <v>153</v>
      </c>
      <c r="CI589" s="230" t="s">
        <v>153</v>
      </c>
      <c r="CJ589" s="231" t="s">
        <v>225</v>
      </c>
      <c r="CK589" s="232">
        <v>43041</v>
      </c>
      <c r="CL589" s="233" t="s">
        <v>153</v>
      </c>
      <c r="CM589" s="234" t="s">
        <v>153</v>
      </c>
      <c r="CN589" s="235" t="s">
        <v>190</v>
      </c>
      <c r="CO589" s="236" t="s">
        <v>153</v>
      </c>
      <c r="CP589" s="237" t="s">
        <v>153</v>
      </c>
      <c r="CQ589" s="238" t="s">
        <v>153</v>
      </c>
      <c r="CR589" s="239" t="s">
        <v>153</v>
      </c>
      <c r="CS589" s="240" t="s">
        <v>153</v>
      </c>
      <c r="CT589" s="241" t="s">
        <v>153</v>
      </c>
      <c r="CU589" s="242" t="s">
        <v>153</v>
      </c>
      <c r="CV589" s="243" t="s">
        <v>153</v>
      </c>
      <c r="CW589" s="244" t="s">
        <v>153</v>
      </c>
      <c r="CX589" s="245" t="s">
        <v>153</v>
      </c>
      <c r="CY589" s="246" t="s">
        <v>153</v>
      </c>
      <c r="CZ589" s="247" t="s">
        <v>153</v>
      </c>
      <c r="DA589" s="248" t="s">
        <v>153</v>
      </c>
      <c r="DB589" s="249" t="s">
        <v>153</v>
      </c>
      <c r="DC589" s="250" t="s">
        <v>153</v>
      </c>
      <c r="DD589" s="251" t="s">
        <v>153</v>
      </c>
      <c r="DE589" s="252" t="s">
        <v>153</v>
      </c>
      <c r="DF589" s="253" t="s">
        <v>153</v>
      </c>
      <c r="DG589" s="254" t="s">
        <v>153</v>
      </c>
      <c r="DH589" s="255" t="s">
        <v>153</v>
      </c>
      <c r="DI589" s="256" t="s">
        <v>153</v>
      </c>
      <c r="DJ589" s="257" t="s">
        <v>153</v>
      </c>
      <c r="DK589" s="258" t="s">
        <v>153</v>
      </c>
      <c r="DL589" s="259" t="s">
        <v>153</v>
      </c>
      <c r="DM589" s="260" t="s">
        <v>153</v>
      </c>
      <c r="DN589" s="261" t="s">
        <v>153</v>
      </c>
      <c r="DO589" s="262" t="s">
        <v>153</v>
      </c>
      <c r="DP589" s="263" t="s">
        <v>153</v>
      </c>
      <c r="DQ589" s="264" t="s">
        <v>153</v>
      </c>
      <c r="DR589" s="265" t="s">
        <v>153</v>
      </c>
      <c r="DS589" s="266" t="s">
        <v>153</v>
      </c>
      <c r="DT589" s="267" t="s">
        <v>153</v>
      </c>
      <c r="DU589" s="268" t="s">
        <v>153</v>
      </c>
      <c r="DV589" s="269" t="s">
        <v>153</v>
      </c>
      <c r="DW589" s="270" t="s">
        <v>153</v>
      </c>
      <c r="DX589" s="271" t="s">
        <v>153</v>
      </c>
      <c r="DY589" s="272" t="s">
        <v>153</v>
      </c>
      <c r="DZ589" s="273" t="s">
        <v>191</v>
      </c>
      <c r="EA589" s="274">
        <v>43943</v>
      </c>
      <c r="EB589" s="275">
        <v>7630</v>
      </c>
      <c r="EC589" s="276">
        <v>43041</v>
      </c>
      <c r="ED589" s="277" t="s">
        <v>226</v>
      </c>
      <c r="EE589" s="279" t="str">
        <f>HYPERLINK("https://my.pitchbook.com?c=164524-69", "View company online")</f>
        <v>View company online</v>
      </c>
    </row>
    <row r="590" spans="1:135" x14ac:dyDescent="0.45">
      <c r="A590" s="10" t="s">
        <v>12073</v>
      </c>
      <c r="B590" s="11" t="s">
        <v>12074</v>
      </c>
      <c r="C590" s="12" t="s">
        <v>153</v>
      </c>
      <c r="D590" s="13" t="s">
        <v>153</v>
      </c>
      <c r="E590" s="14" t="s">
        <v>12075</v>
      </c>
      <c r="F590" s="15" t="s">
        <v>153</v>
      </c>
      <c r="G590" s="16" t="s">
        <v>12076</v>
      </c>
      <c r="H590" s="17" t="s">
        <v>12077</v>
      </c>
      <c r="I590" s="18" t="s">
        <v>12073</v>
      </c>
      <c r="J590" s="19" t="s">
        <v>12078</v>
      </c>
      <c r="K590" s="20" t="s">
        <v>257</v>
      </c>
      <c r="L590" s="21" t="s">
        <v>258</v>
      </c>
      <c r="M590" s="22" t="s">
        <v>3389</v>
      </c>
      <c r="N590" s="23" t="s">
        <v>12079</v>
      </c>
      <c r="O590" s="24" t="s">
        <v>755</v>
      </c>
      <c r="P590" s="25" t="s">
        <v>12080</v>
      </c>
      <c r="Q590" s="26" t="s">
        <v>289</v>
      </c>
      <c r="R590" s="27">
        <v>155.85</v>
      </c>
      <c r="S590" s="28" t="s">
        <v>368</v>
      </c>
      <c r="T590" s="29" t="s">
        <v>205</v>
      </c>
      <c r="U590" s="30" t="s">
        <v>482</v>
      </c>
      <c r="V590" s="31" t="s">
        <v>12081</v>
      </c>
      <c r="W590" s="32">
        <v>186</v>
      </c>
      <c r="X590" s="33" t="s">
        <v>12082</v>
      </c>
      <c r="Y590" s="34" t="s">
        <v>153</v>
      </c>
      <c r="Z590" s="35" t="s">
        <v>153</v>
      </c>
      <c r="AA590" s="36">
        <v>2007</v>
      </c>
      <c r="AB590" s="37" t="s">
        <v>153</v>
      </c>
      <c r="AC590" s="38" t="s">
        <v>153</v>
      </c>
      <c r="AD590" s="39" t="s">
        <v>153</v>
      </c>
      <c r="AE590" s="40" t="s">
        <v>153</v>
      </c>
      <c r="AF590" s="41" t="s">
        <v>153</v>
      </c>
      <c r="AG590" s="42" t="s">
        <v>153</v>
      </c>
      <c r="AH590" s="43" t="s">
        <v>153</v>
      </c>
      <c r="AI590" s="44" t="s">
        <v>153</v>
      </c>
      <c r="AJ590" s="45" t="s">
        <v>153</v>
      </c>
      <c r="AK590" s="46" t="s">
        <v>153</v>
      </c>
      <c r="AL590" s="47" t="s">
        <v>153</v>
      </c>
      <c r="AM590" s="48" t="s">
        <v>153</v>
      </c>
      <c r="AN590" s="49" t="s">
        <v>3331</v>
      </c>
      <c r="AO590" s="50" t="s">
        <v>12083</v>
      </c>
      <c r="AP590" s="51" t="s">
        <v>12084</v>
      </c>
      <c r="AQ590" s="52" t="s">
        <v>512</v>
      </c>
      <c r="AR590" s="53" t="s">
        <v>12085</v>
      </c>
      <c r="AS590" s="54" t="s">
        <v>153</v>
      </c>
      <c r="AT590" s="55" t="s">
        <v>5540</v>
      </c>
      <c r="AU590" s="56" t="s">
        <v>12086</v>
      </c>
      <c r="AV590" s="57" t="s">
        <v>5161</v>
      </c>
      <c r="AW590" s="58" t="s">
        <v>5542</v>
      </c>
      <c r="AX590" s="59" t="s">
        <v>308</v>
      </c>
      <c r="AY590" s="60" t="s">
        <v>5543</v>
      </c>
      <c r="AZ590" s="61" t="s">
        <v>215</v>
      </c>
      <c r="BA590" s="62" t="s">
        <v>153</v>
      </c>
      <c r="BB590" s="63" t="s">
        <v>153</v>
      </c>
      <c r="BC590" s="64" t="s">
        <v>153</v>
      </c>
      <c r="BD590" s="65" t="s">
        <v>216</v>
      </c>
      <c r="BE590" s="66" t="s">
        <v>217</v>
      </c>
      <c r="BF590" s="67" t="s">
        <v>12087</v>
      </c>
      <c r="BG590" s="68" t="s">
        <v>153</v>
      </c>
      <c r="BH590" s="69" t="s">
        <v>153</v>
      </c>
      <c r="BI590" s="70" t="s">
        <v>444</v>
      </c>
      <c r="BJ590" s="71" t="s">
        <v>12088</v>
      </c>
      <c r="BK590" s="72" t="s">
        <v>12089</v>
      </c>
      <c r="BL590" s="73" t="s">
        <v>153</v>
      </c>
      <c r="BM590" s="74" t="s">
        <v>12090</v>
      </c>
      <c r="BN590" s="75" t="s">
        <v>12091</v>
      </c>
      <c r="BO590" s="76" t="s">
        <v>12092</v>
      </c>
      <c r="BP590" s="77" t="s">
        <v>12093</v>
      </c>
      <c r="BQ590" s="78">
        <v>40140</v>
      </c>
      <c r="BR590" s="79">
        <v>27.56</v>
      </c>
      <c r="BS590" s="80" t="s">
        <v>186</v>
      </c>
      <c r="BT590" s="81">
        <v>38.07</v>
      </c>
      <c r="BU590" s="82" t="s">
        <v>186</v>
      </c>
      <c r="BV590" s="83" t="s">
        <v>471</v>
      </c>
      <c r="BW590" s="84" t="s">
        <v>1811</v>
      </c>
      <c r="BX590" s="85" t="s">
        <v>153</v>
      </c>
      <c r="BY590" s="86" t="s">
        <v>472</v>
      </c>
      <c r="BZ590" s="87" t="s">
        <v>153</v>
      </c>
      <c r="CA590" s="88" t="s">
        <v>190</v>
      </c>
      <c r="CB590" s="89">
        <v>42243</v>
      </c>
      <c r="CC590" s="90">
        <v>7626</v>
      </c>
      <c r="CD590" s="91" t="s">
        <v>186</v>
      </c>
      <c r="CE590" s="92">
        <v>7626</v>
      </c>
      <c r="CF590" s="93" t="s">
        <v>186</v>
      </c>
      <c r="CG590" s="94" t="s">
        <v>226</v>
      </c>
      <c r="CH590" s="95" t="s">
        <v>153</v>
      </c>
      <c r="CI590" s="96" t="s">
        <v>153</v>
      </c>
      <c r="CJ590" s="97" t="s">
        <v>225</v>
      </c>
      <c r="CK590" s="98">
        <v>42243</v>
      </c>
      <c r="CL590" s="99" t="s">
        <v>153</v>
      </c>
      <c r="CM590" s="100" t="s">
        <v>153</v>
      </c>
      <c r="CN590" s="101" t="s">
        <v>190</v>
      </c>
      <c r="CO590" s="102" t="s">
        <v>153</v>
      </c>
      <c r="CP590" s="103" t="s">
        <v>153</v>
      </c>
      <c r="CQ590" s="104" t="s">
        <v>153</v>
      </c>
      <c r="CR590" s="105" t="s">
        <v>153</v>
      </c>
      <c r="CS590" s="106" t="s">
        <v>153</v>
      </c>
      <c r="CT590" s="107" t="s">
        <v>153</v>
      </c>
      <c r="CU590" s="108" t="s">
        <v>153</v>
      </c>
      <c r="CV590" s="109" t="s">
        <v>153</v>
      </c>
      <c r="CW590" s="110" t="s">
        <v>153</v>
      </c>
      <c r="CX590" s="111" t="s">
        <v>153</v>
      </c>
      <c r="CY590" s="112" t="s">
        <v>153</v>
      </c>
      <c r="CZ590" s="113" t="s">
        <v>153</v>
      </c>
      <c r="DA590" s="114" t="s">
        <v>153</v>
      </c>
      <c r="DB590" s="115" t="s">
        <v>153</v>
      </c>
      <c r="DC590" s="116" t="s">
        <v>153</v>
      </c>
      <c r="DD590" s="117" t="s">
        <v>153</v>
      </c>
      <c r="DE590" s="118" t="s">
        <v>153</v>
      </c>
      <c r="DF590" s="119" t="s">
        <v>153</v>
      </c>
      <c r="DG590" s="120" t="s">
        <v>153</v>
      </c>
      <c r="DH590" s="121" t="s">
        <v>153</v>
      </c>
      <c r="DI590" s="122" t="s">
        <v>153</v>
      </c>
      <c r="DJ590" s="123" t="s">
        <v>153</v>
      </c>
      <c r="DK590" s="124" t="s">
        <v>153</v>
      </c>
      <c r="DL590" s="125" t="s">
        <v>153</v>
      </c>
      <c r="DM590" s="126" t="s">
        <v>153</v>
      </c>
      <c r="DN590" s="127" t="s">
        <v>153</v>
      </c>
      <c r="DO590" s="128" t="s">
        <v>153</v>
      </c>
      <c r="DP590" s="129" t="s">
        <v>153</v>
      </c>
      <c r="DQ590" s="130" t="s">
        <v>153</v>
      </c>
      <c r="DR590" s="131" t="s">
        <v>153</v>
      </c>
      <c r="DS590" s="132" t="s">
        <v>153</v>
      </c>
      <c r="DT590" s="133" t="s">
        <v>153</v>
      </c>
      <c r="DU590" s="134" t="s">
        <v>153</v>
      </c>
      <c r="DV590" s="135" t="s">
        <v>153</v>
      </c>
      <c r="DW590" s="136" t="s">
        <v>153</v>
      </c>
      <c r="DX590" s="137" t="s">
        <v>153</v>
      </c>
      <c r="DY590" s="138" t="s">
        <v>153</v>
      </c>
      <c r="DZ590" s="139" t="s">
        <v>191</v>
      </c>
      <c r="EA590" s="140">
        <v>44217</v>
      </c>
      <c r="EB590" s="141">
        <v>7626</v>
      </c>
      <c r="EC590" s="142">
        <v>42243</v>
      </c>
      <c r="ED590" s="143" t="s">
        <v>226</v>
      </c>
      <c r="EE590" s="278" t="str">
        <f>HYPERLINK("https://my.pitchbook.com?c=52895-26", "View company online")</f>
        <v>View company online</v>
      </c>
    </row>
    <row r="591" spans="1:135" x14ac:dyDescent="0.45">
      <c r="A591" s="144" t="s">
        <v>12094</v>
      </c>
      <c r="B591" s="145" t="s">
        <v>12095</v>
      </c>
      <c r="C591" s="146" t="s">
        <v>153</v>
      </c>
      <c r="D591" s="147" t="s">
        <v>153</v>
      </c>
      <c r="E591" s="148" t="s">
        <v>12096</v>
      </c>
      <c r="F591" s="149" t="s">
        <v>12097</v>
      </c>
      <c r="G591" s="150" t="s">
        <v>12098</v>
      </c>
      <c r="H591" s="151" t="s">
        <v>153</v>
      </c>
      <c r="I591" s="152" t="s">
        <v>12094</v>
      </c>
      <c r="J591" s="153" t="s">
        <v>12099</v>
      </c>
      <c r="K591" s="154" t="s">
        <v>257</v>
      </c>
      <c r="L591" s="155" t="s">
        <v>530</v>
      </c>
      <c r="M591" s="156" t="s">
        <v>12100</v>
      </c>
      <c r="N591" s="157" t="s">
        <v>12101</v>
      </c>
      <c r="O591" s="158" t="s">
        <v>153</v>
      </c>
      <c r="P591" s="159" t="s">
        <v>12102</v>
      </c>
      <c r="Q591" s="160" t="s">
        <v>367</v>
      </c>
      <c r="R591" s="161" t="s">
        <v>153</v>
      </c>
      <c r="S591" s="162" t="s">
        <v>290</v>
      </c>
      <c r="T591" s="163" t="s">
        <v>291</v>
      </c>
      <c r="U591" s="164" t="s">
        <v>369</v>
      </c>
      <c r="V591" s="165" t="s">
        <v>12103</v>
      </c>
      <c r="W591" s="166">
        <v>4992</v>
      </c>
      <c r="X591" s="167" t="s">
        <v>12104</v>
      </c>
      <c r="Y591" s="168" t="s">
        <v>12105</v>
      </c>
      <c r="Z591" s="169" t="s">
        <v>12106</v>
      </c>
      <c r="AA591" s="170">
        <v>1980</v>
      </c>
      <c r="AB591" s="171" t="s">
        <v>153</v>
      </c>
      <c r="AC591" s="172" t="s">
        <v>153</v>
      </c>
      <c r="AD591" s="173" t="s">
        <v>153</v>
      </c>
      <c r="AE591" s="174">
        <v>78.89</v>
      </c>
      <c r="AF591" s="175">
        <v>33.31</v>
      </c>
      <c r="AG591" s="176">
        <v>4.37</v>
      </c>
      <c r="AH591" s="177">
        <v>298.13</v>
      </c>
      <c r="AI591" s="178">
        <v>20.67</v>
      </c>
      <c r="AJ591" s="179">
        <v>12.23</v>
      </c>
      <c r="AK591" s="180">
        <v>163.44</v>
      </c>
      <c r="AL591" s="181">
        <v>85.95</v>
      </c>
      <c r="AM591" s="182">
        <v>-3.34</v>
      </c>
      <c r="AN591" s="183" t="s">
        <v>3265</v>
      </c>
      <c r="AO591" s="184" t="s">
        <v>12107</v>
      </c>
      <c r="AP591" s="185" t="s">
        <v>12108</v>
      </c>
      <c r="AQ591" s="186" t="s">
        <v>12109</v>
      </c>
      <c r="AR591" s="187" t="s">
        <v>12110</v>
      </c>
      <c r="AS591" s="188" t="s">
        <v>12111</v>
      </c>
      <c r="AT591" s="189" t="s">
        <v>12112</v>
      </c>
      <c r="AU591" s="190" t="s">
        <v>12113</v>
      </c>
      <c r="AV591" s="191" t="s">
        <v>12114</v>
      </c>
      <c r="AW591" s="192" t="s">
        <v>12115</v>
      </c>
      <c r="AX591" s="193" t="s">
        <v>153</v>
      </c>
      <c r="AY591" s="194" t="s">
        <v>12116</v>
      </c>
      <c r="AZ591" s="195" t="s">
        <v>12117</v>
      </c>
      <c r="BA591" s="196" t="s">
        <v>12111</v>
      </c>
      <c r="BB591" s="197" t="s">
        <v>12118</v>
      </c>
      <c r="BC591" s="198" t="s">
        <v>12119</v>
      </c>
      <c r="BD591" s="199" t="s">
        <v>1406</v>
      </c>
      <c r="BE591" s="200" t="s">
        <v>3047</v>
      </c>
      <c r="BF591" s="201" t="s">
        <v>12120</v>
      </c>
      <c r="BG591" s="202" t="s">
        <v>12121</v>
      </c>
      <c r="BH591" s="203">
        <v>4</v>
      </c>
      <c r="BI591" s="204" t="s">
        <v>153</v>
      </c>
      <c r="BJ591" s="205" t="s">
        <v>12122</v>
      </c>
      <c r="BK591" s="206" t="s">
        <v>153</v>
      </c>
      <c r="BL591" s="207" t="s">
        <v>12123</v>
      </c>
      <c r="BM591" s="208" t="s">
        <v>12124</v>
      </c>
      <c r="BN591" s="209" t="s">
        <v>153</v>
      </c>
      <c r="BO591" s="210" t="s">
        <v>153</v>
      </c>
      <c r="BP591" s="211" t="s">
        <v>153</v>
      </c>
      <c r="BQ591" s="212" t="s">
        <v>153</v>
      </c>
      <c r="BR591" s="213" t="s">
        <v>153</v>
      </c>
      <c r="BS591" s="214" t="s">
        <v>153</v>
      </c>
      <c r="BT591" s="215" t="s">
        <v>153</v>
      </c>
      <c r="BU591" s="216" t="s">
        <v>153</v>
      </c>
      <c r="BV591" s="217" t="s">
        <v>251</v>
      </c>
      <c r="BW591" s="218" t="s">
        <v>153</v>
      </c>
      <c r="BX591" s="219" t="s">
        <v>153</v>
      </c>
      <c r="BY591" s="220" t="s">
        <v>252</v>
      </c>
      <c r="BZ591" s="221" t="s">
        <v>153</v>
      </c>
      <c r="CA591" s="222" t="s">
        <v>190</v>
      </c>
      <c r="CB591" s="223">
        <v>42347</v>
      </c>
      <c r="CC591" s="224">
        <v>7610</v>
      </c>
      <c r="CD591" s="225" t="s">
        <v>186</v>
      </c>
      <c r="CE591" s="226">
        <v>27305.34</v>
      </c>
      <c r="CF591" s="227" t="s">
        <v>186</v>
      </c>
      <c r="CG591" s="228" t="s">
        <v>906</v>
      </c>
      <c r="CH591" s="229" t="s">
        <v>153</v>
      </c>
      <c r="CI591" s="230" t="s">
        <v>153</v>
      </c>
      <c r="CJ591" s="231" t="s">
        <v>165</v>
      </c>
      <c r="CK591" s="232">
        <v>42347</v>
      </c>
      <c r="CL591" s="233" t="s">
        <v>153</v>
      </c>
      <c r="CM591" s="234" t="s">
        <v>153</v>
      </c>
      <c r="CN591" s="235" t="s">
        <v>190</v>
      </c>
      <c r="CO591" s="236">
        <v>0.12</v>
      </c>
      <c r="CP591" s="237">
        <v>89</v>
      </c>
      <c r="CQ591" s="238">
        <v>0</v>
      </c>
      <c r="CR591" s="239">
        <v>0</v>
      </c>
      <c r="CS591" s="240" t="s">
        <v>153</v>
      </c>
      <c r="CT591" s="241" t="s">
        <v>153</v>
      </c>
      <c r="CU591" s="242">
        <v>0.12</v>
      </c>
      <c r="CV591" s="243">
        <v>87</v>
      </c>
      <c r="CW591" s="244" t="s">
        <v>153</v>
      </c>
      <c r="CX591" s="245" t="s">
        <v>153</v>
      </c>
      <c r="CY591" s="246" t="s">
        <v>153</v>
      </c>
      <c r="CZ591" s="247" t="s">
        <v>153</v>
      </c>
      <c r="DA591" s="248">
        <v>0.12</v>
      </c>
      <c r="DB591" s="249">
        <v>87</v>
      </c>
      <c r="DC591" s="250">
        <v>0.34</v>
      </c>
      <c r="DD591" s="251">
        <v>27</v>
      </c>
      <c r="DE591" s="252">
        <v>0</v>
      </c>
      <c r="DF591" s="253">
        <v>0.64</v>
      </c>
      <c r="DG591" s="254" t="s">
        <v>153</v>
      </c>
      <c r="DH591" s="255" t="s">
        <v>153</v>
      </c>
      <c r="DI591" s="256">
        <v>0.34</v>
      </c>
      <c r="DJ591" s="257">
        <v>32</v>
      </c>
      <c r="DK591" s="258" t="s">
        <v>153</v>
      </c>
      <c r="DL591" s="259" t="s">
        <v>153</v>
      </c>
      <c r="DM591" s="260" t="s">
        <v>153</v>
      </c>
      <c r="DN591" s="261" t="s">
        <v>153</v>
      </c>
      <c r="DO591" s="262">
        <v>0.34</v>
      </c>
      <c r="DP591" s="263">
        <v>32</v>
      </c>
      <c r="DQ591" s="264" t="s">
        <v>153</v>
      </c>
      <c r="DR591" s="265" t="s">
        <v>153</v>
      </c>
      <c r="DS591" s="266" t="s">
        <v>153</v>
      </c>
      <c r="DT591" s="267" t="s">
        <v>153</v>
      </c>
      <c r="DU591" s="268" t="s">
        <v>153</v>
      </c>
      <c r="DV591" s="269" t="s">
        <v>153</v>
      </c>
      <c r="DW591" s="270">
        <v>107</v>
      </c>
      <c r="DX591" s="271">
        <v>0</v>
      </c>
      <c r="DY591" s="272">
        <v>0</v>
      </c>
      <c r="DZ591" s="273" t="s">
        <v>191</v>
      </c>
      <c r="EA591" s="274">
        <v>44313</v>
      </c>
      <c r="EB591" s="275">
        <v>27305.34</v>
      </c>
      <c r="EC591" s="276">
        <v>42347</v>
      </c>
      <c r="ED591" s="277" t="s">
        <v>906</v>
      </c>
      <c r="EE591" s="279" t="str">
        <f>HYPERLINK("https://my.pitchbook.com?c=55047-43", "View company online")</f>
        <v>View company online</v>
      </c>
    </row>
    <row r="592" spans="1:135" x14ac:dyDescent="0.45">
      <c r="A592" s="10" t="s">
        <v>12125</v>
      </c>
      <c r="B592" s="11" t="s">
        <v>12126</v>
      </c>
      <c r="C592" s="12" t="s">
        <v>153</v>
      </c>
      <c r="D592" s="13" t="s">
        <v>153</v>
      </c>
      <c r="E592" s="14" t="s">
        <v>153</v>
      </c>
      <c r="F592" s="15" t="s">
        <v>153</v>
      </c>
      <c r="G592" s="16" t="s">
        <v>153</v>
      </c>
      <c r="H592" s="17" t="s">
        <v>153</v>
      </c>
      <c r="I592" s="18" t="s">
        <v>12125</v>
      </c>
      <c r="J592" s="19" t="s">
        <v>12127</v>
      </c>
      <c r="K592" s="20" t="s">
        <v>157</v>
      </c>
      <c r="L592" s="21" t="s">
        <v>817</v>
      </c>
      <c r="M592" s="22" t="s">
        <v>863</v>
      </c>
      <c r="N592" s="23" t="s">
        <v>12128</v>
      </c>
      <c r="O592" s="24" t="s">
        <v>365</v>
      </c>
      <c r="P592" s="25" t="s">
        <v>12129</v>
      </c>
      <c r="Q592" s="26" t="s">
        <v>204</v>
      </c>
      <c r="R592" s="27" t="s">
        <v>153</v>
      </c>
      <c r="S592" s="28" t="s">
        <v>163</v>
      </c>
      <c r="T592" s="29" t="s">
        <v>205</v>
      </c>
      <c r="U592" s="30" t="s">
        <v>206</v>
      </c>
      <c r="V592" s="31" t="s">
        <v>153</v>
      </c>
      <c r="W592" s="32">
        <v>15000</v>
      </c>
      <c r="X592" s="33" t="s">
        <v>12130</v>
      </c>
      <c r="Y592" s="34" t="s">
        <v>153</v>
      </c>
      <c r="Z592" s="35" t="s">
        <v>153</v>
      </c>
      <c r="AA592" s="36" t="s">
        <v>153</v>
      </c>
      <c r="AB592" s="37" t="s">
        <v>153</v>
      </c>
      <c r="AC592" s="38" t="s">
        <v>153</v>
      </c>
      <c r="AD592" s="39" t="s">
        <v>153</v>
      </c>
      <c r="AE592" s="40" t="s">
        <v>153</v>
      </c>
      <c r="AF592" s="41" t="s">
        <v>153</v>
      </c>
      <c r="AG592" s="42" t="s">
        <v>153</v>
      </c>
      <c r="AH592" s="43" t="s">
        <v>153</v>
      </c>
      <c r="AI592" s="44" t="s">
        <v>153</v>
      </c>
      <c r="AJ592" s="45" t="s">
        <v>153</v>
      </c>
      <c r="AK592" s="46" t="s">
        <v>153</v>
      </c>
      <c r="AL592" s="47" t="s">
        <v>153</v>
      </c>
      <c r="AM592" s="48" t="s">
        <v>153</v>
      </c>
      <c r="AN592" s="49" t="s">
        <v>2438</v>
      </c>
      <c r="AO592" s="50" t="s">
        <v>12131</v>
      </c>
      <c r="AP592" s="51" t="s">
        <v>12132</v>
      </c>
      <c r="AQ592" s="52" t="s">
        <v>12133</v>
      </c>
      <c r="AR592" s="53" t="s">
        <v>12134</v>
      </c>
      <c r="AS592" s="54" t="s">
        <v>12135</v>
      </c>
      <c r="AT592" s="55" t="s">
        <v>3175</v>
      </c>
      <c r="AU592" s="56" t="s">
        <v>153</v>
      </c>
      <c r="AV592" s="57" t="s">
        <v>153</v>
      </c>
      <c r="AW592" s="58" t="s">
        <v>3178</v>
      </c>
      <c r="AX592" s="59" t="s">
        <v>153</v>
      </c>
      <c r="AY592" s="60" t="s">
        <v>153</v>
      </c>
      <c r="AZ592" s="61" t="s">
        <v>701</v>
      </c>
      <c r="BA592" s="62" t="s">
        <v>153</v>
      </c>
      <c r="BB592" s="63" t="s">
        <v>153</v>
      </c>
      <c r="BC592" s="64" t="s">
        <v>153</v>
      </c>
      <c r="BD592" s="65" t="s">
        <v>180</v>
      </c>
      <c r="BE592" s="66" t="s">
        <v>181</v>
      </c>
      <c r="BF592" s="67" t="s">
        <v>12136</v>
      </c>
      <c r="BG592" s="68" t="s">
        <v>153</v>
      </c>
      <c r="BH592" s="69" t="s">
        <v>153</v>
      </c>
      <c r="BI592" s="70" t="s">
        <v>12137</v>
      </c>
      <c r="BJ592" s="71" t="s">
        <v>4422</v>
      </c>
      <c r="BK592" s="72" t="s">
        <v>153</v>
      </c>
      <c r="BL592" s="73" t="s">
        <v>153</v>
      </c>
      <c r="BM592" s="74" t="s">
        <v>12138</v>
      </c>
      <c r="BN592" s="75" t="s">
        <v>153</v>
      </c>
      <c r="BO592" s="76" t="s">
        <v>153</v>
      </c>
      <c r="BP592" s="77" t="s">
        <v>12139</v>
      </c>
      <c r="BQ592" s="78">
        <v>39416</v>
      </c>
      <c r="BR592" s="79">
        <v>7600</v>
      </c>
      <c r="BS592" s="80" t="s">
        <v>186</v>
      </c>
      <c r="BT592" s="81">
        <v>7600</v>
      </c>
      <c r="BU592" s="82" t="s">
        <v>186</v>
      </c>
      <c r="BV592" s="83" t="s">
        <v>226</v>
      </c>
      <c r="BW592" s="84" t="s">
        <v>729</v>
      </c>
      <c r="BX592" s="85" t="s">
        <v>153</v>
      </c>
      <c r="BY592" s="86" t="s">
        <v>225</v>
      </c>
      <c r="BZ592" s="87" t="s">
        <v>153</v>
      </c>
      <c r="CA592" s="88" t="s">
        <v>190</v>
      </c>
      <c r="CB592" s="89">
        <v>39416</v>
      </c>
      <c r="CC592" s="90">
        <v>7600</v>
      </c>
      <c r="CD592" s="91" t="s">
        <v>186</v>
      </c>
      <c r="CE592" s="92">
        <v>7600</v>
      </c>
      <c r="CF592" s="93" t="s">
        <v>186</v>
      </c>
      <c r="CG592" s="94" t="s">
        <v>226</v>
      </c>
      <c r="CH592" s="95" t="s">
        <v>729</v>
      </c>
      <c r="CI592" s="96" t="s">
        <v>153</v>
      </c>
      <c r="CJ592" s="97" t="s">
        <v>225</v>
      </c>
      <c r="CK592" s="98">
        <v>39416</v>
      </c>
      <c r="CL592" s="99" t="s">
        <v>153</v>
      </c>
      <c r="CM592" s="100" t="s">
        <v>153</v>
      </c>
      <c r="CN592" s="101" t="s">
        <v>190</v>
      </c>
      <c r="CO592" s="102" t="s">
        <v>153</v>
      </c>
      <c r="CP592" s="103" t="s">
        <v>153</v>
      </c>
      <c r="CQ592" s="104" t="s">
        <v>153</v>
      </c>
      <c r="CR592" s="105" t="s">
        <v>153</v>
      </c>
      <c r="CS592" s="106" t="s">
        <v>153</v>
      </c>
      <c r="CT592" s="107" t="s">
        <v>153</v>
      </c>
      <c r="CU592" s="108" t="s">
        <v>153</v>
      </c>
      <c r="CV592" s="109" t="s">
        <v>153</v>
      </c>
      <c r="CW592" s="110" t="s">
        <v>153</v>
      </c>
      <c r="CX592" s="111" t="s">
        <v>153</v>
      </c>
      <c r="CY592" s="112" t="s">
        <v>153</v>
      </c>
      <c r="CZ592" s="113" t="s">
        <v>153</v>
      </c>
      <c r="DA592" s="114" t="s">
        <v>153</v>
      </c>
      <c r="DB592" s="115" t="s">
        <v>153</v>
      </c>
      <c r="DC592" s="116" t="s">
        <v>153</v>
      </c>
      <c r="DD592" s="117" t="s">
        <v>153</v>
      </c>
      <c r="DE592" s="118" t="s">
        <v>153</v>
      </c>
      <c r="DF592" s="119" t="s">
        <v>153</v>
      </c>
      <c r="DG592" s="120" t="s">
        <v>153</v>
      </c>
      <c r="DH592" s="121" t="s">
        <v>153</v>
      </c>
      <c r="DI592" s="122" t="s">
        <v>153</v>
      </c>
      <c r="DJ592" s="123" t="s">
        <v>153</v>
      </c>
      <c r="DK592" s="124" t="s">
        <v>153</v>
      </c>
      <c r="DL592" s="125" t="s">
        <v>153</v>
      </c>
      <c r="DM592" s="126" t="s">
        <v>153</v>
      </c>
      <c r="DN592" s="127" t="s">
        <v>153</v>
      </c>
      <c r="DO592" s="128" t="s">
        <v>153</v>
      </c>
      <c r="DP592" s="129" t="s">
        <v>153</v>
      </c>
      <c r="DQ592" s="130" t="s">
        <v>153</v>
      </c>
      <c r="DR592" s="131" t="s">
        <v>153</v>
      </c>
      <c r="DS592" s="132" t="s">
        <v>153</v>
      </c>
      <c r="DT592" s="133" t="s">
        <v>153</v>
      </c>
      <c r="DU592" s="134" t="s">
        <v>153</v>
      </c>
      <c r="DV592" s="135" t="s">
        <v>153</v>
      </c>
      <c r="DW592" s="136" t="s">
        <v>153</v>
      </c>
      <c r="DX592" s="137" t="s">
        <v>153</v>
      </c>
      <c r="DY592" s="138" t="s">
        <v>153</v>
      </c>
      <c r="DZ592" s="139" t="s">
        <v>191</v>
      </c>
      <c r="EA592" s="140">
        <v>44264</v>
      </c>
      <c r="EB592" s="141">
        <v>7600</v>
      </c>
      <c r="EC592" s="142">
        <v>39416</v>
      </c>
      <c r="ED592" s="143" t="s">
        <v>226</v>
      </c>
      <c r="EE592" s="278" t="str">
        <f>HYPERLINK("https://my.pitchbook.com?c=131255-38", "View company online")</f>
        <v>View company online</v>
      </c>
    </row>
    <row r="593" spans="1:135" x14ac:dyDescent="0.45">
      <c r="A593" s="144" t="s">
        <v>12140</v>
      </c>
      <c r="B593" s="145" t="s">
        <v>12141</v>
      </c>
      <c r="C593" s="146" t="s">
        <v>153</v>
      </c>
      <c r="D593" s="147" t="s">
        <v>153</v>
      </c>
      <c r="E593" s="148" t="s">
        <v>12142</v>
      </c>
      <c r="F593" s="149" t="s">
        <v>12143</v>
      </c>
      <c r="G593" s="150" t="s">
        <v>12144</v>
      </c>
      <c r="H593" s="151" t="s">
        <v>12145</v>
      </c>
      <c r="I593" s="152" t="s">
        <v>12140</v>
      </c>
      <c r="J593" s="153" t="s">
        <v>12146</v>
      </c>
      <c r="K593" s="154" t="s">
        <v>232</v>
      </c>
      <c r="L593" s="155" t="s">
        <v>362</v>
      </c>
      <c r="M593" s="156" t="s">
        <v>4656</v>
      </c>
      <c r="N593" s="157" t="s">
        <v>4657</v>
      </c>
      <c r="O593" s="158" t="s">
        <v>153</v>
      </c>
      <c r="P593" s="159" t="s">
        <v>12147</v>
      </c>
      <c r="Q593" s="160" t="s">
        <v>204</v>
      </c>
      <c r="R593" s="161">
        <v>584.9</v>
      </c>
      <c r="S593" s="162" t="s">
        <v>163</v>
      </c>
      <c r="T593" s="163" t="s">
        <v>205</v>
      </c>
      <c r="U593" s="164" t="s">
        <v>237</v>
      </c>
      <c r="V593" s="165" t="s">
        <v>12148</v>
      </c>
      <c r="W593" s="166">
        <v>250</v>
      </c>
      <c r="X593" s="167" t="s">
        <v>12149</v>
      </c>
      <c r="Y593" s="168" t="s">
        <v>153</v>
      </c>
      <c r="Z593" s="169" t="s">
        <v>153</v>
      </c>
      <c r="AA593" s="170" t="s">
        <v>153</v>
      </c>
      <c r="AB593" s="171" t="s">
        <v>2879</v>
      </c>
      <c r="AC593" s="172" t="s">
        <v>153</v>
      </c>
      <c r="AD593" s="173" t="s">
        <v>428</v>
      </c>
      <c r="AE593" s="174" t="s">
        <v>153</v>
      </c>
      <c r="AF593" s="175" t="s">
        <v>153</v>
      </c>
      <c r="AG593" s="176" t="s">
        <v>153</v>
      </c>
      <c r="AH593" s="177" t="s">
        <v>153</v>
      </c>
      <c r="AI593" s="178" t="s">
        <v>153</v>
      </c>
      <c r="AJ593" s="179" t="s">
        <v>153</v>
      </c>
      <c r="AK593" s="180" t="s">
        <v>153</v>
      </c>
      <c r="AL593" s="181" t="s">
        <v>153</v>
      </c>
      <c r="AM593" s="182" t="s">
        <v>153</v>
      </c>
      <c r="AN593" s="183" t="s">
        <v>648</v>
      </c>
      <c r="AO593" s="184" t="s">
        <v>153</v>
      </c>
      <c r="AP593" s="185" t="s">
        <v>153</v>
      </c>
      <c r="AQ593" s="186" t="s">
        <v>153</v>
      </c>
      <c r="AR593" s="187" t="s">
        <v>153</v>
      </c>
      <c r="AS593" s="188" t="s">
        <v>153</v>
      </c>
      <c r="AT593" s="189" t="s">
        <v>433</v>
      </c>
      <c r="AU593" s="190" t="s">
        <v>12150</v>
      </c>
      <c r="AV593" s="191" t="s">
        <v>12151</v>
      </c>
      <c r="AW593" s="192" t="s">
        <v>436</v>
      </c>
      <c r="AX593" s="193" t="s">
        <v>436</v>
      </c>
      <c r="AY593" s="194" t="s">
        <v>1626</v>
      </c>
      <c r="AZ593" s="195" t="s">
        <v>215</v>
      </c>
      <c r="BA593" s="196" t="s">
        <v>12152</v>
      </c>
      <c r="BB593" s="197" t="s">
        <v>12153</v>
      </c>
      <c r="BC593" s="198" t="s">
        <v>12154</v>
      </c>
      <c r="BD593" s="199" t="s">
        <v>216</v>
      </c>
      <c r="BE593" s="200" t="s">
        <v>217</v>
      </c>
      <c r="BF593" s="201" t="s">
        <v>12155</v>
      </c>
      <c r="BG593" s="202" t="s">
        <v>153</v>
      </c>
      <c r="BH593" s="203" t="s">
        <v>153</v>
      </c>
      <c r="BI593" s="204" t="s">
        <v>2879</v>
      </c>
      <c r="BJ593" s="205" t="s">
        <v>12156</v>
      </c>
      <c r="BK593" s="206" t="s">
        <v>153</v>
      </c>
      <c r="BL593" s="207" t="s">
        <v>153</v>
      </c>
      <c r="BM593" s="208" t="s">
        <v>12157</v>
      </c>
      <c r="BN593" s="209" t="s">
        <v>153</v>
      </c>
      <c r="BO593" s="210" t="s">
        <v>12158</v>
      </c>
      <c r="BP593" s="211" t="s">
        <v>12159</v>
      </c>
      <c r="BQ593" s="212">
        <v>38196</v>
      </c>
      <c r="BR593" s="213">
        <v>187.5</v>
      </c>
      <c r="BS593" s="214" t="s">
        <v>187</v>
      </c>
      <c r="BT593" s="215">
        <v>199.65</v>
      </c>
      <c r="BU593" s="216" t="s">
        <v>187</v>
      </c>
      <c r="BV593" s="217" t="s">
        <v>251</v>
      </c>
      <c r="BW593" s="218" t="s">
        <v>393</v>
      </c>
      <c r="BX593" s="219" t="s">
        <v>153</v>
      </c>
      <c r="BY593" s="220" t="s">
        <v>252</v>
      </c>
      <c r="BZ593" s="221" t="s">
        <v>153</v>
      </c>
      <c r="CA593" s="222" t="s">
        <v>190</v>
      </c>
      <c r="CB593" s="223">
        <v>43383</v>
      </c>
      <c r="CC593" s="224">
        <v>7600</v>
      </c>
      <c r="CD593" s="225" t="s">
        <v>186</v>
      </c>
      <c r="CE593" s="226">
        <v>7600</v>
      </c>
      <c r="CF593" s="227" t="s">
        <v>186</v>
      </c>
      <c r="CG593" s="228" t="s">
        <v>226</v>
      </c>
      <c r="CH593" s="229" t="s">
        <v>153</v>
      </c>
      <c r="CI593" s="230" t="s">
        <v>153</v>
      </c>
      <c r="CJ593" s="231" t="s">
        <v>225</v>
      </c>
      <c r="CK593" s="232">
        <v>43383</v>
      </c>
      <c r="CL593" s="233" t="s">
        <v>153</v>
      </c>
      <c r="CM593" s="234" t="s">
        <v>153</v>
      </c>
      <c r="CN593" s="235" t="s">
        <v>190</v>
      </c>
      <c r="CO593" s="236" t="s">
        <v>153</v>
      </c>
      <c r="CP593" s="237" t="s">
        <v>153</v>
      </c>
      <c r="CQ593" s="238" t="s">
        <v>153</v>
      </c>
      <c r="CR593" s="239" t="s">
        <v>153</v>
      </c>
      <c r="CS593" s="240" t="s">
        <v>153</v>
      </c>
      <c r="CT593" s="241" t="s">
        <v>153</v>
      </c>
      <c r="CU593" s="242" t="s">
        <v>153</v>
      </c>
      <c r="CV593" s="243" t="s">
        <v>153</v>
      </c>
      <c r="CW593" s="244" t="s">
        <v>153</v>
      </c>
      <c r="CX593" s="245" t="s">
        <v>153</v>
      </c>
      <c r="CY593" s="246" t="s">
        <v>153</v>
      </c>
      <c r="CZ593" s="247" t="s">
        <v>153</v>
      </c>
      <c r="DA593" s="248" t="s">
        <v>153</v>
      </c>
      <c r="DB593" s="249" t="s">
        <v>153</v>
      </c>
      <c r="DC593" s="250" t="s">
        <v>153</v>
      </c>
      <c r="DD593" s="251" t="s">
        <v>153</v>
      </c>
      <c r="DE593" s="252" t="s">
        <v>153</v>
      </c>
      <c r="DF593" s="253" t="s">
        <v>153</v>
      </c>
      <c r="DG593" s="254" t="s">
        <v>153</v>
      </c>
      <c r="DH593" s="255" t="s">
        <v>153</v>
      </c>
      <c r="DI593" s="256" t="s">
        <v>153</v>
      </c>
      <c r="DJ593" s="257" t="s">
        <v>153</v>
      </c>
      <c r="DK593" s="258" t="s">
        <v>153</v>
      </c>
      <c r="DL593" s="259" t="s">
        <v>153</v>
      </c>
      <c r="DM593" s="260" t="s">
        <v>153</v>
      </c>
      <c r="DN593" s="261" t="s">
        <v>153</v>
      </c>
      <c r="DO593" s="262" t="s">
        <v>153</v>
      </c>
      <c r="DP593" s="263" t="s">
        <v>153</v>
      </c>
      <c r="DQ593" s="264" t="s">
        <v>153</v>
      </c>
      <c r="DR593" s="265" t="s">
        <v>153</v>
      </c>
      <c r="DS593" s="266" t="s">
        <v>153</v>
      </c>
      <c r="DT593" s="267" t="s">
        <v>153</v>
      </c>
      <c r="DU593" s="268" t="s">
        <v>153</v>
      </c>
      <c r="DV593" s="269" t="s">
        <v>153</v>
      </c>
      <c r="DW593" s="270" t="s">
        <v>153</v>
      </c>
      <c r="DX593" s="271" t="s">
        <v>153</v>
      </c>
      <c r="DY593" s="272" t="s">
        <v>153</v>
      </c>
      <c r="DZ593" s="273" t="s">
        <v>191</v>
      </c>
      <c r="EA593" s="274">
        <v>44403</v>
      </c>
      <c r="EB593" s="275">
        <v>7600</v>
      </c>
      <c r="EC593" s="276">
        <v>43383</v>
      </c>
      <c r="ED593" s="277" t="s">
        <v>226</v>
      </c>
      <c r="EE593" s="279" t="str">
        <f>HYPERLINK("https://my.pitchbook.com?c=41578-30", "View company online")</f>
        <v>View company online</v>
      </c>
    </row>
    <row r="594" spans="1:135" x14ac:dyDescent="0.45">
      <c r="A594" s="10" t="s">
        <v>12160</v>
      </c>
      <c r="B594" s="11" t="s">
        <v>12161</v>
      </c>
      <c r="C594" s="12" t="s">
        <v>153</v>
      </c>
      <c r="D594" s="13" t="s">
        <v>153</v>
      </c>
      <c r="E594" s="14" t="s">
        <v>12162</v>
      </c>
      <c r="F594" s="15" t="s">
        <v>153</v>
      </c>
      <c r="G594" s="16" t="s">
        <v>12163</v>
      </c>
      <c r="H594" s="17" t="s">
        <v>153</v>
      </c>
      <c r="I594" s="18" t="s">
        <v>12160</v>
      </c>
      <c r="J594" s="19" t="s">
        <v>12164</v>
      </c>
      <c r="K594" s="20" t="s">
        <v>232</v>
      </c>
      <c r="L594" s="21" t="s">
        <v>362</v>
      </c>
      <c r="M594" s="22" t="s">
        <v>4656</v>
      </c>
      <c r="N594" s="23" t="s">
        <v>4657</v>
      </c>
      <c r="O594" s="24" t="s">
        <v>153</v>
      </c>
      <c r="P594" s="25" t="s">
        <v>12165</v>
      </c>
      <c r="Q594" s="26" t="s">
        <v>204</v>
      </c>
      <c r="R594" s="27">
        <v>104</v>
      </c>
      <c r="S594" s="28" t="s">
        <v>290</v>
      </c>
      <c r="T594" s="29" t="s">
        <v>205</v>
      </c>
      <c r="U594" s="30" t="s">
        <v>237</v>
      </c>
      <c r="V594" s="31" t="s">
        <v>153</v>
      </c>
      <c r="W594" s="32">
        <v>41</v>
      </c>
      <c r="X594" s="33" t="s">
        <v>12166</v>
      </c>
      <c r="Y594" s="34" t="s">
        <v>153</v>
      </c>
      <c r="Z594" s="35" t="s">
        <v>153</v>
      </c>
      <c r="AA594" s="36">
        <v>1985</v>
      </c>
      <c r="AB594" s="37" t="s">
        <v>153</v>
      </c>
      <c r="AC594" s="38" t="s">
        <v>153</v>
      </c>
      <c r="AD594" s="39" t="s">
        <v>153</v>
      </c>
      <c r="AE594" s="40" t="s">
        <v>153</v>
      </c>
      <c r="AF594" s="41" t="s">
        <v>153</v>
      </c>
      <c r="AG594" s="42" t="s">
        <v>153</v>
      </c>
      <c r="AH594" s="43" t="s">
        <v>153</v>
      </c>
      <c r="AI594" s="44" t="s">
        <v>153</v>
      </c>
      <c r="AJ594" s="45" t="s">
        <v>153</v>
      </c>
      <c r="AK594" s="46" t="s">
        <v>153</v>
      </c>
      <c r="AL594" s="47" t="s">
        <v>153</v>
      </c>
      <c r="AM594" s="48" t="s">
        <v>153</v>
      </c>
      <c r="AN594" s="49" t="s">
        <v>9935</v>
      </c>
      <c r="AO594" s="50" t="s">
        <v>12167</v>
      </c>
      <c r="AP594" s="51" t="s">
        <v>12168</v>
      </c>
      <c r="AQ594" s="52" t="s">
        <v>302</v>
      </c>
      <c r="AR594" s="53" t="s">
        <v>153</v>
      </c>
      <c r="AS594" s="54" t="s">
        <v>12169</v>
      </c>
      <c r="AT594" s="55" t="s">
        <v>12170</v>
      </c>
      <c r="AU594" s="56" t="s">
        <v>12171</v>
      </c>
      <c r="AV594" s="57" t="s">
        <v>12172</v>
      </c>
      <c r="AW594" s="58" t="s">
        <v>12173</v>
      </c>
      <c r="AX594" s="59" t="s">
        <v>308</v>
      </c>
      <c r="AY594" s="60" t="s">
        <v>12174</v>
      </c>
      <c r="AZ594" s="61" t="s">
        <v>215</v>
      </c>
      <c r="BA594" s="62" t="s">
        <v>12169</v>
      </c>
      <c r="BB594" s="63" t="s">
        <v>12175</v>
      </c>
      <c r="BC594" s="64" t="s">
        <v>153</v>
      </c>
      <c r="BD594" s="65" t="s">
        <v>216</v>
      </c>
      <c r="BE594" s="66" t="s">
        <v>217</v>
      </c>
      <c r="BF594" s="67" t="s">
        <v>12176</v>
      </c>
      <c r="BG594" s="68" t="s">
        <v>153</v>
      </c>
      <c r="BH594" s="69" t="s">
        <v>153</v>
      </c>
      <c r="BI594" s="70" t="s">
        <v>12177</v>
      </c>
      <c r="BJ594" s="71" t="s">
        <v>153</v>
      </c>
      <c r="BK594" s="72" t="s">
        <v>153</v>
      </c>
      <c r="BL594" s="73" t="s">
        <v>153</v>
      </c>
      <c r="BM594" s="74" t="s">
        <v>153</v>
      </c>
      <c r="BN594" s="75" t="s">
        <v>153</v>
      </c>
      <c r="BO594" s="76" t="s">
        <v>153</v>
      </c>
      <c r="BP594" s="77" t="s">
        <v>4669</v>
      </c>
      <c r="BQ594" s="78">
        <v>31400</v>
      </c>
      <c r="BR594" s="79">
        <v>104</v>
      </c>
      <c r="BS594" s="80" t="s">
        <v>186</v>
      </c>
      <c r="BT594" s="81">
        <v>104</v>
      </c>
      <c r="BU594" s="82" t="s">
        <v>186</v>
      </c>
      <c r="BV594" s="83" t="s">
        <v>251</v>
      </c>
      <c r="BW594" s="84" t="s">
        <v>153</v>
      </c>
      <c r="BX594" s="85" t="s">
        <v>153</v>
      </c>
      <c r="BY594" s="86" t="s">
        <v>252</v>
      </c>
      <c r="BZ594" s="87" t="s">
        <v>153</v>
      </c>
      <c r="CA594" s="88" t="s">
        <v>190</v>
      </c>
      <c r="CB594" s="89">
        <v>40725</v>
      </c>
      <c r="CC594" s="90">
        <v>7600</v>
      </c>
      <c r="CD594" s="91" t="s">
        <v>186</v>
      </c>
      <c r="CE594" s="92">
        <v>7600</v>
      </c>
      <c r="CF594" s="93" t="s">
        <v>186</v>
      </c>
      <c r="CG594" s="94" t="s">
        <v>226</v>
      </c>
      <c r="CH594" s="95" t="s">
        <v>153</v>
      </c>
      <c r="CI594" s="96" t="s">
        <v>153</v>
      </c>
      <c r="CJ594" s="97" t="s">
        <v>225</v>
      </c>
      <c r="CK594" s="98">
        <v>40725</v>
      </c>
      <c r="CL594" s="99" t="s">
        <v>153</v>
      </c>
      <c r="CM594" s="100" t="s">
        <v>153</v>
      </c>
      <c r="CN594" s="101" t="s">
        <v>190</v>
      </c>
      <c r="CO594" s="102" t="s">
        <v>153</v>
      </c>
      <c r="CP594" s="103" t="s">
        <v>153</v>
      </c>
      <c r="CQ594" s="104" t="s">
        <v>153</v>
      </c>
      <c r="CR594" s="105" t="s">
        <v>153</v>
      </c>
      <c r="CS594" s="106" t="s">
        <v>153</v>
      </c>
      <c r="CT594" s="107" t="s">
        <v>153</v>
      </c>
      <c r="CU594" s="108" t="s">
        <v>153</v>
      </c>
      <c r="CV594" s="109" t="s">
        <v>153</v>
      </c>
      <c r="CW594" s="110" t="s">
        <v>153</v>
      </c>
      <c r="CX594" s="111" t="s">
        <v>153</v>
      </c>
      <c r="CY594" s="112" t="s">
        <v>153</v>
      </c>
      <c r="CZ594" s="113" t="s">
        <v>153</v>
      </c>
      <c r="DA594" s="114" t="s">
        <v>153</v>
      </c>
      <c r="DB594" s="115" t="s">
        <v>153</v>
      </c>
      <c r="DC594" s="116" t="s">
        <v>153</v>
      </c>
      <c r="DD594" s="117" t="s">
        <v>153</v>
      </c>
      <c r="DE594" s="118" t="s">
        <v>153</v>
      </c>
      <c r="DF594" s="119" t="s">
        <v>153</v>
      </c>
      <c r="DG594" s="120" t="s">
        <v>153</v>
      </c>
      <c r="DH594" s="121" t="s">
        <v>153</v>
      </c>
      <c r="DI594" s="122" t="s">
        <v>153</v>
      </c>
      <c r="DJ594" s="123" t="s">
        <v>153</v>
      </c>
      <c r="DK594" s="124" t="s">
        <v>153</v>
      </c>
      <c r="DL594" s="125" t="s">
        <v>153</v>
      </c>
      <c r="DM594" s="126" t="s">
        <v>153</v>
      </c>
      <c r="DN594" s="127" t="s">
        <v>153</v>
      </c>
      <c r="DO594" s="128" t="s">
        <v>153</v>
      </c>
      <c r="DP594" s="129" t="s">
        <v>153</v>
      </c>
      <c r="DQ594" s="130" t="s">
        <v>153</v>
      </c>
      <c r="DR594" s="131" t="s">
        <v>153</v>
      </c>
      <c r="DS594" s="132" t="s">
        <v>153</v>
      </c>
      <c r="DT594" s="133" t="s">
        <v>153</v>
      </c>
      <c r="DU594" s="134" t="s">
        <v>153</v>
      </c>
      <c r="DV594" s="135" t="s">
        <v>153</v>
      </c>
      <c r="DW594" s="136" t="s">
        <v>153</v>
      </c>
      <c r="DX594" s="137" t="s">
        <v>153</v>
      </c>
      <c r="DY594" s="138" t="s">
        <v>153</v>
      </c>
      <c r="DZ594" s="139" t="s">
        <v>191</v>
      </c>
      <c r="EA594" s="140">
        <v>44084</v>
      </c>
      <c r="EB594" s="141">
        <v>7600</v>
      </c>
      <c r="EC594" s="142">
        <v>40725</v>
      </c>
      <c r="ED594" s="143" t="s">
        <v>226</v>
      </c>
      <c r="EE594" s="278" t="str">
        <f>HYPERLINK("https://my.pitchbook.com?c=11742-04", "View company online")</f>
        <v>View company online</v>
      </c>
    </row>
    <row r="595" spans="1:135" x14ac:dyDescent="0.45">
      <c r="A595" s="144" t="s">
        <v>12178</v>
      </c>
      <c r="B595" s="145" t="s">
        <v>12179</v>
      </c>
      <c r="C595" s="146" t="s">
        <v>153</v>
      </c>
      <c r="D595" s="147" t="s">
        <v>153</v>
      </c>
      <c r="E595" s="148" t="s">
        <v>12180</v>
      </c>
      <c r="F595" s="149" t="s">
        <v>12181</v>
      </c>
      <c r="G595" s="150" t="s">
        <v>12182</v>
      </c>
      <c r="H595" s="151" t="s">
        <v>12183</v>
      </c>
      <c r="I595" s="152" t="s">
        <v>12178</v>
      </c>
      <c r="J595" s="153" t="s">
        <v>12184</v>
      </c>
      <c r="K595" s="154" t="s">
        <v>232</v>
      </c>
      <c r="L595" s="155" t="s">
        <v>233</v>
      </c>
      <c r="M595" s="156" t="s">
        <v>234</v>
      </c>
      <c r="N595" s="157" t="s">
        <v>235</v>
      </c>
      <c r="O595" s="158" t="s">
        <v>153</v>
      </c>
      <c r="P595" s="159" t="s">
        <v>12185</v>
      </c>
      <c r="Q595" s="160" t="s">
        <v>1487</v>
      </c>
      <c r="R595" s="161" t="s">
        <v>153</v>
      </c>
      <c r="S595" s="162" t="s">
        <v>290</v>
      </c>
      <c r="T595" s="163" t="s">
        <v>291</v>
      </c>
      <c r="U595" s="164" t="s">
        <v>237</v>
      </c>
      <c r="V595" s="165" t="s">
        <v>12186</v>
      </c>
      <c r="W595" s="166">
        <v>5987</v>
      </c>
      <c r="X595" s="167" t="s">
        <v>12187</v>
      </c>
      <c r="Y595" s="168" t="s">
        <v>295</v>
      </c>
      <c r="Z595" s="169" t="s">
        <v>12188</v>
      </c>
      <c r="AA595" s="170">
        <v>1841</v>
      </c>
      <c r="AB595" s="171" t="s">
        <v>153</v>
      </c>
      <c r="AC595" s="172" t="s">
        <v>428</v>
      </c>
      <c r="AD595" s="173" t="s">
        <v>622</v>
      </c>
      <c r="AE595" s="174">
        <v>1937.9</v>
      </c>
      <c r="AF595" s="175" t="s">
        <v>153</v>
      </c>
      <c r="AG595" s="176">
        <v>314.60000000000002</v>
      </c>
      <c r="AH595" s="177" t="s">
        <v>153</v>
      </c>
      <c r="AI595" s="178" t="s">
        <v>153</v>
      </c>
      <c r="AJ595" s="179" t="s">
        <v>153</v>
      </c>
      <c r="AK595" s="180">
        <v>6527.77</v>
      </c>
      <c r="AL595" s="181">
        <v>54018.7</v>
      </c>
      <c r="AM595" s="182">
        <v>-1.96</v>
      </c>
      <c r="AN595" s="183" t="s">
        <v>299</v>
      </c>
      <c r="AO595" s="184" t="s">
        <v>12189</v>
      </c>
      <c r="AP595" s="185" t="s">
        <v>12190</v>
      </c>
      <c r="AQ595" s="186" t="s">
        <v>12191</v>
      </c>
      <c r="AR595" s="187" t="s">
        <v>12192</v>
      </c>
      <c r="AS595" s="188" t="s">
        <v>12193</v>
      </c>
      <c r="AT595" s="189" t="s">
        <v>12194</v>
      </c>
      <c r="AU595" s="190" t="s">
        <v>12195</v>
      </c>
      <c r="AV595" s="191" t="s">
        <v>153</v>
      </c>
      <c r="AW595" s="192" t="s">
        <v>12196</v>
      </c>
      <c r="AX595" s="193" t="s">
        <v>213</v>
      </c>
      <c r="AY595" s="194" t="s">
        <v>12197</v>
      </c>
      <c r="AZ595" s="195" t="s">
        <v>215</v>
      </c>
      <c r="BA595" s="196" t="s">
        <v>12193</v>
      </c>
      <c r="BB595" s="197" t="s">
        <v>153</v>
      </c>
      <c r="BC595" s="198" t="s">
        <v>12198</v>
      </c>
      <c r="BD595" s="199" t="s">
        <v>216</v>
      </c>
      <c r="BE595" s="200" t="s">
        <v>217</v>
      </c>
      <c r="BF595" s="201" t="s">
        <v>12199</v>
      </c>
      <c r="BG595" s="202" t="s">
        <v>153</v>
      </c>
      <c r="BH595" s="203" t="s">
        <v>153</v>
      </c>
      <c r="BI595" s="204" t="s">
        <v>153</v>
      </c>
      <c r="BJ595" s="205" t="s">
        <v>153</v>
      </c>
      <c r="BK595" s="206" t="s">
        <v>12200</v>
      </c>
      <c r="BL595" s="207" t="s">
        <v>153</v>
      </c>
      <c r="BM595" s="208" t="s">
        <v>153</v>
      </c>
      <c r="BN595" s="209" t="s">
        <v>12201</v>
      </c>
      <c r="BO595" s="210" t="s">
        <v>12202</v>
      </c>
      <c r="BP595" s="211" t="s">
        <v>12203</v>
      </c>
      <c r="BQ595" s="212">
        <v>32330</v>
      </c>
      <c r="BR595" s="213" t="s">
        <v>153</v>
      </c>
      <c r="BS595" s="214" t="s">
        <v>153</v>
      </c>
      <c r="BT595" s="215" t="s">
        <v>153</v>
      </c>
      <c r="BU595" s="216" t="s">
        <v>153</v>
      </c>
      <c r="BV595" s="217" t="s">
        <v>251</v>
      </c>
      <c r="BW595" s="218" t="s">
        <v>153</v>
      </c>
      <c r="BX595" s="219" t="s">
        <v>153</v>
      </c>
      <c r="BY595" s="220" t="s">
        <v>252</v>
      </c>
      <c r="BZ595" s="221" t="s">
        <v>153</v>
      </c>
      <c r="CA595" s="222" t="s">
        <v>190</v>
      </c>
      <c r="CB595" s="223">
        <v>44249</v>
      </c>
      <c r="CC595" s="224">
        <v>7600</v>
      </c>
      <c r="CD595" s="225" t="s">
        <v>186</v>
      </c>
      <c r="CE595" s="226">
        <v>7600</v>
      </c>
      <c r="CF595" s="227" t="s">
        <v>187</v>
      </c>
      <c r="CG595" s="228" t="s">
        <v>226</v>
      </c>
      <c r="CH595" s="229" t="s">
        <v>153</v>
      </c>
      <c r="CI595" s="230" t="s">
        <v>153</v>
      </c>
      <c r="CJ595" s="231" t="s">
        <v>225</v>
      </c>
      <c r="CK595" s="232">
        <v>44249</v>
      </c>
      <c r="CL595" s="233" t="s">
        <v>153</v>
      </c>
      <c r="CM595" s="234" t="s">
        <v>153</v>
      </c>
      <c r="CN595" s="235" t="s">
        <v>1278</v>
      </c>
      <c r="CO595" s="236">
        <v>0.27</v>
      </c>
      <c r="CP595" s="237">
        <v>91</v>
      </c>
      <c r="CQ595" s="238">
        <v>-0.01</v>
      </c>
      <c r="CR595" s="239">
        <v>-4.1900000000000004</v>
      </c>
      <c r="CS595" s="240">
        <v>0.33</v>
      </c>
      <c r="CT595" s="241">
        <v>92</v>
      </c>
      <c r="CU595" s="242">
        <v>0</v>
      </c>
      <c r="CV595" s="243">
        <v>41</v>
      </c>
      <c r="CW595" s="244">
        <v>7.0000000000000007E-2</v>
      </c>
      <c r="CX595" s="245">
        <v>76</v>
      </c>
      <c r="CY595" s="246">
        <v>0.59</v>
      </c>
      <c r="CZ595" s="247">
        <v>95</v>
      </c>
      <c r="DA595" s="248">
        <v>0</v>
      </c>
      <c r="DB595" s="249">
        <v>41</v>
      </c>
      <c r="DC595" s="250">
        <v>1773.4</v>
      </c>
      <c r="DD595" s="251">
        <v>100</v>
      </c>
      <c r="DE595" s="252">
        <v>6.42</v>
      </c>
      <c r="DF595" s="253">
        <v>0.36</v>
      </c>
      <c r="DG595" s="254">
        <v>271.24</v>
      </c>
      <c r="DH595" s="255">
        <v>100</v>
      </c>
      <c r="DI595" s="256">
        <v>9.4700000000000006</v>
      </c>
      <c r="DJ595" s="257">
        <v>86</v>
      </c>
      <c r="DK595" s="258">
        <v>359.18</v>
      </c>
      <c r="DL595" s="259">
        <v>99</v>
      </c>
      <c r="DM595" s="260">
        <v>183.31</v>
      </c>
      <c r="DN595" s="261">
        <v>100</v>
      </c>
      <c r="DO595" s="262">
        <v>9.4700000000000006</v>
      </c>
      <c r="DP595" s="263">
        <v>86</v>
      </c>
      <c r="DQ595" s="264">
        <v>212109</v>
      </c>
      <c r="DR595" s="265">
        <v>3232</v>
      </c>
      <c r="DS595" s="266">
        <v>1.55</v>
      </c>
      <c r="DT595" s="267">
        <v>2938</v>
      </c>
      <c r="DU595" s="268">
        <v>-2</v>
      </c>
      <c r="DV595" s="269">
        <v>-7.0000000000000007E-2</v>
      </c>
      <c r="DW595" s="270">
        <v>2972</v>
      </c>
      <c r="DX595" s="271">
        <v>2</v>
      </c>
      <c r="DY595" s="272">
        <v>7.0000000000000007E-2</v>
      </c>
      <c r="DZ595" s="273" t="s">
        <v>191</v>
      </c>
      <c r="EA595" s="274">
        <v>44400</v>
      </c>
      <c r="EB595" s="275">
        <v>7600</v>
      </c>
      <c r="EC595" s="276">
        <v>44249</v>
      </c>
      <c r="ED595" s="277" t="s">
        <v>226</v>
      </c>
      <c r="EE595" s="279" t="str">
        <f>HYPERLINK("https://my.pitchbook.com?c=42082-84", "View company online")</f>
        <v>View company online</v>
      </c>
    </row>
    <row r="596" spans="1:135" x14ac:dyDescent="0.45">
      <c r="A596" s="10" t="s">
        <v>12204</v>
      </c>
      <c r="B596" s="11" t="s">
        <v>12205</v>
      </c>
      <c r="C596" s="12" t="s">
        <v>153</v>
      </c>
      <c r="D596" s="13" t="s">
        <v>153</v>
      </c>
      <c r="E596" s="14" t="s">
        <v>12206</v>
      </c>
      <c r="F596" s="15" t="s">
        <v>153</v>
      </c>
      <c r="G596" s="16" t="s">
        <v>12207</v>
      </c>
      <c r="H596" s="17" t="s">
        <v>12208</v>
      </c>
      <c r="I596" s="18" t="s">
        <v>12204</v>
      </c>
      <c r="J596" s="19" t="s">
        <v>12209</v>
      </c>
      <c r="K596" s="20" t="s">
        <v>232</v>
      </c>
      <c r="L596" s="21" t="s">
        <v>233</v>
      </c>
      <c r="M596" s="22" t="s">
        <v>3219</v>
      </c>
      <c r="N596" s="23" t="s">
        <v>12210</v>
      </c>
      <c r="O596" s="24" t="s">
        <v>153</v>
      </c>
      <c r="P596" s="25" t="s">
        <v>12211</v>
      </c>
      <c r="Q596" s="26" t="s">
        <v>204</v>
      </c>
      <c r="R596" s="27" t="s">
        <v>153</v>
      </c>
      <c r="S596" s="28" t="s">
        <v>163</v>
      </c>
      <c r="T596" s="29" t="s">
        <v>164</v>
      </c>
      <c r="U596" s="30" t="s">
        <v>206</v>
      </c>
      <c r="V596" s="31" t="s">
        <v>12212</v>
      </c>
      <c r="W596" s="32">
        <v>13000</v>
      </c>
      <c r="X596" s="33" t="s">
        <v>12213</v>
      </c>
      <c r="Y596" s="34" t="s">
        <v>153</v>
      </c>
      <c r="Z596" s="35" t="s">
        <v>153</v>
      </c>
      <c r="AA596" s="36">
        <v>1999</v>
      </c>
      <c r="AB596" s="37" t="s">
        <v>12214</v>
      </c>
      <c r="AC596" s="38" t="s">
        <v>153</v>
      </c>
      <c r="AD596" s="39" t="s">
        <v>153</v>
      </c>
      <c r="AE596" s="40" t="s">
        <v>153</v>
      </c>
      <c r="AF596" s="41" t="s">
        <v>153</v>
      </c>
      <c r="AG596" s="42" t="s">
        <v>153</v>
      </c>
      <c r="AH596" s="43" t="s">
        <v>153</v>
      </c>
      <c r="AI596" s="44" t="s">
        <v>153</v>
      </c>
      <c r="AJ596" s="45" t="s">
        <v>153</v>
      </c>
      <c r="AK596" s="46" t="s">
        <v>153</v>
      </c>
      <c r="AL596" s="47" t="s">
        <v>153</v>
      </c>
      <c r="AM596" s="48" t="s">
        <v>153</v>
      </c>
      <c r="AN596" s="49" t="s">
        <v>456</v>
      </c>
      <c r="AO596" s="50" t="s">
        <v>12215</v>
      </c>
      <c r="AP596" s="51" t="s">
        <v>12216</v>
      </c>
      <c r="AQ596" s="52" t="s">
        <v>12217</v>
      </c>
      <c r="AR596" s="53" t="s">
        <v>12218</v>
      </c>
      <c r="AS596" s="54" t="s">
        <v>12219</v>
      </c>
      <c r="AT596" s="55" t="s">
        <v>2572</v>
      </c>
      <c r="AU596" s="56" t="s">
        <v>12220</v>
      </c>
      <c r="AV596" s="57" t="s">
        <v>153</v>
      </c>
      <c r="AW596" s="58" t="s">
        <v>2575</v>
      </c>
      <c r="AX596" s="59" t="s">
        <v>153</v>
      </c>
      <c r="AY596" s="60" t="s">
        <v>2576</v>
      </c>
      <c r="AZ596" s="61" t="s">
        <v>2577</v>
      </c>
      <c r="BA596" s="62" t="s">
        <v>12219</v>
      </c>
      <c r="BB596" s="63" t="s">
        <v>12221</v>
      </c>
      <c r="BC596" s="64" t="s">
        <v>12222</v>
      </c>
      <c r="BD596" s="65" t="s">
        <v>180</v>
      </c>
      <c r="BE596" s="66" t="s">
        <v>181</v>
      </c>
      <c r="BF596" s="67" t="s">
        <v>12223</v>
      </c>
      <c r="BG596" s="68" t="s">
        <v>153</v>
      </c>
      <c r="BH596" s="69" t="s">
        <v>153</v>
      </c>
      <c r="BI596" s="70" t="s">
        <v>12214</v>
      </c>
      <c r="BJ596" s="71" t="s">
        <v>153</v>
      </c>
      <c r="BK596" s="72" t="s">
        <v>153</v>
      </c>
      <c r="BL596" s="73" t="s">
        <v>153</v>
      </c>
      <c r="BM596" s="74" t="s">
        <v>153</v>
      </c>
      <c r="BN596" s="75" t="s">
        <v>153</v>
      </c>
      <c r="BO596" s="76" t="s">
        <v>12224</v>
      </c>
      <c r="BP596" s="77" t="s">
        <v>12225</v>
      </c>
      <c r="BQ596" s="78">
        <v>39945</v>
      </c>
      <c r="BR596" s="79">
        <v>7549.96</v>
      </c>
      <c r="BS596" s="80" t="s">
        <v>186</v>
      </c>
      <c r="BT596" s="81">
        <v>10066.61</v>
      </c>
      <c r="BU596" s="82" t="s">
        <v>186</v>
      </c>
      <c r="BV596" s="83" t="s">
        <v>226</v>
      </c>
      <c r="BW596" s="84" t="s">
        <v>153</v>
      </c>
      <c r="BX596" s="85" t="s">
        <v>153</v>
      </c>
      <c r="BY596" s="86" t="s">
        <v>225</v>
      </c>
      <c r="BZ596" s="87" t="s">
        <v>153</v>
      </c>
      <c r="CA596" s="88" t="s">
        <v>190</v>
      </c>
      <c r="CB596" s="89">
        <v>39945</v>
      </c>
      <c r="CC596" s="90">
        <v>7549.96</v>
      </c>
      <c r="CD596" s="91" t="s">
        <v>186</v>
      </c>
      <c r="CE596" s="92">
        <v>10066.61</v>
      </c>
      <c r="CF596" s="93" t="s">
        <v>186</v>
      </c>
      <c r="CG596" s="94" t="s">
        <v>226</v>
      </c>
      <c r="CH596" s="95" t="s">
        <v>153</v>
      </c>
      <c r="CI596" s="96" t="s">
        <v>153</v>
      </c>
      <c r="CJ596" s="97" t="s">
        <v>225</v>
      </c>
      <c r="CK596" s="98">
        <v>39945</v>
      </c>
      <c r="CL596" s="99" t="s">
        <v>153</v>
      </c>
      <c r="CM596" s="100" t="s">
        <v>153</v>
      </c>
      <c r="CN596" s="101" t="s">
        <v>190</v>
      </c>
      <c r="CO596" s="102">
        <v>0.12</v>
      </c>
      <c r="CP596" s="103">
        <v>89</v>
      </c>
      <c r="CQ596" s="104">
        <v>-7.0000000000000007E-2</v>
      </c>
      <c r="CR596" s="105">
        <v>-36.06</v>
      </c>
      <c r="CS596" s="106">
        <v>0.26</v>
      </c>
      <c r="CT596" s="107">
        <v>91</v>
      </c>
      <c r="CU596" s="108">
        <v>-0.02</v>
      </c>
      <c r="CV596" s="109">
        <v>38</v>
      </c>
      <c r="CW596" s="110" t="s">
        <v>153</v>
      </c>
      <c r="CX596" s="111" t="s">
        <v>153</v>
      </c>
      <c r="CY596" s="112">
        <v>0.26</v>
      </c>
      <c r="CZ596" s="113">
        <v>92</v>
      </c>
      <c r="DA596" s="114">
        <v>-0.02</v>
      </c>
      <c r="DB596" s="115">
        <v>38</v>
      </c>
      <c r="DC596" s="116">
        <v>37.950000000000003</v>
      </c>
      <c r="DD596" s="117">
        <v>98</v>
      </c>
      <c r="DE596" s="118">
        <v>0.11</v>
      </c>
      <c r="DF596" s="119">
        <v>0.28000000000000003</v>
      </c>
      <c r="DG596" s="120">
        <v>55.63</v>
      </c>
      <c r="DH596" s="121">
        <v>99</v>
      </c>
      <c r="DI596" s="122">
        <v>20.28</v>
      </c>
      <c r="DJ596" s="123">
        <v>92</v>
      </c>
      <c r="DK596" s="124" t="s">
        <v>153</v>
      </c>
      <c r="DL596" s="125" t="s">
        <v>153</v>
      </c>
      <c r="DM596" s="126">
        <v>55.63</v>
      </c>
      <c r="DN596" s="127">
        <v>98</v>
      </c>
      <c r="DO596" s="128">
        <v>20.28</v>
      </c>
      <c r="DP596" s="129">
        <v>92</v>
      </c>
      <c r="DQ596" s="130" t="s">
        <v>153</v>
      </c>
      <c r="DR596" s="131" t="s">
        <v>153</v>
      </c>
      <c r="DS596" s="132" t="s">
        <v>153</v>
      </c>
      <c r="DT596" s="133">
        <v>889</v>
      </c>
      <c r="DU596" s="134">
        <v>2</v>
      </c>
      <c r="DV596" s="135">
        <v>0.23</v>
      </c>
      <c r="DW596" s="136">
        <v>6366</v>
      </c>
      <c r="DX596" s="137">
        <v>6</v>
      </c>
      <c r="DY596" s="138">
        <v>0.09</v>
      </c>
      <c r="DZ596" s="139" t="s">
        <v>191</v>
      </c>
      <c r="EA596" s="140">
        <v>44385</v>
      </c>
      <c r="EB596" s="141">
        <v>10066.61</v>
      </c>
      <c r="EC596" s="142">
        <v>39945</v>
      </c>
      <c r="ED596" s="143" t="s">
        <v>226</v>
      </c>
      <c r="EE596" s="278" t="str">
        <f>HYPERLINK("https://my.pitchbook.com?c=56164-60", "View company online")</f>
        <v>View company online</v>
      </c>
    </row>
    <row r="597" spans="1:135" x14ac:dyDescent="0.45">
      <c r="A597" s="144" t="s">
        <v>12226</v>
      </c>
      <c r="B597" s="145" t="s">
        <v>12227</v>
      </c>
      <c r="C597" s="146" t="s">
        <v>153</v>
      </c>
      <c r="D597" s="147" t="s">
        <v>153</v>
      </c>
      <c r="E597" s="148" t="s">
        <v>153</v>
      </c>
      <c r="F597" s="149" t="s">
        <v>153</v>
      </c>
      <c r="G597" s="150" t="s">
        <v>12228</v>
      </c>
      <c r="H597" s="151" t="s">
        <v>12229</v>
      </c>
      <c r="I597" s="152" t="s">
        <v>12226</v>
      </c>
      <c r="J597" s="153" t="s">
        <v>12230</v>
      </c>
      <c r="K597" s="154" t="s">
        <v>792</v>
      </c>
      <c r="L597" s="155" t="s">
        <v>841</v>
      </c>
      <c r="M597" s="156" t="s">
        <v>842</v>
      </c>
      <c r="N597" s="157" t="s">
        <v>843</v>
      </c>
      <c r="O597" s="158" t="s">
        <v>796</v>
      </c>
      <c r="P597" s="159" t="s">
        <v>12231</v>
      </c>
      <c r="Q597" s="160" t="s">
        <v>204</v>
      </c>
      <c r="R597" s="161">
        <v>355.9</v>
      </c>
      <c r="S597" s="162" t="s">
        <v>163</v>
      </c>
      <c r="T597" s="163" t="s">
        <v>1392</v>
      </c>
      <c r="U597" s="164" t="s">
        <v>237</v>
      </c>
      <c r="V597" s="165" t="s">
        <v>12232</v>
      </c>
      <c r="W597" s="166">
        <v>864</v>
      </c>
      <c r="X597" s="167" t="s">
        <v>12233</v>
      </c>
      <c r="Y597" s="168" t="s">
        <v>153</v>
      </c>
      <c r="Z597" s="169" t="s">
        <v>153</v>
      </c>
      <c r="AA597" s="170">
        <v>1994</v>
      </c>
      <c r="AB597" s="171" t="s">
        <v>153</v>
      </c>
      <c r="AC597" s="172" t="s">
        <v>153</v>
      </c>
      <c r="AD597" s="173" t="s">
        <v>153</v>
      </c>
      <c r="AE597" s="174" t="s">
        <v>153</v>
      </c>
      <c r="AF597" s="175" t="s">
        <v>153</v>
      </c>
      <c r="AG597" s="176" t="s">
        <v>153</v>
      </c>
      <c r="AH597" s="177" t="s">
        <v>153</v>
      </c>
      <c r="AI597" s="178" t="s">
        <v>153</v>
      </c>
      <c r="AJ597" s="179" t="s">
        <v>153</v>
      </c>
      <c r="AK597" s="180" t="s">
        <v>153</v>
      </c>
      <c r="AL597" s="181" t="s">
        <v>153</v>
      </c>
      <c r="AM597" s="182" t="s">
        <v>153</v>
      </c>
      <c r="AN597" s="183" t="s">
        <v>599</v>
      </c>
      <c r="AO597" s="184" t="s">
        <v>12234</v>
      </c>
      <c r="AP597" s="185" t="s">
        <v>12235</v>
      </c>
      <c r="AQ597" s="186" t="s">
        <v>512</v>
      </c>
      <c r="AR597" s="187" t="s">
        <v>12236</v>
      </c>
      <c r="AS597" s="188" t="s">
        <v>12237</v>
      </c>
      <c r="AT597" s="189" t="s">
        <v>6605</v>
      </c>
      <c r="AU597" s="190" t="s">
        <v>12238</v>
      </c>
      <c r="AV597" s="191" t="s">
        <v>12239</v>
      </c>
      <c r="AW597" s="192" t="s">
        <v>6107</v>
      </c>
      <c r="AX597" s="193" t="s">
        <v>153</v>
      </c>
      <c r="AY597" s="194" t="s">
        <v>6608</v>
      </c>
      <c r="AZ597" s="195" t="s">
        <v>1426</v>
      </c>
      <c r="BA597" s="196" t="s">
        <v>12237</v>
      </c>
      <c r="BB597" s="197" t="s">
        <v>12240</v>
      </c>
      <c r="BC597" s="198" t="s">
        <v>153</v>
      </c>
      <c r="BD597" s="199" t="s">
        <v>180</v>
      </c>
      <c r="BE597" s="200" t="s">
        <v>181</v>
      </c>
      <c r="BF597" s="201" t="s">
        <v>12241</v>
      </c>
      <c r="BG597" s="202" t="s">
        <v>153</v>
      </c>
      <c r="BH597" s="203" t="s">
        <v>153</v>
      </c>
      <c r="BI597" s="204" t="s">
        <v>12242</v>
      </c>
      <c r="BJ597" s="205" t="s">
        <v>153</v>
      </c>
      <c r="BK597" s="206" t="s">
        <v>153</v>
      </c>
      <c r="BL597" s="207" t="s">
        <v>153</v>
      </c>
      <c r="BM597" s="208" t="s">
        <v>153</v>
      </c>
      <c r="BN597" s="209" t="s">
        <v>153</v>
      </c>
      <c r="BO597" s="210" t="s">
        <v>12243</v>
      </c>
      <c r="BP597" s="211" t="s">
        <v>12244</v>
      </c>
      <c r="BQ597" s="212">
        <v>38764</v>
      </c>
      <c r="BR597" s="213">
        <v>355.9</v>
      </c>
      <c r="BS597" s="214" t="s">
        <v>187</v>
      </c>
      <c r="BT597" s="215">
        <v>2338.7800000000002</v>
      </c>
      <c r="BU597" s="216" t="s">
        <v>187</v>
      </c>
      <c r="BV597" s="217" t="s">
        <v>251</v>
      </c>
      <c r="BW597" s="218" t="s">
        <v>153</v>
      </c>
      <c r="BX597" s="219" t="s">
        <v>153</v>
      </c>
      <c r="BY597" s="220" t="s">
        <v>252</v>
      </c>
      <c r="BZ597" s="221" t="s">
        <v>153</v>
      </c>
      <c r="CA597" s="222" t="s">
        <v>190</v>
      </c>
      <c r="CB597" s="223">
        <v>40043</v>
      </c>
      <c r="CC597" s="224">
        <v>7508.56</v>
      </c>
      <c r="CD597" s="225" t="s">
        <v>186</v>
      </c>
      <c r="CE597" s="226">
        <v>7508.56</v>
      </c>
      <c r="CF597" s="227" t="s">
        <v>186</v>
      </c>
      <c r="CG597" s="228" t="s">
        <v>226</v>
      </c>
      <c r="CH597" s="229" t="s">
        <v>153</v>
      </c>
      <c r="CI597" s="230" t="s">
        <v>153</v>
      </c>
      <c r="CJ597" s="231" t="s">
        <v>225</v>
      </c>
      <c r="CK597" s="232">
        <v>40043</v>
      </c>
      <c r="CL597" s="233" t="s">
        <v>153</v>
      </c>
      <c r="CM597" s="234" t="s">
        <v>153</v>
      </c>
      <c r="CN597" s="235" t="s">
        <v>190</v>
      </c>
      <c r="CO597" s="236">
        <v>0.39</v>
      </c>
      <c r="CP597" s="237">
        <v>92</v>
      </c>
      <c r="CQ597" s="238">
        <v>-0.04</v>
      </c>
      <c r="CR597" s="239">
        <v>-10.36</v>
      </c>
      <c r="CS597" s="240">
        <v>0.7</v>
      </c>
      <c r="CT597" s="241">
        <v>94</v>
      </c>
      <c r="CU597" s="242">
        <v>0.08</v>
      </c>
      <c r="CV597" s="243">
        <v>84</v>
      </c>
      <c r="CW597" s="244" t="s">
        <v>153</v>
      </c>
      <c r="CX597" s="245" t="s">
        <v>153</v>
      </c>
      <c r="CY597" s="246">
        <v>0.7</v>
      </c>
      <c r="CZ597" s="247">
        <v>96</v>
      </c>
      <c r="DA597" s="248">
        <v>0.08</v>
      </c>
      <c r="DB597" s="249">
        <v>84</v>
      </c>
      <c r="DC597" s="250">
        <v>12.86</v>
      </c>
      <c r="DD597" s="251">
        <v>94</v>
      </c>
      <c r="DE597" s="252">
        <v>0.04</v>
      </c>
      <c r="DF597" s="253">
        <v>0.31</v>
      </c>
      <c r="DG597" s="254">
        <v>23.06</v>
      </c>
      <c r="DH597" s="255">
        <v>96</v>
      </c>
      <c r="DI597" s="256">
        <v>2.65</v>
      </c>
      <c r="DJ597" s="257">
        <v>68</v>
      </c>
      <c r="DK597" s="258" t="s">
        <v>153</v>
      </c>
      <c r="DL597" s="259" t="s">
        <v>153</v>
      </c>
      <c r="DM597" s="260">
        <v>23.06</v>
      </c>
      <c r="DN597" s="261">
        <v>96</v>
      </c>
      <c r="DO597" s="262">
        <v>2.65</v>
      </c>
      <c r="DP597" s="263">
        <v>68</v>
      </c>
      <c r="DQ597" s="264" t="s">
        <v>153</v>
      </c>
      <c r="DR597" s="265" t="s">
        <v>153</v>
      </c>
      <c r="DS597" s="266" t="s">
        <v>153</v>
      </c>
      <c r="DT597" s="267">
        <v>368</v>
      </c>
      <c r="DU597" s="268">
        <v>1</v>
      </c>
      <c r="DV597" s="269">
        <v>0.27</v>
      </c>
      <c r="DW597" s="270">
        <v>832</v>
      </c>
      <c r="DX597" s="271">
        <v>0</v>
      </c>
      <c r="DY597" s="272">
        <v>0</v>
      </c>
      <c r="DZ597" s="273" t="s">
        <v>191</v>
      </c>
      <c r="EA597" s="274">
        <v>44217</v>
      </c>
      <c r="EB597" s="275">
        <v>7508.56</v>
      </c>
      <c r="EC597" s="276">
        <v>40043</v>
      </c>
      <c r="ED597" s="277" t="s">
        <v>226</v>
      </c>
      <c r="EE597" s="279" t="str">
        <f>HYPERLINK("https://my.pitchbook.com?c=81797-23", "View company online")</f>
        <v>View company online</v>
      </c>
    </row>
    <row r="598" spans="1:135" x14ac:dyDescent="0.45">
      <c r="A598" s="10" t="s">
        <v>12245</v>
      </c>
      <c r="B598" s="11" t="s">
        <v>12246</v>
      </c>
      <c r="C598" s="12" t="s">
        <v>153</v>
      </c>
      <c r="D598" s="13" t="s">
        <v>153</v>
      </c>
      <c r="E598" s="14" t="s">
        <v>12247</v>
      </c>
      <c r="F598" s="15" t="s">
        <v>12248</v>
      </c>
      <c r="G598" s="16" t="s">
        <v>12249</v>
      </c>
      <c r="H598" s="17" t="s">
        <v>12250</v>
      </c>
      <c r="I598" s="18" t="s">
        <v>12245</v>
      </c>
      <c r="J598" s="19" t="s">
        <v>12251</v>
      </c>
      <c r="K598" s="20" t="s">
        <v>882</v>
      </c>
      <c r="L598" s="21" t="s">
        <v>1257</v>
      </c>
      <c r="M598" s="22" t="s">
        <v>2561</v>
      </c>
      <c r="N598" s="23" t="s">
        <v>12252</v>
      </c>
      <c r="O598" s="24" t="s">
        <v>1234</v>
      </c>
      <c r="P598" s="25" t="s">
        <v>12253</v>
      </c>
      <c r="Q598" s="26" t="s">
        <v>162</v>
      </c>
      <c r="R598" s="27">
        <v>1609.46</v>
      </c>
      <c r="S598" s="28" t="s">
        <v>290</v>
      </c>
      <c r="T598" s="29" t="s">
        <v>205</v>
      </c>
      <c r="U598" s="30" t="s">
        <v>5464</v>
      </c>
      <c r="V598" s="31" t="s">
        <v>12254</v>
      </c>
      <c r="W598" s="32">
        <v>51</v>
      </c>
      <c r="X598" s="33" t="s">
        <v>12255</v>
      </c>
      <c r="Y598" s="34" t="s">
        <v>153</v>
      </c>
      <c r="Z598" s="35" t="s">
        <v>153</v>
      </c>
      <c r="AA598" s="36">
        <v>1985</v>
      </c>
      <c r="AB598" s="37" t="s">
        <v>153</v>
      </c>
      <c r="AC598" s="38" t="s">
        <v>153</v>
      </c>
      <c r="AD598" s="39" t="s">
        <v>153</v>
      </c>
      <c r="AE598" s="40" t="s">
        <v>153</v>
      </c>
      <c r="AF598" s="41" t="s">
        <v>153</v>
      </c>
      <c r="AG598" s="42" t="s">
        <v>153</v>
      </c>
      <c r="AH598" s="43" t="s">
        <v>153</v>
      </c>
      <c r="AI598" s="44" t="s">
        <v>153</v>
      </c>
      <c r="AJ598" s="45" t="s">
        <v>153</v>
      </c>
      <c r="AK598" s="46" t="s">
        <v>153</v>
      </c>
      <c r="AL598" s="47" t="s">
        <v>153</v>
      </c>
      <c r="AM598" s="48" t="s">
        <v>153</v>
      </c>
      <c r="AN598" s="49" t="s">
        <v>456</v>
      </c>
      <c r="AO598" s="50" t="s">
        <v>12256</v>
      </c>
      <c r="AP598" s="51" t="s">
        <v>12257</v>
      </c>
      <c r="AQ598" s="52" t="s">
        <v>512</v>
      </c>
      <c r="AR598" s="53" t="s">
        <v>12258</v>
      </c>
      <c r="AS598" s="54" t="s">
        <v>153</v>
      </c>
      <c r="AT598" s="55" t="s">
        <v>624</v>
      </c>
      <c r="AU598" s="56" t="s">
        <v>12259</v>
      </c>
      <c r="AV598" s="57" t="s">
        <v>12260</v>
      </c>
      <c r="AW598" s="58" t="s">
        <v>627</v>
      </c>
      <c r="AX598" s="59" t="s">
        <v>153</v>
      </c>
      <c r="AY598" s="60" t="s">
        <v>761</v>
      </c>
      <c r="AZ598" s="61" t="s">
        <v>629</v>
      </c>
      <c r="BA598" s="62" t="s">
        <v>153</v>
      </c>
      <c r="BB598" s="63" t="s">
        <v>153</v>
      </c>
      <c r="BC598" s="64" t="s">
        <v>153</v>
      </c>
      <c r="BD598" s="65" t="s">
        <v>180</v>
      </c>
      <c r="BE598" s="66" t="s">
        <v>181</v>
      </c>
      <c r="BF598" s="67" t="s">
        <v>12261</v>
      </c>
      <c r="BG598" s="68" t="s">
        <v>153</v>
      </c>
      <c r="BH598" s="69" t="s">
        <v>153</v>
      </c>
      <c r="BI598" s="70" t="s">
        <v>12262</v>
      </c>
      <c r="BJ598" s="71" t="s">
        <v>12263</v>
      </c>
      <c r="BK598" s="72" t="s">
        <v>12264</v>
      </c>
      <c r="BL598" s="73" t="s">
        <v>153</v>
      </c>
      <c r="BM598" s="74" t="s">
        <v>12265</v>
      </c>
      <c r="BN598" s="75" t="s">
        <v>12266</v>
      </c>
      <c r="BO598" s="76" t="s">
        <v>12267</v>
      </c>
      <c r="BP598" s="77" t="s">
        <v>12268</v>
      </c>
      <c r="BQ598" s="78">
        <v>36617</v>
      </c>
      <c r="BR598" s="79">
        <v>600</v>
      </c>
      <c r="BS598" s="80" t="s">
        <v>186</v>
      </c>
      <c r="BT598" s="81">
        <v>600</v>
      </c>
      <c r="BU598" s="82" t="s">
        <v>153</v>
      </c>
      <c r="BV598" s="83" t="s">
        <v>188</v>
      </c>
      <c r="BW598" s="84" t="s">
        <v>153</v>
      </c>
      <c r="BX598" s="85" t="s">
        <v>153</v>
      </c>
      <c r="BY598" s="86" t="s">
        <v>165</v>
      </c>
      <c r="BZ598" s="87" t="s">
        <v>153</v>
      </c>
      <c r="CA598" s="88" t="s">
        <v>190</v>
      </c>
      <c r="CB598" s="89">
        <v>42967</v>
      </c>
      <c r="CC598" s="90">
        <v>7500</v>
      </c>
      <c r="CD598" s="91" t="s">
        <v>187</v>
      </c>
      <c r="CE598" s="92">
        <v>7500</v>
      </c>
      <c r="CF598" s="93" t="s">
        <v>187</v>
      </c>
      <c r="CG598" s="94" t="s">
        <v>188</v>
      </c>
      <c r="CH598" s="95" t="s">
        <v>5549</v>
      </c>
      <c r="CI598" s="96" t="s">
        <v>189</v>
      </c>
      <c r="CJ598" s="97" t="s">
        <v>165</v>
      </c>
      <c r="CK598" s="98">
        <v>42967</v>
      </c>
      <c r="CL598" s="99" t="s">
        <v>153</v>
      </c>
      <c r="CM598" s="100" t="s">
        <v>1607</v>
      </c>
      <c r="CN598" s="101" t="s">
        <v>190</v>
      </c>
      <c r="CO598" s="102" t="s">
        <v>153</v>
      </c>
      <c r="CP598" s="103" t="s">
        <v>153</v>
      </c>
      <c r="CQ598" s="104" t="s">
        <v>153</v>
      </c>
      <c r="CR598" s="105" t="s">
        <v>153</v>
      </c>
      <c r="CS598" s="106" t="s">
        <v>153</v>
      </c>
      <c r="CT598" s="107" t="s">
        <v>153</v>
      </c>
      <c r="CU598" s="108" t="s">
        <v>153</v>
      </c>
      <c r="CV598" s="109" t="s">
        <v>153</v>
      </c>
      <c r="CW598" s="110" t="s">
        <v>153</v>
      </c>
      <c r="CX598" s="111" t="s">
        <v>153</v>
      </c>
      <c r="CY598" s="112" t="s">
        <v>153</v>
      </c>
      <c r="CZ598" s="113" t="s">
        <v>153</v>
      </c>
      <c r="DA598" s="114" t="s">
        <v>153</v>
      </c>
      <c r="DB598" s="115" t="s">
        <v>153</v>
      </c>
      <c r="DC598" s="116" t="s">
        <v>153</v>
      </c>
      <c r="DD598" s="117" t="s">
        <v>153</v>
      </c>
      <c r="DE598" s="118" t="s">
        <v>153</v>
      </c>
      <c r="DF598" s="119" t="s">
        <v>153</v>
      </c>
      <c r="DG598" s="120" t="s">
        <v>153</v>
      </c>
      <c r="DH598" s="121" t="s">
        <v>153</v>
      </c>
      <c r="DI598" s="122" t="s">
        <v>153</v>
      </c>
      <c r="DJ598" s="123" t="s">
        <v>153</v>
      </c>
      <c r="DK598" s="124" t="s">
        <v>153</v>
      </c>
      <c r="DL598" s="125" t="s">
        <v>153</v>
      </c>
      <c r="DM598" s="126" t="s">
        <v>153</v>
      </c>
      <c r="DN598" s="127" t="s">
        <v>153</v>
      </c>
      <c r="DO598" s="128" t="s">
        <v>153</v>
      </c>
      <c r="DP598" s="129" t="s">
        <v>153</v>
      </c>
      <c r="DQ598" s="130" t="s">
        <v>153</v>
      </c>
      <c r="DR598" s="131" t="s">
        <v>153</v>
      </c>
      <c r="DS598" s="132" t="s">
        <v>153</v>
      </c>
      <c r="DT598" s="133" t="s">
        <v>153</v>
      </c>
      <c r="DU598" s="134" t="s">
        <v>153</v>
      </c>
      <c r="DV598" s="135" t="s">
        <v>153</v>
      </c>
      <c r="DW598" s="136" t="s">
        <v>153</v>
      </c>
      <c r="DX598" s="137" t="s">
        <v>153</v>
      </c>
      <c r="DY598" s="138" t="s">
        <v>153</v>
      </c>
      <c r="DZ598" s="139" t="s">
        <v>191</v>
      </c>
      <c r="EA598" s="140">
        <v>44212</v>
      </c>
      <c r="EB598" s="141">
        <v>7500</v>
      </c>
      <c r="EC598" s="142">
        <v>42967</v>
      </c>
      <c r="ED598" s="143" t="s">
        <v>188</v>
      </c>
      <c r="EE598" s="278" t="str">
        <f>HYPERLINK("https://my.pitchbook.com?c=11387-89", "View company online")</f>
        <v>View company online</v>
      </c>
    </row>
    <row r="599" spans="1:135" x14ac:dyDescent="0.45">
      <c r="A599" s="144" t="s">
        <v>12269</v>
      </c>
      <c r="B599" s="145" t="s">
        <v>12270</v>
      </c>
      <c r="C599" s="146" t="s">
        <v>153</v>
      </c>
      <c r="D599" s="147" t="s">
        <v>153</v>
      </c>
      <c r="E599" s="148" t="s">
        <v>153</v>
      </c>
      <c r="F599" s="149" t="s">
        <v>153</v>
      </c>
      <c r="G599" s="150" t="s">
        <v>153</v>
      </c>
      <c r="H599" s="151" t="s">
        <v>153</v>
      </c>
      <c r="I599" s="152" t="s">
        <v>12269</v>
      </c>
      <c r="J599" s="153" t="s">
        <v>12271</v>
      </c>
      <c r="K599" s="154" t="s">
        <v>232</v>
      </c>
      <c r="L599" s="155" t="s">
        <v>362</v>
      </c>
      <c r="M599" s="156" t="s">
        <v>1978</v>
      </c>
      <c r="N599" s="157" t="s">
        <v>1979</v>
      </c>
      <c r="O599" s="158" t="s">
        <v>153</v>
      </c>
      <c r="P599" s="159" t="s">
        <v>12272</v>
      </c>
      <c r="Q599" s="160" t="s">
        <v>204</v>
      </c>
      <c r="R599" s="161" t="s">
        <v>153</v>
      </c>
      <c r="S599" s="162" t="s">
        <v>163</v>
      </c>
      <c r="T599" s="163" t="s">
        <v>205</v>
      </c>
      <c r="U599" s="164" t="s">
        <v>206</v>
      </c>
      <c r="V599" s="165" t="s">
        <v>153</v>
      </c>
      <c r="W599" s="166" t="s">
        <v>153</v>
      </c>
      <c r="X599" s="167" t="s">
        <v>153</v>
      </c>
      <c r="Y599" s="168" t="s">
        <v>153</v>
      </c>
      <c r="Z599" s="169" t="s">
        <v>153</v>
      </c>
      <c r="AA599" s="170" t="s">
        <v>153</v>
      </c>
      <c r="AB599" s="171" t="s">
        <v>153</v>
      </c>
      <c r="AC599" s="172" t="s">
        <v>153</v>
      </c>
      <c r="AD599" s="173" t="s">
        <v>153</v>
      </c>
      <c r="AE599" s="174" t="s">
        <v>153</v>
      </c>
      <c r="AF599" s="175" t="s">
        <v>153</v>
      </c>
      <c r="AG599" s="176" t="s">
        <v>153</v>
      </c>
      <c r="AH599" s="177" t="s">
        <v>153</v>
      </c>
      <c r="AI599" s="178" t="s">
        <v>153</v>
      </c>
      <c r="AJ599" s="179" t="s">
        <v>153</v>
      </c>
      <c r="AK599" s="180" t="s">
        <v>153</v>
      </c>
      <c r="AL599" s="181" t="s">
        <v>153</v>
      </c>
      <c r="AM599" s="182" t="s">
        <v>153</v>
      </c>
      <c r="AN599" s="183" t="s">
        <v>153</v>
      </c>
      <c r="AO599" s="184" t="s">
        <v>153</v>
      </c>
      <c r="AP599" s="185" t="s">
        <v>153</v>
      </c>
      <c r="AQ599" s="186" t="s">
        <v>153</v>
      </c>
      <c r="AR599" s="187" t="s">
        <v>153</v>
      </c>
      <c r="AS599" s="188" t="s">
        <v>153</v>
      </c>
      <c r="AT599" s="189" t="s">
        <v>12273</v>
      </c>
      <c r="AU599" s="190" t="s">
        <v>12274</v>
      </c>
      <c r="AV599" s="191" t="s">
        <v>153</v>
      </c>
      <c r="AW599" s="192" t="s">
        <v>12275</v>
      </c>
      <c r="AX599" s="193" t="s">
        <v>213</v>
      </c>
      <c r="AY599" s="194" t="s">
        <v>12276</v>
      </c>
      <c r="AZ599" s="195" t="s">
        <v>215</v>
      </c>
      <c r="BA599" s="196" t="s">
        <v>153</v>
      </c>
      <c r="BB599" s="197" t="s">
        <v>153</v>
      </c>
      <c r="BC599" s="198" t="s">
        <v>153</v>
      </c>
      <c r="BD599" s="199" t="s">
        <v>216</v>
      </c>
      <c r="BE599" s="200" t="s">
        <v>217</v>
      </c>
      <c r="BF599" s="201" t="s">
        <v>12277</v>
      </c>
      <c r="BG599" s="202" t="s">
        <v>153</v>
      </c>
      <c r="BH599" s="203" t="s">
        <v>153</v>
      </c>
      <c r="BI599" s="204" t="s">
        <v>12278</v>
      </c>
      <c r="BJ599" s="205" t="s">
        <v>1971</v>
      </c>
      <c r="BK599" s="206" t="s">
        <v>153</v>
      </c>
      <c r="BL599" s="207" t="s">
        <v>153</v>
      </c>
      <c r="BM599" s="208" t="s">
        <v>1972</v>
      </c>
      <c r="BN599" s="209" t="s">
        <v>153</v>
      </c>
      <c r="BO599" s="210" t="s">
        <v>153</v>
      </c>
      <c r="BP599" s="211" t="s">
        <v>153</v>
      </c>
      <c r="BQ599" s="212">
        <v>42571</v>
      </c>
      <c r="BR599" s="213">
        <v>7500</v>
      </c>
      <c r="BS599" s="214" t="s">
        <v>187</v>
      </c>
      <c r="BT599" s="215">
        <v>7500</v>
      </c>
      <c r="BU599" s="216" t="s">
        <v>187</v>
      </c>
      <c r="BV599" s="217" t="s">
        <v>226</v>
      </c>
      <c r="BW599" s="218" t="s">
        <v>729</v>
      </c>
      <c r="BX599" s="219" t="s">
        <v>153</v>
      </c>
      <c r="BY599" s="220" t="s">
        <v>225</v>
      </c>
      <c r="BZ599" s="221" t="s">
        <v>153</v>
      </c>
      <c r="CA599" s="222" t="s">
        <v>190</v>
      </c>
      <c r="CB599" s="223">
        <v>42571</v>
      </c>
      <c r="CC599" s="224">
        <v>7500</v>
      </c>
      <c r="CD599" s="225" t="s">
        <v>187</v>
      </c>
      <c r="CE599" s="226">
        <v>7500</v>
      </c>
      <c r="CF599" s="227" t="s">
        <v>187</v>
      </c>
      <c r="CG599" s="228" t="s">
        <v>226</v>
      </c>
      <c r="CH599" s="229" t="s">
        <v>729</v>
      </c>
      <c r="CI599" s="230" t="s">
        <v>153</v>
      </c>
      <c r="CJ599" s="231" t="s">
        <v>225</v>
      </c>
      <c r="CK599" s="232">
        <v>42571</v>
      </c>
      <c r="CL599" s="233" t="s">
        <v>153</v>
      </c>
      <c r="CM599" s="234" t="s">
        <v>153</v>
      </c>
      <c r="CN599" s="235" t="s">
        <v>190</v>
      </c>
      <c r="CO599" s="236" t="s">
        <v>153</v>
      </c>
      <c r="CP599" s="237" t="s">
        <v>153</v>
      </c>
      <c r="CQ599" s="238" t="s">
        <v>153</v>
      </c>
      <c r="CR599" s="239" t="s">
        <v>153</v>
      </c>
      <c r="CS599" s="240" t="s">
        <v>153</v>
      </c>
      <c r="CT599" s="241" t="s">
        <v>153</v>
      </c>
      <c r="CU599" s="242" t="s">
        <v>153</v>
      </c>
      <c r="CV599" s="243" t="s">
        <v>153</v>
      </c>
      <c r="CW599" s="244" t="s">
        <v>153</v>
      </c>
      <c r="CX599" s="245" t="s">
        <v>153</v>
      </c>
      <c r="CY599" s="246" t="s">
        <v>153</v>
      </c>
      <c r="CZ599" s="247" t="s">
        <v>153</v>
      </c>
      <c r="DA599" s="248" t="s">
        <v>153</v>
      </c>
      <c r="DB599" s="249" t="s">
        <v>153</v>
      </c>
      <c r="DC599" s="250" t="s">
        <v>153</v>
      </c>
      <c r="DD599" s="251" t="s">
        <v>153</v>
      </c>
      <c r="DE599" s="252" t="s">
        <v>153</v>
      </c>
      <c r="DF599" s="253" t="s">
        <v>153</v>
      </c>
      <c r="DG599" s="254" t="s">
        <v>153</v>
      </c>
      <c r="DH599" s="255" t="s">
        <v>153</v>
      </c>
      <c r="DI599" s="256" t="s">
        <v>153</v>
      </c>
      <c r="DJ599" s="257" t="s">
        <v>153</v>
      </c>
      <c r="DK599" s="258" t="s">
        <v>153</v>
      </c>
      <c r="DL599" s="259" t="s">
        <v>153</v>
      </c>
      <c r="DM599" s="260" t="s">
        <v>153</v>
      </c>
      <c r="DN599" s="261" t="s">
        <v>153</v>
      </c>
      <c r="DO599" s="262" t="s">
        <v>153</v>
      </c>
      <c r="DP599" s="263" t="s">
        <v>153</v>
      </c>
      <c r="DQ599" s="264" t="s">
        <v>153</v>
      </c>
      <c r="DR599" s="265" t="s">
        <v>153</v>
      </c>
      <c r="DS599" s="266" t="s">
        <v>153</v>
      </c>
      <c r="DT599" s="267" t="s">
        <v>153</v>
      </c>
      <c r="DU599" s="268" t="s">
        <v>153</v>
      </c>
      <c r="DV599" s="269" t="s">
        <v>153</v>
      </c>
      <c r="DW599" s="270" t="s">
        <v>153</v>
      </c>
      <c r="DX599" s="271" t="s">
        <v>153</v>
      </c>
      <c r="DY599" s="272" t="s">
        <v>153</v>
      </c>
      <c r="DZ599" s="273" t="s">
        <v>191</v>
      </c>
      <c r="EA599" s="274">
        <v>44147</v>
      </c>
      <c r="EB599" s="275">
        <v>7500</v>
      </c>
      <c r="EC599" s="276">
        <v>42571</v>
      </c>
      <c r="ED599" s="277" t="s">
        <v>226</v>
      </c>
      <c r="EE599" s="279" t="str">
        <f>HYPERLINK("https://my.pitchbook.com?c=149516-29", "View company online")</f>
        <v>View company online</v>
      </c>
    </row>
    <row r="600" spans="1:135" x14ac:dyDescent="0.45">
      <c r="A600" s="10" t="s">
        <v>12279</v>
      </c>
      <c r="B600" s="11" t="s">
        <v>12280</v>
      </c>
      <c r="C600" s="12" t="s">
        <v>153</v>
      </c>
      <c r="D600" s="13" t="s">
        <v>153</v>
      </c>
      <c r="E600" s="14" t="s">
        <v>153</v>
      </c>
      <c r="F600" s="15" t="s">
        <v>153</v>
      </c>
      <c r="G600" s="16" t="s">
        <v>12281</v>
      </c>
      <c r="H600" s="17" t="s">
        <v>12282</v>
      </c>
      <c r="I600" s="18" t="s">
        <v>12279</v>
      </c>
      <c r="J600" s="19" t="s">
        <v>12283</v>
      </c>
      <c r="K600" s="20" t="s">
        <v>198</v>
      </c>
      <c r="L600" s="21" t="s">
        <v>984</v>
      </c>
      <c r="M600" s="22" t="s">
        <v>12284</v>
      </c>
      <c r="N600" s="23" t="s">
        <v>12285</v>
      </c>
      <c r="O600" s="24" t="s">
        <v>1849</v>
      </c>
      <c r="P600" s="25" t="s">
        <v>12286</v>
      </c>
      <c r="Q600" s="26" t="s">
        <v>289</v>
      </c>
      <c r="R600" s="27">
        <v>350.5</v>
      </c>
      <c r="S600" s="28" t="s">
        <v>163</v>
      </c>
      <c r="T600" s="29" t="s">
        <v>164</v>
      </c>
      <c r="U600" s="30" t="s">
        <v>472</v>
      </c>
      <c r="V600" s="31" t="s">
        <v>12287</v>
      </c>
      <c r="W600" s="32">
        <v>2300</v>
      </c>
      <c r="X600" s="33" t="s">
        <v>12288</v>
      </c>
      <c r="Y600" s="34" t="s">
        <v>153</v>
      </c>
      <c r="Z600" s="35" t="s">
        <v>153</v>
      </c>
      <c r="AA600" s="36">
        <v>2008</v>
      </c>
      <c r="AB600" s="37" t="s">
        <v>2373</v>
      </c>
      <c r="AC600" s="38" t="s">
        <v>12289</v>
      </c>
      <c r="AD600" s="39" t="s">
        <v>12290</v>
      </c>
      <c r="AE600" s="40" t="s">
        <v>153</v>
      </c>
      <c r="AF600" s="41" t="s">
        <v>153</v>
      </c>
      <c r="AG600" s="42" t="s">
        <v>153</v>
      </c>
      <c r="AH600" s="43" t="s">
        <v>153</v>
      </c>
      <c r="AI600" s="44" t="s">
        <v>153</v>
      </c>
      <c r="AJ600" s="45" t="s">
        <v>153</v>
      </c>
      <c r="AK600" s="46" t="s">
        <v>153</v>
      </c>
      <c r="AL600" s="47" t="s">
        <v>153</v>
      </c>
      <c r="AM600" s="48" t="s">
        <v>153</v>
      </c>
      <c r="AN600" s="49" t="s">
        <v>868</v>
      </c>
      <c r="AO600" s="50" t="s">
        <v>12291</v>
      </c>
      <c r="AP600" s="51" t="s">
        <v>12292</v>
      </c>
      <c r="AQ600" s="52" t="s">
        <v>512</v>
      </c>
      <c r="AR600" s="53" t="s">
        <v>12293</v>
      </c>
      <c r="AS600" s="54" t="s">
        <v>12294</v>
      </c>
      <c r="AT600" s="55" t="s">
        <v>997</v>
      </c>
      <c r="AU600" s="56" t="s">
        <v>12295</v>
      </c>
      <c r="AV600" s="57" t="s">
        <v>153</v>
      </c>
      <c r="AW600" s="58" t="s">
        <v>999</v>
      </c>
      <c r="AX600" s="59" t="s">
        <v>308</v>
      </c>
      <c r="AY600" s="60" t="s">
        <v>1000</v>
      </c>
      <c r="AZ600" s="61" t="s">
        <v>215</v>
      </c>
      <c r="BA600" s="62" t="s">
        <v>12294</v>
      </c>
      <c r="BB600" s="63" t="s">
        <v>153</v>
      </c>
      <c r="BC600" s="64" t="s">
        <v>12296</v>
      </c>
      <c r="BD600" s="65" t="s">
        <v>216</v>
      </c>
      <c r="BE600" s="66" t="s">
        <v>217</v>
      </c>
      <c r="BF600" s="67" t="s">
        <v>12297</v>
      </c>
      <c r="BG600" s="68" t="s">
        <v>153</v>
      </c>
      <c r="BH600" s="69" t="s">
        <v>153</v>
      </c>
      <c r="BI600" s="70" t="s">
        <v>2373</v>
      </c>
      <c r="BJ600" s="71" t="s">
        <v>12298</v>
      </c>
      <c r="BK600" s="72" t="s">
        <v>153</v>
      </c>
      <c r="BL600" s="73" t="s">
        <v>153</v>
      </c>
      <c r="BM600" s="74" t="s">
        <v>12299</v>
      </c>
      <c r="BN600" s="75" t="s">
        <v>153</v>
      </c>
      <c r="BO600" s="76" t="s">
        <v>12300</v>
      </c>
      <c r="BP600" s="77" t="s">
        <v>12301</v>
      </c>
      <c r="BQ600" s="78">
        <v>41152</v>
      </c>
      <c r="BR600" s="79">
        <v>99.5</v>
      </c>
      <c r="BS600" s="80" t="s">
        <v>186</v>
      </c>
      <c r="BT600" s="81">
        <v>750</v>
      </c>
      <c r="BU600" s="82" t="s">
        <v>186</v>
      </c>
      <c r="BV600" s="83" t="s">
        <v>471</v>
      </c>
      <c r="BW600" s="84" t="s">
        <v>1811</v>
      </c>
      <c r="BX600" s="85" t="s">
        <v>153</v>
      </c>
      <c r="BY600" s="86" t="s">
        <v>472</v>
      </c>
      <c r="BZ600" s="87" t="s">
        <v>153</v>
      </c>
      <c r="CA600" s="88" t="s">
        <v>190</v>
      </c>
      <c r="CB600" s="89">
        <v>43398</v>
      </c>
      <c r="CC600" s="90">
        <v>7500</v>
      </c>
      <c r="CD600" s="91" t="s">
        <v>186</v>
      </c>
      <c r="CE600" s="92">
        <v>7500</v>
      </c>
      <c r="CF600" s="93" t="s">
        <v>187</v>
      </c>
      <c r="CG600" s="94" t="s">
        <v>226</v>
      </c>
      <c r="CH600" s="95" t="s">
        <v>153</v>
      </c>
      <c r="CI600" s="96" t="s">
        <v>153</v>
      </c>
      <c r="CJ600" s="97" t="s">
        <v>225</v>
      </c>
      <c r="CK600" s="98">
        <v>43398</v>
      </c>
      <c r="CL600" s="99" t="s">
        <v>153</v>
      </c>
      <c r="CM600" s="100" t="s">
        <v>153</v>
      </c>
      <c r="CN600" s="101" t="s">
        <v>190</v>
      </c>
      <c r="CO600" s="102">
        <v>1.1499999999999999</v>
      </c>
      <c r="CP600" s="103">
        <v>96</v>
      </c>
      <c r="CQ600" s="104">
        <v>0</v>
      </c>
      <c r="CR600" s="105">
        <v>0</v>
      </c>
      <c r="CS600" s="106" t="s">
        <v>153</v>
      </c>
      <c r="CT600" s="107" t="s">
        <v>153</v>
      </c>
      <c r="CU600" s="108" t="s">
        <v>153</v>
      </c>
      <c r="CV600" s="109" t="s">
        <v>153</v>
      </c>
      <c r="CW600" s="110" t="s">
        <v>153</v>
      </c>
      <c r="CX600" s="111" t="s">
        <v>153</v>
      </c>
      <c r="CY600" s="112" t="s">
        <v>153</v>
      </c>
      <c r="CZ600" s="113" t="s">
        <v>153</v>
      </c>
      <c r="DA600" s="114" t="s">
        <v>153</v>
      </c>
      <c r="DB600" s="115" t="s">
        <v>153</v>
      </c>
      <c r="DC600" s="116">
        <v>62.16</v>
      </c>
      <c r="DD600" s="117">
        <v>99</v>
      </c>
      <c r="DE600" s="118">
        <v>0</v>
      </c>
      <c r="DF600" s="119">
        <v>0</v>
      </c>
      <c r="DG600" s="120" t="s">
        <v>153</v>
      </c>
      <c r="DH600" s="121" t="s">
        <v>153</v>
      </c>
      <c r="DI600" s="122" t="s">
        <v>153</v>
      </c>
      <c r="DJ600" s="123" t="s">
        <v>153</v>
      </c>
      <c r="DK600" s="124" t="s">
        <v>153</v>
      </c>
      <c r="DL600" s="125" t="s">
        <v>153</v>
      </c>
      <c r="DM600" s="126" t="s">
        <v>153</v>
      </c>
      <c r="DN600" s="127" t="s">
        <v>153</v>
      </c>
      <c r="DO600" s="128" t="s">
        <v>153</v>
      </c>
      <c r="DP600" s="129" t="s">
        <v>153</v>
      </c>
      <c r="DQ600" s="130" t="s">
        <v>153</v>
      </c>
      <c r="DR600" s="131" t="s">
        <v>153</v>
      </c>
      <c r="DS600" s="132" t="s">
        <v>153</v>
      </c>
      <c r="DT600" s="133" t="s">
        <v>153</v>
      </c>
      <c r="DU600" s="134" t="s">
        <v>153</v>
      </c>
      <c r="DV600" s="135" t="s">
        <v>153</v>
      </c>
      <c r="DW600" s="136" t="s">
        <v>153</v>
      </c>
      <c r="DX600" s="137" t="s">
        <v>153</v>
      </c>
      <c r="DY600" s="138" t="s">
        <v>153</v>
      </c>
      <c r="DZ600" s="139" t="s">
        <v>191</v>
      </c>
      <c r="EA600" s="140">
        <v>44390</v>
      </c>
      <c r="EB600" s="141">
        <v>7500</v>
      </c>
      <c r="EC600" s="142">
        <v>43398</v>
      </c>
      <c r="ED600" s="143" t="s">
        <v>226</v>
      </c>
      <c r="EE600" s="278" t="str">
        <f>HYPERLINK("https://my.pitchbook.com?c=54525-52", "View company online")</f>
        <v>View company online</v>
      </c>
    </row>
    <row r="601" spans="1:135" x14ac:dyDescent="0.45">
      <c r="A601" s="144" t="s">
        <v>12302</v>
      </c>
      <c r="B601" s="145" t="s">
        <v>12303</v>
      </c>
      <c r="C601" s="146" t="s">
        <v>153</v>
      </c>
      <c r="D601" s="147" t="s">
        <v>153</v>
      </c>
      <c r="E601" s="148" t="s">
        <v>12304</v>
      </c>
      <c r="F601" s="149" t="s">
        <v>12305</v>
      </c>
      <c r="G601" s="150" t="s">
        <v>12306</v>
      </c>
      <c r="H601" s="151" t="s">
        <v>153</v>
      </c>
      <c r="I601" s="152" t="s">
        <v>12302</v>
      </c>
      <c r="J601" s="153" t="s">
        <v>12307</v>
      </c>
      <c r="K601" s="154" t="s">
        <v>157</v>
      </c>
      <c r="L601" s="155" t="s">
        <v>937</v>
      </c>
      <c r="M601" s="156" t="s">
        <v>12308</v>
      </c>
      <c r="N601" s="157" t="s">
        <v>12309</v>
      </c>
      <c r="O601" s="158" t="s">
        <v>261</v>
      </c>
      <c r="P601" s="159" t="s">
        <v>12310</v>
      </c>
      <c r="Q601" s="160" t="s">
        <v>367</v>
      </c>
      <c r="R601" s="161" t="s">
        <v>153</v>
      </c>
      <c r="S601" s="162" t="s">
        <v>290</v>
      </c>
      <c r="T601" s="163" t="s">
        <v>291</v>
      </c>
      <c r="U601" s="164" t="s">
        <v>292</v>
      </c>
      <c r="V601" s="165" t="s">
        <v>12311</v>
      </c>
      <c r="W601" s="166">
        <v>83952</v>
      </c>
      <c r="X601" s="167" t="s">
        <v>12312</v>
      </c>
      <c r="Y601" s="168" t="s">
        <v>12313</v>
      </c>
      <c r="Z601" s="169" t="s">
        <v>12314</v>
      </c>
      <c r="AA601" s="170">
        <v>1991</v>
      </c>
      <c r="AB601" s="171" t="s">
        <v>153</v>
      </c>
      <c r="AC601" s="172" t="s">
        <v>153</v>
      </c>
      <c r="AD601" s="173" t="s">
        <v>153</v>
      </c>
      <c r="AE601" s="174">
        <v>26981.57</v>
      </c>
      <c r="AF601" s="175">
        <v>7410.94</v>
      </c>
      <c r="AG601" s="176">
        <v>3545.39</v>
      </c>
      <c r="AH601" s="177">
        <v>41255.51</v>
      </c>
      <c r="AI601" s="178">
        <v>3798.31</v>
      </c>
      <c r="AJ601" s="179">
        <v>3798.31</v>
      </c>
      <c r="AK601" s="180">
        <v>45575.55</v>
      </c>
      <c r="AL601" s="181">
        <v>-17291.759999999998</v>
      </c>
      <c r="AM601" s="182">
        <v>1.5</v>
      </c>
      <c r="AN601" s="183" t="s">
        <v>376</v>
      </c>
      <c r="AO601" s="184" t="s">
        <v>12315</v>
      </c>
      <c r="AP601" s="185" t="s">
        <v>12316</v>
      </c>
      <c r="AQ601" s="186" t="s">
        <v>12317</v>
      </c>
      <c r="AR601" s="187" t="s">
        <v>12318</v>
      </c>
      <c r="AS601" s="188" t="s">
        <v>12319</v>
      </c>
      <c r="AT601" s="189" t="s">
        <v>12320</v>
      </c>
      <c r="AU601" s="190" t="s">
        <v>12321</v>
      </c>
      <c r="AV601" s="191" t="s">
        <v>12322</v>
      </c>
      <c r="AW601" s="192" t="s">
        <v>12323</v>
      </c>
      <c r="AX601" s="193" t="s">
        <v>153</v>
      </c>
      <c r="AY601" s="194" t="s">
        <v>12324</v>
      </c>
      <c r="AZ601" s="195" t="s">
        <v>1519</v>
      </c>
      <c r="BA601" s="196" t="s">
        <v>12319</v>
      </c>
      <c r="BB601" s="197" t="s">
        <v>12325</v>
      </c>
      <c r="BC601" s="198" t="s">
        <v>12326</v>
      </c>
      <c r="BD601" s="199" t="s">
        <v>1406</v>
      </c>
      <c r="BE601" s="200" t="s">
        <v>1407</v>
      </c>
      <c r="BF601" s="201" t="s">
        <v>12327</v>
      </c>
      <c r="BG601" s="202" t="s">
        <v>12328</v>
      </c>
      <c r="BH601" s="203">
        <v>1</v>
      </c>
      <c r="BI601" s="204" t="s">
        <v>153</v>
      </c>
      <c r="BJ601" s="205" t="s">
        <v>153</v>
      </c>
      <c r="BK601" s="206" t="s">
        <v>12329</v>
      </c>
      <c r="BL601" s="207" t="s">
        <v>12330</v>
      </c>
      <c r="BM601" s="208" t="s">
        <v>153</v>
      </c>
      <c r="BN601" s="209" t="s">
        <v>12331</v>
      </c>
      <c r="BO601" s="210" t="s">
        <v>153</v>
      </c>
      <c r="BP601" s="211" t="s">
        <v>153</v>
      </c>
      <c r="BQ601" s="212">
        <v>35387</v>
      </c>
      <c r="BR601" s="213" t="s">
        <v>153</v>
      </c>
      <c r="BS601" s="214" t="s">
        <v>153</v>
      </c>
      <c r="BT601" s="215" t="s">
        <v>153</v>
      </c>
      <c r="BU601" s="216" t="s">
        <v>153</v>
      </c>
      <c r="BV601" s="217" t="s">
        <v>251</v>
      </c>
      <c r="BW601" s="218" t="s">
        <v>153</v>
      </c>
      <c r="BX601" s="219" t="s">
        <v>153</v>
      </c>
      <c r="BY601" s="220" t="s">
        <v>252</v>
      </c>
      <c r="BZ601" s="221" t="s">
        <v>153</v>
      </c>
      <c r="CA601" s="222" t="s">
        <v>190</v>
      </c>
      <c r="CB601" s="223">
        <v>43767</v>
      </c>
      <c r="CC601" s="224">
        <v>7500</v>
      </c>
      <c r="CD601" s="225" t="s">
        <v>187</v>
      </c>
      <c r="CE601" s="226">
        <v>15000</v>
      </c>
      <c r="CF601" s="227" t="s">
        <v>187</v>
      </c>
      <c r="CG601" s="228" t="s">
        <v>906</v>
      </c>
      <c r="CH601" s="229" t="s">
        <v>153</v>
      </c>
      <c r="CI601" s="230" t="s">
        <v>153</v>
      </c>
      <c r="CJ601" s="231" t="s">
        <v>165</v>
      </c>
      <c r="CK601" s="232">
        <v>43767</v>
      </c>
      <c r="CL601" s="233" t="s">
        <v>153</v>
      </c>
      <c r="CM601" s="234" t="s">
        <v>153</v>
      </c>
      <c r="CN601" s="235" t="s">
        <v>394</v>
      </c>
      <c r="CO601" s="236">
        <v>8.19</v>
      </c>
      <c r="CP601" s="237">
        <v>100</v>
      </c>
      <c r="CQ601" s="238">
        <v>-0.44</v>
      </c>
      <c r="CR601" s="239">
        <v>-5.12</v>
      </c>
      <c r="CS601" s="240">
        <v>-0.25</v>
      </c>
      <c r="CT601" s="241">
        <v>6</v>
      </c>
      <c r="CU601" s="242">
        <v>16.63</v>
      </c>
      <c r="CV601" s="243">
        <v>100</v>
      </c>
      <c r="CW601" s="244" t="s">
        <v>153</v>
      </c>
      <c r="CX601" s="245" t="s">
        <v>153</v>
      </c>
      <c r="CY601" s="246">
        <v>-0.25</v>
      </c>
      <c r="CZ601" s="247">
        <v>3</v>
      </c>
      <c r="DA601" s="248">
        <v>16.63</v>
      </c>
      <c r="DB601" s="249">
        <v>100</v>
      </c>
      <c r="DC601" s="250">
        <v>172.28</v>
      </c>
      <c r="DD601" s="251">
        <v>100</v>
      </c>
      <c r="DE601" s="252">
        <v>0.17</v>
      </c>
      <c r="DF601" s="253">
        <v>0.1</v>
      </c>
      <c r="DG601" s="254">
        <v>261.94</v>
      </c>
      <c r="DH601" s="255">
        <v>100</v>
      </c>
      <c r="DI601" s="256">
        <v>82.63</v>
      </c>
      <c r="DJ601" s="257">
        <v>97</v>
      </c>
      <c r="DK601" s="258" t="s">
        <v>153</v>
      </c>
      <c r="DL601" s="259" t="s">
        <v>153</v>
      </c>
      <c r="DM601" s="260">
        <v>261.94</v>
      </c>
      <c r="DN601" s="261">
        <v>100</v>
      </c>
      <c r="DO601" s="262">
        <v>82.63</v>
      </c>
      <c r="DP601" s="263">
        <v>97</v>
      </c>
      <c r="DQ601" s="264">
        <v>943</v>
      </c>
      <c r="DR601" s="265">
        <v>3</v>
      </c>
      <c r="DS601" s="266">
        <v>0.32</v>
      </c>
      <c r="DT601" s="267">
        <v>4196</v>
      </c>
      <c r="DU601" s="268">
        <v>-13</v>
      </c>
      <c r="DV601" s="269">
        <v>-0.31</v>
      </c>
      <c r="DW601" s="270">
        <v>25938</v>
      </c>
      <c r="DX601" s="271">
        <v>385</v>
      </c>
      <c r="DY601" s="272">
        <v>1.51</v>
      </c>
      <c r="DZ601" s="273" t="s">
        <v>191</v>
      </c>
      <c r="EA601" s="274">
        <v>44357</v>
      </c>
      <c r="EB601" s="275">
        <v>15000</v>
      </c>
      <c r="EC601" s="276">
        <v>43767</v>
      </c>
      <c r="ED601" s="277" t="s">
        <v>906</v>
      </c>
      <c r="EE601" s="279" t="str">
        <f>HYPERLINK("https://my.pitchbook.com?c=111031-48", "View company online")</f>
        <v>View company online</v>
      </c>
    </row>
    <row r="602" spans="1:135" x14ac:dyDescent="0.45">
      <c r="A602" s="10" t="s">
        <v>12332</v>
      </c>
      <c r="B602" s="11" t="s">
        <v>12333</v>
      </c>
      <c r="C602" s="12" t="s">
        <v>153</v>
      </c>
      <c r="D602" s="13" t="s">
        <v>153</v>
      </c>
      <c r="E602" s="14" t="s">
        <v>153</v>
      </c>
      <c r="F602" s="15" t="s">
        <v>12334</v>
      </c>
      <c r="G602" s="16" t="s">
        <v>12335</v>
      </c>
      <c r="H602" s="17" t="s">
        <v>153</v>
      </c>
      <c r="I602" s="18" t="s">
        <v>12332</v>
      </c>
      <c r="J602" s="19" t="s">
        <v>12336</v>
      </c>
      <c r="K602" s="20" t="s">
        <v>232</v>
      </c>
      <c r="L602" s="21" t="s">
        <v>2162</v>
      </c>
      <c r="M602" s="22" t="s">
        <v>12337</v>
      </c>
      <c r="N602" s="23" t="s">
        <v>12338</v>
      </c>
      <c r="O602" s="24" t="s">
        <v>153</v>
      </c>
      <c r="P602" s="25" t="s">
        <v>12339</v>
      </c>
      <c r="Q602" s="26" t="s">
        <v>204</v>
      </c>
      <c r="R602" s="27" t="s">
        <v>153</v>
      </c>
      <c r="S602" s="28" t="s">
        <v>290</v>
      </c>
      <c r="T602" s="29" t="s">
        <v>205</v>
      </c>
      <c r="U602" s="30" t="s">
        <v>237</v>
      </c>
      <c r="V602" s="31" t="s">
        <v>153</v>
      </c>
      <c r="W602" s="32">
        <v>2500</v>
      </c>
      <c r="X602" s="33" t="s">
        <v>12340</v>
      </c>
      <c r="Y602" s="34" t="s">
        <v>153</v>
      </c>
      <c r="Z602" s="35" t="s">
        <v>153</v>
      </c>
      <c r="AA602" s="36">
        <v>1974</v>
      </c>
      <c r="AB602" s="37" t="s">
        <v>153</v>
      </c>
      <c r="AC602" s="38" t="s">
        <v>153</v>
      </c>
      <c r="AD602" s="39" t="s">
        <v>153</v>
      </c>
      <c r="AE602" s="40" t="s">
        <v>153</v>
      </c>
      <c r="AF602" s="41" t="s">
        <v>153</v>
      </c>
      <c r="AG602" s="42" t="s">
        <v>153</v>
      </c>
      <c r="AH602" s="43" t="s">
        <v>153</v>
      </c>
      <c r="AI602" s="44" t="s">
        <v>153</v>
      </c>
      <c r="AJ602" s="45" t="s">
        <v>153</v>
      </c>
      <c r="AK602" s="46" t="s">
        <v>153</v>
      </c>
      <c r="AL602" s="47" t="s">
        <v>153</v>
      </c>
      <c r="AM602" s="48" t="s">
        <v>153</v>
      </c>
      <c r="AN602" s="49" t="s">
        <v>3331</v>
      </c>
      <c r="AO602" s="50" t="s">
        <v>12341</v>
      </c>
      <c r="AP602" s="51" t="s">
        <v>12342</v>
      </c>
      <c r="AQ602" s="52" t="s">
        <v>12343</v>
      </c>
      <c r="AR602" s="53" t="s">
        <v>12344</v>
      </c>
      <c r="AS602" s="54" t="s">
        <v>153</v>
      </c>
      <c r="AT602" s="55" t="s">
        <v>1124</v>
      </c>
      <c r="AU602" s="56" t="s">
        <v>12345</v>
      </c>
      <c r="AV602" s="57" t="s">
        <v>153</v>
      </c>
      <c r="AW602" s="58" t="s">
        <v>1127</v>
      </c>
      <c r="AX602" s="59" t="s">
        <v>1128</v>
      </c>
      <c r="AY602" s="60" t="s">
        <v>12346</v>
      </c>
      <c r="AZ602" s="61" t="s">
        <v>215</v>
      </c>
      <c r="BA602" s="62" t="s">
        <v>153</v>
      </c>
      <c r="BB602" s="63" t="s">
        <v>153</v>
      </c>
      <c r="BC602" s="64" t="s">
        <v>153</v>
      </c>
      <c r="BD602" s="65" t="s">
        <v>216</v>
      </c>
      <c r="BE602" s="66" t="s">
        <v>217</v>
      </c>
      <c r="BF602" s="67" t="s">
        <v>12347</v>
      </c>
      <c r="BG602" s="68" t="s">
        <v>153</v>
      </c>
      <c r="BH602" s="69" t="s">
        <v>153</v>
      </c>
      <c r="BI602" s="70" t="s">
        <v>12348</v>
      </c>
      <c r="BJ602" s="71" t="s">
        <v>153</v>
      </c>
      <c r="BK602" s="72" t="s">
        <v>153</v>
      </c>
      <c r="BL602" s="73" t="s">
        <v>153</v>
      </c>
      <c r="BM602" s="74" t="s">
        <v>153</v>
      </c>
      <c r="BN602" s="75" t="s">
        <v>153</v>
      </c>
      <c r="BO602" s="76" t="s">
        <v>153</v>
      </c>
      <c r="BP602" s="77" t="s">
        <v>12349</v>
      </c>
      <c r="BQ602" s="78">
        <v>33905</v>
      </c>
      <c r="BR602" s="79" t="s">
        <v>153</v>
      </c>
      <c r="BS602" s="80" t="s">
        <v>153</v>
      </c>
      <c r="BT602" s="81" t="s">
        <v>153</v>
      </c>
      <c r="BU602" s="82" t="s">
        <v>153</v>
      </c>
      <c r="BV602" s="83" t="s">
        <v>251</v>
      </c>
      <c r="BW602" s="84" t="s">
        <v>153</v>
      </c>
      <c r="BX602" s="85" t="s">
        <v>153</v>
      </c>
      <c r="BY602" s="86" t="s">
        <v>252</v>
      </c>
      <c r="BZ602" s="87" t="s">
        <v>153</v>
      </c>
      <c r="CA602" s="88" t="s">
        <v>190</v>
      </c>
      <c r="CB602" s="89">
        <v>42304</v>
      </c>
      <c r="CC602" s="90">
        <v>7500</v>
      </c>
      <c r="CD602" s="91" t="s">
        <v>186</v>
      </c>
      <c r="CE602" s="92">
        <v>7500</v>
      </c>
      <c r="CF602" s="93" t="s">
        <v>187</v>
      </c>
      <c r="CG602" s="94" t="s">
        <v>226</v>
      </c>
      <c r="CH602" s="95" t="s">
        <v>153</v>
      </c>
      <c r="CI602" s="96" t="s">
        <v>153</v>
      </c>
      <c r="CJ602" s="97" t="s">
        <v>225</v>
      </c>
      <c r="CK602" s="98">
        <v>42304</v>
      </c>
      <c r="CL602" s="99" t="s">
        <v>153</v>
      </c>
      <c r="CM602" s="100" t="s">
        <v>153</v>
      </c>
      <c r="CN602" s="101" t="s">
        <v>190</v>
      </c>
      <c r="CO602" s="102" t="s">
        <v>153</v>
      </c>
      <c r="CP602" s="103" t="s">
        <v>153</v>
      </c>
      <c r="CQ602" s="104" t="s">
        <v>153</v>
      </c>
      <c r="CR602" s="105" t="s">
        <v>153</v>
      </c>
      <c r="CS602" s="106" t="s">
        <v>153</v>
      </c>
      <c r="CT602" s="107" t="s">
        <v>153</v>
      </c>
      <c r="CU602" s="108" t="s">
        <v>153</v>
      </c>
      <c r="CV602" s="109" t="s">
        <v>153</v>
      </c>
      <c r="CW602" s="110" t="s">
        <v>153</v>
      </c>
      <c r="CX602" s="111" t="s">
        <v>153</v>
      </c>
      <c r="CY602" s="112" t="s">
        <v>153</v>
      </c>
      <c r="CZ602" s="113" t="s">
        <v>153</v>
      </c>
      <c r="DA602" s="114" t="s">
        <v>153</v>
      </c>
      <c r="DB602" s="115" t="s">
        <v>153</v>
      </c>
      <c r="DC602" s="116" t="s">
        <v>153</v>
      </c>
      <c r="DD602" s="117" t="s">
        <v>153</v>
      </c>
      <c r="DE602" s="118" t="s">
        <v>153</v>
      </c>
      <c r="DF602" s="119" t="s">
        <v>153</v>
      </c>
      <c r="DG602" s="120" t="s">
        <v>153</v>
      </c>
      <c r="DH602" s="121" t="s">
        <v>153</v>
      </c>
      <c r="DI602" s="122" t="s">
        <v>153</v>
      </c>
      <c r="DJ602" s="123" t="s">
        <v>153</v>
      </c>
      <c r="DK602" s="124" t="s">
        <v>153</v>
      </c>
      <c r="DL602" s="125" t="s">
        <v>153</v>
      </c>
      <c r="DM602" s="126" t="s">
        <v>153</v>
      </c>
      <c r="DN602" s="127" t="s">
        <v>153</v>
      </c>
      <c r="DO602" s="128" t="s">
        <v>153</v>
      </c>
      <c r="DP602" s="129" t="s">
        <v>153</v>
      </c>
      <c r="DQ602" s="130" t="s">
        <v>153</v>
      </c>
      <c r="DR602" s="131" t="s">
        <v>153</v>
      </c>
      <c r="DS602" s="132" t="s">
        <v>153</v>
      </c>
      <c r="DT602" s="133" t="s">
        <v>153</v>
      </c>
      <c r="DU602" s="134" t="s">
        <v>153</v>
      </c>
      <c r="DV602" s="135" t="s">
        <v>153</v>
      </c>
      <c r="DW602" s="136" t="s">
        <v>153</v>
      </c>
      <c r="DX602" s="137" t="s">
        <v>153</v>
      </c>
      <c r="DY602" s="138" t="s">
        <v>153</v>
      </c>
      <c r="DZ602" s="139" t="s">
        <v>191</v>
      </c>
      <c r="EA602" s="140">
        <v>44147</v>
      </c>
      <c r="EB602" s="141">
        <v>7500</v>
      </c>
      <c r="EC602" s="142">
        <v>42304</v>
      </c>
      <c r="ED602" s="143" t="s">
        <v>226</v>
      </c>
      <c r="EE602" s="278" t="str">
        <f>HYPERLINK("https://my.pitchbook.com?c=41074-84", "View company online")</f>
        <v>View company online</v>
      </c>
    </row>
    <row r="603" spans="1:135" x14ac:dyDescent="0.45">
      <c r="A603" s="144" t="s">
        <v>12350</v>
      </c>
      <c r="B603" s="145" t="s">
        <v>12351</v>
      </c>
      <c r="C603" s="146" t="s">
        <v>153</v>
      </c>
      <c r="D603" s="147" t="s">
        <v>153</v>
      </c>
      <c r="E603" s="148" t="s">
        <v>153</v>
      </c>
      <c r="F603" s="149" t="s">
        <v>153</v>
      </c>
      <c r="G603" s="150" t="s">
        <v>12352</v>
      </c>
      <c r="H603" s="151" t="s">
        <v>153</v>
      </c>
      <c r="I603" s="152" t="s">
        <v>12350</v>
      </c>
      <c r="J603" s="153" t="s">
        <v>12353</v>
      </c>
      <c r="K603" s="154" t="s">
        <v>232</v>
      </c>
      <c r="L603" s="155" t="s">
        <v>362</v>
      </c>
      <c r="M603" s="156" t="s">
        <v>362</v>
      </c>
      <c r="N603" s="157" t="s">
        <v>1102</v>
      </c>
      <c r="O603" s="158" t="s">
        <v>153</v>
      </c>
      <c r="P603" s="159" t="s">
        <v>12354</v>
      </c>
      <c r="Q603" s="160" t="s">
        <v>564</v>
      </c>
      <c r="R603" s="161" t="s">
        <v>153</v>
      </c>
      <c r="S603" s="162" t="s">
        <v>163</v>
      </c>
      <c r="T603" s="163" t="s">
        <v>205</v>
      </c>
      <c r="U603" s="164" t="s">
        <v>452</v>
      </c>
      <c r="V603" s="165" t="s">
        <v>12355</v>
      </c>
      <c r="W603" s="166" t="s">
        <v>153</v>
      </c>
      <c r="X603" s="167" t="s">
        <v>153</v>
      </c>
      <c r="Y603" s="168" t="s">
        <v>153</v>
      </c>
      <c r="Z603" s="169" t="s">
        <v>153</v>
      </c>
      <c r="AA603" s="170">
        <v>1985</v>
      </c>
      <c r="AB603" s="171" t="s">
        <v>153</v>
      </c>
      <c r="AC603" s="172" t="s">
        <v>153</v>
      </c>
      <c r="AD603" s="173" t="s">
        <v>153</v>
      </c>
      <c r="AE603" s="174" t="s">
        <v>153</v>
      </c>
      <c r="AF603" s="175" t="s">
        <v>153</v>
      </c>
      <c r="AG603" s="176" t="s">
        <v>153</v>
      </c>
      <c r="AH603" s="177" t="s">
        <v>153</v>
      </c>
      <c r="AI603" s="178" t="s">
        <v>153</v>
      </c>
      <c r="AJ603" s="179" t="s">
        <v>153</v>
      </c>
      <c r="AK603" s="180" t="s">
        <v>153</v>
      </c>
      <c r="AL603" s="181" t="s">
        <v>153</v>
      </c>
      <c r="AM603" s="182" t="s">
        <v>153</v>
      </c>
      <c r="AN603" s="183" t="s">
        <v>456</v>
      </c>
      <c r="AO603" s="184" t="s">
        <v>153</v>
      </c>
      <c r="AP603" s="185" t="s">
        <v>153</v>
      </c>
      <c r="AQ603" s="186" t="s">
        <v>153</v>
      </c>
      <c r="AR603" s="187" t="s">
        <v>153</v>
      </c>
      <c r="AS603" s="188" t="s">
        <v>153</v>
      </c>
      <c r="AT603" s="189" t="s">
        <v>3755</v>
      </c>
      <c r="AU603" s="190" t="s">
        <v>12356</v>
      </c>
      <c r="AV603" s="191" t="s">
        <v>153</v>
      </c>
      <c r="AW603" s="192" t="s">
        <v>3758</v>
      </c>
      <c r="AX603" s="193" t="s">
        <v>153</v>
      </c>
      <c r="AY603" s="194" t="s">
        <v>12357</v>
      </c>
      <c r="AZ603" s="195" t="s">
        <v>3761</v>
      </c>
      <c r="BA603" s="196" t="s">
        <v>153</v>
      </c>
      <c r="BB603" s="197" t="s">
        <v>153</v>
      </c>
      <c r="BC603" s="198" t="s">
        <v>153</v>
      </c>
      <c r="BD603" s="199" t="s">
        <v>1406</v>
      </c>
      <c r="BE603" s="200" t="s">
        <v>1407</v>
      </c>
      <c r="BF603" s="201" t="s">
        <v>12358</v>
      </c>
      <c r="BG603" s="202" t="s">
        <v>153</v>
      </c>
      <c r="BH603" s="203" t="s">
        <v>153</v>
      </c>
      <c r="BI603" s="204" t="s">
        <v>12359</v>
      </c>
      <c r="BJ603" s="205" t="s">
        <v>12360</v>
      </c>
      <c r="BK603" s="206" t="s">
        <v>153</v>
      </c>
      <c r="BL603" s="207" t="s">
        <v>153</v>
      </c>
      <c r="BM603" s="208" t="s">
        <v>12361</v>
      </c>
      <c r="BN603" s="209" t="s">
        <v>153</v>
      </c>
      <c r="BO603" s="210" t="s">
        <v>153</v>
      </c>
      <c r="BP603" s="211" t="s">
        <v>12362</v>
      </c>
      <c r="BQ603" s="212" t="s">
        <v>153</v>
      </c>
      <c r="BR603" s="213" t="s">
        <v>153</v>
      </c>
      <c r="BS603" s="214" t="s">
        <v>153</v>
      </c>
      <c r="BT603" s="215" t="s">
        <v>153</v>
      </c>
      <c r="BU603" s="216" t="s">
        <v>153</v>
      </c>
      <c r="BV603" s="217" t="s">
        <v>251</v>
      </c>
      <c r="BW603" s="218" t="s">
        <v>153</v>
      </c>
      <c r="BX603" s="219" t="s">
        <v>153</v>
      </c>
      <c r="BY603" s="220" t="s">
        <v>252</v>
      </c>
      <c r="BZ603" s="221" t="s">
        <v>153</v>
      </c>
      <c r="CA603" s="222" t="s">
        <v>190</v>
      </c>
      <c r="CB603" s="223">
        <v>39164</v>
      </c>
      <c r="CC603" s="224">
        <v>7500</v>
      </c>
      <c r="CD603" s="225" t="s">
        <v>186</v>
      </c>
      <c r="CE603" s="226">
        <v>9541.98</v>
      </c>
      <c r="CF603" s="227" t="s">
        <v>186</v>
      </c>
      <c r="CG603" s="228" t="s">
        <v>226</v>
      </c>
      <c r="CH603" s="229" t="s">
        <v>153</v>
      </c>
      <c r="CI603" s="230" t="s">
        <v>153</v>
      </c>
      <c r="CJ603" s="231" t="s">
        <v>225</v>
      </c>
      <c r="CK603" s="232">
        <v>39164</v>
      </c>
      <c r="CL603" s="233" t="s">
        <v>153</v>
      </c>
      <c r="CM603" s="234" t="s">
        <v>153</v>
      </c>
      <c r="CN603" s="235" t="s">
        <v>190</v>
      </c>
      <c r="CO603" s="236" t="s">
        <v>153</v>
      </c>
      <c r="CP603" s="237" t="s">
        <v>153</v>
      </c>
      <c r="CQ603" s="238" t="s">
        <v>153</v>
      </c>
      <c r="CR603" s="239" t="s">
        <v>153</v>
      </c>
      <c r="CS603" s="240" t="s">
        <v>153</v>
      </c>
      <c r="CT603" s="241" t="s">
        <v>153</v>
      </c>
      <c r="CU603" s="242" t="s">
        <v>153</v>
      </c>
      <c r="CV603" s="243" t="s">
        <v>153</v>
      </c>
      <c r="CW603" s="244" t="s">
        <v>153</v>
      </c>
      <c r="CX603" s="245" t="s">
        <v>153</v>
      </c>
      <c r="CY603" s="246" t="s">
        <v>153</v>
      </c>
      <c r="CZ603" s="247" t="s">
        <v>153</v>
      </c>
      <c r="DA603" s="248" t="s">
        <v>153</v>
      </c>
      <c r="DB603" s="249" t="s">
        <v>153</v>
      </c>
      <c r="DC603" s="250" t="s">
        <v>153</v>
      </c>
      <c r="DD603" s="251" t="s">
        <v>153</v>
      </c>
      <c r="DE603" s="252" t="s">
        <v>153</v>
      </c>
      <c r="DF603" s="253" t="s">
        <v>153</v>
      </c>
      <c r="DG603" s="254" t="s">
        <v>153</v>
      </c>
      <c r="DH603" s="255" t="s">
        <v>153</v>
      </c>
      <c r="DI603" s="256" t="s">
        <v>153</v>
      </c>
      <c r="DJ603" s="257" t="s">
        <v>153</v>
      </c>
      <c r="DK603" s="258" t="s">
        <v>153</v>
      </c>
      <c r="DL603" s="259" t="s">
        <v>153</v>
      </c>
      <c r="DM603" s="260" t="s">
        <v>153</v>
      </c>
      <c r="DN603" s="261" t="s">
        <v>153</v>
      </c>
      <c r="DO603" s="262" t="s">
        <v>153</v>
      </c>
      <c r="DP603" s="263" t="s">
        <v>153</v>
      </c>
      <c r="DQ603" s="264" t="s">
        <v>153</v>
      </c>
      <c r="DR603" s="265" t="s">
        <v>153</v>
      </c>
      <c r="DS603" s="266" t="s">
        <v>153</v>
      </c>
      <c r="DT603" s="267" t="s">
        <v>153</v>
      </c>
      <c r="DU603" s="268" t="s">
        <v>153</v>
      </c>
      <c r="DV603" s="269" t="s">
        <v>153</v>
      </c>
      <c r="DW603" s="270" t="s">
        <v>153</v>
      </c>
      <c r="DX603" s="271" t="s">
        <v>153</v>
      </c>
      <c r="DY603" s="272" t="s">
        <v>153</v>
      </c>
      <c r="DZ603" s="273" t="s">
        <v>191</v>
      </c>
      <c r="EA603" s="274">
        <v>44147</v>
      </c>
      <c r="EB603" s="275">
        <v>9541.98</v>
      </c>
      <c r="EC603" s="276">
        <v>39164</v>
      </c>
      <c r="ED603" s="277" t="s">
        <v>226</v>
      </c>
      <c r="EE603" s="279" t="str">
        <f>HYPERLINK("https://my.pitchbook.com?c=11895-85", "View company online")</f>
        <v>View company online</v>
      </c>
    </row>
    <row r="604" spans="1:135" x14ac:dyDescent="0.45">
      <c r="A604" s="10" t="s">
        <v>12363</v>
      </c>
      <c r="B604" s="11" t="s">
        <v>12364</v>
      </c>
      <c r="C604" s="12" t="s">
        <v>153</v>
      </c>
      <c r="D604" s="13" t="s">
        <v>153</v>
      </c>
      <c r="E604" s="14" t="s">
        <v>12365</v>
      </c>
      <c r="F604" s="15" t="s">
        <v>12366</v>
      </c>
      <c r="G604" s="16" t="s">
        <v>12367</v>
      </c>
      <c r="H604" s="17" t="s">
        <v>12368</v>
      </c>
      <c r="I604" s="18" t="s">
        <v>12363</v>
      </c>
      <c r="J604" s="19" t="s">
        <v>12369</v>
      </c>
      <c r="K604" s="20" t="s">
        <v>157</v>
      </c>
      <c r="L604" s="21" t="s">
        <v>421</v>
      </c>
      <c r="M604" s="22" t="s">
        <v>422</v>
      </c>
      <c r="N604" s="23" t="s">
        <v>12370</v>
      </c>
      <c r="O604" s="24" t="s">
        <v>399</v>
      </c>
      <c r="P604" s="25" t="s">
        <v>12371</v>
      </c>
      <c r="Q604" s="26" t="s">
        <v>204</v>
      </c>
      <c r="R604" s="27" t="s">
        <v>153</v>
      </c>
      <c r="S604" s="28" t="s">
        <v>290</v>
      </c>
      <c r="T604" s="29" t="s">
        <v>205</v>
      </c>
      <c r="U604" s="30" t="s">
        <v>237</v>
      </c>
      <c r="V604" s="31" t="s">
        <v>12372</v>
      </c>
      <c r="W604" s="32">
        <v>6815</v>
      </c>
      <c r="X604" s="33" t="s">
        <v>12373</v>
      </c>
      <c r="Y604" s="34" t="s">
        <v>153</v>
      </c>
      <c r="Z604" s="35" t="s">
        <v>153</v>
      </c>
      <c r="AA604" s="36">
        <v>1965</v>
      </c>
      <c r="AB604" s="37" t="s">
        <v>153</v>
      </c>
      <c r="AC604" s="38" t="s">
        <v>153</v>
      </c>
      <c r="AD604" s="39" t="s">
        <v>153</v>
      </c>
      <c r="AE604" s="40" t="s">
        <v>153</v>
      </c>
      <c r="AF604" s="41" t="s">
        <v>153</v>
      </c>
      <c r="AG604" s="42" t="s">
        <v>153</v>
      </c>
      <c r="AH604" s="43" t="s">
        <v>153</v>
      </c>
      <c r="AI604" s="44" t="s">
        <v>153</v>
      </c>
      <c r="AJ604" s="45" t="s">
        <v>153</v>
      </c>
      <c r="AK604" s="46" t="s">
        <v>153</v>
      </c>
      <c r="AL604" s="47" t="s">
        <v>153</v>
      </c>
      <c r="AM604" s="48" t="s">
        <v>153</v>
      </c>
      <c r="AN604" s="49" t="s">
        <v>868</v>
      </c>
      <c r="AO604" s="50" t="s">
        <v>153</v>
      </c>
      <c r="AP604" s="51" t="s">
        <v>153</v>
      </c>
      <c r="AQ604" s="52" t="s">
        <v>153</v>
      </c>
      <c r="AR604" s="53" t="s">
        <v>153</v>
      </c>
      <c r="AS604" s="54" t="s">
        <v>153</v>
      </c>
      <c r="AT604" s="55" t="s">
        <v>404</v>
      </c>
      <c r="AU604" s="56" t="s">
        <v>12374</v>
      </c>
      <c r="AV604" s="57" t="s">
        <v>153</v>
      </c>
      <c r="AW604" s="58" t="s">
        <v>407</v>
      </c>
      <c r="AX604" s="59" t="s">
        <v>408</v>
      </c>
      <c r="AY604" s="60" t="s">
        <v>12375</v>
      </c>
      <c r="AZ604" s="61" t="s">
        <v>215</v>
      </c>
      <c r="BA604" s="62" t="s">
        <v>153</v>
      </c>
      <c r="BB604" s="63" t="s">
        <v>153</v>
      </c>
      <c r="BC604" s="64" t="s">
        <v>153</v>
      </c>
      <c r="BD604" s="65" t="s">
        <v>216</v>
      </c>
      <c r="BE604" s="66" t="s">
        <v>217</v>
      </c>
      <c r="BF604" s="67" t="s">
        <v>12376</v>
      </c>
      <c r="BG604" s="68" t="s">
        <v>153</v>
      </c>
      <c r="BH604" s="69" t="s">
        <v>153</v>
      </c>
      <c r="BI604" s="70" t="s">
        <v>1313</v>
      </c>
      <c r="BJ604" s="71" t="s">
        <v>12377</v>
      </c>
      <c r="BK604" s="72" t="s">
        <v>153</v>
      </c>
      <c r="BL604" s="73" t="s">
        <v>153</v>
      </c>
      <c r="BM604" s="74" t="s">
        <v>12378</v>
      </c>
      <c r="BN604" s="75" t="s">
        <v>153</v>
      </c>
      <c r="BO604" s="76" t="s">
        <v>12379</v>
      </c>
      <c r="BP604" s="77" t="s">
        <v>153</v>
      </c>
      <c r="BQ604" s="78">
        <v>31778</v>
      </c>
      <c r="BR604" s="79" t="s">
        <v>153</v>
      </c>
      <c r="BS604" s="80" t="s">
        <v>153</v>
      </c>
      <c r="BT604" s="81" t="s">
        <v>153</v>
      </c>
      <c r="BU604" s="82" t="s">
        <v>153</v>
      </c>
      <c r="BV604" s="83" t="s">
        <v>225</v>
      </c>
      <c r="BW604" s="84" t="s">
        <v>225</v>
      </c>
      <c r="BX604" s="85" t="s">
        <v>153</v>
      </c>
      <c r="BY604" s="86" t="s">
        <v>225</v>
      </c>
      <c r="BZ604" s="87" t="s">
        <v>153</v>
      </c>
      <c r="CA604" s="88" t="s">
        <v>190</v>
      </c>
      <c r="CB604" s="89">
        <v>35348</v>
      </c>
      <c r="CC604" s="90">
        <v>7500</v>
      </c>
      <c r="CD604" s="91" t="s">
        <v>187</v>
      </c>
      <c r="CE604" s="92">
        <v>9146</v>
      </c>
      <c r="CF604" s="93" t="s">
        <v>187</v>
      </c>
      <c r="CG604" s="94" t="s">
        <v>226</v>
      </c>
      <c r="CH604" s="95" t="s">
        <v>930</v>
      </c>
      <c r="CI604" s="96" t="s">
        <v>153</v>
      </c>
      <c r="CJ604" s="97" t="s">
        <v>225</v>
      </c>
      <c r="CK604" s="98">
        <v>35348</v>
      </c>
      <c r="CL604" s="99" t="s">
        <v>153</v>
      </c>
      <c r="CM604" s="100" t="s">
        <v>153</v>
      </c>
      <c r="CN604" s="101" t="s">
        <v>190</v>
      </c>
      <c r="CO604" s="102" t="s">
        <v>153</v>
      </c>
      <c r="CP604" s="103" t="s">
        <v>153</v>
      </c>
      <c r="CQ604" s="104" t="s">
        <v>153</v>
      </c>
      <c r="CR604" s="105" t="s">
        <v>153</v>
      </c>
      <c r="CS604" s="106" t="s">
        <v>153</v>
      </c>
      <c r="CT604" s="107" t="s">
        <v>153</v>
      </c>
      <c r="CU604" s="108" t="s">
        <v>153</v>
      </c>
      <c r="CV604" s="109" t="s">
        <v>153</v>
      </c>
      <c r="CW604" s="110" t="s">
        <v>153</v>
      </c>
      <c r="CX604" s="111" t="s">
        <v>153</v>
      </c>
      <c r="CY604" s="112" t="s">
        <v>153</v>
      </c>
      <c r="CZ604" s="113" t="s">
        <v>153</v>
      </c>
      <c r="DA604" s="114" t="s">
        <v>153</v>
      </c>
      <c r="DB604" s="115" t="s">
        <v>153</v>
      </c>
      <c r="DC604" s="116" t="s">
        <v>153</v>
      </c>
      <c r="DD604" s="117" t="s">
        <v>153</v>
      </c>
      <c r="DE604" s="118" t="s">
        <v>153</v>
      </c>
      <c r="DF604" s="119" t="s">
        <v>153</v>
      </c>
      <c r="DG604" s="120" t="s">
        <v>153</v>
      </c>
      <c r="DH604" s="121" t="s">
        <v>153</v>
      </c>
      <c r="DI604" s="122" t="s">
        <v>153</v>
      </c>
      <c r="DJ604" s="123" t="s">
        <v>153</v>
      </c>
      <c r="DK604" s="124" t="s">
        <v>153</v>
      </c>
      <c r="DL604" s="125" t="s">
        <v>153</v>
      </c>
      <c r="DM604" s="126" t="s">
        <v>153</v>
      </c>
      <c r="DN604" s="127" t="s">
        <v>153</v>
      </c>
      <c r="DO604" s="128" t="s">
        <v>153</v>
      </c>
      <c r="DP604" s="129" t="s">
        <v>153</v>
      </c>
      <c r="DQ604" s="130" t="s">
        <v>153</v>
      </c>
      <c r="DR604" s="131" t="s">
        <v>153</v>
      </c>
      <c r="DS604" s="132" t="s">
        <v>153</v>
      </c>
      <c r="DT604" s="133" t="s">
        <v>153</v>
      </c>
      <c r="DU604" s="134" t="s">
        <v>153</v>
      </c>
      <c r="DV604" s="135" t="s">
        <v>153</v>
      </c>
      <c r="DW604" s="136" t="s">
        <v>153</v>
      </c>
      <c r="DX604" s="137" t="s">
        <v>153</v>
      </c>
      <c r="DY604" s="138" t="s">
        <v>153</v>
      </c>
      <c r="DZ604" s="139" t="s">
        <v>191</v>
      </c>
      <c r="EA604" s="140">
        <v>44258</v>
      </c>
      <c r="EB604" s="141">
        <v>9146</v>
      </c>
      <c r="EC604" s="142">
        <v>35348</v>
      </c>
      <c r="ED604" s="143" t="s">
        <v>226</v>
      </c>
      <c r="EE604" s="278" t="str">
        <f>HYPERLINK("https://my.pitchbook.com?c=51040-27", "View company online")</f>
        <v>View company online</v>
      </c>
    </row>
    <row r="605" spans="1:135" x14ac:dyDescent="0.45">
      <c r="A605" s="144" t="s">
        <v>12380</v>
      </c>
      <c r="B605" s="145" t="s">
        <v>12381</v>
      </c>
      <c r="C605" s="146" t="s">
        <v>153</v>
      </c>
      <c r="D605" s="147" t="s">
        <v>153</v>
      </c>
      <c r="E605" s="148" t="s">
        <v>153</v>
      </c>
      <c r="F605" s="149" t="s">
        <v>153</v>
      </c>
      <c r="G605" s="150" t="s">
        <v>12382</v>
      </c>
      <c r="H605" s="151" t="s">
        <v>153</v>
      </c>
      <c r="I605" s="152" t="s">
        <v>12380</v>
      </c>
      <c r="J605" s="153" t="s">
        <v>12383</v>
      </c>
      <c r="K605" s="154" t="s">
        <v>198</v>
      </c>
      <c r="L605" s="155" t="s">
        <v>199</v>
      </c>
      <c r="M605" s="156" t="s">
        <v>344</v>
      </c>
      <c r="N605" s="157" t="s">
        <v>345</v>
      </c>
      <c r="O605" s="158" t="s">
        <v>399</v>
      </c>
      <c r="P605" s="159" t="s">
        <v>12384</v>
      </c>
      <c r="Q605" s="160" t="s">
        <v>204</v>
      </c>
      <c r="R605" s="161">
        <v>562.41999999999996</v>
      </c>
      <c r="S605" s="162" t="s">
        <v>163</v>
      </c>
      <c r="T605" s="163" t="s">
        <v>205</v>
      </c>
      <c r="U605" s="164" t="s">
        <v>369</v>
      </c>
      <c r="V605" s="165" t="s">
        <v>153</v>
      </c>
      <c r="W605" s="166">
        <v>4088</v>
      </c>
      <c r="X605" s="167" t="s">
        <v>12385</v>
      </c>
      <c r="Y605" s="168" t="s">
        <v>153</v>
      </c>
      <c r="Z605" s="169" t="s">
        <v>153</v>
      </c>
      <c r="AA605" s="170">
        <v>1999</v>
      </c>
      <c r="AB605" s="171" t="s">
        <v>153</v>
      </c>
      <c r="AC605" s="172" t="s">
        <v>153</v>
      </c>
      <c r="AD605" s="173" t="s">
        <v>153</v>
      </c>
      <c r="AE605" s="174" t="s">
        <v>153</v>
      </c>
      <c r="AF605" s="175" t="s">
        <v>153</v>
      </c>
      <c r="AG605" s="176" t="s">
        <v>153</v>
      </c>
      <c r="AH605" s="177" t="s">
        <v>153</v>
      </c>
      <c r="AI605" s="178" t="s">
        <v>153</v>
      </c>
      <c r="AJ605" s="179" t="s">
        <v>153</v>
      </c>
      <c r="AK605" s="180" t="s">
        <v>153</v>
      </c>
      <c r="AL605" s="181" t="s">
        <v>153</v>
      </c>
      <c r="AM605" s="182" t="s">
        <v>153</v>
      </c>
      <c r="AN605" s="183" t="s">
        <v>3725</v>
      </c>
      <c r="AO605" s="184" t="s">
        <v>12386</v>
      </c>
      <c r="AP605" s="185" t="s">
        <v>12387</v>
      </c>
      <c r="AQ605" s="186" t="s">
        <v>12388</v>
      </c>
      <c r="AR605" s="187" t="s">
        <v>153</v>
      </c>
      <c r="AS605" s="188" t="s">
        <v>153</v>
      </c>
      <c r="AT605" s="189" t="s">
        <v>12389</v>
      </c>
      <c r="AU605" s="190" t="s">
        <v>12390</v>
      </c>
      <c r="AV605" s="191" t="s">
        <v>12391</v>
      </c>
      <c r="AW605" s="192" t="s">
        <v>12392</v>
      </c>
      <c r="AX605" s="193" t="s">
        <v>153</v>
      </c>
      <c r="AY605" s="194" t="s">
        <v>12393</v>
      </c>
      <c r="AZ605" s="195" t="s">
        <v>3002</v>
      </c>
      <c r="BA605" s="196" t="s">
        <v>153</v>
      </c>
      <c r="BB605" s="197" t="s">
        <v>153</v>
      </c>
      <c r="BC605" s="198" t="s">
        <v>153</v>
      </c>
      <c r="BD605" s="199" t="s">
        <v>216</v>
      </c>
      <c r="BE605" s="200" t="s">
        <v>3004</v>
      </c>
      <c r="BF605" s="201" t="s">
        <v>12394</v>
      </c>
      <c r="BG605" s="202" t="s">
        <v>153</v>
      </c>
      <c r="BH605" s="203" t="s">
        <v>153</v>
      </c>
      <c r="BI605" s="204" t="s">
        <v>7016</v>
      </c>
      <c r="BJ605" s="205" t="s">
        <v>12395</v>
      </c>
      <c r="BK605" s="206" t="s">
        <v>12396</v>
      </c>
      <c r="BL605" s="207" t="s">
        <v>153</v>
      </c>
      <c r="BM605" s="208" t="s">
        <v>12397</v>
      </c>
      <c r="BN605" s="209" t="s">
        <v>12398</v>
      </c>
      <c r="BO605" s="210" t="s">
        <v>153</v>
      </c>
      <c r="BP605" s="211" t="s">
        <v>12399</v>
      </c>
      <c r="BQ605" s="212">
        <v>39129</v>
      </c>
      <c r="BR605" s="213">
        <v>480</v>
      </c>
      <c r="BS605" s="214" t="s">
        <v>186</v>
      </c>
      <c r="BT605" s="215">
        <v>1200</v>
      </c>
      <c r="BU605" s="216" t="s">
        <v>186</v>
      </c>
      <c r="BV605" s="217" t="s">
        <v>251</v>
      </c>
      <c r="BW605" s="218" t="s">
        <v>153</v>
      </c>
      <c r="BX605" s="219" t="s">
        <v>153</v>
      </c>
      <c r="BY605" s="220" t="s">
        <v>252</v>
      </c>
      <c r="BZ605" s="221" t="s">
        <v>153</v>
      </c>
      <c r="CA605" s="222" t="s">
        <v>190</v>
      </c>
      <c r="CB605" s="223">
        <v>42152</v>
      </c>
      <c r="CC605" s="224">
        <v>7486.43</v>
      </c>
      <c r="CD605" s="225" t="s">
        <v>186</v>
      </c>
      <c r="CE605" s="226">
        <v>7486.43</v>
      </c>
      <c r="CF605" s="227" t="s">
        <v>186</v>
      </c>
      <c r="CG605" s="228" t="s">
        <v>226</v>
      </c>
      <c r="CH605" s="229" t="s">
        <v>729</v>
      </c>
      <c r="CI605" s="230" t="s">
        <v>153</v>
      </c>
      <c r="CJ605" s="231" t="s">
        <v>225</v>
      </c>
      <c r="CK605" s="232">
        <v>42152</v>
      </c>
      <c r="CL605" s="233" t="s">
        <v>153</v>
      </c>
      <c r="CM605" s="234" t="s">
        <v>153</v>
      </c>
      <c r="CN605" s="235" t="s">
        <v>190</v>
      </c>
      <c r="CO605" s="236" t="s">
        <v>153</v>
      </c>
      <c r="CP605" s="237" t="s">
        <v>153</v>
      </c>
      <c r="CQ605" s="238" t="s">
        <v>153</v>
      </c>
      <c r="CR605" s="239" t="s">
        <v>153</v>
      </c>
      <c r="CS605" s="240" t="s">
        <v>153</v>
      </c>
      <c r="CT605" s="241" t="s">
        <v>153</v>
      </c>
      <c r="CU605" s="242" t="s">
        <v>153</v>
      </c>
      <c r="CV605" s="243" t="s">
        <v>153</v>
      </c>
      <c r="CW605" s="244" t="s">
        <v>153</v>
      </c>
      <c r="CX605" s="245" t="s">
        <v>153</v>
      </c>
      <c r="CY605" s="246" t="s">
        <v>153</v>
      </c>
      <c r="CZ605" s="247" t="s">
        <v>153</v>
      </c>
      <c r="DA605" s="248" t="s">
        <v>153</v>
      </c>
      <c r="DB605" s="249" t="s">
        <v>153</v>
      </c>
      <c r="DC605" s="250" t="s">
        <v>153</v>
      </c>
      <c r="DD605" s="251" t="s">
        <v>153</v>
      </c>
      <c r="DE605" s="252" t="s">
        <v>153</v>
      </c>
      <c r="DF605" s="253" t="s">
        <v>153</v>
      </c>
      <c r="DG605" s="254" t="s">
        <v>153</v>
      </c>
      <c r="DH605" s="255" t="s">
        <v>153</v>
      </c>
      <c r="DI605" s="256" t="s">
        <v>153</v>
      </c>
      <c r="DJ605" s="257" t="s">
        <v>153</v>
      </c>
      <c r="DK605" s="258" t="s">
        <v>153</v>
      </c>
      <c r="DL605" s="259" t="s">
        <v>153</v>
      </c>
      <c r="DM605" s="260" t="s">
        <v>153</v>
      </c>
      <c r="DN605" s="261" t="s">
        <v>153</v>
      </c>
      <c r="DO605" s="262" t="s">
        <v>153</v>
      </c>
      <c r="DP605" s="263" t="s">
        <v>153</v>
      </c>
      <c r="DQ605" s="264" t="s">
        <v>153</v>
      </c>
      <c r="DR605" s="265" t="s">
        <v>153</v>
      </c>
      <c r="DS605" s="266" t="s">
        <v>153</v>
      </c>
      <c r="DT605" s="267" t="s">
        <v>153</v>
      </c>
      <c r="DU605" s="268" t="s">
        <v>153</v>
      </c>
      <c r="DV605" s="269" t="s">
        <v>153</v>
      </c>
      <c r="DW605" s="270" t="s">
        <v>153</v>
      </c>
      <c r="DX605" s="271" t="s">
        <v>153</v>
      </c>
      <c r="DY605" s="272" t="s">
        <v>153</v>
      </c>
      <c r="DZ605" s="273" t="s">
        <v>191</v>
      </c>
      <c r="EA605" s="274">
        <v>44385</v>
      </c>
      <c r="EB605" s="275">
        <v>7486.43</v>
      </c>
      <c r="EC605" s="276">
        <v>42152</v>
      </c>
      <c r="ED605" s="277" t="s">
        <v>226</v>
      </c>
      <c r="EE605" s="279" t="str">
        <f>HYPERLINK("https://my.pitchbook.com?c=42203-35", "View company online")</f>
        <v>View company online</v>
      </c>
    </row>
    <row r="606" spans="1:135" x14ac:dyDescent="0.45">
      <c r="A606" s="10" t="s">
        <v>12400</v>
      </c>
      <c r="B606" s="11" t="s">
        <v>12401</v>
      </c>
      <c r="C606" s="12" t="s">
        <v>153</v>
      </c>
      <c r="D606" s="13" t="s">
        <v>153</v>
      </c>
      <c r="E606" s="14" t="s">
        <v>12402</v>
      </c>
      <c r="F606" s="15" t="s">
        <v>153</v>
      </c>
      <c r="G606" s="16" t="s">
        <v>12403</v>
      </c>
      <c r="H606" s="17" t="s">
        <v>153</v>
      </c>
      <c r="I606" s="18" t="s">
        <v>12400</v>
      </c>
      <c r="J606" s="19" t="s">
        <v>12404</v>
      </c>
      <c r="K606" s="20" t="s">
        <v>882</v>
      </c>
      <c r="L606" s="21" t="s">
        <v>883</v>
      </c>
      <c r="M606" s="22" t="s">
        <v>1369</v>
      </c>
      <c r="N606" s="23" t="s">
        <v>7468</v>
      </c>
      <c r="O606" s="24" t="s">
        <v>1088</v>
      </c>
      <c r="P606" s="25" t="s">
        <v>12405</v>
      </c>
      <c r="Q606" s="26" t="s">
        <v>564</v>
      </c>
      <c r="R606" s="27">
        <v>73.98</v>
      </c>
      <c r="S606" s="28" t="s">
        <v>290</v>
      </c>
      <c r="T606" s="29" t="s">
        <v>205</v>
      </c>
      <c r="U606" s="30" t="s">
        <v>369</v>
      </c>
      <c r="V606" s="31" t="s">
        <v>153</v>
      </c>
      <c r="W606" s="32">
        <v>4400</v>
      </c>
      <c r="X606" s="33" t="s">
        <v>12406</v>
      </c>
      <c r="Y606" s="34" t="s">
        <v>153</v>
      </c>
      <c r="Z606" s="35" t="s">
        <v>153</v>
      </c>
      <c r="AA606" s="36">
        <v>1956</v>
      </c>
      <c r="AB606" s="37" t="s">
        <v>153</v>
      </c>
      <c r="AC606" s="38" t="s">
        <v>153</v>
      </c>
      <c r="AD606" s="39" t="s">
        <v>153</v>
      </c>
      <c r="AE606" s="40" t="s">
        <v>153</v>
      </c>
      <c r="AF606" s="41" t="s">
        <v>153</v>
      </c>
      <c r="AG606" s="42" t="s">
        <v>153</v>
      </c>
      <c r="AH606" s="43" t="s">
        <v>153</v>
      </c>
      <c r="AI606" s="44" t="s">
        <v>153</v>
      </c>
      <c r="AJ606" s="45" t="s">
        <v>153</v>
      </c>
      <c r="AK606" s="46" t="s">
        <v>153</v>
      </c>
      <c r="AL606" s="47" t="s">
        <v>153</v>
      </c>
      <c r="AM606" s="48" t="s">
        <v>153</v>
      </c>
      <c r="AN606" s="49" t="s">
        <v>5953</v>
      </c>
      <c r="AO606" s="50" t="s">
        <v>153</v>
      </c>
      <c r="AP606" s="51" t="s">
        <v>153</v>
      </c>
      <c r="AQ606" s="52" t="s">
        <v>153</v>
      </c>
      <c r="AR606" s="53" t="s">
        <v>153</v>
      </c>
      <c r="AS606" s="54" t="s">
        <v>153</v>
      </c>
      <c r="AT606" s="55" t="s">
        <v>12407</v>
      </c>
      <c r="AU606" s="56" t="s">
        <v>12408</v>
      </c>
      <c r="AV606" s="57" t="s">
        <v>12409</v>
      </c>
      <c r="AW606" s="58" t="s">
        <v>12410</v>
      </c>
      <c r="AX606" s="59" t="s">
        <v>12411</v>
      </c>
      <c r="AY606" s="60" t="s">
        <v>12412</v>
      </c>
      <c r="AZ606" s="61" t="s">
        <v>1358</v>
      </c>
      <c r="BA606" s="62" t="s">
        <v>153</v>
      </c>
      <c r="BB606" s="63" t="s">
        <v>153</v>
      </c>
      <c r="BC606" s="64" t="s">
        <v>153</v>
      </c>
      <c r="BD606" s="65" t="s">
        <v>216</v>
      </c>
      <c r="BE606" s="66" t="s">
        <v>217</v>
      </c>
      <c r="BF606" s="67" t="s">
        <v>12413</v>
      </c>
      <c r="BG606" s="68" t="s">
        <v>153</v>
      </c>
      <c r="BH606" s="69" t="s">
        <v>153</v>
      </c>
      <c r="BI606" s="70" t="s">
        <v>12414</v>
      </c>
      <c r="BJ606" s="71" t="s">
        <v>12415</v>
      </c>
      <c r="BK606" s="72" t="s">
        <v>153</v>
      </c>
      <c r="BL606" s="73" t="s">
        <v>153</v>
      </c>
      <c r="BM606" s="74" t="s">
        <v>12416</v>
      </c>
      <c r="BN606" s="75" t="s">
        <v>153</v>
      </c>
      <c r="BO606" s="76" t="s">
        <v>153</v>
      </c>
      <c r="BP606" s="77" t="s">
        <v>12417</v>
      </c>
      <c r="BQ606" s="78">
        <v>22166</v>
      </c>
      <c r="BR606" s="79" t="s">
        <v>153</v>
      </c>
      <c r="BS606" s="80" t="s">
        <v>153</v>
      </c>
      <c r="BT606" s="81" t="s">
        <v>153</v>
      </c>
      <c r="BU606" s="82" t="s">
        <v>153</v>
      </c>
      <c r="BV606" s="83" t="s">
        <v>251</v>
      </c>
      <c r="BW606" s="84" t="s">
        <v>153</v>
      </c>
      <c r="BX606" s="85" t="s">
        <v>153</v>
      </c>
      <c r="BY606" s="86" t="s">
        <v>252</v>
      </c>
      <c r="BZ606" s="87" t="s">
        <v>153</v>
      </c>
      <c r="CA606" s="88" t="s">
        <v>190</v>
      </c>
      <c r="CB606" s="89">
        <v>39281</v>
      </c>
      <c r="CC606" s="90">
        <v>7469.73</v>
      </c>
      <c r="CD606" s="91" t="s">
        <v>186</v>
      </c>
      <c r="CE606" s="92">
        <v>7469.73</v>
      </c>
      <c r="CF606" s="93" t="s">
        <v>186</v>
      </c>
      <c r="CG606" s="94" t="s">
        <v>226</v>
      </c>
      <c r="CH606" s="95" t="s">
        <v>153</v>
      </c>
      <c r="CI606" s="96" t="s">
        <v>153</v>
      </c>
      <c r="CJ606" s="97" t="s">
        <v>225</v>
      </c>
      <c r="CK606" s="98">
        <v>39281</v>
      </c>
      <c r="CL606" s="99" t="s">
        <v>153</v>
      </c>
      <c r="CM606" s="100" t="s">
        <v>153</v>
      </c>
      <c r="CN606" s="101" t="s">
        <v>190</v>
      </c>
      <c r="CO606" s="102" t="s">
        <v>153</v>
      </c>
      <c r="CP606" s="103" t="s">
        <v>153</v>
      </c>
      <c r="CQ606" s="104" t="s">
        <v>153</v>
      </c>
      <c r="CR606" s="105" t="s">
        <v>153</v>
      </c>
      <c r="CS606" s="106" t="s">
        <v>153</v>
      </c>
      <c r="CT606" s="107" t="s">
        <v>153</v>
      </c>
      <c r="CU606" s="108" t="s">
        <v>153</v>
      </c>
      <c r="CV606" s="109" t="s">
        <v>153</v>
      </c>
      <c r="CW606" s="110" t="s">
        <v>153</v>
      </c>
      <c r="CX606" s="111" t="s">
        <v>153</v>
      </c>
      <c r="CY606" s="112" t="s">
        <v>153</v>
      </c>
      <c r="CZ606" s="113" t="s">
        <v>153</v>
      </c>
      <c r="DA606" s="114" t="s">
        <v>153</v>
      </c>
      <c r="DB606" s="115" t="s">
        <v>153</v>
      </c>
      <c r="DC606" s="116" t="s">
        <v>153</v>
      </c>
      <c r="DD606" s="117" t="s">
        <v>153</v>
      </c>
      <c r="DE606" s="118" t="s">
        <v>153</v>
      </c>
      <c r="DF606" s="119" t="s">
        <v>153</v>
      </c>
      <c r="DG606" s="120" t="s">
        <v>153</v>
      </c>
      <c r="DH606" s="121" t="s">
        <v>153</v>
      </c>
      <c r="DI606" s="122" t="s">
        <v>153</v>
      </c>
      <c r="DJ606" s="123" t="s">
        <v>153</v>
      </c>
      <c r="DK606" s="124" t="s">
        <v>153</v>
      </c>
      <c r="DL606" s="125" t="s">
        <v>153</v>
      </c>
      <c r="DM606" s="126" t="s">
        <v>153</v>
      </c>
      <c r="DN606" s="127" t="s">
        <v>153</v>
      </c>
      <c r="DO606" s="128" t="s">
        <v>153</v>
      </c>
      <c r="DP606" s="129" t="s">
        <v>153</v>
      </c>
      <c r="DQ606" s="130" t="s">
        <v>153</v>
      </c>
      <c r="DR606" s="131" t="s">
        <v>153</v>
      </c>
      <c r="DS606" s="132" t="s">
        <v>153</v>
      </c>
      <c r="DT606" s="133" t="s">
        <v>153</v>
      </c>
      <c r="DU606" s="134" t="s">
        <v>153</v>
      </c>
      <c r="DV606" s="135" t="s">
        <v>153</v>
      </c>
      <c r="DW606" s="136" t="s">
        <v>153</v>
      </c>
      <c r="DX606" s="137" t="s">
        <v>153</v>
      </c>
      <c r="DY606" s="138" t="s">
        <v>153</v>
      </c>
      <c r="DZ606" s="139" t="s">
        <v>191</v>
      </c>
      <c r="EA606" s="140">
        <v>44368</v>
      </c>
      <c r="EB606" s="141">
        <v>7469.73</v>
      </c>
      <c r="EC606" s="142">
        <v>39281</v>
      </c>
      <c r="ED606" s="143" t="s">
        <v>226</v>
      </c>
      <c r="EE606" s="278" t="str">
        <f>HYPERLINK("https://my.pitchbook.com?c=41212-27", "View company online")</f>
        <v>View company online</v>
      </c>
    </row>
    <row r="607" spans="1:135" x14ac:dyDescent="0.45">
      <c r="A607" s="144" t="s">
        <v>12418</v>
      </c>
      <c r="B607" s="145" t="s">
        <v>12419</v>
      </c>
      <c r="C607" s="146" t="s">
        <v>153</v>
      </c>
      <c r="D607" s="147" t="s">
        <v>153</v>
      </c>
      <c r="E607" s="148" t="s">
        <v>153</v>
      </c>
      <c r="F607" s="149" t="s">
        <v>153</v>
      </c>
      <c r="G607" s="150" t="s">
        <v>153</v>
      </c>
      <c r="H607" s="151" t="s">
        <v>153</v>
      </c>
      <c r="I607" s="152" t="s">
        <v>12418</v>
      </c>
      <c r="J607" s="153" t="s">
        <v>12420</v>
      </c>
      <c r="K607" s="154" t="s">
        <v>792</v>
      </c>
      <c r="L607" s="155" t="s">
        <v>1516</v>
      </c>
      <c r="M607" s="156" t="s">
        <v>1516</v>
      </c>
      <c r="N607" s="157" t="s">
        <v>4075</v>
      </c>
      <c r="O607" s="158" t="s">
        <v>796</v>
      </c>
      <c r="P607" s="159" t="s">
        <v>12421</v>
      </c>
      <c r="Q607" s="160" t="s">
        <v>204</v>
      </c>
      <c r="R607" s="161" t="s">
        <v>153</v>
      </c>
      <c r="S607" s="162" t="s">
        <v>153</v>
      </c>
      <c r="T607" s="163" t="s">
        <v>205</v>
      </c>
      <c r="U607" s="164" t="s">
        <v>206</v>
      </c>
      <c r="V607" s="165" t="s">
        <v>153</v>
      </c>
      <c r="W607" s="166" t="s">
        <v>153</v>
      </c>
      <c r="X607" s="167" t="s">
        <v>153</v>
      </c>
      <c r="Y607" s="168" t="s">
        <v>153</v>
      </c>
      <c r="Z607" s="169" t="s">
        <v>153</v>
      </c>
      <c r="AA607" s="170" t="s">
        <v>153</v>
      </c>
      <c r="AB607" s="171" t="s">
        <v>153</v>
      </c>
      <c r="AC607" s="172" t="s">
        <v>153</v>
      </c>
      <c r="AD607" s="173" t="s">
        <v>153</v>
      </c>
      <c r="AE607" s="174" t="s">
        <v>153</v>
      </c>
      <c r="AF607" s="175" t="s">
        <v>153</v>
      </c>
      <c r="AG607" s="176" t="s">
        <v>153</v>
      </c>
      <c r="AH607" s="177" t="s">
        <v>153</v>
      </c>
      <c r="AI607" s="178" t="s">
        <v>153</v>
      </c>
      <c r="AJ607" s="179" t="s">
        <v>153</v>
      </c>
      <c r="AK607" s="180" t="s">
        <v>153</v>
      </c>
      <c r="AL607" s="181" t="s">
        <v>153</v>
      </c>
      <c r="AM607" s="182" t="s">
        <v>153</v>
      </c>
      <c r="AN607" s="183" t="s">
        <v>153</v>
      </c>
      <c r="AO607" s="184" t="s">
        <v>153</v>
      </c>
      <c r="AP607" s="185" t="s">
        <v>153</v>
      </c>
      <c r="AQ607" s="186" t="s">
        <v>153</v>
      </c>
      <c r="AR607" s="187" t="s">
        <v>153</v>
      </c>
      <c r="AS607" s="188" t="s">
        <v>153</v>
      </c>
      <c r="AT607" s="189" t="s">
        <v>808</v>
      </c>
      <c r="AU607" s="190" t="s">
        <v>153</v>
      </c>
      <c r="AV607" s="191" t="s">
        <v>153</v>
      </c>
      <c r="AW607" s="192" t="s">
        <v>153</v>
      </c>
      <c r="AX607" s="193" t="s">
        <v>153</v>
      </c>
      <c r="AY607" s="194" t="s">
        <v>153</v>
      </c>
      <c r="AZ607" s="195" t="s">
        <v>808</v>
      </c>
      <c r="BA607" s="196" t="s">
        <v>153</v>
      </c>
      <c r="BB607" s="197" t="s">
        <v>153</v>
      </c>
      <c r="BC607" s="198" t="s">
        <v>153</v>
      </c>
      <c r="BD607" s="199" t="s">
        <v>180</v>
      </c>
      <c r="BE607" s="200" t="s">
        <v>809</v>
      </c>
      <c r="BF607" s="201" t="s">
        <v>12422</v>
      </c>
      <c r="BG607" s="202" t="s">
        <v>12423</v>
      </c>
      <c r="BH607" s="203">
        <v>1</v>
      </c>
      <c r="BI607" s="204" t="s">
        <v>12424</v>
      </c>
      <c r="BJ607" s="205" t="s">
        <v>153</v>
      </c>
      <c r="BK607" s="206" t="s">
        <v>153</v>
      </c>
      <c r="BL607" s="207" t="s">
        <v>153</v>
      </c>
      <c r="BM607" s="208" t="s">
        <v>153</v>
      </c>
      <c r="BN607" s="209" t="s">
        <v>153</v>
      </c>
      <c r="BO607" s="210" t="s">
        <v>153</v>
      </c>
      <c r="BP607" s="211" t="s">
        <v>153</v>
      </c>
      <c r="BQ607" s="212">
        <v>39190</v>
      </c>
      <c r="BR607" s="213">
        <v>7450</v>
      </c>
      <c r="BS607" s="214" t="s">
        <v>186</v>
      </c>
      <c r="BT607" s="215">
        <v>14870</v>
      </c>
      <c r="BU607" s="216" t="s">
        <v>186</v>
      </c>
      <c r="BV607" s="217" t="s">
        <v>1524</v>
      </c>
      <c r="BW607" s="218" t="s">
        <v>1525</v>
      </c>
      <c r="BX607" s="219" t="s">
        <v>153</v>
      </c>
      <c r="BY607" s="220" t="s">
        <v>225</v>
      </c>
      <c r="BZ607" s="221" t="s">
        <v>153</v>
      </c>
      <c r="CA607" s="222" t="s">
        <v>190</v>
      </c>
      <c r="CB607" s="223">
        <v>39190</v>
      </c>
      <c r="CC607" s="224">
        <v>7450</v>
      </c>
      <c r="CD607" s="225" t="s">
        <v>186</v>
      </c>
      <c r="CE607" s="226">
        <v>14870</v>
      </c>
      <c r="CF607" s="227" t="s">
        <v>186</v>
      </c>
      <c r="CG607" s="228" t="s">
        <v>1524</v>
      </c>
      <c r="CH607" s="229" t="s">
        <v>1525</v>
      </c>
      <c r="CI607" s="230" t="s">
        <v>153</v>
      </c>
      <c r="CJ607" s="231" t="s">
        <v>225</v>
      </c>
      <c r="CK607" s="232">
        <v>39190</v>
      </c>
      <c r="CL607" s="233" t="s">
        <v>153</v>
      </c>
      <c r="CM607" s="234" t="s">
        <v>153</v>
      </c>
      <c r="CN607" s="235" t="s">
        <v>190</v>
      </c>
      <c r="CO607" s="236" t="s">
        <v>153</v>
      </c>
      <c r="CP607" s="237" t="s">
        <v>153</v>
      </c>
      <c r="CQ607" s="238" t="s">
        <v>153</v>
      </c>
      <c r="CR607" s="239" t="s">
        <v>153</v>
      </c>
      <c r="CS607" s="240" t="s">
        <v>153</v>
      </c>
      <c r="CT607" s="241" t="s">
        <v>153</v>
      </c>
      <c r="CU607" s="242" t="s">
        <v>153</v>
      </c>
      <c r="CV607" s="243" t="s">
        <v>153</v>
      </c>
      <c r="CW607" s="244" t="s">
        <v>153</v>
      </c>
      <c r="CX607" s="245" t="s">
        <v>153</v>
      </c>
      <c r="CY607" s="246" t="s">
        <v>153</v>
      </c>
      <c r="CZ607" s="247" t="s">
        <v>153</v>
      </c>
      <c r="DA607" s="248" t="s">
        <v>153</v>
      </c>
      <c r="DB607" s="249" t="s">
        <v>153</v>
      </c>
      <c r="DC607" s="250" t="s">
        <v>153</v>
      </c>
      <c r="DD607" s="251" t="s">
        <v>153</v>
      </c>
      <c r="DE607" s="252" t="s">
        <v>153</v>
      </c>
      <c r="DF607" s="253" t="s">
        <v>153</v>
      </c>
      <c r="DG607" s="254" t="s">
        <v>153</v>
      </c>
      <c r="DH607" s="255" t="s">
        <v>153</v>
      </c>
      <c r="DI607" s="256" t="s">
        <v>153</v>
      </c>
      <c r="DJ607" s="257" t="s">
        <v>153</v>
      </c>
      <c r="DK607" s="258" t="s">
        <v>153</v>
      </c>
      <c r="DL607" s="259" t="s">
        <v>153</v>
      </c>
      <c r="DM607" s="260" t="s">
        <v>153</v>
      </c>
      <c r="DN607" s="261" t="s">
        <v>153</v>
      </c>
      <c r="DO607" s="262" t="s">
        <v>153</v>
      </c>
      <c r="DP607" s="263" t="s">
        <v>153</v>
      </c>
      <c r="DQ607" s="264" t="s">
        <v>153</v>
      </c>
      <c r="DR607" s="265" t="s">
        <v>153</v>
      </c>
      <c r="DS607" s="266" t="s">
        <v>153</v>
      </c>
      <c r="DT607" s="267" t="s">
        <v>153</v>
      </c>
      <c r="DU607" s="268" t="s">
        <v>153</v>
      </c>
      <c r="DV607" s="269" t="s">
        <v>153</v>
      </c>
      <c r="DW607" s="270" t="s">
        <v>153</v>
      </c>
      <c r="DX607" s="271" t="s">
        <v>153</v>
      </c>
      <c r="DY607" s="272" t="s">
        <v>153</v>
      </c>
      <c r="DZ607" s="273" t="s">
        <v>191</v>
      </c>
      <c r="EA607" s="274">
        <v>43476</v>
      </c>
      <c r="EB607" s="275">
        <v>14870</v>
      </c>
      <c r="EC607" s="276">
        <v>39190</v>
      </c>
      <c r="ED607" s="277" t="s">
        <v>1524</v>
      </c>
      <c r="EE607" s="279" t="str">
        <f>HYPERLINK("https://my.pitchbook.com?c=182421-91", "View company online")</f>
        <v>View company online</v>
      </c>
    </row>
    <row r="608" spans="1:135" x14ac:dyDescent="0.45">
      <c r="A608" s="10" t="s">
        <v>12425</v>
      </c>
      <c r="B608" s="11" t="s">
        <v>12426</v>
      </c>
      <c r="C608" s="12" t="s">
        <v>153</v>
      </c>
      <c r="D608" s="13" t="s">
        <v>153</v>
      </c>
      <c r="E608" s="14" t="s">
        <v>153</v>
      </c>
      <c r="F608" s="15" t="s">
        <v>12427</v>
      </c>
      <c r="G608" s="16" t="s">
        <v>12428</v>
      </c>
      <c r="H608" s="17" t="s">
        <v>153</v>
      </c>
      <c r="I608" s="18" t="s">
        <v>12425</v>
      </c>
      <c r="J608" s="19" t="s">
        <v>12429</v>
      </c>
      <c r="K608" s="20" t="s">
        <v>232</v>
      </c>
      <c r="L608" s="21" t="s">
        <v>233</v>
      </c>
      <c r="M608" s="22" t="s">
        <v>3219</v>
      </c>
      <c r="N608" s="23" t="s">
        <v>12210</v>
      </c>
      <c r="O608" s="24" t="s">
        <v>153</v>
      </c>
      <c r="P608" s="25" t="s">
        <v>12430</v>
      </c>
      <c r="Q608" s="26" t="s">
        <v>564</v>
      </c>
      <c r="R608" s="27">
        <v>14428.7</v>
      </c>
      <c r="S608" s="28" t="s">
        <v>290</v>
      </c>
      <c r="T608" s="29" t="s">
        <v>291</v>
      </c>
      <c r="U608" s="30" t="s">
        <v>565</v>
      </c>
      <c r="V608" s="31" t="s">
        <v>12431</v>
      </c>
      <c r="W608" s="32">
        <v>194527</v>
      </c>
      <c r="X608" s="33" t="s">
        <v>12432</v>
      </c>
      <c r="Y608" s="34" t="s">
        <v>1674</v>
      </c>
      <c r="Z608" s="35" t="s">
        <v>12433</v>
      </c>
      <c r="AA608" s="36">
        <v>2007</v>
      </c>
      <c r="AB608" s="37" t="s">
        <v>12434</v>
      </c>
      <c r="AC608" s="38" t="s">
        <v>153</v>
      </c>
      <c r="AD608" s="39" t="s">
        <v>153</v>
      </c>
      <c r="AE608" s="40">
        <v>30086.799999999999</v>
      </c>
      <c r="AF608" s="41" t="s">
        <v>153</v>
      </c>
      <c r="AG608" s="42">
        <v>9292.61</v>
      </c>
      <c r="AH608" s="43" t="s">
        <v>153</v>
      </c>
      <c r="AI608" s="44" t="s">
        <v>153</v>
      </c>
      <c r="AJ608" s="45" t="s">
        <v>153</v>
      </c>
      <c r="AK608" s="46">
        <v>67358.649999999994</v>
      </c>
      <c r="AL608" s="47">
        <v>1389866.99</v>
      </c>
      <c r="AM608" s="48">
        <v>7.95</v>
      </c>
      <c r="AN608" s="49" t="s">
        <v>168</v>
      </c>
      <c r="AO608" s="50" t="s">
        <v>12435</v>
      </c>
      <c r="AP608" s="51" t="s">
        <v>12436</v>
      </c>
      <c r="AQ608" s="52" t="s">
        <v>12437</v>
      </c>
      <c r="AR608" s="53" t="s">
        <v>153</v>
      </c>
      <c r="AS608" s="54" t="s">
        <v>12438</v>
      </c>
      <c r="AT608" s="55" t="s">
        <v>3972</v>
      </c>
      <c r="AU608" s="56" t="s">
        <v>12439</v>
      </c>
      <c r="AV608" s="57" t="s">
        <v>12440</v>
      </c>
      <c r="AW608" s="58" t="s">
        <v>3974</v>
      </c>
      <c r="AX608" s="59" t="s">
        <v>12441</v>
      </c>
      <c r="AY608" s="60" t="s">
        <v>12442</v>
      </c>
      <c r="AZ608" s="61" t="s">
        <v>1519</v>
      </c>
      <c r="BA608" s="62" t="s">
        <v>12438</v>
      </c>
      <c r="BB608" s="63" t="s">
        <v>12443</v>
      </c>
      <c r="BC608" s="64" t="s">
        <v>12444</v>
      </c>
      <c r="BD608" s="65" t="s">
        <v>1406</v>
      </c>
      <c r="BE608" s="66" t="s">
        <v>1407</v>
      </c>
      <c r="BF608" s="67" t="s">
        <v>12445</v>
      </c>
      <c r="BG608" s="68" t="s">
        <v>12446</v>
      </c>
      <c r="BH608" s="69">
        <v>6</v>
      </c>
      <c r="BI608" s="70" t="s">
        <v>153</v>
      </c>
      <c r="BJ608" s="71" t="s">
        <v>12447</v>
      </c>
      <c r="BK608" s="72" t="s">
        <v>12214</v>
      </c>
      <c r="BL608" s="73" t="s">
        <v>12448</v>
      </c>
      <c r="BM608" s="74" t="s">
        <v>12449</v>
      </c>
      <c r="BN608" s="75" t="s">
        <v>12450</v>
      </c>
      <c r="BO608" s="76" t="s">
        <v>12451</v>
      </c>
      <c r="BP608" s="77" t="s">
        <v>12452</v>
      </c>
      <c r="BQ608" s="78">
        <v>42347</v>
      </c>
      <c r="BR608" s="79">
        <v>7000</v>
      </c>
      <c r="BS608" s="80" t="s">
        <v>186</v>
      </c>
      <c r="BT608" s="81">
        <v>41176.47</v>
      </c>
      <c r="BU608" s="82" t="s">
        <v>187</v>
      </c>
      <c r="BV608" s="83" t="s">
        <v>709</v>
      </c>
      <c r="BW608" s="84" t="s">
        <v>153</v>
      </c>
      <c r="BX608" s="85" t="s">
        <v>153</v>
      </c>
      <c r="BY608" s="86" t="s">
        <v>165</v>
      </c>
      <c r="BZ608" s="87" t="s">
        <v>153</v>
      </c>
      <c r="CA608" s="88" t="s">
        <v>190</v>
      </c>
      <c r="CB608" s="89">
        <v>42641</v>
      </c>
      <c r="CC608" s="90">
        <v>7428.7</v>
      </c>
      <c r="CD608" s="91" t="s">
        <v>187</v>
      </c>
      <c r="CE608" s="92">
        <v>49524.69</v>
      </c>
      <c r="CF608" s="93" t="s">
        <v>187</v>
      </c>
      <c r="CG608" s="94" t="s">
        <v>251</v>
      </c>
      <c r="CH608" s="95" t="s">
        <v>393</v>
      </c>
      <c r="CI608" s="96" t="s">
        <v>153</v>
      </c>
      <c r="CJ608" s="97" t="s">
        <v>252</v>
      </c>
      <c r="CK608" s="98">
        <v>42641</v>
      </c>
      <c r="CL608" s="99" t="s">
        <v>153</v>
      </c>
      <c r="CM608" s="100" t="s">
        <v>153</v>
      </c>
      <c r="CN608" s="101" t="s">
        <v>190</v>
      </c>
      <c r="CO608" s="102">
        <v>-1.25</v>
      </c>
      <c r="CP608" s="103">
        <v>3</v>
      </c>
      <c r="CQ608" s="104">
        <v>0.47</v>
      </c>
      <c r="CR608" s="105">
        <v>27.2</v>
      </c>
      <c r="CS608" s="106">
        <v>-1.25</v>
      </c>
      <c r="CT608" s="107">
        <v>3</v>
      </c>
      <c r="CU608" s="108" t="s">
        <v>153</v>
      </c>
      <c r="CV608" s="109" t="s">
        <v>153</v>
      </c>
      <c r="CW608" s="110">
        <v>-1.6</v>
      </c>
      <c r="CX608" s="111">
        <v>14</v>
      </c>
      <c r="CY608" s="112">
        <v>-0.91</v>
      </c>
      <c r="CZ608" s="113">
        <v>1</v>
      </c>
      <c r="DA608" s="114" t="s">
        <v>153</v>
      </c>
      <c r="DB608" s="115" t="s">
        <v>153</v>
      </c>
      <c r="DC608" s="116">
        <v>1193.7</v>
      </c>
      <c r="DD608" s="117">
        <v>100</v>
      </c>
      <c r="DE608" s="118">
        <v>-3.28</v>
      </c>
      <c r="DF608" s="119">
        <v>-0.27</v>
      </c>
      <c r="DG608" s="120">
        <v>1193.7</v>
      </c>
      <c r="DH608" s="121">
        <v>100</v>
      </c>
      <c r="DI608" s="122" t="s">
        <v>153</v>
      </c>
      <c r="DJ608" s="123" t="s">
        <v>153</v>
      </c>
      <c r="DK608" s="124">
        <v>182.65</v>
      </c>
      <c r="DL608" s="125">
        <v>98</v>
      </c>
      <c r="DM608" s="126">
        <v>2204.75</v>
      </c>
      <c r="DN608" s="127">
        <v>100</v>
      </c>
      <c r="DO608" s="128" t="s">
        <v>153</v>
      </c>
      <c r="DP608" s="129" t="s">
        <v>153</v>
      </c>
      <c r="DQ608" s="130">
        <v>108447</v>
      </c>
      <c r="DR608" s="131">
        <v>-489</v>
      </c>
      <c r="DS608" s="132">
        <v>-0.45</v>
      </c>
      <c r="DT608" s="133">
        <v>35319</v>
      </c>
      <c r="DU608" s="134">
        <v>-79</v>
      </c>
      <c r="DV608" s="135">
        <v>-0.22</v>
      </c>
      <c r="DW608" s="136" t="s">
        <v>153</v>
      </c>
      <c r="DX608" s="137" t="s">
        <v>153</v>
      </c>
      <c r="DY608" s="138" t="s">
        <v>153</v>
      </c>
      <c r="DZ608" s="139" t="s">
        <v>191</v>
      </c>
      <c r="EA608" s="140">
        <v>44378</v>
      </c>
      <c r="EB608" s="141">
        <v>49524.69</v>
      </c>
      <c r="EC608" s="142">
        <v>42641</v>
      </c>
      <c r="ED608" s="143" t="s">
        <v>251</v>
      </c>
      <c r="EE608" s="278" t="str">
        <f>HYPERLINK("https://my.pitchbook.com?c=99790-39", "View company online")</f>
        <v>View company online</v>
      </c>
    </row>
    <row r="609" spans="1:135" x14ac:dyDescent="0.45">
      <c r="A609" s="144" t="s">
        <v>12453</v>
      </c>
      <c r="B609" s="145" t="s">
        <v>12454</v>
      </c>
      <c r="C609" s="146" t="s">
        <v>153</v>
      </c>
      <c r="D609" s="147" t="s">
        <v>153</v>
      </c>
      <c r="E609" s="148" t="s">
        <v>12455</v>
      </c>
      <c r="F609" s="149" t="s">
        <v>12456</v>
      </c>
      <c r="G609" s="150" t="s">
        <v>12457</v>
      </c>
      <c r="H609" s="151" t="s">
        <v>12458</v>
      </c>
      <c r="I609" s="152" t="s">
        <v>12453</v>
      </c>
      <c r="J609" s="153" t="s">
        <v>12459</v>
      </c>
      <c r="K609" s="154" t="s">
        <v>198</v>
      </c>
      <c r="L609" s="155" t="s">
        <v>199</v>
      </c>
      <c r="M609" s="156" t="s">
        <v>344</v>
      </c>
      <c r="N609" s="157" t="s">
        <v>12460</v>
      </c>
      <c r="O609" s="158" t="s">
        <v>399</v>
      </c>
      <c r="P609" s="159" t="s">
        <v>12461</v>
      </c>
      <c r="Q609" s="160" t="s">
        <v>204</v>
      </c>
      <c r="R609" s="161">
        <v>163</v>
      </c>
      <c r="S609" s="162" t="s">
        <v>290</v>
      </c>
      <c r="T609" s="163" t="s">
        <v>164</v>
      </c>
      <c r="U609" s="164" t="s">
        <v>5485</v>
      </c>
      <c r="V609" s="165" t="s">
        <v>153</v>
      </c>
      <c r="W609" s="166">
        <v>6000</v>
      </c>
      <c r="X609" s="167" t="s">
        <v>12462</v>
      </c>
      <c r="Y609" s="168" t="s">
        <v>153</v>
      </c>
      <c r="Z609" s="169" t="s">
        <v>153</v>
      </c>
      <c r="AA609" s="170" t="s">
        <v>153</v>
      </c>
      <c r="AB609" s="171" t="s">
        <v>12463</v>
      </c>
      <c r="AC609" s="172" t="s">
        <v>153</v>
      </c>
      <c r="AD609" s="173" t="s">
        <v>428</v>
      </c>
      <c r="AE609" s="174" t="s">
        <v>153</v>
      </c>
      <c r="AF609" s="175" t="s">
        <v>153</v>
      </c>
      <c r="AG609" s="176" t="s">
        <v>153</v>
      </c>
      <c r="AH609" s="177" t="s">
        <v>153</v>
      </c>
      <c r="AI609" s="178" t="s">
        <v>153</v>
      </c>
      <c r="AJ609" s="179" t="s">
        <v>153</v>
      </c>
      <c r="AK609" s="180" t="s">
        <v>153</v>
      </c>
      <c r="AL609" s="181" t="s">
        <v>153</v>
      </c>
      <c r="AM609" s="182" t="s">
        <v>153</v>
      </c>
      <c r="AN609" s="183" t="s">
        <v>1442</v>
      </c>
      <c r="AO609" s="184" t="s">
        <v>153</v>
      </c>
      <c r="AP609" s="185" t="s">
        <v>153</v>
      </c>
      <c r="AQ609" s="186" t="s">
        <v>153</v>
      </c>
      <c r="AR609" s="187" t="s">
        <v>153</v>
      </c>
      <c r="AS609" s="188" t="s">
        <v>153</v>
      </c>
      <c r="AT609" s="189" t="s">
        <v>12464</v>
      </c>
      <c r="AU609" s="190" t="s">
        <v>12465</v>
      </c>
      <c r="AV609" s="191" t="s">
        <v>153</v>
      </c>
      <c r="AW609" s="192" t="s">
        <v>12466</v>
      </c>
      <c r="AX609" s="193" t="s">
        <v>408</v>
      </c>
      <c r="AY609" s="194" t="s">
        <v>12467</v>
      </c>
      <c r="AZ609" s="195" t="s">
        <v>215</v>
      </c>
      <c r="BA609" s="196" t="s">
        <v>153</v>
      </c>
      <c r="BB609" s="197" t="s">
        <v>153</v>
      </c>
      <c r="BC609" s="198" t="s">
        <v>153</v>
      </c>
      <c r="BD609" s="199" t="s">
        <v>216</v>
      </c>
      <c r="BE609" s="200" t="s">
        <v>217</v>
      </c>
      <c r="BF609" s="201" t="s">
        <v>12468</v>
      </c>
      <c r="BG609" s="202" t="s">
        <v>153</v>
      </c>
      <c r="BH609" s="203" t="s">
        <v>153</v>
      </c>
      <c r="BI609" s="204" t="s">
        <v>12463</v>
      </c>
      <c r="BJ609" s="205" t="s">
        <v>12469</v>
      </c>
      <c r="BK609" s="206" t="s">
        <v>153</v>
      </c>
      <c r="BL609" s="207" t="s">
        <v>153</v>
      </c>
      <c r="BM609" s="208" t="s">
        <v>12470</v>
      </c>
      <c r="BN609" s="209" t="s">
        <v>153</v>
      </c>
      <c r="BO609" s="210" t="s">
        <v>6478</v>
      </c>
      <c r="BP609" s="211" t="s">
        <v>12471</v>
      </c>
      <c r="BQ609" s="212">
        <v>34228</v>
      </c>
      <c r="BR609" s="213" t="s">
        <v>153</v>
      </c>
      <c r="BS609" s="214" t="s">
        <v>153</v>
      </c>
      <c r="BT609" s="215" t="s">
        <v>153</v>
      </c>
      <c r="BU609" s="216" t="s">
        <v>153</v>
      </c>
      <c r="BV609" s="217" t="s">
        <v>251</v>
      </c>
      <c r="BW609" s="218" t="s">
        <v>153</v>
      </c>
      <c r="BX609" s="219" t="s">
        <v>153</v>
      </c>
      <c r="BY609" s="220" t="s">
        <v>252</v>
      </c>
      <c r="BZ609" s="221" t="s">
        <v>153</v>
      </c>
      <c r="CA609" s="222" t="s">
        <v>190</v>
      </c>
      <c r="CB609" s="223">
        <v>43559</v>
      </c>
      <c r="CC609" s="224">
        <v>7400</v>
      </c>
      <c r="CD609" s="225" t="s">
        <v>186</v>
      </c>
      <c r="CE609" s="226">
        <v>7400</v>
      </c>
      <c r="CF609" s="227" t="s">
        <v>186</v>
      </c>
      <c r="CG609" s="228" t="s">
        <v>226</v>
      </c>
      <c r="CH609" s="229" t="s">
        <v>153</v>
      </c>
      <c r="CI609" s="230" t="s">
        <v>153</v>
      </c>
      <c r="CJ609" s="231" t="s">
        <v>225</v>
      </c>
      <c r="CK609" s="232">
        <v>43559</v>
      </c>
      <c r="CL609" s="233" t="s">
        <v>153</v>
      </c>
      <c r="CM609" s="234" t="s">
        <v>153</v>
      </c>
      <c r="CN609" s="235" t="s">
        <v>190</v>
      </c>
      <c r="CO609" s="236">
        <v>-0.49</v>
      </c>
      <c r="CP609" s="237">
        <v>5</v>
      </c>
      <c r="CQ609" s="238">
        <v>-0.1</v>
      </c>
      <c r="CR609" s="239">
        <v>-25.57</v>
      </c>
      <c r="CS609" s="240">
        <v>-1.36</v>
      </c>
      <c r="CT609" s="241">
        <v>3</v>
      </c>
      <c r="CU609" s="242">
        <v>-0.1</v>
      </c>
      <c r="CV609" s="243">
        <v>19</v>
      </c>
      <c r="CW609" s="244">
        <v>0</v>
      </c>
      <c r="CX609" s="245">
        <v>21</v>
      </c>
      <c r="CY609" s="246">
        <v>-2.71</v>
      </c>
      <c r="CZ609" s="247">
        <v>1</v>
      </c>
      <c r="DA609" s="248">
        <v>-0.1</v>
      </c>
      <c r="DB609" s="249">
        <v>19</v>
      </c>
      <c r="DC609" s="250">
        <v>38.840000000000003</v>
      </c>
      <c r="DD609" s="251">
        <v>98</v>
      </c>
      <c r="DE609" s="252">
        <v>-0.56000000000000005</v>
      </c>
      <c r="DF609" s="253">
        <v>-1.41</v>
      </c>
      <c r="DG609" s="254">
        <v>56.88</v>
      </c>
      <c r="DH609" s="255">
        <v>99</v>
      </c>
      <c r="DI609" s="256">
        <v>58.73</v>
      </c>
      <c r="DJ609" s="257">
        <v>96</v>
      </c>
      <c r="DK609" s="258">
        <v>0.32</v>
      </c>
      <c r="DL609" s="259">
        <v>30</v>
      </c>
      <c r="DM609" s="260">
        <v>113.44</v>
      </c>
      <c r="DN609" s="261">
        <v>99</v>
      </c>
      <c r="DO609" s="262">
        <v>58.73</v>
      </c>
      <c r="DP609" s="263">
        <v>96</v>
      </c>
      <c r="DQ609" s="264">
        <v>196</v>
      </c>
      <c r="DR609" s="265">
        <v>-16</v>
      </c>
      <c r="DS609" s="266">
        <v>-7.55</v>
      </c>
      <c r="DT609" s="267">
        <v>1842</v>
      </c>
      <c r="DU609" s="268">
        <v>-70</v>
      </c>
      <c r="DV609" s="269">
        <v>-3.66</v>
      </c>
      <c r="DW609" s="270">
        <v>18441</v>
      </c>
      <c r="DX609" s="271">
        <v>-3</v>
      </c>
      <c r="DY609" s="272">
        <v>-0.02</v>
      </c>
      <c r="DZ609" s="273" t="s">
        <v>191</v>
      </c>
      <c r="EA609" s="274">
        <v>44217</v>
      </c>
      <c r="EB609" s="275">
        <v>7400</v>
      </c>
      <c r="EC609" s="276">
        <v>43559</v>
      </c>
      <c r="ED609" s="277" t="s">
        <v>226</v>
      </c>
      <c r="EE609" s="279" t="str">
        <f>HYPERLINK("https://my.pitchbook.com?c=52800-94", "View company online")</f>
        <v>View company online</v>
      </c>
    </row>
    <row r="610" spans="1:135" x14ac:dyDescent="0.45">
      <c r="A610" s="10" t="s">
        <v>12472</v>
      </c>
      <c r="B610" s="11" t="s">
        <v>12473</v>
      </c>
      <c r="C610" s="12" t="s">
        <v>153</v>
      </c>
      <c r="D610" s="13" t="s">
        <v>153</v>
      </c>
      <c r="E610" s="14" t="s">
        <v>153</v>
      </c>
      <c r="F610" s="15" t="s">
        <v>153</v>
      </c>
      <c r="G610" s="16" t="s">
        <v>12474</v>
      </c>
      <c r="H610" s="17" t="s">
        <v>153</v>
      </c>
      <c r="I610" s="18" t="s">
        <v>12472</v>
      </c>
      <c r="J610" s="19" t="s">
        <v>12475</v>
      </c>
      <c r="K610" s="20" t="s">
        <v>257</v>
      </c>
      <c r="L610" s="21" t="s">
        <v>258</v>
      </c>
      <c r="M610" s="22" t="s">
        <v>259</v>
      </c>
      <c r="N610" s="23" t="s">
        <v>2134</v>
      </c>
      <c r="O610" s="24" t="s">
        <v>261</v>
      </c>
      <c r="P610" s="25" t="s">
        <v>12476</v>
      </c>
      <c r="Q610" s="26" t="s">
        <v>367</v>
      </c>
      <c r="R610" s="27">
        <v>1083</v>
      </c>
      <c r="S610" s="28" t="s">
        <v>290</v>
      </c>
      <c r="T610" s="29" t="s">
        <v>205</v>
      </c>
      <c r="U610" s="30" t="s">
        <v>237</v>
      </c>
      <c r="V610" s="31" t="s">
        <v>12477</v>
      </c>
      <c r="W610" s="32">
        <v>10100</v>
      </c>
      <c r="X610" s="33" t="s">
        <v>12478</v>
      </c>
      <c r="Y610" s="34" t="s">
        <v>153</v>
      </c>
      <c r="Z610" s="35" t="s">
        <v>153</v>
      </c>
      <c r="AA610" s="36" t="s">
        <v>153</v>
      </c>
      <c r="AB610" s="37" t="s">
        <v>153</v>
      </c>
      <c r="AC610" s="38" t="s">
        <v>153</v>
      </c>
      <c r="AD610" s="39" t="s">
        <v>153</v>
      </c>
      <c r="AE610" s="40" t="s">
        <v>153</v>
      </c>
      <c r="AF610" s="41" t="s">
        <v>153</v>
      </c>
      <c r="AG610" s="42" t="s">
        <v>153</v>
      </c>
      <c r="AH610" s="43" t="s">
        <v>153</v>
      </c>
      <c r="AI610" s="44" t="s">
        <v>153</v>
      </c>
      <c r="AJ610" s="45" t="s">
        <v>153</v>
      </c>
      <c r="AK610" s="46" t="s">
        <v>153</v>
      </c>
      <c r="AL610" s="47" t="s">
        <v>153</v>
      </c>
      <c r="AM610" s="48" t="s">
        <v>153</v>
      </c>
      <c r="AN610" s="49" t="s">
        <v>3203</v>
      </c>
      <c r="AO610" s="50" t="s">
        <v>12479</v>
      </c>
      <c r="AP610" s="51" t="s">
        <v>12480</v>
      </c>
      <c r="AQ610" s="52" t="s">
        <v>12481</v>
      </c>
      <c r="AR610" s="53" t="s">
        <v>12482</v>
      </c>
      <c r="AS610" s="54" t="s">
        <v>12483</v>
      </c>
      <c r="AT610" s="55" t="s">
        <v>12484</v>
      </c>
      <c r="AU610" s="56" t="s">
        <v>12485</v>
      </c>
      <c r="AV610" s="57" t="s">
        <v>153</v>
      </c>
      <c r="AW610" s="58" t="s">
        <v>12486</v>
      </c>
      <c r="AX610" s="59" t="s">
        <v>4177</v>
      </c>
      <c r="AY610" s="60" t="s">
        <v>12487</v>
      </c>
      <c r="AZ610" s="61" t="s">
        <v>215</v>
      </c>
      <c r="BA610" s="62" t="s">
        <v>153</v>
      </c>
      <c r="BB610" s="63" t="s">
        <v>153</v>
      </c>
      <c r="BC610" s="64" t="s">
        <v>153</v>
      </c>
      <c r="BD610" s="65" t="s">
        <v>216</v>
      </c>
      <c r="BE610" s="66" t="s">
        <v>217</v>
      </c>
      <c r="BF610" s="67" t="s">
        <v>12488</v>
      </c>
      <c r="BG610" s="68" t="s">
        <v>153</v>
      </c>
      <c r="BH610" s="69" t="s">
        <v>153</v>
      </c>
      <c r="BI610" s="70" t="s">
        <v>1428</v>
      </c>
      <c r="BJ610" s="71" t="s">
        <v>153</v>
      </c>
      <c r="BK610" s="72" t="s">
        <v>153</v>
      </c>
      <c r="BL610" s="73" t="s">
        <v>153</v>
      </c>
      <c r="BM610" s="74" t="s">
        <v>153</v>
      </c>
      <c r="BN610" s="75" t="s">
        <v>153</v>
      </c>
      <c r="BO610" s="76" t="s">
        <v>153</v>
      </c>
      <c r="BP610" s="77" t="s">
        <v>12489</v>
      </c>
      <c r="BQ610" s="78">
        <v>31286</v>
      </c>
      <c r="BR610" s="79" t="s">
        <v>153</v>
      </c>
      <c r="BS610" s="80" t="s">
        <v>153</v>
      </c>
      <c r="BT610" s="81" t="s">
        <v>153</v>
      </c>
      <c r="BU610" s="82" t="s">
        <v>153</v>
      </c>
      <c r="BV610" s="83" t="s">
        <v>251</v>
      </c>
      <c r="BW610" s="84" t="s">
        <v>153</v>
      </c>
      <c r="BX610" s="85" t="s">
        <v>153</v>
      </c>
      <c r="BY610" s="86" t="s">
        <v>252</v>
      </c>
      <c r="BZ610" s="87" t="s">
        <v>153</v>
      </c>
      <c r="CA610" s="88" t="s">
        <v>190</v>
      </c>
      <c r="CB610" s="89">
        <v>38743</v>
      </c>
      <c r="CC610" s="90">
        <v>7400</v>
      </c>
      <c r="CD610" s="91" t="s">
        <v>187</v>
      </c>
      <c r="CE610" s="92">
        <v>7400</v>
      </c>
      <c r="CF610" s="93" t="s">
        <v>187</v>
      </c>
      <c r="CG610" s="94" t="s">
        <v>226</v>
      </c>
      <c r="CH610" s="95" t="s">
        <v>153</v>
      </c>
      <c r="CI610" s="96" t="s">
        <v>153</v>
      </c>
      <c r="CJ610" s="97" t="s">
        <v>225</v>
      </c>
      <c r="CK610" s="98">
        <v>38743</v>
      </c>
      <c r="CL610" s="99" t="s">
        <v>153</v>
      </c>
      <c r="CM610" s="100" t="s">
        <v>153</v>
      </c>
      <c r="CN610" s="101" t="s">
        <v>190</v>
      </c>
      <c r="CO610" s="102" t="s">
        <v>153</v>
      </c>
      <c r="CP610" s="103" t="s">
        <v>153</v>
      </c>
      <c r="CQ610" s="104" t="s">
        <v>153</v>
      </c>
      <c r="CR610" s="105" t="s">
        <v>153</v>
      </c>
      <c r="CS610" s="106" t="s">
        <v>153</v>
      </c>
      <c r="CT610" s="107" t="s">
        <v>153</v>
      </c>
      <c r="CU610" s="108" t="s">
        <v>153</v>
      </c>
      <c r="CV610" s="109" t="s">
        <v>153</v>
      </c>
      <c r="CW610" s="110" t="s">
        <v>153</v>
      </c>
      <c r="CX610" s="111" t="s">
        <v>153</v>
      </c>
      <c r="CY610" s="112" t="s">
        <v>153</v>
      </c>
      <c r="CZ610" s="113" t="s">
        <v>153</v>
      </c>
      <c r="DA610" s="114" t="s">
        <v>153</v>
      </c>
      <c r="DB610" s="115" t="s">
        <v>153</v>
      </c>
      <c r="DC610" s="116" t="s">
        <v>153</v>
      </c>
      <c r="DD610" s="117" t="s">
        <v>153</v>
      </c>
      <c r="DE610" s="118" t="s">
        <v>153</v>
      </c>
      <c r="DF610" s="119" t="s">
        <v>153</v>
      </c>
      <c r="DG610" s="120" t="s">
        <v>153</v>
      </c>
      <c r="DH610" s="121" t="s">
        <v>153</v>
      </c>
      <c r="DI610" s="122" t="s">
        <v>153</v>
      </c>
      <c r="DJ610" s="123" t="s">
        <v>153</v>
      </c>
      <c r="DK610" s="124" t="s">
        <v>153</v>
      </c>
      <c r="DL610" s="125" t="s">
        <v>153</v>
      </c>
      <c r="DM610" s="126" t="s">
        <v>153</v>
      </c>
      <c r="DN610" s="127" t="s">
        <v>153</v>
      </c>
      <c r="DO610" s="128" t="s">
        <v>153</v>
      </c>
      <c r="DP610" s="129" t="s">
        <v>153</v>
      </c>
      <c r="DQ610" s="130" t="s">
        <v>153</v>
      </c>
      <c r="DR610" s="131" t="s">
        <v>153</v>
      </c>
      <c r="DS610" s="132" t="s">
        <v>153</v>
      </c>
      <c r="DT610" s="133" t="s">
        <v>153</v>
      </c>
      <c r="DU610" s="134" t="s">
        <v>153</v>
      </c>
      <c r="DV610" s="135" t="s">
        <v>153</v>
      </c>
      <c r="DW610" s="136" t="s">
        <v>153</v>
      </c>
      <c r="DX610" s="137" t="s">
        <v>153</v>
      </c>
      <c r="DY610" s="138" t="s">
        <v>153</v>
      </c>
      <c r="DZ610" s="139" t="s">
        <v>191</v>
      </c>
      <c r="EA610" s="140">
        <v>44402</v>
      </c>
      <c r="EB610" s="141">
        <v>7400</v>
      </c>
      <c r="EC610" s="142">
        <v>38743</v>
      </c>
      <c r="ED610" s="143" t="s">
        <v>226</v>
      </c>
      <c r="EE610" s="278" t="str">
        <f>HYPERLINK("https://my.pitchbook.com?c=10322-38", "View company online")</f>
        <v>View company online</v>
      </c>
    </row>
    <row r="611" spans="1:135" x14ac:dyDescent="0.45">
      <c r="A611" s="144" t="s">
        <v>12490</v>
      </c>
      <c r="B611" s="145" t="s">
        <v>12491</v>
      </c>
      <c r="C611" s="146" t="s">
        <v>153</v>
      </c>
      <c r="D611" s="147" t="s">
        <v>153</v>
      </c>
      <c r="E611" s="148" t="s">
        <v>12492</v>
      </c>
      <c r="F611" s="149" t="s">
        <v>153</v>
      </c>
      <c r="G611" s="150" t="s">
        <v>12493</v>
      </c>
      <c r="H611" s="151" t="s">
        <v>12494</v>
      </c>
      <c r="I611" s="152" t="s">
        <v>12490</v>
      </c>
      <c r="J611" s="153" t="s">
        <v>12495</v>
      </c>
      <c r="K611" s="154" t="s">
        <v>157</v>
      </c>
      <c r="L611" s="155" t="s">
        <v>421</v>
      </c>
      <c r="M611" s="156" t="s">
        <v>503</v>
      </c>
      <c r="N611" s="157" t="s">
        <v>12496</v>
      </c>
      <c r="O611" s="158" t="s">
        <v>399</v>
      </c>
      <c r="P611" s="159" t="s">
        <v>12497</v>
      </c>
      <c r="Q611" s="160" t="s">
        <v>204</v>
      </c>
      <c r="R611" s="161">
        <v>132</v>
      </c>
      <c r="S611" s="162" t="s">
        <v>163</v>
      </c>
      <c r="T611" s="163" t="s">
        <v>205</v>
      </c>
      <c r="U611" s="164" t="s">
        <v>237</v>
      </c>
      <c r="V611" s="165" t="s">
        <v>12498</v>
      </c>
      <c r="W611" s="166">
        <v>1250</v>
      </c>
      <c r="X611" s="167" t="s">
        <v>12499</v>
      </c>
      <c r="Y611" s="168" t="s">
        <v>153</v>
      </c>
      <c r="Z611" s="169" t="s">
        <v>153</v>
      </c>
      <c r="AA611" s="170">
        <v>1979</v>
      </c>
      <c r="AB611" s="171" t="s">
        <v>517</v>
      </c>
      <c r="AC611" s="172" t="s">
        <v>622</v>
      </c>
      <c r="AD611" s="173" t="s">
        <v>1540</v>
      </c>
      <c r="AE611" s="174" t="s">
        <v>153</v>
      </c>
      <c r="AF611" s="175" t="s">
        <v>153</v>
      </c>
      <c r="AG611" s="176" t="s">
        <v>153</v>
      </c>
      <c r="AH611" s="177" t="s">
        <v>153</v>
      </c>
      <c r="AI611" s="178" t="s">
        <v>153</v>
      </c>
      <c r="AJ611" s="179" t="s">
        <v>153</v>
      </c>
      <c r="AK611" s="180" t="s">
        <v>153</v>
      </c>
      <c r="AL611" s="181" t="s">
        <v>153</v>
      </c>
      <c r="AM611" s="182" t="s">
        <v>153</v>
      </c>
      <c r="AN611" s="183" t="s">
        <v>2064</v>
      </c>
      <c r="AO611" s="184" t="s">
        <v>12500</v>
      </c>
      <c r="AP611" s="185" t="s">
        <v>12501</v>
      </c>
      <c r="AQ611" s="186" t="s">
        <v>12502</v>
      </c>
      <c r="AR611" s="187" t="s">
        <v>153</v>
      </c>
      <c r="AS611" s="188" t="s">
        <v>12503</v>
      </c>
      <c r="AT611" s="189" t="s">
        <v>12504</v>
      </c>
      <c r="AU611" s="190" t="s">
        <v>12505</v>
      </c>
      <c r="AV611" s="191" t="s">
        <v>153</v>
      </c>
      <c r="AW611" s="192" t="s">
        <v>12506</v>
      </c>
      <c r="AX611" s="193" t="s">
        <v>308</v>
      </c>
      <c r="AY611" s="194" t="s">
        <v>12507</v>
      </c>
      <c r="AZ611" s="195" t="s">
        <v>215</v>
      </c>
      <c r="BA611" s="196" t="s">
        <v>12503</v>
      </c>
      <c r="BB611" s="197" t="s">
        <v>12508</v>
      </c>
      <c r="BC611" s="198" t="s">
        <v>153</v>
      </c>
      <c r="BD611" s="199" t="s">
        <v>216</v>
      </c>
      <c r="BE611" s="200" t="s">
        <v>217</v>
      </c>
      <c r="BF611" s="201" t="s">
        <v>12509</v>
      </c>
      <c r="BG611" s="202" t="s">
        <v>153</v>
      </c>
      <c r="BH611" s="203" t="s">
        <v>153</v>
      </c>
      <c r="BI611" s="204" t="s">
        <v>517</v>
      </c>
      <c r="BJ611" s="205" t="s">
        <v>153</v>
      </c>
      <c r="BK611" s="206" t="s">
        <v>153</v>
      </c>
      <c r="BL611" s="207" t="s">
        <v>153</v>
      </c>
      <c r="BM611" s="208" t="s">
        <v>153</v>
      </c>
      <c r="BN611" s="209" t="s">
        <v>153</v>
      </c>
      <c r="BO611" s="210" t="s">
        <v>1511</v>
      </c>
      <c r="BP611" s="211" t="s">
        <v>12510</v>
      </c>
      <c r="BQ611" s="212">
        <v>35032</v>
      </c>
      <c r="BR611" s="213">
        <v>132</v>
      </c>
      <c r="BS611" s="214" t="s">
        <v>187</v>
      </c>
      <c r="BT611" s="215">
        <v>1146</v>
      </c>
      <c r="BU611" s="216" t="s">
        <v>186</v>
      </c>
      <c r="BV611" s="217" t="s">
        <v>251</v>
      </c>
      <c r="BW611" s="218" t="s">
        <v>153</v>
      </c>
      <c r="BX611" s="219" t="s">
        <v>153</v>
      </c>
      <c r="BY611" s="220" t="s">
        <v>252</v>
      </c>
      <c r="BZ611" s="221" t="s">
        <v>153</v>
      </c>
      <c r="CA611" s="222" t="s">
        <v>190</v>
      </c>
      <c r="CB611" s="223">
        <v>38842</v>
      </c>
      <c r="CC611" s="224">
        <v>7400</v>
      </c>
      <c r="CD611" s="225" t="s">
        <v>186</v>
      </c>
      <c r="CE611" s="226">
        <v>7400</v>
      </c>
      <c r="CF611" s="227" t="s">
        <v>187</v>
      </c>
      <c r="CG611" s="228" t="s">
        <v>226</v>
      </c>
      <c r="CH611" s="229" t="s">
        <v>153</v>
      </c>
      <c r="CI611" s="230" t="s">
        <v>153</v>
      </c>
      <c r="CJ611" s="231" t="s">
        <v>225</v>
      </c>
      <c r="CK611" s="232">
        <v>38842</v>
      </c>
      <c r="CL611" s="233" t="s">
        <v>153</v>
      </c>
      <c r="CM611" s="234" t="s">
        <v>153</v>
      </c>
      <c r="CN611" s="235" t="s">
        <v>190</v>
      </c>
      <c r="CO611" s="236" t="s">
        <v>153</v>
      </c>
      <c r="CP611" s="237" t="s">
        <v>153</v>
      </c>
      <c r="CQ611" s="238" t="s">
        <v>153</v>
      </c>
      <c r="CR611" s="239" t="s">
        <v>153</v>
      </c>
      <c r="CS611" s="240" t="s">
        <v>153</v>
      </c>
      <c r="CT611" s="241" t="s">
        <v>153</v>
      </c>
      <c r="CU611" s="242" t="s">
        <v>153</v>
      </c>
      <c r="CV611" s="243" t="s">
        <v>153</v>
      </c>
      <c r="CW611" s="244" t="s">
        <v>153</v>
      </c>
      <c r="CX611" s="245" t="s">
        <v>153</v>
      </c>
      <c r="CY611" s="246" t="s">
        <v>153</v>
      </c>
      <c r="CZ611" s="247" t="s">
        <v>153</v>
      </c>
      <c r="DA611" s="248" t="s">
        <v>153</v>
      </c>
      <c r="DB611" s="249" t="s">
        <v>153</v>
      </c>
      <c r="DC611" s="250" t="s">
        <v>153</v>
      </c>
      <c r="DD611" s="251" t="s">
        <v>153</v>
      </c>
      <c r="DE611" s="252" t="s">
        <v>153</v>
      </c>
      <c r="DF611" s="253" t="s">
        <v>153</v>
      </c>
      <c r="DG611" s="254" t="s">
        <v>153</v>
      </c>
      <c r="DH611" s="255" t="s">
        <v>153</v>
      </c>
      <c r="DI611" s="256" t="s">
        <v>153</v>
      </c>
      <c r="DJ611" s="257" t="s">
        <v>153</v>
      </c>
      <c r="DK611" s="258" t="s">
        <v>153</v>
      </c>
      <c r="DL611" s="259" t="s">
        <v>153</v>
      </c>
      <c r="DM611" s="260" t="s">
        <v>153</v>
      </c>
      <c r="DN611" s="261" t="s">
        <v>153</v>
      </c>
      <c r="DO611" s="262" t="s">
        <v>153</v>
      </c>
      <c r="DP611" s="263" t="s">
        <v>153</v>
      </c>
      <c r="DQ611" s="264" t="s">
        <v>153</v>
      </c>
      <c r="DR611" s="265" t="s">
        <v>153</v>
      </c>
      <c r="DS611" s="266" t="s">
        <v>153</v>
      </c>
      <c r="DT611" s="267" t="s">
        <v>153</v>
      </c>
      <c r="DU611" s="268" t="s">
        <v>153</v>
      </c>
      <c r="DV611" s="269" t="s">
        <v>153</v>
      </c>
      <c r="DW611" s="270" t="s">
        <v>153</v>
      </c>
      <c r="DX611" s="271" t="s">
        <v>153</v>
      </c>
      <c r="DY611" s="272" t="s">
        <v>153</v>
      </c>
      <c r="DZ611" s="273" t="s">
        <v>191</v>
      </c>
      <c r="EA611" s="274">
        <v>44217</v>
      </c>
      <c r="EB611" s="275">
        <v>7400</v>
      </c>
      <c r="EC611" s="276">
        <v>38842</v>
      </c>
      <c r="ED611" s="277" t="s">
        <v>226</v>
      </c>
      <c r="EE611" s="279" t="str">
        <f>HYPERLINK("https://my.pitchbook.com?c=41047-84", "View company online")</f>
        <v>View company online</v>
      </c>
    </row>
    <row r="612" spans="1:135" x14ac:dyDescent="0.45">
      <c r="A612" s="10" t="s">
        <v>12511</v>
      </c>
      <c r="B612" s="11" t="s">
        <v>12512</v>
      </c>
      <c r="C612" s="12" t="s">
        <v>153</v>
      </c>
      <c r="D612" s="13" t="s">
        <v>153</v>
      </c>
      <c r="E612" s="14" t="s">
        <v>12513</v>
      </c>
      <c r="F612" s="15" t="s">
        <v>12514</v>
      </c>
      <c r="G612" s="16" t="s">
        <v>12515</v>
      </c>
      <c r="H612" s="17" t="s">
        <v>153</v>
      </c>
      <c r="I612" s="18" t="s">
        <v>12511</v>
      </c>
      <c r="J612" s="19" t="s">
        <v>12516</v>
      </c>
      <c r="K612" s="20" t="s">
        <v>792</v>
      </c>
      <c r="L612" s="21" t="s">
        <v>841</v>
      </c>
      <c r="M612" s="22" t="s">
        <v>842</v>
      </c>
      <c r="N612" s="23" t="s">
        <v>12517</v>
      </c>
      <c r="O612" s="24" t="s">
        <v>796</v>
      </c>
      <c r="P612" s="25" t="s">
        <v>12518</v>
      </c>
      <c r="Q612" s="26" t="s">
        <v>204</v>
      </c>
      <c r="R612" s="27">
        <v>145</v>
      </c>
      <c r="S612" s="28" t="s">
        <v>163</v>
      </c>
      <c r="T612" s="29" t="s">
        <v>205</v>
      </c>
      <c r="U612" s="30" t="s">
        <v>369</v>
      </c>
      <c r="V612" s="31" t="s">
        <v>153</v>
      </c>
      <c r="W612" s="32">
        <v>4300</v>
      </c>
      <c r="X612" s="33" t="s">
        <v>12519</v>
      </c>
      <c r="Y612" s="34" t="s">
        <v>153</v>
      </c>
      <c r="Z612" s="35" t="s">
        <v>153</v>
      </c>
      <c r="AA612" s="36">
        <v>1966</v>
      </c>
      <c r="AB612" s="37" t="s">
        <v>153</v>
      </c>
      <c r="AC612" s="38" t="s">
        <v>153</v>
      </c>
      <c r="AD612" s="39" t="s">
        <v>153</v>
      </c>
      <c r="AE612" s="40" t="s">
        <v>153</v>
      </c>
      <c r="AF612" s="41" t="s">
        <v>153</v>
      </c>
      <c r="AG612" s="42" t="s">
        <v>153</v>
      </c>
      <c r="AH612" s="43" t="s">
        <v>153</v>
      </c>
      <c r="AI612" s="44" t="s">
        <v>153</v>
      </c>
      <c r="AJ612" s="45" t="s">
        <v>153</v>
      </c>
      <c r="AK612" s="46" t="s">
        <v>153</v>
      </c>
      <c r="AL612" s="47" t="s">
        <v>153</v>
      </c>
      <c r="AM612" s="48" t="s">
        <v>153</v>
      </c>
      <c r="AN612" s="49" t="s">
        <v>9935</v>
      </c>
      <c r="AO612" s="50" t="s">
        <v>153</v>
      </c>
      <c r="AP612" s="51" t="s">
        <v>153</v>
      </c>
      <c r="AQ612" s="52" t="s">
        <v>153</v>
      </c>
      <c r="AR612" s="53" t="s">
        <v>153</v>
      </c>
      <c r="AS612" s="54" t="s">
        <v>153</v>
      </c>
      <c r="AT612" s="55" t="s">
        <v>1124</v>
      </c>
      <c r="AU612" s="56" t="s">
        <v>12520</v>
      </c>
      <c r="AV612" s="57" t="s">
        <v>12521</v>
      </c>
      <c r="AW612" s="58" t="s">
        <v>1127</v>
      </c>
      <c r="AX612" s="59" t="s">
        <v>1128</v>
      </c>
      <c r="AY612" s="60" t="s">
        <v>12522</v>
      </c>
      <c r="AZ612" s="61" t="s">
        <v>215</v>
      </c>
      <c r="BA612" s="62" t="s">
        <v>153</v>
      </c>
      <c r="BB612" s="63" t="s">
        <v>153</v>
      </c>
      <c r="BC612" s="64" t="s">
        <v>153</v>
      </c>
      <c r="BD612" s="65" t="s">
        <v>216</v>
      </c>
      <c r="BE612" s="66" t="s">
        <v>217</v>
      </c>
      <c r="BF612" s="67" t="s">
        <v>12523</v>
      </c>
      <c r="BG612" s="68" t="s">
        <v>153</v>
      </c>
      <c r="BH612" s="69" t="s">
        <v>153</v>
      </c>
      <c r="BI612" s="70" t="s">
        <v>12524</v>
      </c>
      <c r="BJ612" s="71" t="s">
        <v>12525</v>
      </c>
      <c r="BK612" s="72" t="s">
        <v>153</v>
      </c>
      <c r="BL612" s="73" t="s">
        <v>153</v>
      </c>
      <c r="BM612" s="74" t="s">
        <v>12526</v>
      </c>
      <c r="BN612" s="75" t="s">
        <v>153</v>
      </c>
      <c r="BO612" s="76" t="s">
        <v>12527</v>
      </c>
      <c r="BP612" s="77" t="s">
        <v>12528</v>
      </c>
      <c r="BQ612" s="78">
        <v>32373</v>
      </c>
      <c r="BR612" s="79" t="s">
        <v>153</v>
      </c>
      <c r="BS612" s="80" t="s">
        <v>153</v>
      </c>
      <c r="BT612" s="81" t="s">
        <v>153</v>
      </c>
      <c r="BU612" s="82" t="s">
        <v>153</v>
      </c>
      <c r="BV612" s="83" t="s">
        <v>251</v>
      </c>
      <c r="BW612" s="84" t="s">
        <v>153</v>
      </c>
      <c r="BX612" s="85" t="s">
        <v>153</v>
      </c>
      <c r="BY612" s="86" t="s">
        <v>252</v>
      </c>
      <c r="BZ612" s="87" t="s">
        <v>153</v>
      </c>
      <c r="CA612" s="88" t="s">
        <v>190</v>
      </c>
      <c r="CB612" s="89">
        <v>40694</v>
      </c>
      <c r="CC612" s="90">
        <v>7400</v>
      </c>
      <c r="CD612" s="91" t="s">
        <v>186</v>
      </c>
      <c r="CE612" s="92">
        <v>7400</v>
      </c>
      <c r="CF612" s="93" t="s">
        <v>186</v>
      </c>
      <c r="CG612" s="94" t="s">
        <v>226</v>
      </c>
      <c r="CH612" s="95" t="s">
        <v>153</v>
      </c>
      <c r="CI612" s="96" t="s">
        <v>153</v>
      </c>
      <c r="CJ612" s="97" t="s">
        <v>225</v>
      </c>
      <c r="CK612" s="98">
        <v>40694</v>
      </c>
      <c r="CL612" s="99" t="s">
        <v>153</v>
      </c>
      <c r="CM612" s="100" t="s">
        <v>153</v>
      </c>
      <c r="CN612" s="101" t="s">
        <v>190</v>
      </c>
      <c r="CO612" s="102" t="s">
        <v>153</v>
      </c>
      <c r="CP612" s="103" t="s">
        <v>153</v>
      </c>
      <c r="CQ612" s="104" t="s">
        <v>153</v>
      </c>
      <c r="CR612" s="105" t="s">
        <v>153</v>
      </c>
      <c r="CS612" s="106" t="s">
        <v>153</v>
      </c>
      <c r="CT612" s="107" t="s">
        <v>153</v>
      </c>
      <c r="CU612" s="108" t="s">
        <v>153</v>
      </c>
      <c r="CV612" s="109" t="s">
        <v>153</v>
      </c>
      <c r="CW612" s="110" t="s">
        <v>153</v>
      </c>
      <c r="CX612" s="111" t="s">
        <v>153</v>
      </c>
      <c r="CY612" s="112" t="s">
        <v>153</v>
      </c>
      <c r="CZ612" s="113" t="s">
        <v>153</v>
      </c>
      <c r="DA612" s="114" t="s">
        <v>153</v>
      </c>
      <c r="DB612" s="115" t="s">
        <v>153</v>
      </c>
      <c r="DC612" s="116" t="s">
        <v>153</v>
      </c>
      <c r="DD612" s="117" t="s">
        <v>153</v>
      </c>
      <c r="DE612" s="118" t="s">
        <v>153</v>
      </c>
      <c r="DF612" s="119" t="s">
        <v>153</v>
      </c>
      <c r="DG612" s="120" t="s">
        <v>153</v>
      </c>
      <c r="DH612" s="121" t="s">
        <v>153</v>
      </c>
      <c r="DI612" s="122" t="s">
        <v>153</v>
      </c>
      <c r="DJ612" s="123" t="s">
        <v>153</v>
      </c>
      <c r="DK612" s="124" t="s">
        <v>153</v>
      </c>
      <c r="DL612" s="125" t="s">
        <v>153</v>
      </c>
      <c r="DM612" s="126" t="s">
        <v>153</v>
      </c>
      <c r="DN612" s="127" t="s">
        <v>153</v>
      </c>
      <c r="DO612" s="128" t="s">
        <v>153</v>
      </c>
      <c r="DP612" s="129" t="s">
        <v>153</v>
      </c>
      <c r="DQ612" s="130" t="s">
        <v>153</v>
      </c>
      <c r="DR612" s="131" t="s">
        <v>153</v>
      </c>
      <c r="DS612" s="132" t="s">
        <v>153</v>
      </c>
      <c r="DT612" s="133" t="s">
        <v>153</v>
      </c>
      <c r="DU612" s="134" t="s">
        <v>153</v>
      </c>
      <c r="DV612" s="135" t="s">
        <v>153</v>
      </c>
      <c r="DW612" s="136" t="s">
        <v>153</v>
      </c>
      <c r="DX612" s="137" t="s">
        <v>153</v>
      </c>
      <c r="DY612" s="138" t="s">
        <v>153</v>
      </c>
      <c r="DZ612" s="139" t="s">
        <v>191</v>
      </c>
      <c r="EA612" s="140">
        <v>44368</v>
      </c>
      <c r="EB612" s="141">
        <v>7400</v>
      </c>
      <c r="EC612" s="142">
        <v>40694</v>
      </c>
      <c r="ED612" s="143" t="s">
        <v>226</v>
      </c>
      <c r="EE612" s="278" t="str">
        <f>HYPERLINK("https://my.pitchbook.com?c=41191-84", "View company online")</f>
        <v>View company online</v>
      </c>
    </row>
    <row r="613" spans="1:135" x14ac:dyDescent="0.45">
      <c r="A613" s="144" t="s">
        <v>12529</v>
      </c>
      <c r="B613" s="145" t="s">
        <v>12530</v>
      </c>
      <c r="C613" s="146" t="s">
        <v>153</v>
      </c>
      <c r="D613" s="147" t="s">
        <v>153</v>
      </c>
      <c r="E613" s="148" t="s">
        <v>12531</v>
      </c>
      <c r="F613" s="149" t="s">
        <v>153</v>
      </c>
      <c r="G613" s="150" t="s">
        <v>12532</v>
      </c>
      <c r="H613" s="151" t="s">
        <v>12533</v>
      </c>
      <c r="I613" s="152" t="s">
        <v>12529</v>
      </c>
      <c r="J613" s="153" t="s">
        <v>12534</v>
      </c>
      <c r="K613" s="154" t="s">
        <v>882</v>
      </c>
      <c r="L613" s="155" t="s">
        <v>883</v>
      </c>
      <c r="M613" s="156" t="s">
        <v>1369</v>
      </c>
      <c r="N613" s="157" t="s">
        <v>12535</v>
      </c>
      <c r="O613" s="158" t="s">
        <v>365</v>
      </c>
      <c r="P613" s="159" t="s">
        <v>12536</v>
      </c>
      <c r="Q613" s="160" t="s">
        <v>204</v>
      </c>
      <c r="R613" s="161" t="s">
        <v>153</v>
      </c>
      <c r="S613" s="162" t="s">
        <v>290</v>
      </c>
      <c r="T613" s="163" t="s">
        <v>164</v>
      </c>
      <c r="U613" s="164" t="s">
        <v>237</v>
      </c>
      <c r="V613" s="165" t="s">
        <v>12537</v>
      </c>
      <c r="W613" s="166">
        <v>12000</v>
      </c>
      <c r="X613" s="167" t="s">
        <v>12538</v>
      </c>
      <c r="Y613" s="168" t="s">
        <v>153</v>
      </c>
      <c r="Z613" s="169" t="s">
        <v>153</v>
      </c>
      <c r="AA613" s="170">
        <v>1968</v>
      </c>
      <c r="AB613" s="171" t="s">
        <v>6026</v>
      </c>
      <c r="AC613" s="172" t="s">
        <v>153</v>
      </c>
      <c r="AD613" s="173" t="s">
        <v>428</v>
      </c>
      <c r="AE613" s="174" t="s">
        <v>153</v>
      </c>
      <c r="AF613" s="175" t="s">
        <v>153</v>
      </c>
      <c r="AG613" s="176" t="s">
        <v>153</v>
      </c>
      <c r="AH613" s="177" t="s">
        <v>153</v>
      </c>
      <c r="AI613" s="178" t="s">
        <v>153</v>
      </c>
      <c r="AJ613" s="179" t="s">
        <v>153</v>
      </c>
      <c r="AK613" s="180" t="s">
        <v>153</v>
      </c>
      <c r="AL613" s="181" t="s">
        <v>153</v>
      </c>
      <c r="AM613" s="182" t="s">
        <v>153</v>
      </c>
      <c r="AN613" s="183" t="s">
        <v>623</v>
      </c>
      <c r="AO613" s="184" t="s">
        <v>12539</v>
      </c>
      <c r="AP613" s="185" t="s">
        <v>12540</v>
      </c>
      <c r="AQ613" s="186" t="s">
        <v>512</v>
      </c>
      <c r="AR613" s="187" t="s">
        <v>153</v>
      </c>
      <c r="AS613" s="188" t="s">
        <v>12541</v>
      </c>
      <c r="AT613" s="189" t="s">
        <v>4855</v>
      </c>
      <c r="AU613" s="190" t="s">
        <v>12542</v>
      </c>
      <c r="AV613" s="191" t="s">
        <v>153</v>
      </c>
      <c r="AW613" s="192" t="s">
        <v>4857</v>
      </c>
      <c r="AX613" s="193" t="s">
        <v>153</v>
      </c>
      <c r="AY613" s="194" t="s">
        <v>6370</v>
      </c>
      <c r="AZ613" s="195" t="s">
        <v>1426</v>
      </c>
      <c r="BA613" s="196" t="s">
        <v>12541</v>
      </c>
      <c r="BB613" s="197" t="s">
        <v>153</v>
      </c>
      <c r="BC613" s="198" t="s">
        <v>153</v>
      </c>
      <c r="BD613" s="199" t="s">
        <v>180</v>
      </c>
      <c r="BE613" s="200" t="s">
        <v>181</v>
      </c>
      <c r="BF613" s="201" t="s">
        <v>12543</v>
      </c>
      <c r="BG613" s="202" t="s">
        <v>153</v>
      </c>
      <c r="BH613" s="203" t="s">
        <v>153</v>
      </c>
      <c r="BI613" s="204" t="s">
        <v>6026</v>
      </c>
      <c r="BJ613" s="205" t="s">
        <v>153</v>
      </c>
      <c r="BK613" s="206" t="s">
        <v>153</v>
      </c>
      <c r="BL613" s="207" t="s">
        <v>153</v>
      </c>
      <c r="BM613" s="208" t="s">
        <v>153</v>
      </c>
      <c r="BN613" s="209" t="s">
        <v>153</v>
      </c>
      <c r="BO613" s="210" t="s">
        <v>12544</v>
      </c>
      <c r="BP613" s="211" t="s">
        <v>12545</v>
      </c>
      <c r="BQ613" s="212">
        <v>39280</v>
      </c>
      <c r="BR613" s="213" t="s">
        <v>153</v>
      </c>
      <c r="BS613" s="214" t="s">
        <v>153</v>
      </c>
      <c r="BT613" s="215" t="s">
        <v>153</v>
      </c>
      <c r="BU613" s="216" t="s">
        <v>153</v>
      </c>
      <c r="BV613" s="217" t="s">
        <v>251</v>
      </c>
      <c r="BW613" s="218" t="s">
        <v>153</v>
      </c>
      <c r="BX613" s="219" t="s">
        <v>153</v>
      </c>
      <c r="BY613" s="220" t="s">
        <v>252</v>
      </c>
      <c r="BZ613" s="221" t="s">
        <v>153</v>
      </c>
      <c r="CA613" s="222" t="s">
        <v>190</v>
      </c>
      <c r="CB613" s="223">
        <v>43980</v>
      </c>
      <c r="CC613" s="224">
        <v>7400</v>
      </c>
      <c r="CD613" s="225" t="s">
        <v>186</v>
      </c>
      <c r="CE613" s="226">
        <v>7400</v>
      </c>
      <c r="CF613" s="227" t="s">
        <v>187</v>
      </c>
      <c r="CG613" s="228" t="s">
        <v>226</v>
      </c>
      <c r="CH613" s="229" t="s">
        <v>153</v>
      </c>
      <c r="CI613" s="230" t="s">
        <v>153</v>
      </c>
      <c r="CJ613" s="231" t="s">
        <v>225</v>
      </c>
      <c r="CK613" s="232">
        <v>43980</v>
      </c>
      <c r="CL613" s="233" t="s">
        <v>153</v>
      </c>
      <c r="CM613" s="234" t="s">
        <v>153</v>
      </c>
      <c r="CN613" s="235" t="s">
        <v>190</v>
      </c>
      <c r="CO613" s="236">
        <v>0.28000000000000003</v>
      </c>
      <c r="CP613" s="237">
        <v>91</v>
      </c>
      <c r="CQ613" s="238">
        <v>-0.01</v>
      </c>
      <c r="CR613" s="239">
        <v>-4.75</v>
      </c>
      <c r="CS613" s="240">
        <v>0.5</v>
      </c>
      <c r="CT613" s="241">
        <v>93</v>
      </c>
      <c r="CU613" s="242">
        <v>7.0000000000000007E-2</v>
      </c>
      <c r="CV613" s="243">
        <v>83</v>
      </c>
      <c r="CW613" s="244">
        <v>1.1200000000000001</v>
      </c>
      <c r="CX613" s="245">
        <v>82</v>
      </c>
      <c r="CY613" s="246">
        <v>-0.12</v>
      </c>
      <c r="CZ613" s="247">
        <v>4</v>
      </c>
      <c r="DA613" s="248">
        <v>7.0000000000000007E-2</v>
      </c>
      <c r="DB613" s="249">
        <v>83</v>
      </c>
      <c r="DC613" s="250">
        <v>49.74</v>
      </c>
      <c r="DD613" s="251">
        <v>98</v>
      </c>
      <c r="DE613" s="252">
        <v>0.1</v>
      </c>
      <c r="DF613" s="253">
        <v>0.2</v>
      </c>
      <c r="DG613" s="254">
        <v>87.85</v>
      </c>
      <c r="DH613" s="255">
        <v>99</v>
      </c>
      <c r="DI613" s="256">
        <v>11.63</v>
      </c>
      <c r="DJ613" s="257">
        <v>88</v>
      </c>
      <c r="DK613" s="258">
        <v>24.07</v>
      </c>
      <c r="DL613" s="259">
        <v>92</v>
      </c>
      <c r="DM613" s="260">
        <v>151.63</v>
      </c>
      <c r="DN613" s="261">
        <v>100</v>
      </c>
      <c r="DO613" s="262">
        <v>11.63</v>
      </c>
      <c r="DP613" s="263">
        <v>88</v>
      </c>
      <c r="DQ613" s="264">
        <v>14159</v>
      </c>
      <c r="DR613" s="265">
        <v>429</v>
      </c>
      <c r="DS613" s="266">
        <v>3.12</v>
      </c>
      <c r="DT613" s="267">
        <v>2424</v>
      </c>
      <c r="DU613" s="268">
        <v>4</v>
      </c>
      <c r="DV613" s="269">
        <v>0.17</v>
      </c>
      <c r="DW613" s="270">
        <v>3652</v>
      </c>
      <c r="DX613" s="271">
        <v>2</v>
      </c>
      <c r="DY613" s="272">
        <v>0.05</v>
      </c>
      <c r="DZ613" s="273" t="s">
        <v>191</v>
      </c>
      <c r="EA613" s="274">
        <v>44375</v>
      </c>
      <c r="EB613" s="275">
        <v>7400</v>
      </c>
      <c r="EC613" s="276">
        <v>43980</v>
      </c>
      <c r="ED613" s="277" t="s">
        <v>226</v>
      </c>
      <c r="EE613" s="279" t="str">
        <f>HYPERLINK("https://my.pitchbook.com?c=41633-65", "View company online")</f>
        <v>View company online</v>
      </c>
    </row>
    <row r="614" spans="1:135" x14ac:dyDescent="0.45">
      <c r="A614" s="10" t="s">
        <v>12546</v>
      </c>
      <c r="B614" s="11" t="s">
        <v>12547</v>
      </c>
      <c r="C614" s="12" t="s">
        <v>153</v>
      </c>
      <c r="D614" s="13" t="s">
        <v>153</v>
      </c>
      <c r="E614" s="14" t="s">
        <v>153</v>
      </c>
      <c r="F614" s="15" t="s">
        <v>12548</v>
      </c>
      <c r="G614" s="16" t="s">
        <v>12549</v>
      </c>
      <c r="H614" s="17" t="s">
        <v>12550</v>
      </c>
      <c r="I614" s="18" t="s">
        <v>12546</v>
      </c>
      <c r="J614" s="19" t="s">
        <v>12551</v>
      </c>
      <c r="K614" s="20" t="s">
        <v>792</v>
      </c>
      <c r="L614" s="21" t="s">
        <v>841</v>
      </c>
      <c r="M614" s="22" t="s">
        <v>913</v>
      </c>
      <c r="N614" s="23" t="s">
        <v>12552</v>
      </c>
      <c r="O614" s="24" t="s">
        <v>796</v>
      </c>
      <c r="P614" s="25" t="s">
        <v>12553</v>
      </c>
      <c r="Q614" s="26" t="s">
        <v>367</v>
      </c>
      <c r="R614" s="27">
        <v>6398.2</v>
      </c>
      <c r="S614" s="28" t="s">
        <v>290</v>
      </c>
      <c r="T614" s="29" t="s">
        <v>291</v>
      </c>
      <c r="U614" s="30" t="s">
        <v>565</v>
      </c>
      <c r="V614" s="31" t="s">
        <v>12554</v>
      </c>
      <c r="W614" s="32">
        <v>16821</v>
      </c>
      <c r="X614" s="33" t="s">
        <v>12555</v>
      </c>
      <c r="Y614" s="34" t="s">
        <v>12556</v>
      </c>
      <c r="Z614" s="35" t="s">
        <v>12557</v>
      </c>
      <c r="AA614" s="36">
        <v>1994</v>
      </c>
      <c r="AB614" s="37" t="s">
        <v>153</v>
      </c>
      <c r="AC614" s="38" t="s">
        <v>153</v>
      </c>
      <c r="AD614" s="39" t="s">
        <v>537</v>
      </c>
      <c r="AE614" s="40">
        <v>10406.31</v>
      </c>
      <c r="AF614" s="41">
        <v>6367.38</v>
      </c>
      <c r="AG614" s="42">
        <v>2206.62</v>
      </c>
      <c r="AH614" s="43">
        <v>60080.71</v>
      </c>
      <c r="AI614" s="44">
        <v>2714.23</v>
      </c>
      <c r="AJ614" s="45">
        <v>2583.0100000000002</v>
      </c>
      <c r="AK614" s="46">
        <v>62564.47</v>
      </c>
      <c r="AL614" s="47">
        <v>1028.8699999999999</v>
      </c>
      <c r="AM614" s="48">
        <v>-5.09</v>
      </c>
      <c r="AN614" s="49" t="s">
        <v>376</v>
      </c>
      <c r="AO614" s="50" t="s">
        <v>12558</v>
      </c>
      <c r="AP614" s="51" t="s">
        <v>12559</v>
      </c>
      <c r="AQ614" s="52" t="s">
        <v>12560</v>
      </c>
      <c r="AR614" s="53" t="s">
        <v>12561</v>
      </c>
      <c r="AS614" s="54" t="s">
        <v>12562</v>
      </c>
      <c r="AT614" s="55" t="s">
        <v>802</v>
      </c>
      <c r="AU614" s="56" t="s">
        <v>12563</v>
      </c>
      <c r="AV614" s="57" t="s">
        <v>153</v>
      </c>
      <c r="AW614" s="58" t="s">
        <v>805</v>
      </c>
      <c r="AX614" s="59" t="s">
        <v>153</v>
      </c>
      <c r="AY614" s="60" t="s">
        <v>12564</v>
      </c>
      <c r="AZ614" s="61" t="s">
        <v>808</v>
      </c>
      <c r="BA614" s="62" t="s">
        <v>12562</v>
      </c>
      <c r="BB614" s="63" t="s">
        <v>12565</v>
      </c>
      <c r="BC614" s="64" t="s">
        <v>153</v>
      </c>
      <c r="BD614" s="65" t="s">
        <v>180</v>
      </c>
      <c r="BE614" s="66" t="s">
        <v>809</v>
      </c>
      <c r="BF614" s="67" t="s">
        <v>12566</v>
      </c>
      <c r="BG614" s="68" t="s">
        <v>12567</v>
      </c>
      <c r="BH614" s="69">
        <v>3</v>
      </c>
      <c r="BI614" s="70" t="s">
        <v>153</v>
      </c>
      <c r="BJ614" s="71" t="s">
        <v>12424</v>
      </c>
      <c r="BK614" s="72" t="s">
        <v>153</v>
      </c>
      <c r="BL614" s="73" t="s">
        <v>12568</v>
      </c>
      <c r="BM614" s="74" t="s">
        <v>12569</v>
      </c>
      <c r="BN614" s="75" t="s">
        <v>153</v>
      </c>
      <c r="BO614" s="76" t="s">
        <v>12570</v>
      </c>
      <c r="BP614" s="77" t="s">
        <v>12571</v>
      </c>
      <c r="BQ614" s="78">
        <v>38261</v>
      </c>
      <c r="BR614" s="79" t="s">
        <v>153</v>
      </c>
      <c r="BS614" s="80" t="s">
        <v>153</v>
      </c>
      <c r="BT614" s="81" t="s">
        <v>153</v>
      </c>
      <c r="BU614" s="82" t="s">
        <v>153</v>
      </c>
      <c r="BV614" s="83" t="s">
        <v>251</v>
      </c>
      <c r="BW614" s="84" t="s">
        <v>153</v>
      </c>
      <c r="BX614" s="85" t="s">
        <v>153</v>
      </c>
      <c r="BY614" s="86" t="s">
        <v>252</v>
      </c>
      <c r="BZ614" s="87" t="s">
        <v>153</v>
      </c>
      <c r="CA614" s="88" t="s">
        <v>190</v>
      </c>
      <c r="CB614" s="89">
        <v>43286</v>
      </c>
      <c r="CC614" s="90">
        <v>7382.45</v>
      </c>
      <c r="CD614" s="91" t="s">
        <v>186</v>
      </c>
      <c r="CE614" s="92">
        <v>38530.54</v>
      </c>
      <c r="CF614" s="93" t="s">
        <v>187</v>
      </c>
      <c r="CG614" s="94" t="s">
        <v>906</v>
      </c>
      <c r="CH614" s="95" t="s">
        <v>153</v>
      </c>
      <c r="CI614" s="96" t="s">
        <v>153</v>
      </c>
      <c r="CJ614" s="97" t="s">
        <v>321</v>
      </c>
      <c r="CK614" s="98">
        <v>43286</v>
      </c>
      <c r="CL614" s="99" t="s">
        <v>153</v>
      </c>
      <c r="CM614" s="100" t="s">
        <v>153</v>
      </c>
      <c r="CN614" s="101" t="s">
        <v>190</v>
      </c>
      <c r="CO614" s="102">
        <v>0.03</v>
      </c>
      <c r="CP614" s="103">
        <v>87</v>
      </c>
      <c r="CQ614" s="104">
        <v>-0.04</v>
      </c>
      <c r="CR614" s="105">
        <v>-57.17</v>
      </c>
      <c r="CS614" s="106">
        <v>0.26</v>
      </c>
      <c r="CT614" s="107">
        <v>91</v>
      </c>
      <c r="CU614" s="108">
        <v>-0.21</v>
      </c>
      <c r="CV614" s="109">
        <v>5</v>
      </c>
      <c r="CW614" s="110" t="s">
        <v>153</v>
      </c>
      <c r="CX614" s="111" t="s">
        <v>153</v>
      </c>
      <c r="CY614" s="112">
        <v>0.26</v>
      </c>
      <c r="CZ614" s="113">
        <v>92</v>
      </c>
      <c r="DA614" s="114">
        <v>-0.21</v>
      </c>
      <c r="DB614" s="115">
        <v>5</v>
      </c>
      <c r="DC614" s="116">
        <v>52.86</v>
      </c>
      <c r="DD614" s="117">
        <v>99</v>
      </c>
      <c r="DE614" s="118">
        <v>0.01</v>
      </c>
      <c r="DF614" s="119">
        <v>0.01</v>
      </c>
      <c r="DG614" s="120">
        <v>103.81</v>
      </c>
      <c r="DH614" s="121">
        <v>99</v>
      </c>
      <c r="DI614" s="122">
        <v>1.91</v>
      </c>
      <c r="DJ614" s="123">
        <v>62</v>
      </c>
      <c r="DK614" s="124" t="s">
        <v>153</v>
      </c>
      <c r="DL614" s="125" t="s">
        <v>153</v>
      </c>
      <c r="DM614" s="126">
        <v>103.81</v>
      </c>
      <c r="DN614" s="127">
        <v>99</v>
      </c>
      <c r="DO614" s="128">
        <v>1.91</v>
      </c>
      <c r="DP614" s="129">
        <v>62</v>
      </c>
      <c r="DQ614" s="130" t="s">
        <v>153</v>
      </c>
      <c r="DR614" s="131" t="s">
        <v>153</v>
      </c>
      <c r="DS614" s="132" t="s">
        <v>153</v>
      </c>
      <c r="DT614" s="133">
        <v>1661</v>
      </c>
      <c r="DU614" s="134">
        <v>0</v>
      </c>
      <c r="DV614" s="135">
        <v>0</v>
      </c>
      <c r="DW614" s="136">
        <v>599</v>
      </c>
      <c r="DX614" s="137">
        <v>0</v>
      </c>
      <c r="DY614" s="138">
        <v>0</v>
      </c>
      <c r="DZ614" s="139" t="s">
        <v>191</v>
      </c>
      <c r="EA614" s="140">
        <v>44380</v>
      </c>
      <c r="EB614" s="141">
        <v>38530.54</v>
      </c>
      <c r="EC614" s="142">
        <v>43286</v>
      </c>
      <c r="ED614" s="143" t="s">
        <v>906</v>
      </c>
      <c r="EE614" s="278" t="str">
        <f>HYPERLINK("https://my.pitchbook.com?c=60424-48", "View company online")</f>
        <v>View company online</v>
      </c>
    </row>
    <row r="615" spans="1:135" x14ac:dyDescent="0.45">
      <c r="A615" s="144" t="s">
        <v>12572</v>
      </c>
      <c r="B615" s="145" t="s">
        <v>12573</v>
      </c>
      <c r="C615" s="146" t="s">
        <v>153</v>
      </c>
      <c r="D615" s="147" t="s">
        <v>153</v>
      </c>
      <c r="E615" s="148" t="s">
        <v>12574</v>
      </c>
      <c r="F615" s="149" t="s">
        <v>153</v>
      </c>
      <c r="G615" s="150" t="s">
        <v>12575</v>
      </c>
      <c r="H615" s="151" t="s">
        <v>12576</v>
      </c>
      <c r="I615" s="152" t="s">
        <v>12572</v>
      </c>
      <c r="J615" s="153" t="s">
        <v>12577</v>
      </c>
      <c r="K615" s="154" t="s">
        <v>257</v>
      </c>
      <c r="L615" s="155" t="s">
        <v>258</v>
      </c>
      <c r="M615" s="156" t="s">
        <v>259</v>
      </c>
      <c r="N615" s="157" t="s">
        <v>12578</v>
      </c>
      <c r="O615" s="158" t="s">
        <v>261</v>
      </c>
      <c r="P615" s="159" t="s">
        <v>12579</v>
      </c>
      <c r="Q615" s="160" t="s">
        <v>564</v>
      </c>
      <c r="R615" s="161">
        <v>534</v>
      </c>
      <c r="S615" s="162" t="s">
        <v>368</v>
      </c>
      <c r="T615" s="163" t="s">
        <v>164</v>
      </c>
      <c r="U615" s="164" t="s">
        <v>1063</v>
      </c>
      <c r="V615" s="165" t="s">
        <v>12580</v>
      </c>
      <c r="W615" s="166">
        <v>9000</v>
      </c>
      <c r="X615" s="167" t="s">
        <v>12581</v>
      </c>
      <c r="Y615" s="168" t="s">
        <v>153</v>
      </c>
      <c r="Z615" s="169" t="s">
        <v>153</v>
      </c>
      <c r="AA615" s="170" t="s">
        <v>153</v>
      </c>
      <c r="AB615" s="171" t="s">
        <v>12582</v>
      </c>
      <c r="AC615" s="172" t="s">
        <v>153</v>
      </c>
      <c r="AD615" s="173" t="s">
        <v>153</v>
      </c>
      <c r="AE615" s="174" t="s">
        <v>153</v>
      </c>
      <c r="AF615" s="175" t="s">
        <v>153</v>
      </c>
      <c r="AG615" s="176" t="s">
        <v>153</v>
      </c>
      <c r="AH615" s="177" t="s">
        <v>153</v>
      </c>
      <c r="AI615" s="178" t="s">
        <v>153</v>
      </c>
      <c r="AJ615" s="179" t="s">
        <v>153</v>
      </c>
      <c r="AK615" s="180" t="s">
        <v>153</v>
      </c>
      <c r="AL615" s="181" t="s">
        <v>153</v>
      </c>
      <c r="AM615" s="182" t="s">
        <v>153</v>
      </c>
      <c r="AN615" s="183" t="s">
        <v>4877</v>
      </c>
      <c r="AO615" s="184" t="s">
        <v>12583</v>
      </c>
      <c r="AP615" s="185" t="s">
        <v>12584</v>
      </c>
      <c r="AQ615" s="186" t="s">
        <v>1175</v>
      </c>
      <c r="AR615" s="187" t="s">
        <v>12585</v>
      </c>
      <c r="AS615" s="188" t="s">
        <v>12586</v>
      </c>
      <c r="AT615" s="189" t="s">
        <v>8047</v>
      </c>
      <c r="AU615" s="190" t="s">
        <v>12587</v>
      </c>
      <c r="AV615" s="191" t="s">
        <v>153</v>
      </c>
      <c r="AW615" s="192" t="s">
        <v>8050</v>
      </c>
      <c r="AX615" s="193" t="s">
        <v>1862</v>
      </c>
      <c r="AY615" s="194" t="s">
        <v>8051</v>
      </c>
      <c r="AZ615" s="195" t="s">
        <v>215</v>
      </c>
      <c r="BA615" s="196" t="s">
        <v>12586</v>
      </c>
      <c r="BB615" s="197" t="s">
        <v>12588</v>
      </c>
      <c r="BC615" s="198" t="s">
        <v>153</v>
      </c>
      <c r="BD615" s="199" t="s">
        <v>216</v>
      </c>
      <c r="BE615" s="200" t="s">
        <v>217</v>
      </c>
      <c r="BF615" s="201" t="s">
        <v>12589</v>
      </c>
      <c r="BG615" s="202" t="s">
        <v>153</v>
      </c>
      <c r="BH615" s="203" t="s">
        <v>153</v>
      </c>
      <c r="BI615" s="204" t="s">
        <v>12582</v>
      </c>
      <c r="BJ615" s="205" t="s">
        <v>12590</v>
      </c>
      <c r="BK615" s="206" t="s">
        <v>153</v>
      </c>
      <c r="BL615" s="207" t="s">
        <v>153</v>
      </c>
      <c r="BM615" s="208" t="s">
        <v>12591</v>
      </c>
      <c r="BN615" s="209" t="s">
        <v>153</v>
      </c>
      <c r="BO615" s="210" t="s">
        <v>12592</v>
      </c>
      <c r="BP615" s="211" t="s">
        <v>12593</v>
      </c>
      <c r="BQ615" s="212">
        <v>39263</v>
      </c>
      <c r="BR615" s="213">
        <v>150</v>
      </c>
      <c r="BS615" s="214" t="s">
        <v>186</v>
      </c>
      <c r="BT615" s="215" t="s">
        <v>153</v>
      </c>
      <c r="BU615" s="216" t="s">
        <v>153</v>
      </c>
      <c r="BV615" s="217" t="s">
        <v>4289</v>
      </c>
      <c r="BW615" s="218" t="s">
        <v>153</v>
      </c>
      <c r="BX615" s="219" t="s">
        <v>153</v>
      </c>
      <c r="BY615" s="220" t="s">
        <v>4290</v>
      </c>
      <c r="BZ615" s="221" t="s">
        <v>12594</v>
      </c>
      <c r="CA615" s="222" t="s">
        <v>190</v>
      </c>
      <c r="CB615" s="223">
        <v>42975</v>
      </c>
      <c r="CC615" s="224">
        <v>7358</v>
      </c>
      <c r="CD615" s="225" t="s">
        <v>186</v>
      </c>
      <c r="CE615" s="226">
        <v>7358</v>
      </c>
      <c r="CF615" s="227" t="s">
        <v>186</v>
      </c>
      <c r="CG615" s="228" t="s">
        <v>226</v>
      </c>
      <c r="CH615" s="229" t="s">
        <v>153</v>
      </c>
      <c r="CI615" s="230" t="s">
        <v>153</v>
      </c>
      <c r="CJ615" s="231" t="s">
        <v>225</v>
      </c>
      <c r="CK615" s="232">
        <v>42975</v>
      </c>
      <c r="CL615" s="233" t="s">
        <v>153</v>
      </c>
      <c r="CM615" s="234" t="s">
        <v>153</v>
      </c>
      <c r="CN615" s="235" t="s">
        <v>190</v>
      </c>
      <c r="CO615" s="236" t="s">
        <v>153</v>
      </c>
      <c r="CP615" s="237" t="s">
        <v>153</v>
      </c>
      <c r="CQ615" s="238" t="s">
        <v>153</v>
      </c>
      <c r="CR615" s="239" t="s">
        <v>153</v>
      </c>
      <c r="CS615" s="240" t="s">
        <v>153</v>
      </c>
      <c r="CT615" s="241" t="s">
        <v>153</v>
      </c>
      <c r="CU615" s="242" t="s">
        <v>153</v>
      </c>
      <c r="CV615" s="243" t="s">
        <v>153</v>
      </c>
      <c r="CW615" s="244" t="s">
        <v>153</v>
      </c>
      <c r="CX615" s="245" t="s">
        <v>153</v>
      </c>
      <c r="CY615" s="246" t="s">
        <v>153</v>
      </c>
      <c r="CZ615" s="247" t="s">
        <v>153</v>
      </c>
      <c r="DA615" s="248" t="s">
        <v>153</v>
      </c>
      <c r="DB615" s="249" t="s">
        <v>153</v>
      </c>
      <c r="DC615" s="250" t="s">
        <v>153</v>
      </c>
      <c r="DD615" s="251" t="s">
        <v>153</v>
      </c>
      <c r="DE615" s="252" t="s">
        <v>153</v>
      </c>
      <c r="DF615" s="253" t="s">
        <v>153</v>
      </c>
      <c r="DG615" s="254" t="s">
        <v>153</v>
      </c>
      <c r="DH615" s="255" t="s">
        <v>153</v>
      </c>
      <c r="DI615" s="256" t="s">
        <v>153</v>
      </c>
      <c r="DJ615" s="257" t="s">
        <v>153</v>
      </c>
      <c r="DK615" s="258" t="s">
        <v>153</v>
      </c>
      <c r="DL615" s="259" t="s">
        <v>153</v>
      </c>
      <c r="DM615" s="260" t="s">
        <v>153</v>
      </c>
      <c r="DN615" s="261" t="s">
        <v>153</v>
      </c>
      <c r="DO615" s="262" t="s">
        <v>153</v>
      </c>
      <c r="DP615" s="263" t="s">
        <v>153</v>
      </c>
      <c r="DQ615" s="264" t="s">
        <v>153</v>
      </c>
      <c r="DR615" s="265" t="s">
        <v>153</v>
      </c>
      <c r="DS615" s="266" t="s">
        <v>153</v>
      </c>
      <c r="DT615" s="267" t="s">
        <v>153</v>
      </c>
      <c r="DU615" s="268" t="s">
        <v>153</v>
      </c>
      <c r="DV615" s="269" t="s">
        <v>153</v>
      </c>
      <c r="DW615" s="270" t="s">
        <v>153</v>
      </c>
      <c r="DX615" s="271" t="s">
        <v>153</v>
      </c>
      <c r="DY615" s="272" t="s">
        <v>153</v>
      </c>
      <c r="DZ615" s="273" t="s">
        <v>191</v>
      </c>
      <c r="EA615" s="274">
        <v>44257</v>
      </c>
      <c r="EB615" s="275">
        <v>7358</v>
      </c>
      <c r="EC615" s="276">
        <v>42975</v>
      </c>
      <c r="ED615" s="277" t="s">
        <v>226</v>
      </c>
      <c r="EE615" s="279" t="str">
        <f>HYPERLINK("https://my.pitchbook.com?c=60707-17", "View company online")</f>
        <v>View company online</v>
      </c>
    </row>
    <row r="616" spans="1:135" x14ac:dyDescent="0.45">
      <c r="A616" s="10" t="s">
        <v>12595</v>
      </c>
      <c r="B616" s="11" t="s">
        <v>12596</v>
      </c>
      <c r="C616" s="12" t="s">
        <v>153</v>
      </c>
      <c r="D616" s="13" t="s">
        <v>153</v>
      </c>
      <c r="E616" s="14" t="s">
        <v>153</v>
      </c>
      <c r="F616" s="15" t="s">
        <v>12597</v>
      </c>
      <c r="G616" s="16" t="s">
        <v>12598</v>
      </c>
      <c r="H616" s="17" t="s">
        <v>153</v>
      </c>
      <c r="I616" s="18" t="s">
        <v>12595</v>
      </c>
      <c r="J616" s="19" t="s">
        <v>12599</v>
      </c>
      <c r="K616" s="20" t="s">
        <v>157</v>
      </c>
      <c r="L616" s="21" t="s">
        <v>1667</v>
      </c>
      <c r="M616" s="22" t="s">
        <v>7301</v>
      </c>
      <c r="N616" s="23" t="s">
        <v>12600</v>
      </c>
      <c r="O616" s="24" t="s">
        <v>365</v>
      </c>
      <c r="P616" s="25" t="s">
        <v>12601</v>
      </c>
      <c r="Q616" s="26" t="s">
        <v>204</v>
      </c>
      <c r="R616" s="27" t="s">
        <v>153</v>
      </c>
      <c r="S616" s="28" t="s">
        <v>163</v>
      </c>
      <c r="T616" s="29" t="s">
        <v>205</v>
      </c>
      <c r="U616" s="30" t="s">
        <v>206</v>
      </c>
      <c r="V616" s="31" t="s">
        <v>12602</v>
      </c>
      <c r="W616" s="32" t="s">
        <v>153</v>
      </c>
      <c r="X616" s="33" t="s">
        <v>153</v>
      </c>
      <c r="Y616" s="34" t="s">
        <v>153</v>
      </c>
      <c r="Z616" s="35" t="s">
        <v>153</v>
      </c>
      <c r="AA616" s="36" t="s">
        <v>153</v>
      </c>
      <c r="AB616" s="37" t="s">
        <v>153</v>
      </c>
      <c r="AC616" s="38" t="s">
        <v>153</v>
      </c>
      <c r="AD616" s="39" t="s">
        <v>153</v>
      </c>
      <c r="AE616" s="40" t="s">
        <v>153</v>
      </c>
      <c r="AF616" s="41" t="s">
        <v>153</v>
      </c>
      <c r="AG616" s="42" t="s">
        <v>153</v>
      </c>
      <c r="AH616" s="43" t="s">
        <v>153</v>
      </c>
      <c r="AI616" s="44" t="s">
        <v>153</v>
      </c>
      <c r="AJ616" s="45" t="s">
        <v>153</v>
      </c>
      <c r="AK616" s="46" t="s">
        <v>153</v>
      </c>
      <c r="AL616" s="47" t="s">
        <v>153</v>
      </c>
      <c r="AM616" s="48" t="s">
        <v>153</v>
      </c>
      <c r="AN616" s="49" t="s">
        <v>153</v>
      </c>
      <c r="AO616" s="50" t="s">
        <v>153</v>
      </c>
      <c r="AP616" s="51" t="s">
        <v>153</v>
      </c>
      <c r="AQ616" s="52" t="s">
        <v>153</v>
      </c>
      <c r="AR616" s="53" t="s">
        <v>153</v>
      </c>
      <c r="AS616" s="54" t="s">
        <v>153</v>
      </c>
      <c r="AT616" s="55" t="s">
        <v>12603</v>
      </c>
      <c r="AU616" s="56" t="s">
        <v>12604</v>
      </c>
      <c r="AV616" s="57" t="s">
        <v>12605</v>
      </c>
      <c r="AW616" s="58" t="s">
        <v>12606</v>
      </c>
      <c r="AX616" s="59" t="s">
        <v>12607</v>
      </c>
      <c r="AY616" s="60" t="s">
        <v>12608</v>
      </c>
      <c r="AZ616" s="61" t="s">
        <v>1519</v>
      </c>
      <c r="BA616" s="62" t="s">
        <v>153</v>
      </c>
      <c r="BB616" s="63" t="s">
        <v>153</v>
      </c>
      <c r="BC616" s="64" t="s">
        <v>153</v>
      </c>
      <c r="BD616" s="65" t="s">
        <v>1406</v>
      </c>
      <c r="BE616" s="66" t="s">
        <v>1407</v>
      </c>
      <c r="BF616" s="67" t="s">
        <v>12609</v>
      </c>
      <c r="BG616" s="68" t="s">
        <v>12610</v>
      </c>
      <c r="BH616" s="69">
        <v>1</v>
      </c>
      <c r="BI616" s="70" t="s">
        <v>12611</v>
      </c>
      <c r="BJ616" s="71" t="s">
        <v>153</v>
      </c>
      <c r="BK616" s="72" t="s">
        <v>153</v>
      </c>
      <c r="BL616" s="73" t="s">
        <v>153</v>
      </c>
      <c r="BM616" s="74" t="s">
        <v>153</v>
      </c>
      <c r="BN616" s="75" t="s">
        <v>153</v>
      </c>
      <c r="BO616" s="76" t="s">
        <v>153</v>
      </c>
      <c r="BP616" s="77" t="s">
        <v>153</v>
      </c>
      <c r="BQ616" s="78">
        <v>41642</v>
      </c>
      <c r="BR616" s="79">
        <v>7330</v>
      </c>
      <c r="BS616" s="80" t="s">
        <v>186</v>
      </c>
      <c r="BT616" s="81">
        <v>12216.67</v>
      </c>
      <c r="BU616" s="82" t="s">
        <v>187</v>
      </c>
      <c r="BV616" s="83" t="s">
        <v>226</v>
      </c>
      <c r="BW616" s="84" t="s">
        <v>729</v>
      </c>
      <c r="BX616" s="85" t="s">
        <v>153</v>
      </c>
      <c r="BY616" s="86" t="s">
        <v>225</v>
      </c>
      <c r="BZ616" s="87" t="s">
        <v>153</v>
      </c>
      <c r="CA616" s="88" t="s">
        <v>190</v>
      </c>
      <c r="CB616" s="89">
        <v>41642</v>
      </c>
      <c r="CC616" s="90">
        <v>7330</v>
      </c>
      <c r="CD616" s="91" t="s">
        <v>186</v>
      </c>
      <c r="CE616" s="92">
        <v>12216.67</v>
      </c>
      <c r="CF616" s="93" t="s">
        <v>187</v>
      </c>
      <c r="CG616" s="94" t="s">
        <v>226</v>
      </c>
      <c r="CH616" s="95" t="s">
        <v>729</v>
      </c>
      <c r="CI616" s="96" t="s">
        <v>153</v>
      </c>
      <c r="CJ616" s="97" t="s">
        <v>225</v>
      </c>
      <c r="CK616" s="98">
        <v>41642</v>
      </c>
      <c r="CL616" s="99" t="s">
        <v>153</v>
      </c>
      <c r="CM616" s="100" t="s">
        <v>153</v>
      </c>
      <c r="CN616" s="101" t="s">
        <v>190</v>
      </c>
      <c r="CO616" s="102" t="s">
        <v>153</v>
      </c>
      <c r="CP616" s="103" t="s">
        <v>153</v>
      </c>
      <c r="CQ616" s="104" t="s">
        <v>153</v>
      </c>
      <c r="CR616" s="105" t="s">
        <v>153</v>
      </c>
      <c r="CS616" s="106" t="s">
        <v>153</v>
      </c>
      <c r="CT616" s="107" t="s">
        <v>153</v>
      </c>
      <c r="CU616" s="108" t="s">
        <v>153</v>
      </c>
      <c r="CV616" s="109" t="s">
        <v>153</v>
      </c>
      <c r="CW616" s="110" t="s">
        <v>153</v>
      </c>
      <c r="CX616" s="111" t="s">
        <v>153</v>
      </c>
      <c r="CY616" s="112" t="s">
        <v>153</v>
      </c>
      <c r="CZ616" s="113" t="s">
        <v>153</v>
      </c>
      <c r="DA616" s="114" t="s">
        <v>153</v>
      </c>
      <c r="DB616" s="115" t="s">
        <v>153</v>
      </c>
      <c r="DC616" s="116" t="s">
        <v>153</v>
      </c>
      <c r="DD616" s="117" t="s">
        <v>153</v>
      </c>
      <c r="DE616" s="118" t="s">
        <v>153</v>
      </c>
      <c r="DF616" s="119" t="s">
        <v>153</v>
      </c>
      <c r="DG616" s="120" t="s">
        <v>153</v>
      </c>
      <c r="DH616" s="121" t="s">
        <v>153</v>
      </c>
      <c r="DI616" s="122" t="s">
        <v>153</v>
      </c>
      <c r="DJ616" s="123" t="s">
        <v>153</v>
      </c>
      <c r="DK616" s="124" t="s">
        <v>153</v>
      </c>
      <c r="DL616" s="125" t="s">
        <v>153</v>
      </c>
      <c r="DM616" s="126" t="s">
        <v>153</v>
      </c>
      <c r="DN616" s="127" t="s">
        <v>153</v>
      </c>
      <c r="DO616" s="128" t="s">
        <v>153</v>
      </c>
      <c r="DP616" s="129" t="s">
        <v>153</v>
      </c>
      <c r="DQ616" s="130" t="s">
        <v>153</v>
      </c>
      <c r="DR616" s="131" t="s">
        <v>153</v>
      </c>
      <c r="DS616" s="132" t="s">
        <v>153</v>
      </c>
      <c r="DT616" s="133" t="s">
        <v>153</v>
      </c>
      <c r="DU616" s="134" t="s">
        <v>153</v>
      </c>
      <c r="DV616" s="135" t="s">
        <v>153</v>
      </c>
      <c r="DW616" s="136" t="s">
        <v>153</v>
      </c>
      <c r="DX616" s="137" t="s">
        <v>153</v>
      </c>
      <c r="DY616" s="138" t="s">
        <v>153</v>
      </c>
      <c r="DZ616" s="139" t="s">
        <v>191</v>
      </c>
      <c r="EA616" s="140">
        <v>43965</v>
      </c>
      <c r="EB616" s="141">
        <v>12216.67</v>
      </c>
      <c r="EC616" s="142">
        <v>41642</v>
      </c>
      <c r="ED616" s="143" t="s">
        <v>226</v>
      </c>
      <c r="EE616" s="278" t="str">
        <f>HYPERLINK("https://my.pitchbook.com?c=161321-05", "View company online")</f>
        <v>View company online</v>
      </c>
    </row>
    <row r="617" spans="1:135" x14ac:dyDescent="0.45">
      <c r="A617" s="144" t="s">
        <v>12612</v>
      </c>
      <c r="B617" s="145" t="s">
        <v>12613</v>
      </c>
      <c r="C617" s="146" t="s">
        <v>153</v>
      </c>
      <c r="D617" s="147" t="s">
        <v>153</v>
      </c>
      <c r="E617" s="148" t="s">
        <v>12614</v>
      </c>
      <c r="F617" s="149" t="s">
        <v>153</v>
      </c>
      <c r="G617" s="150" t="s">
        <v>12615</v>
      </c>
      <c r="H617" s="151" t="s">
        <v>12616</v>
      </c>
      <c r="I617" s="152" t="s">
        <v>12612</v>
      </c>
      <c r="J617" s="153" t="s">
        <v>12617</v>
      </c>
      <c r="K617" s="154" t="s">
        <v>559</v>
      </c>
      <c r="L617" s="155" t="s">
        <v>3055</v>
      </c>
      <c r="M617" s="156" t="s">
        <v>9830</v>
      </c>
      <c r="N617" s="157" t="s">
        <v>12618</v>
      </c>
      <c r="O617" s="158" t="s">
        <v>365</v>
      </c>
      <c r="P617" s="159" t="s">
        <v>12619</v>
      </c>
      <c r="Q617" s="160" t="s">
        <v>367</v>
      </c>
      <c r="R617" s="161" t="s">
        <v>153</v>
      </c>
      <c r="S617" s="162" t="s">
        <v>290</v>
      </c>
      <c r="T617" s="163" t="s">
        <v>291</v>
      </c>
      <c r="U617" s="164" t="s">
        <v>237</v>
      </c>
      <c r="V617" s="165" t="s">
        <v>12620</v>
      </c>
      <c r="W617" s="166">
        <v>28941</v>
      </c>
      <c r="X617" s="167" t="s">
        <v>12621</v>
      </c>
      <c r="Y617" s="168" t="s">
        <v>1644</v>
      </c>
      <c r="Z617" s="169" t="s">
        <v>12622</v>
      </c>
      <c r="AA617" s="170">
        <v>1940</v>
      </c>
      <c r="AB617" s="171" t="s">
        <v>153</v>
      </c>
      <c r="AC617" s="172" t="s">
        <v>153</v>
      </c>
      <c r="AD617" s="173" t="s">
        <v>4965</v>
      </c>
      <c r="AE617" s="174">
        <v>7868.96</v>
      </c>
      <c r="AF617" s="175">
        <v>2594.02</v>
      </c>
      <c r="AG617" s="176">
        <v>255.45</v>
      </c>
      <c r="AH617" s="177">
        <v>10802.93</v>
      </c>
      <c r="AI617" s="178">
        <v>990.2</v>
      </c>
      <c r="AJ617" s="179">
        <v>402.93</v>
      </c>
      <c r="AK617" s="180">
        <v>7988.17</v>
      </c>
      <c r="AL617" s="181">
        <v>2527.5500000000002</v>
      </c>
      <c r="AM617" s="182">
        <v>-1.1100000000000001</v>
      </c>
      <c r="AN617" s="183" t="s">
        <v>1765</v>
      </c>
      <c r="AO617" s="184" t="s">
        <v>12623</v>
      </c>
      <c r="AP617" s="185" t="s">
        <v>12624</v>
      </c>
      <c r="AQ617" s="186" t="s">
        <v>379</v>
      </c>
      <c r="AR617" s="187" t="s">
        <v>12625</v>
      </c>
      <c r="AS617" s="188" t="s">
        <v>12626</v>
      </c>
      <c r="AT617" s="189" t="s">
        <v>1071</v>
      </c>
      <c r="AU617" s="190" t="s">
        <v>12627</v>
      </c>
      <c r="AV617" s="191" t="s">
        <v>12628</v>
      </c>
      <c r="AW617" s="192" t="s">
        <v>1074</v>
      </c>
      <c r="AX617" s="193" t="s">
        <v>177</v>
      </c>
      <c r="AY617" s="194" t="s">
        <v>12629</v>
      </c>
      <c r="AZ617" s="195" t="s">
        <v>179</v>
      </c>
      <c r="BA617" s="196" t="s">
        <v>12626</v>
      </c>
      <c r="BB617" s="197" t="s">
        <v>153</v>
      </c>
      <c r="BC617" s="198" t="s">
        <v>153</v>
      </c>
      <c r="BD617" s="199" t="s">
        <v>180</v>
      </c>
      <c r="BE617" s="200" t="s">
        <v>181</v>
      </c>
      <c r="BF617" s="201" t="s">
        <v>12630</v>
      </c>
      <c r="BG617" s="202" t="s">
        <v>153</v>
      </c>
      <c r="BH617" s="203" t="s">
        <v>153</v>
      </c>
      <c r="BI617" s="204" t="s">
        <v>153</v>
      </c>
      <c r="BJ617" s="205" t="s">
        <v>153</v>
      </c>
      <c r="BK617" s="206" t="s">
        <v>12631</v>
      </c>
      <c r="BL617" s="207" t="s">
        <v>153</v>
      </c>
      <c r="BM617" s="208" t="s">
        <v>153</v>
      </c>
      <c r="BN617" s="209" t="s">
        <v>12632</v>
      </c>
      <c r="BO617" s="210" t="s">
        <v>12633</v>
      </c>
      <c r="BP617" s="211" t="s">
        <v>153</v>
      </c>
      <c r="BQ617" s="212">
        <v>18264</v>
      </c>
      <c r="BR617" s="213" t="s">
        <v>153</v>
      </c>
      <c r="BS617" s="214" t="s">
        <v>153</v>
      </c>
      <c r="BT617" s="215" t="s">
        <v>153</v>
      </c>
      <c r="BU617" s="216" t="s">
        <v>153</v>
      </c>
      <c r="BV617" s="217" t="s">
        <v>251</v>
      </c>
      <c r="BW617" s="218" t="s">
        <v>153</v>
      </c>
      <c r="BX617" s="219" t="s">
        <v>153</v>
      </c>
      <c r="BY617" s="220" t="s">
        <v>252</v>
      </c>
      <c r="BZ617" s="221" t="s">
        <v>153</v>
      </c>
      <c r="CA617" s="222" t="s">
        <v>190</v>
      </c>
      <c r="CB617" s="223">
        <v>44251</v>
      </c>
      <c r="CC617" s="224">
        <v>7320.51</v>
      </c>
      <c r="CD617" s="225" t="s">
        <v>186</v>
      </c>
      <c r="CE617" s="226">
        <v>7320.51</v>
      </c>
      <c r="CF617" s="227" t="s">
        <v>187</v>
      </c>
      <c r="CG617" s="228" t="s">
        <v>226</v>
      </c>
      <c r="CH617" s="229" t="s">
        <v>153</v>
      </c>
      <c r="CI617" s="230" t="s">
        <v>153</v>
      </c>
      <c r="CJ617" s="231" t="s">
        <v>225</v>
      </c>
      <c r="CK617" s="232">
        <v>44251</v>
      </c>
      <c r="CL617" s="233" t="s">
        <v>153</v>
      </c>
      <c r="CM617" s="234" t="s">
        <v>153</v>
      </c>
      <c r="CN617" s="235" t="s">
        <v>1278</v>
      </c>
      <c r="CO617" s="236">
        <v>-0.26</v>
      </c>
      <c r="CP617" s="237">
        <v>6</v>
      </c>
      <c r="CQ617" s="238">
        <v>0.04</v>
      </c>
      <c r="CR617" s="239">
        <v>14.29</v>
      </c>
      <c r="CS617" s="240">
        <v>-0.55000000000000004</v>
      </c>
      <c r="CT617" s="241">
        <v>5</v>
      </c>
      <c r="CU617" s="242">
        <v>0.03</v>
      </c>
      <c r="CV617" s="243">
        <v>79</v>
      </c>
      <c r="CW617" s="244">
        <v>-1.17</v>
      </c>
      <c r="CX617" s="245">
        <v>16</v>
      </c>
      <c r="CY617" s="246">
        <v>7.0000000000000007E-2</v>
      </c>
      <c r="CZ617" s="247">
        <v>90</v>
      </c>
      <c r="DA617" s="248">
        <v>0.03</v>
      </c>
      <c r="DB617" s="249">
        <v>79</v>
      </c>
      <c r="DC617" s="250">
        <v>88.52</v>
      </c>
      <c r="DD617" s="251">
        <v>99</v>
      </c>
      <c r="DE617" s="252">
        <v>0.41</v>
      </c>
      <c r="DF617" s="253">
        <v>0.47</v>
      </c>
      <c r="DG617" s="254">
        <v>125.48</v>
      </c>
      <c r="DH617" s="255">
        <v>100</v>
      </c>
      <c r="DI617" s="256">
        <v>51.55</v>
      </c>
      <c r="DJ617" s="257">
        <v>96</v>
      </c>
      <c r="DK617" s="258">
        <v>37.4</v>
      </c>
      <c r="DL617" s="259">
        <v>94</v>
      </c>
      <c r="DM617" s="260">
        <v>213.56</v>
      </c>
      <c r="DN617" s="261">
        <v>100</v>
      </c>
      <c r="DO617" s="262">
        <v>51.55</v>
      </c>
      <c r="DP617" s="263">
        <v>96</v>
      </c>
      <c r="DQ617" s="264">
        <v>22303</v>
      </c>
      <c r="DR617" s="265">
        <v>-451</v>
      </c>
      <c r="DS617" s="266">
        <v>-1.98</v>
      </c>
      <c r="DT617" s="267">
        <v>3412</v>
      </c>
      <c r="DU617" s="268">
        <v>13</v>
      </c>
      <c r="DV617" s="269">
        <v>0.38</v>
      </c>
      <c r="DW617" s="270">
        <v>16173</v>
      </c>
      <c r="DX617" s="271">
        <v>55</v>
      </c>
      <c r="DY617" s="272">
        <v>0.34</v>
      </c>
      <c r="DZ617" s="273" t="s">
        <v>191</v>
      </c>
      <c r="EA617" s="274">
        <v>44394</v>
      </c>
      <c r="EB617" s="275">
        <v>7320.51</v>
      </c>
      <c r="EC617" s="276">
        <v>44251</v>
      </c>
      <c r="ED617" s="277" t="s">
        <v>226</v>
      </c>
      <c r="EE617" s="279" t="str">
        <f>HYPERLINK("https://my.pitchbook.com?c=60041-71", "View company online")</f>
        <v>View company online</v>
      </c>
    </row>
    <row r="618" spans="1:135" x14ac:dyDescent="0.45">
      <c r="A618" s="10" t="s">
        <v>12634</v>
      </c>
      <c r="B618" s="11" t="s">
        <v>12635</v>
      </c>
      <c r="C618" s="12" t="s">
        <v>153</v>
      </c>
      <c r="D618" s="13" t="s">
        <v>153</v>
      </c>
      <c r="E618" s="14" t="s">
        <v>12636</v>
      </c>
      <c r="F618" s="15" t="s">
        <v>153</v>
      </c>
      <c r="G618" s="16" t="s">
        <v>12637</v>
      </c>
      <c r="H618" s="17" t="s">
        <v>12638</v>
      </c>
      <c r="I618" s="18" t="s">
        <v>12634</v>
      </c>
      <c r="J618" s="19" t="s">
        <v>12639</v>
      </c>
      <c r="K618" s="20" t="s">
        <v>559</v>
      </c>
      <c r="L618" s="21" t="s">
        <v>1345</v>
      </c>
      <c r="M618" s="22" t="s">
        <v>1346</v>
      </c>
      <c r="N618" s="23" t="s">
        <v>12640</v>
      </c>
      <c r="O618" s="24" t="s">
        <v>261</v>
      </c>
      <c r="P618" s="25" t="s">
        <v>12641</v>
      </c>
      <c r="Q618" s="26" t="s">
        <v>12642</v>
      </c>
      <c r="R618" s="27" t="s">
        <v>153</v>
      </c>
      <c r="S618" s="28" t="s">
        <v>368</v>
      </c>
      <c r="T618" s="29" t="s">
        <v>1488</v>
      </c>
      <c r="U618" s="30" t="s">
        <v>565</v>
      </c>
      <c r="V618" s="31" t="s">
        <v>12643</v>
      </c>
      <c r="W618" s="32">
        <v>34050</v>
      </c>
      <c r="X618" s="33" t="s">
        <v>12644</v>
      </c>
      <c r="Y618" s="34" t="s">
        <v>153</v>
      </c>
      <c r="Z618" s="35" t="s">
        <v>153</v>
      </c>
      <c r="AA618" s="36">
        <v>1956</v>
      </c>
      <c r="AB618" s="37" t="s">
        <v>153</v>
      </c>
      <c r="AC618" s="38" t="s">
        <v>153</v>
      </c>
      <c r="AD618" s="39" t="s">
        <v>428</v>
      </c>
      <c r="AE618" s="40">
        <v>7182.37</v>
      </c>
      <c r="AF618" s="41">
        <v>899.37</v>
      </c>
      <c r="AG618" s="42">
        <v>-398.77</v>
      </c>
      <c r="AH618" s="43">
        <v>8365.98</v>
      </c>
      <c r="AI618" s="44">
        <v>11.81</v>
      </c>
      <c r="AJ618" s="45">
        <v>-463.55</v>
      </c>
      <c r="AK618" s="46">
        <v>8287.02</v>
      </c>
      <c r="AL618" s="47">
        <v>870.04</v>
      </c>
      <c r="AM618" s="48">
        <v>-13.59</v>
      </c>
      <c r="AN618" s="49" t="s">
        <v>1765</v>
      </c>
      <c r="AO618" s="50" t="s">
        <v>12645</v>
      </c>
      <c r="AP618" s="51" t="s">
        <v>12646</v>
      </c>
      <c r="AQ618" s="52" t="s">
        <v>12647</v>
      </c>
      <c r="AR618" s="53" t="s">
        <v>153</v>
      </c>
      <c r="AS618" s="54" t="s">
        <v>12648</v>
      </c>
      <c r="AT618" s="55" t="s">
        <v>1399</v>
      </c>
      <c r="AU618" s="56" t="s">
        <v>12649</v>
      </c>
      <c r="AV618" s="57" t="s">
        <v>12650</v>
      </c>
      <c r="AW618" s="58" t="s">
        <v>1402</v>
      </c>
      <c r="AX618" s="59" t="s">
        <v>153</v>
      </c>
      <c r="AY618" s="60" t="s">
        <v>12651</v>
      </c>
      <c r="AZ618" s="61" t="s">
        <v>1404</v>
      </c>
      <c r="BA618" s="62" t="s">
        <v>12648</v>
      </c>
      <c r="BB618" s="63" t="s">
        <v>153</v>
      </c>
      <c r="BC618" s="64" t="s">
        <v>153</v>
      </c>
      <c r="BD618" s="65" t="s">
        <v>1406</v>
      </c>
      <c r="BE618" s="66" t="s">
        <v>1407</v>
      </c>
      <c r="BF618" s="67" t="s">
        <v>12652</v>
      </c>
      <c r="BG618" s="68" t="s">
        <v>10135</v>
      </c>
      <c r="BH618" s="69">
        <v>1</v>
      </c>
      <c r="BI618" s="70" t="s">
        <v>153</v>
      </c>
      <c r="BJ618" s="71" t="s">
        <v>153</v>
      </c>
      <c r="BK618" s="72" t="s">
        <v>12653</v>
      </c>
      <c r="BL618" s="73" t="s">
        <v>10136</v>
      </c>
      <c r="BM618" s="74" t="s">
        <v>153</v>
      </c>
      <c r="BN618" s="75" t="s">
        <v>12654</v>
      </c>
      <c r="BO618" s="76" t="s">
        <v>153</v>
      </c>
      <c r="BP618" s="77" t="s">
        <v>7846</v>
      </c>
      <c r="BQ618" s="78">
        <v>44294</v>
      </c>
      <c r="BR618" s="79">
        <v>7309.54</v>
      </c>
      <c r="BS618" s="80" t="s">
        <v>186</v>
      </c>
      <c r="BT618" s="81">
        <v>13787.61</v>
      </c>
      <c r="BU618" s="82" t="s">
        <v>187</v>
      </c>
      <c r="BV618" s="83" t="s">
        <v>188</v>
      </c>
      <c r="BW618" s="84" t="s">
        <v>930</v>
      </c>
      <c r="BX618" s="85" t="s">
        <v>153</v>
      </c>
      <c r="BY618" s="86" t="s">
        <v>165</v>
      </c>
      <c r="BZ618" s="87" t="s">
        <v>153</v>
      </c>
      <c r="CA618" s="88" t="s">
        <v>1278</v>
      </c>
      <c r="CB618" s="89">
        <v>44294</v>
      </c>
      <c r="CC618" s="90">
        <v>7309.54</v>
      </c>
      <c r="CD618" s="91" t="s">
        <v>186</v>
      </c>
      <c r="CE618" s="92">
        <v>13787.61</v>
      </c>
      <c r="CF618" s="93" t="s">
        <v>187</v>
      </c>
      <c r="CG618" s="94" t="s">
        <v>188</v>
      </c>
      <c r="CH618" s="95" t="s">
        <v>930</v>
      </c>
      <c r="CI618" s="96" t="s">
        <v>153</v>
      </c>
      <c r="CJ618" s="97" t="s">
        <v>165</v>
      </c>
      <c r="CK618" s="98">
        <v>44294</v>
      </c>
      <c r="CL618" s="99" t="s">
        <v>153</v>
      </c>
      <c r="CM618" s="100" t="s">
        <v>153</v>
      </c>
      <c r="CN618" s="101" t="s">
        <v>1278</v>
      </c>
      <c r="CO618" s="102">
        <v>-0.28999999999999998</v>
      </c>
      <c r="CP618" s="103">
        <v>6</v>
      </c>
      <c r="CQ618" s="104">
        <v>-0.02</v>
      </c>
      <c r="CR618" s="105">
        <v>-9.2799999999999994</v>
      </c>
      <c r="CS618" s="106">
        <v>-0.79</v>
      </c>
      <c r="CT618" s="107">
        <v>4</v>
      </c>
      <c r="CU618" s="108">
        <v>0</v>
      </c>
      <c r="CV618" s="109">
        <v>41</v>
      </c>
      <c r="CW618" s="110">
        <v>-1.76</v>
      </c>
      <c r="CX618" s="111">
        <v>13</v>
      </c>
      <c r="CY618" s="112">
        <v>0.19</v>
      </c>
      <c r="CZ618" s="113">
        <v>91</v>
      </c>
      <c r="DA618" s="114">
        <v>0</v>
      </c>
      <c r="DB618" s="115">
        <v>41</v>
      </c>
      <c r="DC618" s="116">
        <v>337.56</v>
      </c>
      <c r="DD618" s="117">
        <v>100</v>
      </c>
      <c r="DE618" s="118">
        <v>-0.01</v>
      </c>
      <c r="DF618" s="119">
        <v>0</v>
      </c>
      <c r="DG618" s="120">
        <v>92.38</v>
      </c>
      <c r="DH618" s="121">
        <v>99</v>
      </c>
      <c r="DI618" s="122">
        <v>0.02</v>
      </c>
      <c r="DJ618" s="123">
        <v>4</v>
      </c>
      <c r="DK618" s="124">
        <v>87.51</v>
      </c>
      <c r="DL618" s="125">
        <v>97</v>
      </c>
      <c r="DM618" s="126">
        <v>97.25</v>
      </c>
      <c r="DN618" s="127">
        <v>99</v>
      </c>
      <c r="DO618" s="128">
        <v>0.02</v>
      </c>
      <c r="DP618" s="129">
        <v>4</v>
      </c>
      <c r="DQ618" s="130">
        <v>51598</v>
      </c>
      <c r="DR618" s="131">
        <v>1077</v>
      </c>
      <c r="DS618" s="132">
        <v>2.13</v>
      </c>
      <c r="DT618" s="133">
        <v>1556</v>
      </c>
      <c r="DU618" s="134">
        <v>-1</v>
      </c>
      <c r="DV618" s="135">
        <v>-0.06</v>
      </c>
      <c r="DW618" s="136">
        <v>6</v>
      </c>
      <c r="DX618" s="137">
        <v>0</v>
      </c>
      <c r="DY618" s="138">
        <v>0</v>
      </c>
      <c r="DZ618" s="139" t="s">
        <v>191</v>
      </c>
      <c r="EA618" s="140">
        <v>44373</v>
      </c>
      <c r="EB618" s="141">
        <v>13787.61</v>
      </c>
      <c r="EC618" s="142">
        <v>44294</v>
      </c>
      <c r="ED618" s="143" t="s">
        <v>188</v>
      </c>
      <c r="EE618" s="278" t="str">
        <f>HYPERLINK("https://my.pitchbook.com?c=25767-82", "View company online")</f>
        <v>View company online</v>
      </c>
    </row>
    <row r="619" spans="1:135" x14ac:dyDescent="0.45">
      <c r="A619" s="144" t="s">
        <v>12655</v>
      </c>
      <c r="B619" s="145" t="s">
        <v>12656</v>
      </c>
      <c r="C619" s="146" t="s">
        <v>153</v>
      </c>
      <c r="D619" s="147" t="s">
        <v>153</v>
      </c>
      <c r="E619" s="148" t="s">
        <v>12657</v>
      </c>
      <c r="F619" s="149" t="s">
        <v>153</v>
      </c>
      <c r="G619" s="150" t="s">
        <v>12658</v>
      </c>
      <c r="H619" s="151" t="s">
        <v>153</v>
      </c>
      <c r="I619" s="152" t="s">
        <v>12655</v>
      </c>
      <c r="J619" s="153" t="s">
        <v>12659</v>
      </c>
      <c r="K619" s="154" t="s">
        <v>198</v>
      </c>
      <c r="L619" s="155" t="s">
        <v>199</v>
      </c>
      <c r="M619" s="156" t="s">
        <v>3522</v>
      </c>
      <c r="N619" s="157" t="s">
        <v>12660</v>
      </c>
      <c r="O619" s="158" t="s">
        <v>1592</v>
      </c>
      <c r="P619" s="159" t="s">
        <v>12661</v>
      </c>
      <c r="Q619" s="160" t="s">
        <v>289</v>
      </c>
      <c r="R619" s="161">
        <v>80.53</v>
      </c>
      <c r="S619" s="162" t="s">
        <v>368</v>
      </c>
      <c r="T619" s="163" t="s">
        <v>205</v>
      </c>
      <c r="U619" s="164" t="s">
        <v>12662</v>
      </c>
      <c r="V619" s="165" t="s">
        <v>12663</v>
      </c>
      <c r="W619" s="166" t="s">
        <v>153</v>
      </c>
      <c r="X619" s="167" t="s">
        <v>153</v>
      </c>
      <c r="Y619" s="168" t="s">
        <v>153</v>
      </c>
      <c r="Z619" s="169" t="s">
        <v>153</v>
      </c>
      <c r="AA619" s="170">
        <v>1997</v>
      </c>
      <c r="AB619" s="171" t="s">
        <v>153</v>
      </c>
      <c r="AC619" s="172" t="s">
        <v>153</v>
      </c>
      <c r="AD619" s="173" t="s">
        <v>153</v>
      </c>
      <c r="AE619" s="174" t="s">
        <v>153</v>
      </c>
      <c r="AF619" s="175" t="s">
        <v>153</v>
      </c>
      <c r="AG619" s="176" t="s">
        <v>153</v>
      </c>
      <c r="AH619" s="177" t="s">
        <v>153</v>
      </c>
      <c r="AI619" s="178" t="s">
        <v>153</v>
      </c>
      <c r="AJ619" s="179" t="s">
        <v>153</v>
      </c>
      <c r="AK619" s="180" t="s">
        <v>153</v>
      </c>
      <c r="AL619" s="181" t="s">
        <v>153</v>
      </c>
      <c r="AM619" s="182" t="s">
        <v>153</v>
      </c>
      <c r="AN619" s="183" t="s">
        <v>153</v>
      </c>
      <c r="AO619" s="184" t="s">
        <v>12664</v>
      </c>
      <c r="AP619" s="185" t="s">
        <v>12665</v>
      </c>
      <c r="AQ619" s="186" t="s">
        <v>12666</v>
      </c>
      <c r="AR619" s="187" t="s">
        <v>12667</v>
      </c>
      <c r="AS619" s="188" t="s">
        <v>153</v>
      </c>
      <c r="AT619" s="189" t="s">
        <v>1379</v>
      </c>
      <c r="AU619" s="190" t="s">
        <v>12668</v>
      </c>
      <c r="AV619" s="191" t="s">
        <v>153</v>
      </c>
      <c r="AW619" s="192" t="s">
        <v>1380</v>
      </c>
      <c r="AX619" s="193" t="s">
        <v>308</v>
      </c>
      <c r="AY619" s="194" t="s">
        <v>3272</v>
      </c>
      <c r="AZ619" s="195" t="s">
        <v>215</v>
      </c>
      <c r="BA619" s="196" t="s">
        <v>12669</v>
      </c>
      <c r="BB619" s="197" t="s">
        <v>153</v>
      </c>
      <c r="BC619" s="198" t="s">
        <v>153</v>
      </c>
      <c r="BD619" s="199" t="s">
        <v>216</v>
      </c>
      <c r="BE619" s="200" t="s">
        <v>217</v>
      </c>
      <c r="BF619" s="201" t="s">
        <v>12670</v>
      </c>
      <c r="BG619" s="202" t="s">
        <v>153</v>
      </c>
      <c r="BH619" s="203" t="s">
        <v>153</v>
      </c>
      <c r="BI619" s="204" t="s">
        <v>12671</v>
      </c>
      <c r="BJ619" s="205" t="s">
        <v>12672</v>
      </c>
      <c r="BK619" s="206" t="s">
        <v>153</v>
      </c>
      <c r="BL619" s="207" t="s">
        <v>153</v>
      </c>
      <c r="BM619" s="208" t="s">
        <v>12673</v>
      </c>
      <c r="BN619" s="209" t="s">
        <v>153</v>
      </c>
      <c r="BO619" s="210" t="s">
        <v>153</v>
      </c>
      <c r="BP619" s="211" t="s">
        <v>12674</v>
      </c>
      <c r="BQ619" s="212">
        <v>35490</v>
      </c>
      <c r="BR619" s="213">
        <v>0.01</v>
      </c>
      <c r="BS619" s="214" t="s">
        <v>186</v>
      </c>
      <c r="BT619" s="215" t="s">
        <v>153</v>
      </c>
      <c r="BU619" s="216" t="s">
        <v>153</v>
      </c>
      <c r="BV619" s="217" t="s">
        <v>1007</v>
      </c>
      <c r="BW619" s="218" t="s">
        <v>1007</v>
      </c>
      <c r="BX619" s="219" t="s">
        <v>153</v>
      </c>
      <c r="BY619" s="220" t="s">
        <v>472</v>
      </c>
      <c r="BZ619" s="221" t="s">
        <v>153</v>
      </c>
      <c r="CA619" s="222" t="s">
        <v>190</v>
      </c>
      <c r="CB619" s="223">
        <v>36466</v>
      </c>
      <c r="CC619" s="224">
        <v>7300</v>
      </c>
      <c r="CD619" s="225" t="s">
        <v>186</v>
      </c>
      <c r="CE619" s="226">
        <v>7300</v>
      </c>
      <c r="CF619" s="227" t="s">
        <v>186</v>
      </c>
      <c r="CG619" s="228" t="s">
        <v>226</v>
      </c>
      <c r="CH619" s="229" t="s">
        <v>153</v>
      </c>
      <c r="CI619" s="230" t="s">
        <v>153</v>
      </c>
      <c r="CJ619" s="231" t="s">
        <v>225</v>
      </c>
      <c r="CK619" s="232">
        <v>36466</v>
      </c>
      <c r="CL619" s="233" t="s">
        <v>153</v>
      </c>
      <c r="CM619" s="234" t="s">
        <v>153</v>
      </c>
      <c r="CN619" s="235" t="s">
        <v>190</v>
      </c>
      <c r="CO619" s="236" t="s">
        <v>153</v>
      </c>
      <c r="CP619" s="237" t="s">
        <v>153</v>
      </c>
      <c r="CQ619" s="238" t="s">
        <v>153</v>
      </c>
      <c r="CR619" s="239" t="s">
        <v>153</v>
      </c>
      <c r="CS619" s="240" t="s">
        <v>153</v>
      </c>
      <c r="CT619" s="241" t="s">
        <v>153</v>
      </c>
      <c r="CU619" s="242" t="s">
        <v>153</v>
      </c>
      <c r="CV619" s="243" t="s">
        <v>153</v>
      </c>
      <c r="CW619" s="244" t="s">
        <v>153</v>
      </c>
      <c r="CX619" s="245" t="s">
        <v>153</v>
      </c>
      <c r="CY619" s="246" t="s">
        <v>153</v>
      </c>
      <c r="CZ619" s="247" t="s">
        <v>153</v>
      </c>
      <c r="DA619" s="248" t="s">
        <v>153</v>
      </c>
      <c r="DB619" s="249" t="s">
        <v>153</v>
      </c>
      <c r="DC619" s="250" t="s">
        <v>153</v>
      </c>
      <c r="DD619" s="251" t="s">
        <v>153</v>
      </c>
      <c r="DE619" s="252" t="s">
        <v>153</v>
      </c>
      <c r="DF619" s="253" t="s">
        <v>153</v>
      </c>
      <c r="DG619" s="254" t="s">
        <v>153</v>
      </c>
      <c r="DH619" s="255" t="s">
        <v>153</v>
      </c>
      <c r="DI619" s="256" t="s">
        <v>153</v>
      </c>
      <c r="DJ619" s="257" t="s">
        <v>153</v>
      </c>
      <c r="DK619" s="258" t="s">
        <v>153</v>
      </c>
      <c r="DL619" s="259" t="s">
        <v>153</v>
      </c>
      <c r="DM619" s="260" t="s">
        <v>153</v>
      </c>
      <c r="DN619" s="261" t="s">
        <v>153</v>
      </c>
      <c r="DO619" s="262" t="s">
        <v>153</v>
      </c>
      <c r="DP619" s="263" t="s">
        <v>153</v>
      </c>
      <c r="DQ619" s="264" t="s">
        <v>153</v>
      </c>
      <c r="DR619" s="265" t="s">
        <v>153</v>
      </c>
      <c r="DS619" s="266" t="s">
        <v>153</v>
      </c>
      <c r="DT619" s="267" t="s">
        <v>153</v>
      </c>
      <c r="DU619" s="268" t="s">
        <v>153</v>
      </c>
      <c r="DV619" s="269" t="s">
        <v>153</v>
      </c>
      <c r="DW619" s="270" t="s">
        <v>153</v>
      </c>
      <c r="DX619" s="271" t="s">
        <v>153</v>
      </c>
      <c r="DY619" s="272" t="s">
        <v>153</v>
      </c>
      <c r="DZ619" s="273" t="s">
        <v>191</v>
      </c>
      <c r="EA619" s="274">
        <v>44166</v>
      </c>
      <c r="EB619" s="275">
        <v>7300</v>
      </c>
      <c r="EC619" s="276">
        <v>36466</v>
      </c>
      <c r="ED619" s="277" t="s">
        <v>226</v>
      </c>
      <c r="EE619" s="279" t="str">
        <f>HYPERLINK("https://my.pitchbook.com?c=53947-63", "View company online")</f>
        <v>View company online</v>
      </c>
    </row>
    <row r="620" spans="1:135" x14ac:dyDescent="0.45">
      <c r="A620" s="10" t="s">
        <v>12675</v>
      </c>
      <c r="B620" s="11" t="s">
        <v>12676</v>
      </c>
      <c r="C620" s="12" t="s">
        <v>153</v>
      </c>
      <c r="D620" s="13" t="s">
        <v>153</v>
      </c>
      <c r="E620" s="14" t="s">
        <v>12677</v>
      </c>
      <c r="F620" s="15" t="s">
        <v>153</v>
      </c>
      <c r="G620" s="16" t="s">
        <v>12678</v>
      </c>
      <c r="H620" s="17" t="s">
        <v>153</v>
      </c>
      <c r="I620" s="18" t="s">
        <v>12675</v>
      </c>
      <c r="J620" s="19" t="s">
        <v>12679</v>
      </c>
      <c r="K620" s="20" t="s">
        <v>559</v>
      </c>
      <c r="L620" s="21" t="s">
        <v>3022</v>
      </c>
      <c r="M620" s="22" t="s">
        <v>3023</v>
      </c>
      <c r="N620" s="23" t="s">
        <v>3024</v>
      </c>
      <c r="O620" s="24" t="s">
        <v>261</v>
      </c>
      <c r="P620" s="25" t="s">
        <v>12680</v>
      </c>
      <c r="Q620" s="26" t="s">
        <v>204</v>
      </c>
      <c r="R620" s="27">
        <v>204</v>
      </c>
      <c r="S620" s="28" t="s">
        <v>290</v>
      </c>
      <c r="T620" s="29" t="s">
        <v>205</v>
      </c>
      <c r="U620" s="30" t="s">
        <v>237</v>
      </c>
      <c r="V620" s="31" t="s">
        <v>12681</v>
      </c>
      <c r="W620" s="32">
        <v>17785</v>
      </c>
      <c r="X620" s="33" t="s">
        <v>12682</v>
      </c>
      <c r="Y620" s="34" t="s">
        <v>153</v>
      </c>
      <c r="Z620" s="35" t="s">
        <v>153</v>
      </c>
      <c r="AA620" s="36">
        <v>1893</v>
      </c>
      <c r="AB620" s="37" t="s">
        <v>153</v>
      </c>
      <c r="AC620" s="38" t="s">
        <v>153</v>
      </c>
      <c r="AD620" s="39" t="s">
        <v>153</v>
      </c>
      <c r="AE620" s="40" t="s">
        <v>153</v>
      </c>
      <c r="AF620" s="41" t="s">
        <v>153</v>
      </c>
      <c r="AG620" s="42" t="s">
        <v>153</v>
      </c>
      <c r="AH620" s="43" t="s">
        <v>153</v>
      </c>
      <c r="AI620" s="44" t="s">
        <v>153</v>
      </c>
      <c r="AJ620" s="45" t="s">
        <v>153</v>
      </c>
      <c r="AK620" s="46" t="s">
        <v>153</v>
      </c>
      <c r="AL620" s="47" t="s">
        <v>153</v>
      </c>
      <c r="AM620" s="48" t="s">
        <v>153</v>
      </c>
      <c r="AN620" s="49" t="s">
        <v>266</v>
      </c>
      <c r="AO620" s="50" t="s">
        <v>12683</v>
      </c>
      <c r="AP620" s="51" t="s">
        <v>12684</v>
      </c>
      <c r="AQ620" s="52" t="s">
        <v>968</v>
      </c>
      <c r="AR620" s="53" t="s">
        <v>12685</v>
      </c>
      <c r="AS620" s="54" t="s">
        <v>153</v>
      </c>
      <c r="AT620" s="55" t="s">
        <v>946</v>
      </c>
      <c r="AU620" s="56" t="s">
        <v>12686</v>
      </c>
      <c r="AV620" s="57" t="s">
        <v>153</v>
      </c>
      <c r="AW620" s="58" t="s">
        <v>948</v>
      </c>
      <c r="AX620" s="59" t="s">
        <v>213</v>
      </c>
      <c r="AY620" s="60" t="s">
        <v>12687</v>
      </c>
      <c r="AZ620" s="61" t="s">
        <v>215</v>
      </c>
      <c r="BA620" s="62" t="s">
        <v>153</v>
      </c>
      <c r="BB620" s="63" t="s">
        <v>153</v>
      </c>
      <c r="BC620" s="64" t="s">
        <v>153</v>
      </c>
      <c r="BD620" s="65" t="s">
        <v>216</v>
      </c>
      <c r="BE620" s="66" t="s">
        <v>217</v>
      </c>
      <c r="BF620" s="67" t="s">
        <v>12688</v>
      </c>
      <c r="BG620" s="68" t="s">
        <v>153</v>
      </c>
      <c r="BH620" s="69" t="s">
        <v>153</v>
      </c>
      <c r="BI620" s="70" t="s">
        <v>12689</v>
      </c>
      <c r="BJ620" s="71" t="s">
        <v>12690</v>
      </c>
      <c r="BK620" s="72" t="s">
        <v>153</v>
      </c>
      <c r="BL620" s="73" t="s">
        <v>153</v>
      </c>
      <c r="BM620" s="74" t="s">
        <v>153</v>
      </c>
      <c r="BN620" s="75" t="s">
        <v>153</v>
      </c>
      <c r="BO620" s="76" t="s">
        <v>153</v>
      </c>
      <c r="BP620" s="77" t="s">
        <v>153</v>
      </c>
      <c r="BQ620" s="78">
        <v>29951</v>
      </c>
      <c r="BR620" s="79" t="s">
        <v>153</v>
      </c>
      <c r="BS620" s="80" t="s">
        <v>153</v>
      </c>
      <c r="BT620" s="81" t="s">
        <v>153</v>
      </c>
      <c r="BU620" s="82" t="s">
        <v>153</v>
      </c>
      <c r="BV620" s="83" t="s">
        <v>251</v>
      </c>
      <c r="BW620" s="84" t="s">
        <v>153</v>
      </c>
      <c r="BX620" s="85" t="s">
        <v>153</v>
      </c>
      <c r="BY620" s="86" t="s">
        <v>252</v>
      </c>
      <c r="BZ620" s="87" t="s">
        <v>153</v>
      </c>
      <c r="CA620" s="88" t="s">
        <v>190</v>
      </c>
      <c r="CB620" s="89">
        <v>36659</v>
      </c>
      <c r="CC620" s="90">
        <v>7300</v>
      </c>
      <c r="CD620" s="91" t="s">
        <v>186</v>
      </c>
      <c r="CE620" s="92">
        <v>7300</v>
      </c>
      <c r="CF620" s="93" t="s">
        <v>186</v>
      </c>
      <c r="CG620" s="94" t="s">
        <v>226</v>
      </c>
      <c r="CH620" s="95" t="s">
        <v>153</v>
      </c>
      <c r="CI620" s="96" t="s">
        <v>153</v>
      </c>
      <c r="CJ620" s="97" t="s">
        <v>225</v>
      </c>
      <c r="CK620" s="98">
        <v>36659</v>
      </c>
      <c r="CL620" s="99" t="s">
        <v>153</v>
      </c>
      <c r="CM620" s="100" t="s">
        <v>153</v>
      </c>
      <c r="CN620" s="101" t="s">
        <v>190</v>
      </c>
      <c r="CO620" s="102" t="s">
        <v>153</v>
      </c>
      <c r="CP620" s="103" t="s">
        <v>153</v>
      </c>
      <c r="CQ620" s="104" t="s">
        <v>153</v>
      </c>
      <c r="CR620" s="105" t="s">
        <v>153</v>
      </c>
      <c r="CS620" s="106" t="s">
        <v>153</v>
      </c>
      <c r="CT620" s="107" t="s">
        <v>153</v>
      </c>
      <c r="CU620" s="108" t="s">
        <v>153</v>
      </c>
      <c r="CV620" s="109" t="s">
        <v>153</v>
      </c>
      <c r="CW620" s="110" t="s">
        <v>153</v>
      </c>
      <c r="CX620" s="111" t="s">
        <v>153</v>
      </c>
      <c r="CY620" s="112" t="s">
        <v>153</v>
      </c>
      <c r="CZ620" s="113" t="s">
        <v>153</v>
      </c>
      <c r="DA620" s="114" t="s">
        <v>153</v>
      </c>
      <c r="DB620" s="115" t="s">
        <v>153</v>
      </c>
      <c r="DC620" s="116" t="s">
        <v>153</v>
      </c>
      <c r="DD620" s="117" t="s">
        <v>153</v>
      </c>
      <c r="DE620" s="118" t="s">
        <v>153</v>
      </c>
      <c r="DF620" s="119" t="s">
        <v>153</v>
      </c>
      <c r="DG620" s="120" t="s">
        <v>153</v>
      </c>
      <c r="DH620" s="121" t="s">
        <v>153</v>
      </c>
      <c r="DI620" s="122" t="s">
        <v>153</v>
      </c>
      <c r="DJ620" s="123" t="s">
        <v>153</v>
      </c>
      <c r="DK620" s="124" t="s">
        <v>153</v>
      </c>
      <c r="DL620" s="125" t="s">
        <v>153</v>
      </c>
      <c r="DM620" s="126" t="s">
        <v>153</v>
      </c>
      <c r="DN620" s="127" t="s">
        <v>153</v>
      </c>
      <c r="DO620" s="128" t="s">
        <v>153</v>
      </c>
      <c r="DP620" s="129" t="s">
        <v>153</v>
      </c>
      <c r="DQ620" s="130" t="s">
        <v>153</v>
      </c>
      <c r="DR620" s="131" t="s">
        <v>153</v>
      </c>
      <c r="DS620" s="132" t="s">
        <v>153</v>
      </c>
      <c r="DT620" s="133" t="s">
        <v>153</v>
      </c>
      <c r="DU620" s="134" t="s">
        <v>153</v>
      </c>
      <c r="DV620" s="135" t="s">
        <v>153</v>
      </c>
      <c r="DW620" s="136" t="s">
        <v>153</v>
      </c>
      <c r="DX620" s="137" t="s">
        <v>153</v>
      </c>
      <c r="DY620" s="138" t="s">
        <v>153</v>
      </c>
      <c r="DZ620" s="139" t="s">
        <v>191</v>
      </c>
      <c r="EA620" s="140">
        <v>44368</v>
      </c>
      <c r="EB620" s="141">
        <v>7300</v>
      </c>
      <c r="EC620" s="142">
        <v>36659</v>
      </c>
      <c r="ED620" s="143" t="s">
        <v>226</v>
      </c>
      <c r="EE620" s="278" t="str">
        <f>HYPERLINK("https://my.pitchbook.com?c=12603-25", "View company online")</f>
        <v>View company online</v>
      </c>
    </row>
    <row r="621" spans="1:135" x14ac:dyDescent="0.45">
      <c r="A621" s="144" t="s">
        <v>12691</v>
      </c>
      <c r="B621" s="145" t="s">
        <v>12692</v>
      </c>
      <c r="C621" s="146" t="s">
        <v>153</v>
      </c>
      <c r="D621" s="147" t="s">
        <v>153</v>
      </c>
      <c r="E621" s="148" t="s">
        <v>153</v>
      </c>
      <c r="F621" s="149" t="s">
        <v>153</v>
      </c>
      <c r="G621" s="150" t="s">
        <v>12693</v>
      </c>
      <c r="H621" s="151" t="s">
        <v>12694</v>
      </c>
      <c r="I621" s="152" t="s">
        <v>12691</v>
      </c>
      <c r="J621" s="153" t="s">
        <v>12695</v>
      </c>
      <c r="K621" s="154" t="s">
        <v>157</v>
      </c>
      <c r="L621" s="155" t="s">
        <v>4190</v>
      </c>
      <c r="M621" s="156" t="s">
        <v>12696</v>
      </c>
      <c r="N621" s="157" t="s">
        <v>12697</v>
      </c>
      <c r="O621" s="158" t="s">
        <v>12698</v>
      </c>
      <c r="P621" s="159" t="s">
        <v>12699</v>
      </c>
      <c r="Q621" s="160" t="s">
        <v>564</v>
      </c>
      <c r="R621" s="161">
        <v>429.56</v>
      </c>
      <c r="S621" s="162" t="s">
        <v>368</v>
      </c>
      <c r="T621" s="163" t="s">
        <v>205</v>
      </c>
      <c r="U621" s="164" t="s">
        <v>292</v>
      </c>
      <c r="V621" s="165" t="s">
        <v>12700</v>
      </c>
      <c r="W621" s="166">
        <v>2841</v>
      </c>
      <c r="X621" s="167" t="s">
        <v>12701</v>
      </c>
      <c r="Y621" s="168" t="s">
        <v>153</v>
      </c>
      <c r="Z621" s="169" t="s">
        <v>153</v>
      </c>
      <c r="AA621" s="170">
        <v>2004</v>
      </c>
      <c r="AB621" s="171" t="s">
        <v>10899</v>
      </c>
      <c r="AC621" s="172" t="s">
        <v>428</v>
      </c>
      <c r="AD621" s="173" t="s">
        <v>4965</v>
      </c>
      <c r="AE621" s="174">
        <v>2007.59</v>
      </c>
      <c r="AF621" s="175">
        <v>659.54</v>
      </c>
      <c r="AG621" s="176">
        <v>-197.89</v>
      </c>
      <c r="AH621" s="177">
        <v>5797.42</v>
      </c>
      <c r="AI621" s="178">
        <v>-25.81</v>
      </c>
      <c r="AJ621" s="179">
        <v>-171.98</v>
      </c>
      <c r="AK621" s="180" t="s">
        <v>153</v>
      </c>
      <c r="AL621" s="181">
        <v>207.52</v>
      </c>
      <c r="AM621" s="182">
        <v>48.56</v>
      </c>
      <c r="AN621" s="183" t="s">
        <v>376</v>
      </c>
      <c r="AO621" s="184" t="s">
        <v>12702</v>
      </c>
      <c r="AP621" s="185" t="s">
        <v>12703</v>
      </c>
      <c r="AQ621" s="186" t="s">
        <v>12704</v>
      </c>
      <c r="AR621" s="187" t="s">
        <v>12705</v>
      </c>
      <c r="AS621" s="188" t="s">
        <v>153</v>
      </c>
      <c r="AT621" s="189" t="s">
        <v>433</v>
      </c>
      <c r="AU621" s="190" t="s">
        <v>12706</v>
      </c>
      <c r="AV621" s="191" t="s">
        <v>153</v>
      </c>
      <c r="AW621" s="192" t="s">
        <v>436</v>
      </c>
      <c r="AX621" s="193" t="s">
        <v>436</v>
      </c>
      <c r="AY621" s="194" t="s">
        <v>3557</v>
      </c>
      <c r="AZ621" s="195" t="s">
        <v>215</v>
      </c>
      <c r="BA621" s="196" t="s">
        <v>153</v>
      </c>
      <c r="BB621" s="197" t="s">
        <v>153</v>
      </c>
      <c r="BC621" s="198" t="s">
        <v>12707</v>
      </c>
      <c r="BD621" s="199" t="s">
        <v>216</v>
      </c>
      <c r="BE621" s="200" t="s">
        <v>217</v>
      </c>
      <c r="BF621" s="201" t="s">
        <v>12708</v>
      </c>
      <c r="BG621" s="202" t="s">
        <v>153</v>
      </c>
      <c r="BH621" s="203" t="s">
        <v>153</v>
      </c>
      <c r="BI621" s="204" t="s">
        <v>10899</v>
      </c>
      <c r="BJ621" s="205" t="s">
        <v>12709</v>
      </c>
      <c r="BK621" s="206" t="s">
        <v>153</v>
      </c>
      <c r="BL621" s="207" t="s">
        <v>153</v>
      </c>
      <c r="BM621" s="208" t="s">
        <v>12710</v>
      </c>
      <c r="BN621" s="209" t="s">
        <v>153</v>
      </c>
      <c r="BO621" s="210" t="s">
        <v>12711</v>
      </c>
      <c r="BP621" s="211" t="s">
        <v>12712</v>
      </c>
      <c r="BQ621" s="212">
        <v>39380</v>
      </c>
      <c r="BR621" s="213">
        <v>1.1000000000000001</v>
      </c>
      <c r="BS621" s="214" t="s">
        <v>186</v>
      </c>
      <c r="BT621" s="215">
        <v>2.88</v>
      </c>
      <c r="BU621" s="216" t="s">
        <v>186</v>
      </c>
      <c r="BV621" s="217" t="s">
        <v>471</v>
      </c>
      <c r="BW621" s="218" t="s">
        <v>1811</v>
      </c>
      <c r="BX621" s="219" t="s">
        <v>153</v>
      </c>
      <c r="BY621" s="220" t="s">
        <v>472</v>
      </c>
      <c r="BZ621" s="221" t="s">
        <v>153</v>
      </c>
      <c r="CA621" s="222" t="s">
        <v>190</v>
      </c>
      <c r="CB621" s="223">
        <v>44362</v>
      </c>
      <c r="CC621" s="224">
        <v>7300</v>
      </c>
      <c r="CD621" s="225" t="s">
        <v>186</v>
      </c>
      <c r="CE621" s="226">
        <v>7300</v>
      </c>
      <c r="CF621" s="227" t="s">
        <v>187</v>
      </c>
      <c r="CG621" s="228" t="s">
        <v>226</v>
      </c>
      <c r="CH621" s="229" t="s">
        <v>153</v>
      </c>
      <c r="CI621" s="230" t="s">
        <v>153</v>
      </c>
      <c r="CJ621" s="231" t="s">
        <v>225</v>
      </c>
      <c r="CK621" s="232">
        <v>44362</v>
      </c>
      <c r="CL621" s="233" t="s">
        <v>153</v>
      </c>
      <c r="CM621" s="234" t="s">
        <v>153</v>
      </c>
      <c r="CN621" s="235" t="s">
        <v>190</v>
      </c>
      <c r="CO621" s="236">
        <v>0.25</v>
      </c>
      <c r="CP621" s="237">
        <v>91</v>
      </c>
      <c r="CQ621" s="238">
        <v>0.04</v>
      </c>
      <c r="CR621" s="239">
        <v>16.41</v>
      </c>
      <c r="CS621" s="240">
        <v>0.13</v>
      </c>
      <c r="CT621" s="241">
        <v>90</v>
      </c>
      <c r="CU621" s="242" t="s">
        <v>153</v>
      </c>
      <c r="CV621" s="243" t="s">
        <v>153</v>
      </c>
      <c r="CW621" s="244">
        <v>0.21</v>
      </c>
      <c r="CX621" s="245">
        <v>77</v>
      </c>
      <c r="CY621" s="246">
        <v>0.05</v>
      </c>
      <c r="CZ621" s="247">
        <v>90</v>
      </c>
      <c r="DA621" s="248" t="s">
        <v>153</v>
      </c>
      <c r="DB621" s="249" t="s">
        <v>153</v>
      </c>
      <c r="DC621" s="250">
        <v>78849.789999999994</v>
      </c>
      <c r="DD621" s="251">
        <v>100</v>
      </c>
      <c r="DE621" s="252">
        <v>26251.45</v>
      </c>
      <c r="DF621" s="253">
        <v>49.91</v>
      </c>
      <c r="DG621" s="254">
        <v>4907.84</v>
      </c>
      <c r="DH621" s="255">
        <v>100</v>
      </c>
      <c r="DI621" s="256" t="s">
        <v>153</v>
      </c>
      <c r="DJ621" s="257" t="s">
        <v>153</v>
      </c>
      <c r="DK621" s="258">
        <v>8023.37</v>
      </c>
      <c r="DL621" s="259">
        <v>100</v>
      </c>
      <c r="DM621" s="260">
        <v>1792.31</v>
      </c>
      <c r="DN621" s="261">
        <v>100</v>
      </c>
      <c r="DO621" s="262" t="s">
        <v>153</v>
      </c>
      <c r="DP621" s="263" t="s">
        <v>153</v>
      </c>
      <c r="DQ621" s="264">
        <v>4752382</v>
      </c>
      <c r="DR621" s="265">
        <v>20071</v>
      </c>
      <c r="DS621" s="266">
        <v>0.42</v>
      </c>
      <c r="DT621" s="267">
        <v>28800</v>
      </c>
      <c r="DU621" s="268">
        <v>-321</v>
      </c>
      <c r="DV621" s="269">
        <v>-1.1000000000000001</v>
      </c>
      <c r="DW621" s="270">
        <v>211904</v>
      </c>
      <c r="DX621" s="271">
        <v>-322</v>
      </c>
      <c r="DY621" s="272">
        <v>-0.15</v>
      </c>
      <c r="DZ621" s="273" t="s">
        <v>191</v>
      </c>
      <c r="EA621" s="274">
        <v>44400</v>
      </c>
      <c r="EB621" s="275">
        <v>7300</v>
      </c>
      <c r="EC621" s="276">
        <v>44362</v>
      </c>
      <c r="ED621" s="277" t="s">
        <v>226</v>
      </c>
      <c r="EE621" s="279" t="str">
        <f>HYPERLINK("https://my.pitchbook.com?c=51258-16", "View company online")</f>
        <v>View company online</v>
      </c>
    </row>
    <row r="622" spans="1:135" x14ac:dyDescent="0.45">
      <c r="A622" s="10" t="s">
        <v>12713</v>
      </c>
      <c r="B622" s="11" t="s">
        <v>12714</v>
      </c>
      <c r="C622" s="12" t="s">
        <v>153</v>
      </c>
      <c r="D622" s="13" t="s">
        <v>153</v>
      </c>
      <c r="E622" s="14" t="s">
        <v>153</v>
      </c>
      <c r="F622" s="15" t="s">
        <v>153</v>
      </c>
      <c r="G622" s="16" t="s">
        <v>12715</v>
      </c>
      <c r="H622" s="17" t="s">
        <v>153</v>
      </c>
      <c r="I622" s="18" t="s">
        <v>12713</v>
      </c>
      <c r="J622" s="19" t="s">
        <v>12716</v>
      </c>
      <c r="K622" s="20" t="s">
        <v>792</v>
      </c>
      <c r="L622" s="21" t="s">
        <v>793</v>
      </c>
      <c r="M622" s="22" t="s">
        <v>1211</v>
      </c>
      <c r="N622" s="23" t="s">
        <v>12717</v>
      </c>
      <c r="O622" s="24" t="s">
        <v>796</v>
      </c>
      <c r="P622" s="25" t="s">
        <v>12718</v>
      </c>
      <c r="Q622" s="26" t="s">
        <v>367</v>
      </c>
      <c r="R622" s="27" t="s">
        <v>153</v>
      </c>
      <c r="S622" s="28" t="s">
        <v>163</v>
      </c>
      <c r="T622" s="29" t="s">
        <v>205</v>
      </c>
      <c r="U622" s="30" t="s">
        <v>237</v>
      </c>
      <c r="V622" s="31" t="s">
        <v>153</v>
      </c>
      <c r="W622" s="32">
        <v>9594</v>
      </c>
      <c r="X622" s="33" t="s">
        <v>12719</v>
      </c>
      <c r="Y622" s="34" t="s">
        <v>153</v>
      </c>
      <c r="Z622" s="35" t="s">
        <v>153</v>
      </c>
      <c r="AA622" s="36">
        <v>1998</v>
      </c>
      <c r="AB622" s="37" t="s">
        <v>153</v>
      </c>
      <c r="AC622" s="38" t="s">
        <v>153</v>
      </c>
      <c r="AD622" s="39" t="s">
        <v>153</v>
      </c>
      <c r="AE622" s="40" t="s">
        <v>153</v>
      </c>
      <c r="AF622" s="41" t="s">
        <v>153</v>
      </c>
      <c r="AG622" s="42" t="s">
        <v>153</v>
      </c>
      <c r="AH622" s="43" t="s">
        <v>153</v>
      </c>
      <c r="AI622" s="44" t="s">
        <v>153</v>
      </c>
      <c r="AJ622" s="45" t="s">
        <v>153</v>
      </c>
      <c r="AK622" s="46" t="s">
        <v>153</v>
      </c>
      <c r="AL622" s="47" t="s">
        <v>153</v>
      </c>
      <c r="AM622" s="48" t="s">
        <v>153</v>
      </c>
      <c r="AN622" s="49" t="s">
        <v>4622</v>
      </c>
      <c r="AO622" s="50" t="s">
        <v>153</v>
      </c>
      <c r="AP622" s="51" t="s">
        <v>153</v>
      </c>
      <c r="AQ622" s="52" t="s">
        <v>153</v>
      </c>
      <c r="AR622" s="53" t="s">
        <v>153</v>
      </c>
      <c r="AS622" s="54" t="s">
        <v>153</v>
      </c>
      <c r="AT622" s="55" t="s">
        <v>433</v>
      </c>
      <c r="AU622" s="56" t="s">
        <v>12720</v>
      </c>
      <c r="AV622" s="57" t="s">
        <v>12721</v>
      </c>
      <c r="AW622" s="58" t="s">
        <v>436</v>
      </c>
      <c r="AX622" s="59" t="s">
        <v>436</v>
      </c>
      <c r="AY622" s="60" t="s">
        <v>12722</v>
      </c>
      <c r="AZ622" s="61" t="s">
        <v>215</v>
      </c>
      <c r="BA622" s="62" t="s">
        <v>153</v>
      </c>
      <c r="BB622" s="63" t="s">
        <v>153</v>
      </c>
      <c r="BC622" s="64" t="s">
        <v>153</v>
      </c>
      <c r="BD622" s="65" t="s">
        <v>216</v>
      </c>
      <c r="BE622" s="66" t="s">
        <v>217</v>
      </c>
      <c r="BF622" s="67" t="s">
        <v>12723</v>
      </c>
      <c r="BG622" s="68" t="s">
        <v>153</v>
      </c>
      <c r="BH622" s="69" t="s">
        <v>153</v>
      </c>
      <c r="BI622" s="70" t="s">
        <v>3992</v>
      </c>
      <c r="BJ622" s="71" t="s">
        <v>153</v>
      </c>
      <c r="BK622" s="72" t="s">
        <v>153</v>
      </c>
      <c r="BL622" s="73" t="s">
        <v>153</v>
      </c>
      <c r="BM622" s="74" t="s">
        <v>153</v>
      </c>
      <c r="BN622" s="75" t="s">
        <v>153</v>
      </c>
      <c r="BO622" s="76" t="s">
        <v>12724</v>
      </c>
      <c r="BP622" s="77" t="s">
        <v>12725</v>
      </c>
      <c r="BQ622" s="78">
        <v>35796</v>
      </c>
      <c r="BR622" s="79" t="s">
        <v>153</v>
      </c>
      <c r="BS622" s="80" t="s">
        <v>153</v>
      </c>
      <c r="BT622" s="81" t="s">
        <v>153</v>
      </c>
      <c r="BU622" s="82" t="s">
        <v>153</v>
      </c>
      <c r="BV622" s="83" t="s">
        <v>589</v>
      </c>
      <c r="BW622" s="84" t="s">
        <v>153</v>
      </c>
      <c r="BX622" s="85" t="s">
        <v>153</v>
      </c>
      <c r="BY622" s="86" t="s">
        <v>225</v>
      </c>
      <c r="BZ622" s="87" t="s">
        <v>153</v>
      </c>
      <c r="CA622" s="88" t="s">
        <v>190</v>
      </c>
      <c r="CB622" s="89">
        <v>38718</v>
      </c>
      <c r="CC622" s="90">
        <v>7300</v>
      </c>
      <c r="CD622" s="91" t="s">
        <v>186</v>
      </c>
      <c r="CE622" s="92">
        <v>7300</v>
      </c>
      <c r="CF622" s="93" t="s">
        <v>187</v>
      </c>
      <c r="CG622" s="94" t="s">
        <v>226</v>
      </c>
      <c r="CH622" s="95" t="s">
        <v>153</v>
      </c>
      <c r="CI622" s="96" t="s">
        <v>153</v>
      </c>
      <c r="CJ622" s="97" t="s">
        <v>225</v>
      </c>
      <c r="CK622" s="98">
        <v>38718</v>
      </c>
      <c r="CL622" s="99" t="s">
        <v>153</v>
      </c>
      <c r="CM622" s="100" t="s">
        <v>153</v>
      </c>
      <c r="CN622" s="101" t="s">
        <v>190</v>
      </c>
      <c r="CO622" s="102" t="s">
        <v>153</v>
      </c>
      <c r="CP622" s="103" t="s">
        <v>153</v>
      </c>
      <c r="CQ622" s="104" t="s">
        <v>153</v>
      </c>
      <c r="CR622" s="105" t="s">
        <v>153</v>
      </c>
      <c r="CS622" s="106" t="s">
        <v>153</v>
      </c>
      <c r="CT622" s="107" t="s">
        <v>153</v>
      </c>
      <c r="CU622" s="108" t="s">
        <v>153</v>
      </c>
      <c r="CV622" s="109" t="s">
        <v>153</v>
      </c>
      <c r="CW622" s="110" t="s">
        <v>153</v>
      </c>
      <c r="CX622" s="111" t="s">
        <v>153</v>
      </c>
      <c r="CY622" s="112" t="s">
        <v>153</v>
      </c>
      <c r="CZ622" s="113" t="s">
        <v>153</v>
      </c>
      <c r="DA622" s="114" t="s">
        <v>153</v>
      </c>
      <c r="DB622" s="115" t="s">
        <v>153</v>
      </c>
      <c r="DC622" s="116" t="s">
        <v>153</v>
      </c>
      <c r="DD622" s="117" t="s">
        <v>153</v>
      </c>
      <c r="DE622" s="118" t="s">
        <v>153</v>
      </c>
      <c r="DF622" s="119" t="s">
        <v>153</v>
      </c>
      <c r="DG622" s="120" t="s">
        <v>153</v>
      </c>
      <c r="DH622" s="121" t="s">
        <v>153</v>
      </c>
      <c r="DI622" s="122" t="s">
        <v>153</v>
      </c>
      <c r="DJ622" s="123" t="s">
        <v>153</v>
      </c>
      <c r="DK622" s="124" t="s">
        <v>153</v>
      </c>
      <c r="DL622" s="125" t="s">
        <v>153</v>
      </c>
      <c r="DM622" s="126" t="s">
        <v>153</v>
      </c>
      <c r="DN622" s="127" t="s">
        <v>153</v>
      </c>
      <c r="DO622" s="128" t="s">
        <v>153</v>
      </c>
      <c r="DP622" s="129" t="s">
        <v>153</v>
      </c>
      <c r="DQ622" s="130" t="s">
        <v>153</v>
      </c>
      <c r="DR622" s="131" t="s">
        <v>153</v>
      </c>
      <c r="DS622" s="132" t="s">
        <v>153</v>
      </c>
      <c r="DT622" s="133" t="s">
        <v>153</v>
      </c>
      <c r="DU622" s="134" t="s">
        <v>153</v>
      </c>
      <c r="DV622" s="135" t="s">
        <v>153</v>
      </c>
      <c r="DW622" s="136" t="s">
        <v>153</v>
      </c>
      <c r="DX622" s="137" t="s">
        <v>153</v>
      </c>
      <c r="DY622" s="138" t="s">
        <v>153</v>
      </c>
      <c r="DZ622" s="139" t="s">
        <v>191</v>
      </c>
      <c r="EA622" s="140">
        <v>44217</v>
      </c>
      <c r="EB622" s="141">
        <v>7300</v>
      </c>
      <c r="EC622" s="142">
        <v>38718</v>
      </c>
      <c r="ED622" s="143" t="s">
        <v>226</v>
      </c>
      <c r="EE622" s="278" t="str">
        <f>HYPERLINK("https://my.pitchbook.com?c=11553-31", "View company online")</f>
        <v>View company online</v>
      </c>
    </row>
    <row r="623" spans="1:135" x14ac:dyDescent="0.45">
      <c r="A623" s="144" t="s">
        <v>12726</v>
      </c>
      <c r="B623" s="145" t="s">
        <v>12727</v>
      </c>
      <c r="C623" s="146" t="s">
        <v>153</v>
      </c>
      <c r="D623" s="147" t="s">
        <v>153</v>
      </c>
      <c r="E623" s="148" t="s">
        <v>153</v>
      </c>
      <c r="F623" s="149" t="s">
        <v>153</v>
      </c>
      <c r="G623" s="150" t="s">
        <v>153</v>
      </c>
      <c r="H623" s="151" t="s">
        <v>153</v>
      </c>
      <c r="I623" s="152" t="s">
        <v>12726</v>
      </c>
      <c r="J623" s="153" t="s">
        <v>12728</v>
      </c>
      <c r="K623" s="154" t="s">
        <v>157</v>
      </c>
      <c r="L623" s="155" t="s">
        <v>817</v>
      </c>
      <c r="M623" s="156" t="s">
        <v>1499</v>
      </c>
      <c r="N623" s="157" t="s">
        <v>2944</v>
      </c>
      <c r="O623" s="158" t="s">
        <v>261</v>
      </c>
      <c r="P623" s="159" t="s">
        <v>12729</v>
      </c>
      <c r="Q623" s="160" t="s">
        <v>204</v>
      </c>
      <c r="R623" s="161" t="s">
        <v>153</v>
      </c>
      <c r="S623" s="162" t="s">
        <v>163</v>
      </c>
      <c r="T623" s="163" t="s">
        <v>164</v>
      </c>
      <c r="U623" s="164" t="s">
        <v>206</v>
      </c>
      <c r="V623" s="165" t="s">
        <v>12730</v>
      </c>
      <c r="W623" s="166" t="s">
        <v>153</v>
      </c>
      <c r="X623" s="167" t="s">
        <v>153</v>
      </c>
      <c r="Y623" s="168" t="s">
        <v>153</v>
      </c>
      <c r="Z623" s="169" t="s">
        <v>153</v>
      </c>
      <c r="AA623" s="170">
        <v>1842</v>
      </c>
      <c r="AB623" s="171" t="s">
        <v>11681</v>
      </c>
      <c r="AC623" s="172" t="s">
        <v>153</v>
      </c>
      <c r="AD623" s="173" t="s">
        <v>153</v>
      </c>
      <c r="AE623" s="174" t="s">
        <v>153</v>
      </c>
      <c r="AF623" s="175" t="s">
        <v>153</v>
      </c>
      <c r="AG623" s="176" t="s">
        <v>153</v>
      </c>
      <c r="AH623" s="177" t="s">
        <v>153</v>
      </c>
      <c r="AI623" s="178" t="s">
        <v>153</v>
      </c>
      <c r="AJ623" s="179" t="s">
        <v>153</v>
      </c>
      <c r="AK623" s="180" t="s">
        <v>153</v>
      </c>
      <c r="AL623" s="181" t="s">
        <v>153</v>
      </c>
      <c r="AM623" s="182" t="s">
        <v>153</v>
      </c>
      <c r="AN623" s="183" t="s">
        <v>456</v>
      </c>
      <c r="AO623" s="184" t="s">
        <v>153</v>
      </c>
      <c r="AP623" s="185" t="s">
        <v>153</v>
      </c>
      <c r="AQ623" s="186" t="s">
        <v>153</v>
      </c>
      <c r="AR623" s="187" t="s">
        <v>153</v>
      </c>
      <c r="AS623" s="188" t="s">
        <v>153</v>
      </c>
      <c r="AT623" s="189" t="s">
        <v>12731</v>
      </c>
      <c r="AU623" s="190" t="s">
        <v>153</v>
      </c>
      <c r="AV623" s="191" t="s">
        <v>153</v>
      </c>
      <c r="AW623" s="192" t="s">
        <v>12732</v>
      </c>
      <c r="AX623" s="193" t="s">
        <v>153</v>
      </c>
      <c r="AY623" s="194" t="s">
        <v>153</v>
      </c>
      <c r="AZ623" s="195" t="s">
        <v>2977</v>
      </c>
      <c r="BA623" s="196" t="s">
        <v>153</v>
      </c>
      <c r="BB623" s="197" t="s">
        <v>153</v>
      </c>
      <c r="BC623" s="198" t="s">
        <v>153</v>
      </c>
      <c r="BD623" s="199" t="s">
        <v>180</v>
      </c>
      <c r="BE623" s="200" t="s">
        <v>809</v>
      </c>
      <c r="BF623" s="201" t="s">
        <v>12733</v>
      </c>
      <c r="BG623" s="202" t="s">
        <v>153</v>
      </c>
      <c r="BH623" s="203" t="s">
        <v>153</v>
      </c>
      <c r="BI623" s="204" t="s">
        <v>11681</v>
      </c>
      <c r="BJ623" s="205" t="s">
        <v>3508</v>
      </c>
      <c r="BK623" s="206" t="s">
        <v>153</v>
      </c>
      <c r="BL623" s="207" t="s">
        <v>153</v>
      </c>
      <c r="BM623" s="208" t="s">
        <v>11683</v>
      </c>
      <c r="BN623" s="209" t="s">
        <v>153</v>
      </c>
      <c r="BO623" s="210" t="s">
        <v>153</v>
      </c>
      <c r="BP623" s="211" t="s">
        <v>153</v>
      </c>
      <c r="BQ623" s="212">
        <v>42717</v>
      </c>
      <c r="BR623" s="213">
        <v>7300</v>
      </c>
      <c r="BS623" s="214" t="s">
        <v>186</v>
      </c>
      <c r="BT623" s="215">
        <v>7300</v>
      </c>
      <c r="BU623" s="216" t="s">
        <v>186</v>
      </c>
      <c r="BV623" s="217" t="s">
        <v>226</v>
      </c>
      <c r="BW623" s="218" t="s">
        <v>729</v>
      </c>
      <c r="BX623" s="219" t="s">
        <v>153</v>
      </c>
      <c r="BY623" s="220" t="s">
        <v>225</v>
      </c>
      <c r="BZ623" s="221" t="s">
        <v>153</v>
      </c>
      <c r="CA623" s="222" t="s">
        <v>190</v>
      </c>
      <c r="CB623" s="223">
        <v>42717</v>
      </c>
      <c r="CC623" s="224">
        <v>7300</v>
      </c>
      <c r="CD623" s="225" t="s">
        <v>186</v>
      </c>
      <c r="CE623" s="226">
        <v>7300</v>
      </c>
      <c r="CF623" s="227" t="s">
        <v>186</v>
      </c>
      <c r="CG623" s="228" t="s">
        <v>226</v>
      </c>
      <c r="CH623" s="229" t="s">
        <v>729</v>
      </c>
      <c r="CI623" s="230" t="s">
        <v>153</v>
      </c>
      <c r="CJ623" s="231" t="s">
        <v>225</v>
      </c>
      <c r="CK623" s="232">
        <v>42717</v>
      </c>
      <c r="CL623" s="233" t="s">
        <v>153</v>
      </c>
      <c r="CM623" s="234" t="s">
        <v>153</v>
      </c>
      <c r="CN623" s="235" t="s">
        <v>190</v>
      </c>
      <c r="CO623" s="236">
        <v>2.38</v>
      </c>
      <c r="CP623" s="237">
        <v>99</v>
      </c>
      <c r="CQ623" s="238">
        <v>-0.04</v>
      </c>
      <c r="CR623" s="239">
        <v>-1.78</v>
      </c>
      <c r="CS623" s="240">
        <v>4.75</v>
      </c>
      <c r="CT623" s="241">
        <v>100</v>
      </c>
      <c r="CU623" s="242">
        <v>0.02</v>
      </c>
      <c r="CV623" s="243">
        <v>78</v>
      </c>
      <c r="CW623" s="244">
        <v>9.6300000000000008</v>
      </c>
      <c r="CX623" s="245">
        <v>99</v>
      </c>
      <c r="CY623" s="246">
        <v>-0.14000000000000001</v>
      </c>
      <c r="CZ623" s="247">
        <v>4</v>
      </c>
      <c r="DA623" s="248">
        <v>0.02</v>
      </c>
      <c r="DB623" s="249">
        <v>78</v>
      </c>
      <c r="DC623" s="250">
        <v>33.26</v>
      </c>
      <c r="DD623" s="251">
        <v>98</v>
      </c>
      <c r="DE623" s="252">
        <v>-0.03</v>
      </c>
      <c r="DF623" s="253">
        <v>-0.08</v>
      </c>
      <c r="DG623" s="254">
        <v>46.56</v>
      </c>
      <c r="DH623" s="255">
        <v>98</v>
      </c>
      <c r="DI623" s="256">
        <v>19.96</v>
      </c>
      <c r="DJ623" s="257">
        <v>92</v>
      </c>
      <c r="DK623" s="258">
        <v>22.13</v>
      </c>
      <c r="DL623" s="259">
        <v>91</v>
      </c>
      <c r="DM623" s="260">
        <v>71</v>
      </c>
      <c r="DN623" s="261">
        <v>99</v>
      </c>
      <c r="DO623" s="262">
        <v>19.96</v>
      </c>
      <c r="DP623" s="263">
        <v>92</v>
      </c>
      <c r="DQ623" s="264">
        <v>12882</v>
      </c>
      <c r="DR623" s="265">
        <v>877</v>
      </c>
      <c r="DS623" s="266">
        <v>7.31</v>
      </c>
      <c r="DT623" s="267">
        <v>1138</v>
      </c>
      <c r="DU623" s="268">
        <v>-7</v>
      </c>
      <c r="DV623" s="269">
        <v>-0.61</v>
      </c>
      <c r="DW623" s="270">
        <v>6267</v>
      </c>
      <c r="DX623" s="271">
        <v>3</v>
      </c>
      <c r="DY623" s="272">
        <v>0.05</v>
      </c>
      <c r="DZ623" s="273" t="s">
        <v>191</v>
      </c>
      <c r="EA623" s="274">
        <v>43755</v>
      </c>
      <c r="EB623" s="275">
        <v>7300</v>
      </c>
      <c r="EC623" s="276">
        <v>42717</v>
      </c>
      <c r="ED623" s="277" t="s">
        <v>226</v>
      </c>
      <c r="EE623" s="279" t="str">
        <f>HYPERLINK("https://my.pitchbook.com?c=171310-96", "View company online")</f>
        <v>View company online</v>
      </c>
    </row>
    <row r="624" spans="1:135" x14ac:dyDescent="0.45">
      <c r="A624" s="10" t="s">
        <v>12734</v>
      </c>
      <c r="B624" s="11" t="s">
        <v>12735</v>
      </c>
      <c r="C624" s="12" t="s">
        <v>153</v>
      </c>
      <c r="D624" s="13" t="s">
        <v>153</v>
      </c>
      <c r="E624" s="14" t="s">
        <v>12736</v>
      </c>
      <c r="F624" s="15" t="s">
        <v>12737</v>
      </c>
      <c r="G624" s="16" t="s">
        <v>153</v>
      </c>
      <c r="H624" s="17" t="s">
        <v>153</v>
      </c>
      <c r="I624" s="18" t="s">
        <v>12734</v>
      </c>
      <c r="J624" s="19" t="s">
        <v>12738</v>
      </c>
      <c r="K624" s="20" t="s">
        <v>232</v>
      </c>
      <c r="L624" s="21" t="s">
        <v>362</v>
      </c>
      <c r="M624" s="22" t="s">
        <v>1059</v>
      </c>
      <c r="N624" s="23" t="s">
        <v>9700</v>
      </c>
      <c r="O624" s="24" t="s">
        <v>153</v>
      </c>
      <c r="P624" s="25" t="s">
        <v>12739</v>
      </c>
      <c r="Q624" s="26" t="s">
        <v>204</v>
      </c>
      <c r="R624" s="27" t="s">
        <v>153</v>
      </c>
      <c r="S624" s="28" t="s">
        <v>163</v>
      </c>
      <c r="T624" s="29" t="s">
        <v>1392</v>
      </c>
      <c r="U624" s="30" t="s">
        <v>2000</v>
      </c>
      <c r="V624" s="31" t="s">
        <v>12740</v>
      </c>
      <c r="W624" s="32" t="s">
        <v>153</v>
      </c>
      <c r="X624" s="33" t="s">
        <v>153</v>
      </c>
      <c r="Y624" s="34" t="s">
        <v>153</v>
      </c>
      <c r="Z624" s="35" t="s">
        <v>153</v>
      </c>
      <c r="AA624" s="36">
        <v>2001</v>
      </c>
      <c r="AB624" s="37" t="s">
        <v>153</v>
      </c>
      <c r="AC624" s="38" t="s">
        <v>153</v>
      </c>
      <c r="AD624" s="39" t="s">
        <v>153</v>
      </c>
      <c r="AE624" s="40" t="s">
        <v>153</v>
      </c>
      <c r="AF624" s="41" t="s">
        <v>153</v>
      </c>
      <c r="AG624" s="42" t="s">
        <v>153</v>
      </c>
      <c r="AH624" s="43" t="s">
        <v>153</v>
      </c>
      <c r="AI624" s="44" t="s">
        <v>153</v>
      </c>
      <c r="AJ624" s="45" t="s">
        <v>153</v>
      </c>
      <c r="AK624" s="46" t="s">
        <v>153</v>
      </c>
      <c r="AL624" s="47" t="s">
        <v>153</v>
      </c>
      <c r="AM624" s="48" t="s">
        <v>153</v>
      </c>
      <c r="AN624" s="49" t="s">
        <v>153</v>
      </c>
      <c r="AO624" s="50" t="s">
        <v>12741</v>
      </c>
      <c r="AP624" s="51" t="s">
        <v>12742</v>
      </c>
      <c r="AQ624" s="52" t="s">
        <v>171</v>
      </c>
      <c r="AR624" s="53" t="s">
        <v>153</v>
      </c>
      <c r="AS624" s="54" t="s">
        <v>12743</v>
      </c>
      <c r="AT624" s="55" t="s">
        <v>624</v>
      </c>
      <c r="AU624" s="56" t="s">
        <v>12744</v>
      </c>
      <c r="AV624" s="57" t="s">
        <v>12745</v>
      </c>
      <c r="AW624" s="58" t="s">
        <v>627</v>
      </c>
      <c r="AX624" s="59" t="s">
        <v>153</v>
      </c>
      <c r="AY624" s="60" t="s">
        <v>12746</v>
      </c>
      <c r="AZ624" s="61" t="s">
        <v>629</v>
      </c>
      <c r="BA624" s="62" t="s">
        <v>12743</v>
      </c>
      <c r="BB624" s="63" t="s">
        <v>12747</v>
      </c>
      <c r="BC624" s="64" t="s">
        <v>12748</v>
      </c>
      <c r="BD624" s="65" t="s">
        <v>180</v>
      </c>
      <c r="BE624" s="66" t="s">
        <v>181</v>
      </c>
      <c r="BF624" s="67" t="s">
        <v>12749</v>
      </c>
      <c r="BG624" s="68" t="s">
        <v>153</v>
      </c>
      <c r="BH624" s="69" t="s">
        <v>153</v>
      </c>
      <c r="BI624" s="70" t="s">
        <v>12750</v>
      </c>
      <c r="BJ624" s="71" t="s">
        <v>12751</v>
      </c>
      <c r="BK624" s="72" t="s">
        <v>12752</v>
      </c>
      <c r="BL624" s="73" t="s">
        <v>153</v>
      </c>
      <c r="BM624" s="74" t="s">
        <v>12753</v>
      </c>
      <c r="BN624" s="75" t="s">
        <v>12754</v>
      </c>
      <c r="BO624" s="76" t="s">
        <v>153</v>
      </c>
      <c r="BP624" s="77" t="s">
        <v>12755</v>
      </c>
      <c r="BQ624" s="78">
        <v>40749</v>
      </c>
      <c r="BR624" s="79" t="s">
        <v>153</v>
      </c>
      <c r="BS624" s="80" t="s">
        <v>153</v>
      </c>
      <c r="BT624" s="81" t="s">
        <v>153</v>
      </c>
      <c r="BU624" s="82" t="s">
        <v>153</v>
      </c>
      <c r="BV624" s="83" t="s">
        <v>188</v>
      </c>
      <c r="BW624" s="84" t="s">
        <v>729</v>
      </c>
      <c r="BX624" s="85" t="s">
        <v>153</v>
      </c>
      <c r="BY624" s="86" t="s">
        <v>165</v>
      </c>
      <c r="BZ624" s="87" t="s">
        <v>153</v>
      </c>
      <c r="CA624" s="88" t="s">
        <v>394</v>
      </c>
      <c r="CB624" s="89">
        <v>40924</v>
      </c>
      <c r="CC624" s="90">
        <v>7300</v>
      </c>
      <c r="CD624" s="91" t="s">
        <v>186</v>
      </c>
      <c r="CE624" s="92">
        <v>7300</v>
      </c>
      <c r="CF624" s="93" t="s">
        <v>186</v>
      </c>
      <c r="CG624" s="94" t="s">
        <v>226</v>
      </c>
      <c r="CH624" s="95" t="s">
        <v>153</v>
      </c>
      <c r="CI624" s="96" t="s">
        <v>153</v>
      </c>
      <c r="CJ624" s="97" t="s">
        <v>225</v>
      </c>
      <c r="CK624" s="98">
        <v>40924</v>
      </c>
      <c r="CL624" s="99" t="s">
        <v>153</v>
      </c>
      <c r="CM624" s="100" t="s">
        <v>153</v>
      </c>
      <c r="CN624" s="101" t="s">
        <v>190</v>
      </c>
      <c r="CO624" s="102" t="s">
        <v>153</v>
      </c>
      <c r="CP624" s="103" t="s">
        <v>153</v>
      </c>
      <c r="CQ624" s="104" t="s">
        <v>153</v>
      </c>
      <c r="CR624" s="105" t="s">
        <v>153</v>
      </c>
      <c r="CS624" s="106" t="s">
        <v>153</v>
      </c>
      <c r="CT624" s="107" t="s">
        <v>153</v>
      </c>
      <c r="CU624" s="108" t="s">
        <v>153</v>
      </c>
      <c r="CV624" s="109" t="s">
        <v>153</v>
      </c>
      <c r="CW624" s="110" t="s">
        <v>153</v>
      </c>
      <c r="CX624" s="111" t="s">
        <v>153</v>
      </c>
      <c r="CY624" s="112" t="s">
        <v>153</v>
      </c>
      <c r="CZ624" s="113" t="s">
        <v>153</v>
      </c>
      <c r="DA624" s="114" t="s">
        <v>153</v>
      </c>
      <c r="DB624" s="115" t="s">
        <v>153</v>
      </c>
      <c r="DC624" s="116" t="s">
        <v>153</v>
      </c>
      <c r="DD624" s="117" t="s">
        <v>153</v>
      </c>
      <c r="DE624" s="118" t="s">
        <v>153</v>
      </c>
      <c r="DF624" s="119" t="s">
        <v>153</v>
      </c>
      <c r="DG624" s="120" t="s">
        <v>153</v>
      </c>
      <c r="DH624" s="121" t="s">
        <v>153</v>
      </c>
      <c r="DI624" s="122" t="s">
        <v>153</v>
      </c>
      <c r="DJ624" s="123" t="s">
        <v>153</v>
      </c>
      <c r="DK624" s="124" t="s">
        <v>153</v>
      </c>
      <c r="DL624" s="125" t="s">
        <v>153</v>
      </c>
      <c r="DM624" s="126" t="s">
        <v>153</v>
      </c>
      <c r="DN624" s="127" t="s">
        <v>153</v>
      </c>
      <c r="DO624" s="128" t="s">
        <v>153</v>
      </c>
      <c r="DP624" s="129" t="s">
        <v>153</v>
      </c>
      <c r="DQ624" s="130" t="s">
        <v>153</v>
      </c>
      <c r="DR624" s="131" t="s">
        <v>153</v>
      </c>
      <c r="DS624" s="132" t="s">
        <v>153</v>
      </c>
      <c r="DT624" s="133" t="s">
        <v>153</v>
      </c>
      <c r="DU624" s="134" t="s">
        <v>153</v>
      </c>
      <c r="DV624" s="135" t="s">
        <v>153</v>
      </c>
      <c r="DW624" s="136" t="s">
        <v>153</v>
      </c>
      <c r="DX624" s="137" t="s">
        <v>153</v>
      </c>
      <c r="DY624" s="138" t="s">
        <v>153</v>
      </c>
      <c r="DZ624" s="139" t="s">
        <v>191</v>
      </c>
      <c r="EA624" s="140">
        <v>44154</v>
      </c>
      <c r="EB624" s="141">
        <v>7300</v>
      </c>
      <c r="EC624" s="142">
        <v>40924</v>
      </c>
      <c r="ED624" s="143" t="s">
        <v>226</v>
      </c>
      <c r="EE624" s="278" t="str">
        <f>HYPERLINK("https://my.pitchbook.com?c=52539-22", "View company online")</f>
        <v>View company online</v>
      </c>
    </row>
    <row r="625" spans="1:135" x14ac:dyDescent="0.45">
      <c r="A625" s="144" t="s">
        <v>12756</v>
      </c>
      <c r="B625" s="145" t="s">
        <v>12757</v>
      </c>
      <c r="C625" s="146" t="s">
        <v>153</v>
      </c>
      <c r="D625" s="147" t="s">
        <v>153</v>
      </c>
      <c r="E625" s="148" t="s">
        <v>153</v>
      </c>
      <c r="F625" s="149" t="s">
        <v>12758</v>
      </c>
      <c r="G625" s="150" t="s">
        <v>12759</v>
      </c>
      <c r="H625" s="151" t="s">
        <v>12760</v>
      </c>
      <c r="I625" s="152" t="s">
        <v>12756</v>
      </c>
      <c r="J625" s="153" t="s">
        <v>12761</v>
      </c>
      <c r="K625" s="154" t="s">
        <v>232</v>
      </c>
      <c r="L625" s="155" t="s">
        <v>2162</v>
      </c>
      <c r="M625" s="156" t="s">
        <v>4087</v>
      </c>
      <c r="N625" s="157" t="s">
        <v>7287</v>
      </c>
      <c r="O625" s="158" t="s">
        <v>153</v>
      </c>
      <c r="P625" s="159" t="s">
        <v>12762</v>
      </c>
      <c r="Q625" s="160" t="s">
        <v>204</v>
      </c>
      <c r="R625" s="161">
        <v>455</v>
      </c>
      <c r="S625" s="162" t="s">
        <v>290</v>
      </c>
      <c r="T625" s="163" t="s">
        <v>164</v>
      </c>
      <c r="U625" s="164" t="s">
        <v>237</v>
      </c>
      <c r="V625" s="165" t="s">
        <v>12763</v>
      </c>
      <c r="W625" s="166" t="s">
        <v>153</v>
      </c>
      <c r="X625" s="167" t="s">
        <v>153</v>
      </c>
      <c r="Y625" s="168" t="s">
        <v>153</v>
      </c>
      <c r="Z625" s="169" t="s">
        <v>153</v>
      </c>
      <c r="AA625" s="170">
        <v>1847</v>
      </c>
      <c r="AB625" s="171" t="s">
        <v>12764</v>
      </c>
      <c r="AC625" s="172" t="s">
        <v>153</v>
      </c>
      <c r="AD625" s="173" t="s">
        <v>153</v>
      </c>
      <c r="AE625" s="174" t="s">
        <v>153</v>
      </c>
      <c r="AF625" s="175" t="s">
        <v>153</v>
      </c>
      <c r="AG625" s="176" t="s">
        <v>153</v>
      </c>
      <c r="AH625" s="177" t="s">
        <v>153</v>
      </c>
      <c r="AI625" s="178" t="s">
        <v>153</v>
      </c>
      <c r="AJ625" s="179" t="s">
        <v>153</v>
      </c>
      <c r="AK625" s="180" t="s">
        <v>153</v>
      </c>
      <c r="AL625" s="181" t="s">
        <v>153</v>
      </c>
      <c r="AM625" s="182" t="s">
        <v>153</v>
      </c>
      <c r="AN625" s="183" t="s">
        <v>4414</v>
      </c>
      <c r="AO625" s="184" t="s">
        <v>12765</v>
      </c>
      <c r="AP625" s="185" t="s">
        <v>12766</v>
      </c>
      <c r="AQ625" s="186" t="s">
        <v>12767</v>
      </c>
      <c r="AR625" s="187" t="s">
        <v>153</v>
      </c>
      <c r="AS625" s="188" t="s">
        <v>12768</v>
      </c>
      <c r="AT625" s="189" t="s">
        <v>3708</v>
      </c>
      <c r="AU625" s="190" t="s">
        <v>12769</v>
      </c>
      <c r="AV625" s="191" t="s">
        <v>153</v>
      </c>
      <c r="AW625" s="192" t="s">
        <v>3711</v>
      </c>
      <c r="AX625" s="193" t="s">
        <v>3712</v>
      </c>
      <c r="AY625" s="194" t="s">
        <v>12770</v>
      </c>
      <c r="AZ625" s="195" t="s">
        <v>1358</v>
      </c>
      <c r="BA625" s="196" t="s">
        <v>12768</v>
      </c>
      <c r="BB625" s="197" t="s">
        <v>153</v>
      </c>
      <c r="BC625" s="198" t="s">
        <v>12771</v>
      </c>
      <c r="BD625" s="199" t="s">
        <v>216</v>
      </c>
      <c r="BE625" s="200" t="s">
        <v>217</v>
      </c>
      <c r="BF625" s="201" t="s">
        <v>12772</v>
      </c>
      <c r="BG625" s="202" t="s">
        <v>153</v>
      </c>
      <c r="BH625" s="203" t="s">
        <v>153</v>
      </c>
      <c r="BI625" s="204" t="s">
        <v>12764</v>
      </c>
      <c r="BJ625" s="205" t="s">
        <v>153</v>
      </c>
      <c r="BK625" s="206" t="s">
        <v>153</v>
      </c>
      <c r="BL625" s="207" t="s">
        <v>153</v>
      </c>
      <c r="BM625" s="208" t="s">
        <v>153</v>
      </c>
      <c r="BN625" s="209" t="s">
        <v>153</v>
      </c>
      <c r="BO625" s="210" t="s">
        <v>12773</v>
      </c>
      <c r="BP625" s="211" t="s">
        <v>355</v>
      </c>
      <c r="BQ625" s="212">
        <v>36469</v>
      </c>
      <c r="BR625" s="213">
        <v>455</v>
      </c>
      <c r="BS625" s="214" t="s">
        <v>186</v>
      </c>
      <c r="BT625" s="215">
        <v>2724.55</v>
      </c>
      <c r="BU625" s="216" t="s">
        <v>186</v>
      </c>
      <c r="BV625" s="217" t="s">
        <v>251</v>
      </c>
      <c r="BW625" s="218" t="s">
        <v>153</v>
      </c>
      <c r="BX625" s="219" t="s">
        <v>153</v>
      </c>
      <c r="BY625" s="220" t="s">
        <v>252</v>
      </c>
      <c r="BZ625" s="221" t="s">
        <v>153</v>
      </c>
      <c r="CA625" s="222" t="s">
        <v>190</v>
      </c>
      <c r="CB625" s="223">
        <v>37812</v>
      </c>
      <c r="CC625" s="224">
        <v>7300</v>
      </c>
      <c r="CD625" s="225" t="s">
        <v>186</v>
      </c>
      <c r="CE625" s="226">
        <v>7300</v>
      </c>
      <c r="CF625" s="227" t="s">
        <v>186</v>
      </c>
      <c r="CG625" s="228" t="s">
        <v>226</v>
      </c>
      <c r="CH625" s="229" t="s">
        <v>930</v>
      </c>
      <c r="CI625" s="230" t="s">
        <v>153</v>
      </c>
      <c r="CJ625" s="231" t="s">
        <v>225</v>
      </c>
      <c r="CK625" s="232">
        <v>37812</v>
      </c>
      <c r="CL625" s="233" t="s">
        <v>153</v>
      </c>
      <c r="CM625" s="234" t="s">
        <v>153</v>
      </c>
      <c r="CN625" s="235" t="s">
        <v>190</v>
      </c>
      <c r="CO625" s="236">
        <v>0.48</v>
      </c>
      <c r="CP625" s="237">
        <v>93</v>
      </c>
      <c r="CQ625" s="238">
        <v>-0.01</v>
      </c>
      <c r="CR625" s="239">
        <v>-2.0699999999999998</v>
      </c>
      <c r="CS625" s="240">
        <v>0.21</v>
      </c>
      <c r="CT625" s="241">
        <v>91</v>
      </c>
      <c r="CU625" s="242">
        <v>0.76</v>
      </c>
      <c r="CV625" s="243">
        <v>98</v>
      </c>
      <c r="CW625" s="244">
        <v>-1.55</v>
      </c>
      <c r="CX625" s="245">
        <v>14</v>
      </c>
      <c r="CY625" s="246">
        <v>1.97</v>
      </c>
      <c r="CZ625" s="247">
        <v>100</v>
      </c>
      <c r="DA625" s="248">
        <v>0.76</v>
      </c>
      <c r="DB625" s="249">
        <v>98</v>
      </c>
      <c r="DC625" s="250">
        <v>138.58000000000001</v>
      </c>
      <c r="DD625" s="251">
        <v>100</v>
      </c>
      <c r="DE625" s="252">
        <v>-0.46</v>
      </c>
      <c r="DF625" s="253">
        <v>-0.33</v>
      </c>
      <c r="DG625" s="254">
        <v>267.74</v>
      </c>
      <c r="DH625" s="255">
        <v>100</v>
      </c>
      <c r="DI625" s="256">
        <v>9.42</v>
      </c>
      <c r="DJ625" s="257">
        <v>86</v>
      </c>
      <c r="DK625" s="258">
        <v>346.41</v>
      </c>
      <c r="DL625" s="259">
        <v>99</v>
      </c>
      <c r="DM625" s="260">
        <v>189.06</v>
      </c>
      <c r="DN625" s="261">
        <v>100</v>
      </c>
      <c r="DO625" s="262">
        <v>9.42</v>
      </c>
      <c r="DP625" s="263">
        <v>86</v>
      </c>
      <c r="DQ625" s="264">
        <v>206577</v>
      </c>
      <c r="DR625" s="265">
        <v>-4237</v>
      </c>
      <c r="DS625" s="266">
        <v>-2.0099999999999998</v>
      </c>
      <c r="DT625" s="267">
        <v>3038</v>
      </c>
      <c r="DU625" s="268">
        <v>-34</v>
      </c>
      <c r="DV625" s="269">
        <v>-1.1100000000000001</v>
      </c>
      <c r="DW625" s="270">
        <v>2954</v>
      </c>
      <c r="DX625" s="271">
        <v>17</v>
      </c>
      <c r="DY625" s="272">
        <v>0.57999999999999996</v>
      </c>
      <c r="DZ625" s="273" t="s">
        <v>191</v>
      </c>
      <c r="EA625" s="274">
        <v>44397</v>
      </c>
      <c r="EB625" s="275">
        <v>7300</v>
      </c>
      <c r="EC625" s="276">
        <v>37812</v>
      </c>
      <c r="ED625" s="277" t="s">
        <v>226</v>
      </c>
      <c r="EE625" s="279" t="str">
        <f>HYPERLINK("https://my.pitchbook.com?c=108064-00", "View company online")</f>
        <v>View company online</v>
      </c>
    </row>
    <row r="626" spans="1:135" x14ac:dyDescent="0.45">
      <c r="A626" s="10" t="s">
        <v>12774</v>
      </c>
      <c r="B626" s="11" t="s">
        <v>12775</v>
      </c>
      <c r="C626" s="12" t="s">
        <v>153</v>
      </c>
      <c r="D626" s="13" t="s">
        <v>153</v>
      </c>
      <c r="E626" s="14" t="s">
        <v>153</v>
      </c>
      <c r="F626" s="15" t="s">
        <v>12776</v>
      </c>
      <c r="G626" s="16" t="s">
        <v>12777</v>
      </c>
      <c r="H626" s="17" t="s">
        <v>153</v>
      </c>
      <c r="I626" s="18" t="s">
        <v>12774</v>
      </c>
      <c r="J626" s="19" t="s">
        <v>12778</v>
      </c>
      <c r="K626" s="20" t="s">
        <v>198</v>
      </c>
      <c r="L626" s="21" t="s">
        <v>284</v>
      </c>
      <c r="M626" s="22" t="s">
        <v>5030</v>
      </c>
      <c r="N626" s="23" t="s">
        <v>12779</v>
      </c>
      <c r="O626" s="24" t="s">
        <v>399</v>
      </c>
      <c r="P626" s="25" t="s">
        <v>12780</v>
      </c>
      <c r="Q626" s="26" t="s">
        <v>204</v>
      </c>
      <c r="R626" s="27">
        <v>764</v>
      </c>
      <c r="S626" s="28" t="s">
        <v>163</v>
      </c>
      <c r="T626" s="29" t="s">
        <v>205</v>
      </c>
      <c r="U626" s="30" t="s">
        <v>292</v>
      </c>
      <c r="V626" s="31" t="s">
        <v>12781</v>
      </c>
      <c r="W626" s="32">
        <v>10153</v>
      </c>
      <c r="X626" s="33" t="s">
        <v>12782</v>
      </c>
      <c r="Y626" s="34" t="s">
        <v>153</v>
      </c>
      <c r="Z626" s="35" t="s">
        <v>153</v>
      </c>
      <c r="AA626" s="36">
        <v>1982</v>
      </c>
      <c r="AB626" s="37" t="s">
        <v>153</v>
      </c>
      <c r="AC626" s="38" t="s">
        <v>153</v>
      </c>
      <c r="AD626" s="39" t="s">
        <v>153</v>
      </c>
      <c r="AE626" s="40" t="s">
        <v>153</v>
      </c>
      <c r="AF626" s="41" t="s">
        <v>153</v>
      </c>
      <c r="AG626" s="42" t="s">
        <v>153</v>
      </c>
      <c r="AH626" s="43" t="s">
        <v>153</v>
      </c>
      <c r="AI626" s="44" t="s">
        <v>153</v>
      </c>
      <c r="AJ626" s="45" t="s">
        <v>153</v>
      </c>
      <c r="AK626" s="46" t="s">
        <v>153</v>
      </c>
      <c r="AL626" s="47" t="s">
        <v>153</v>
      </c>
      <c r="AM626" s="48" t="s">
        <v>153</v>
      </c>
      <c r="AN626" s="49" t="s">
        <v>1195</v>
      </c>
      <c r="AO626" s="50" t="s">
        <v>12783</v>
      </c>
      <c r="AP626" s="51" t="s">
        <v>12784</v>
      </c>
      <c r="AQ626" s="52" t="s">
        <v>5090</v>
      </c>
      <c r="AR626" s="53" t="s">
        <v>12785</v>
      </c>
      <c r="AS626" s="54" t="s">
        <v>12786</v>
      </c>
      <c r="AT626" s="55" t="s">
        <v>2033</v>
      </c>
      <c r="AU626" s="56" t="s">
        <v>12787</v>
      </c>
      <c r="AV626" s="57" t="s">
        <v>153</v>
      </c>
      <c r="AW626" s="58" t="s">
        <v>2036</v>
      </c>
      <c r="AX626" s="59" t="s">
        <v>308</v>
      </c>
      <c r="AY626" s="60" t="s">
        <v>2037</v>
      </c>
      <c r="AZ626" s="61" t="s">
        <v>215</v>
      </c>
      <c r="BA626" s="62" t="s">
        <v>153</v>
      </c>
      <c r="BB626" s="63" t="s">
        <v>153</v>
      </c>
      <c r="BC626" s="64" t="s">
        <v>153</v>
      </c>
      <c r="BD626" s="65" t="s">
        <v>216</v>
      </c>
      <c r="BE626" s="66" t="s">
        <v>217</v>
      </c>
      <c r="BF626" s="67" t="s">
        <v>12788</v>
      </c>
      <c r="BG626" s="68" t="s">
        <v>153</v>
      </c>
      <c r="BH626" s="69" t="s">
        <v>153</v>
      </c>
      <c r="BI626" s="70" t="s">
        <v>8707</v>
      </c>
      <c r="BJ626" s="71" t="s">
        <v>12789</v>
      </c>
      <c r="BK626" s="72" t="s">
        <v>153</v>
      </c>
      <c r="BL626" s="73" t="s">
        <v>153</v>
      </c>
      <c r="BM626" s="74" t="s">
        <v>12790</v>
      </c>
      <c r="BN626" s="75" t="s">
        <v>153</v>
      </c>
      <c r="BO626" s="76" t="s">
        <v>12791</v>
      </c>
      <c r="BP626" s="77" t="s">
        <v>12792</v>
      </c>
      <c r="BQ626" s="78" t="s">
        <v>153</v>
      </c>
      <c r="BR626" s="79" t="s">
        <v>153</v>
      </c>
      <c r="BS626" s="80" t="s">
        <v>153</v>
      </c>
      <c r="BT626" s="81" t="s">
        <v>153</v>
      </c>
      <c r="BU626" s="82" t="s">
        <v>153</v>
      </c>
      <c r="BV626" s="83" t="s">
        <v>471</v>
      </c>
      <c r="BW626" s="84" t="s">
        <v>153</v>
      </c>
      <c r="BX626" s="85" t="s">
        <v>153</v>
      </c>
      <c r="BY626" s="86" t="s">
        <v>472</v>
      </c>
      <c r="BZ626" s="87" t="s">
        <v>153</v>
      </c>
      <c r="CA626" s="88" t="s">
        <v>190</v>
      </c>
      <c r="CB626" s="89">
        <v>40204</v>
      </c>
      <c r="CC626" s="90">
        <v>7295</v>
      </c>
      <c r="CD626" s="91" t="s">
        <v>186</v>
      </c>
      <c r="CE626" s="92">
        <v>7295</v>
      </c>
      <c r="CF626" s="93" t="s">
        <v>186</v>
      </c>
      <c r="CG626" s="94" t="s">
        <v>226</v>
      </c>
      <c r="CH626" s="95" t="s">
        <v>153</v>
      </c>
      <c r="CI626" s="96" t="s">
        <v>153</v>
      </c>
      <c r="CJ626" s="97" t="s">
        <v>225</v>
      </c>
      <c r="CK626" s="98">
        <v>40204</v>
      </c>
      <c r="CL626" s="99" t="s">
        <v>153</v>
      </c>
      <c r="CM626" s="100" t="s">
        <v>153</v>
      </c>
      <c r="CN626" s="101" t="s">
        <v>190</v>
      </c>
      <c r="CO626" s="102" t="s">
        <v>153</v>
      </c>
      <c r="CP626" s="103" t="s">
        <v>153</v>
      </c>
      <c r="CQ626" s="104" t="s">
        <v>153</v>
      </c>
      <c r="CR626" s="105" t="s">
        <v>153</v>
      </c>
      <c r="CS626" s="106" t="s">
        <v>153</v>
      </c>
      <c r="CT626" s="107" t="s">
        <v>153</v>
      </c>
      <c r="CU626" s="108" t="s">
        <v>153</v>
      </c>
      <c r="CV626" s="109" t="s">
        <v>153</v>
      </c>
      <c r="CW626" s="110" t="s">
        <v>153</v>
      </c>
      <c r="CX626" s="111" t="s">
        <v>153</v>
      </c>
      <c r="CY626" s="112" t="s">
        <v>153</v>
      </c>
      <c r="CZ626" s="113" t="s">
        <v>153</v>
      </c>
      <c r="DA626" s="114" t="s">
        <v>153</v>
      </c>
      <c r="DB626" s="115" t="s">
        <v>153</v>
      </c>
      <c r="DC626" s="116" t="s">
        <v>153</v>
      </c>
      <c r="DD626" s="117" t="s">
        <v>153</v>
      </c>
      <c r="DE626" s="118" t="s">
        <v>153</v>
      </c>
      <c r="DF626" s="119" t="s">
        <v>153</v>
      </c>
      <c r="DG626" s="120" t="s">
        <v>153</v>
      </c>
      <c r="DH626" s="121" t="s">
        <v>153</v>
      </c>
      <c r="DI626" s="122" t="s">
        <v>153</v>
      </c>
      <c r="DJ626" s="123" t="s">
        <v>153</v>
      </c>
      <c r="DK626" s="124" t="s">
        <v>153</v>
      </c>
      <c r="DL626" s="125" t="s">
        <v>153</v>
      </c>
      <c r="DM626" s="126" t="s">
        <v>153</v>
      </c>
      <c r="DN626" s="127" t="s">
        <v>153</v>
      </c>
      <c r="DO626" s="128" t="s">
        <v>153</v>
      </c>
      <c r="DP626" s="129" t="s">
        <v>153</v>
      </c>
      <c r="DQ626" s="130" t="s">
        <v>153</v>
      </c>
      <c r="DR626" s="131" t="s">
        <v>153</v>
      </c>
      <c r="DS626" s="132" t="s">
        <v>153</v>
      </c>
      <c r="DT626" s="133" t="s">
        <v>153</v>
      </c>
      <c r="DU626" s="134" t="s">
        <v>153</v>
      </c>
      <c r="DV626" s="135" t="s">
        <v>153</v>
      </c>
      <c r="DW626" s="136" t="s">
        <v>153</v>
      </c>
      <c r="DX626" s="137" t="s">
        <v>153</v>
      </c>
      <c r="DY626" s="138" t="s">
        <v>153</v>
      </c>
      <c r="DZ626" s="139" t="s">
        <v>191</v>
      </c>
      <c r="EA626" s="140">
        <v>44294</v>
      </c>
      <c r="EB626" s="141">
        <v>7295</v>
      </c>
      <c r="EC626" s="142">
        <v>40204</v>
      </c>
      <c r="ED626" s="143" t="s">
        <v>226</v>
      </c>
      <c r="EE626" s="278" t="str">
        <f>HYPERLINK("https://my.pitchbook.com?c=10596-52", "View company online")</f>
        <v>View company online</v>
      </c>
    </row>
    <row r="627" spans="1:135" x14ac:dyDescent="0.45">
      <c r="A627" s="144" t="s">
        <v>12793</v>
      </c>
      <c r="B627" s="145" t="s">
        <v>12794</v>
      </c>
      <c r="C627" s="146" t="s">
        <v>153</v>
      </c>
      <c r="D627" s="147" t="s">
        <v>153</v>
      </c>
      <c r="E627" s="148" t="s">
        <v>153</v>
      </c>
      <c r="F627" s="149" t="s">
        <v>153</v>
      </c>
      <c r="G627" s="150" t="s">
        <v>153</v>
      </c>
      <c r="H627" s="151" t="s">
        <v>153</v>
      </c>
      <c r="I627" s="152" t="s">
        <v>12793</v>
      </c>
      <c r="J627" s="153" t="s">
        <v>12795</v>
      </c>
      <c r="K627" s="154" t="s">
        <v>257</v>
      </c>
      <c r="L627" s="155" t="s">
        <v>478</v>
      </c>
      <c r="M627" s="156" t="s">
        <v>2670</v>
      </c>
      <c r="N627" s="157" t="s">
        <v>12796</v>
      </c>
      <c r="O627" s="158" t="s">
        <v>596</v>
      </c>
      <c r="P627" s="159" t="s">
        <v>12797</v>
      </c>
      <c r="Q627" s="160" t="s">
        <v>204</v>
      </c>
      <c r="R627" s="161" t="s">
        <v>153</v>
      </c>
      <c r="S627" s="162" t="s">
        <v>163</v>
      </c>
      <c r="T627" s="163" t="s">
        <v>205</v>
      </c>
      <c r="U627" s="164" t="s">
        <v>206</v>
      </c>
      <c r="V627" s="165" t="s">
        <v>153</v>
      </c>
      <c r="W627" s="166" t="s">
        <v>153</v>
      </c>
      <c r="X627" s="167" t="s">
        <v>153</v>
      </c>
      <c r="Y627" s="168" t="s">
        <v>153</v>
      </c>
      <c r="Z627" s="169" t="s">
        <v>153</v>
      </c>
      <c r="AA627" s="170" t="s">
        <v>153</v>
      </c>
      <c r="AB627" s="171" t="s">
        <v>153</v>
      </c>
      <c r="AC627" s="172" t="s">
        <v>153</v>
      </c>
      <c r="AD627" s="173" t="s">
        <v>153</v>
      </c>
      <c r="AE627" s="174" t="s">
        <v>153</v>
      </c>
      <c r="AF627" s="175" t="s">
        <v>153</v>
      </c>
      <c r="AG627" s="176" t="s">
        <v>153</v>
      </c>
      <c r="AH627" s="177" t="s">
        <v>153</v>
      </c>
      <c r="AI627" s="178" t="s">
        <v>153</v>
      </c>
      <c r="AJ627" s="179" t="s">
        <v>153</v>
      </c>
      <c r="AK627" s="180" t="s">
        <v>153</v>
      </c>
      <c r="AL627" s="181" t="s">
        <v>153</v>
      </c>
      <c r="AM627" s="182" t="s">
        <v>153</v>
      </c>
      <c r="AN627" s="183" t="s">
        <v>153</v>
      </c>
      <c r="AO627" s="184" t="s">
        <v>153</v>
      </c>
      <c r="AP627" s="185" t="s">
        <v>153</v>
      </c>
      <c r="AQ627" s="186" t="s">
        <v>153</v>
      </c>
      <c r="AR627" s="187" t="s">
        <v>153</v>
      </c>
      <c r="AS627" s="188" t="s">
        <v>153</v>
      </c>
      <c r="AT627" s="189" t="s">
        <v>9252</v>
      </c>
      <c r="AU627" s="190" t="s">
        <v>12798</v>
      </c>
      <c r="AV627" s="191" t="s">
        <v>153</v>
      </c>
      <c r="AW627" s="192" t="s">
        <v>9254</v>
      </c>
      <c r="AX627" s="193" t="s">
        <v>153</v>
      </c>
      <c r="AY627" s="194" t="s">
        <v>12799</v>
      </c>
      <c r="AZ627" s="195" t="s">
        <v>352</v>
      </c>
      <c r="BA627" s="196" t="s">
        <v>153</v>
      </c>
      <c r="BB627" s="197" t="s">
        <v>153</v>
      </c>
      <c r="BC627" s="198" t="s">
        <v>153</v>
      </c>
      <c r="BD627" s="199" t="s">
        <v>180</v>
      </c>
      <c r="BE627" s="200" t="s">
        <v>181</v>
      </c>
      <c r="BF627" s="201" t="s">
        <v>12800</v>
      </c>
      <c r="BG627" s="202" t="s">
        <v>153</v>
      </c>
      <c r="BH627" s="203" t="s">
        <v>153</v>
      </c>
      <c r="BI627" s="204" t="s">
        <v>7481</v>
      </c>
      <c r="BJ627" s="205" t="s">
        <v>655</v>
      </c>
      <c r="BK627" s="206" t="s">
        <v>153</v>
      </c>
      <c r="BL627" s="207" t="s">
        <v>153</v>
      </c>
      <c r="BM627" s="208" t="s">
        <v>9258</v>
      </c>
      <c r="BN627" s="209" t="s">
        <v>153</v>
      </c>
      <c r="BO627" s="210" t="s">
        <v>12801</v>
      </c>
      <c r="BP627" s="211" t="s">
        <v>153</v>
      </c>
      <c r="BQ627" s="212">
        <v>38899</v>
      </c>
      <c r="BR627" s="213">
        <v>7217.64</v>
      </c>
      <c r="BS627" s="214" t="s">
        <v>186</v>
      </c>
      <c r="BT627" s="215">
        <v>7217.64</v>
      </c>
      <c r="BU627" s="216" t="s">
        <v>187</v>
      </c>
      <c r="BV627" s="217" t="s">
        <v>226</v>
      </c>
      <c r="BW627" s="218" t="s">
        <v>729</v>
      </c>
      <c r="BX627" s="219" t="s">
        <v>153</v>
      </c>
      <c r="BY627" s="220" t="s">
        <v>225</v>
      </c>
      <c r="BZ627" s="221" t="s">
        <v>153</v>
      </c>
      <c r="CA627" s="222" t="s">
        <v>190</v>
      </c>
      <c r="CB627" s="223">
        <v>38899</v>
      </c>
      <c r="CC627" s="224">
        <v>7217.64</v>
      </c>
      <c r="CD627" s="225" t="s">
        <v>186</v>
      </c>
      <c r="CE627" s="226">
        <v>7217.64</v>
      </c>
      <c r="CF627" s="227" t="s">
        <v>187</v>
      </c>
      <c r="CG627" s="228" t="s">
        <v>226</v>
      </c>
      <c r="CH627" s="229" t="s">
        <v>729</v>
      </c>
      <c r="CI627" s="230" t="s">
        <v>153</v>
      </c>
      <c r="CJ627" s="231" t="s">
        <v>225</v>
      </c>
      <c r="CK627" s="232">
        <v>38899</v>
      </c>
      <c r="CL627" s="233" t="s">
        <v>153</v>
      </c>
      <c r="CM627" s="234" t="s">
        <v>153</v>
      </c>
      <c r="CN627" s="235" t="s">
        <v>190</v>
      </c>
      <c r="CO627" s="236" t="s">
        <v>153</v>
      </c>
      <c r="CP627" s="237" t="s">
        <v>153</v>
      </c>
      <c r="CQ627" s="238" t="s">
        <v>153</v>
      </c>
      <c r="CR627" s="239" t="s">
        <v>153</v>
      </c>
      <c r="CS627" s="240" t="s">
        <v>153</v>
      </c>
      <c r="CT627" s="241" t="s">
        <v>153</v>
      </c>
      <c r="CU627" s="242" t="s">
        <v>153</v>
      </c>
      <c r="CV627" s="243" t="s">
        <v>153</v>
      </c>
      <c r="CW627" s="244" t="s">
        <v>153</v>
      </c>
      <c r="CX627" s="245" t="s">
        <v>153</v>
      </c>
      <c r="CY627" s="246" t="s">
        <v>153</v>
      </c>
      <c r="CZ627" s="247" t="s">
        <v>153</v>
      </c>
      <c r="DA627" s="248" t="s">
        <v>153</v>
      </c>
      <c r="DB627" s="249" t="s">
        <v>153</v>
      </c>
      <c r="DC627" s="250" t="s">
        <v>153</v>
      </c>
      <c r="DD627" s="251" t="s">
        <v>153</v>
      </c>
      <c r="DE627" s="252" t="s">
        <v>153</v>
      </c>
      <c r="DF627" s="253" t="s">
        <v>153</v>
      </c>
      <c r="DG627" s="254" t="s">
        <v>153</v>
      </c>
      <c r="DH627" s="255" t="s">
        <v>153</v>
      </c>
      <c r="DI627" s="256" t="s">
        <v>153</v>
      </c>
      <c r="DJ627" s="257" t="s">
        <v>153</v>
      </c>
      <c r="DK627" s="258" t="s">
        <v>153</v>
      </c>
      <c r="DL627" s="259" t="s">
        <v>153</v>
      </c>
      <c r="DM627" s="260" t="s">
        <v>153</v>
      </c>
      <c r="DN627" s="261" t="s">
        <v>153</v>
      </c>
      <c r="DO627" s="262" t="s">
        <v>153</v>
      </c>
      <c r="DP627" s="263" t="s">
        <v>153</v>
      </c>
      <c r="DQ627" s="264" t="s">
        <v>153</v>
      </c>
      <c r="DR627" s="265" t="s">
        <v>153</v>
      </c>
      <c r="DS627" s="266" t="s">
        <v>153</v>
      </c>
      <c r="DT627" s="267" t="s">
        <v>153</v>
      </c>
      <c r="DU627" s="268" t="s">
        <v>153</v>
      </c>
      <c r="DV627" s="269" t="s">
        <v>153</v>
      </c>
      <c r="DW627" s="270" t="s">
        <v>153</v>
      </c>
      <c r="DX627" s="271" t="s">
        <v>153</v>
      </c>
      <c r="DY627" s="272" t="s">
        <v>153</v>
      </c>
      <c r="DZ627" s="273" t="s">
        <v>191</v>
      </c>
      <c r="EA627" s="274">
        <v>44238</v>
      </c>
      <c r="EB627" s="275">
        <v>7217.64</v>
      </c>
      <c r="EC627" s="276">
        <v>38899</v>
      </c>
      <c r="ED627" s="277" t="s">
        <v>226</v>
      </c>
      <c r="EE627" s="279" t="str">
        <f>HYPERLINK("https://my.pitchbook.com?c=83284-84", "View company online")</f>
        <v>View company online</v>
      </c>
    </row>
    <row r="628" spans="1:135" x14ac:dyDescent="0.45">
      <c r="A628" s="10" t="s">
        <v>12802</v>
      </c>
      <c r="B628" s="11" t="s">
        <v>12803</v>
      </c>
      <c r="C628" s="12" t="s">
        <v>153</v>
      </c>
      <c r="D628" s="13" t="s">
        <v>153</v>
      </c>
      <c r="E628" s="14" t="s">
        <v>153</v>
      </c>
      <c r="F628" s="15" t="s">
        <v>12804</v>
      </c>
      <c r="G628" s="16" t="s">
        <v>12805</v>
      </c>
      <c r="H628" s="17" t="s">
        <v>12806</v>
      </c>
      <c r="I628" s="18" t="s">
        <v>12802</v>
      </c>
      <c r="J628" s="19" t="s">
        <v>12807</v>
      </c>
      <c r="K628" s="20" t="s">
        <v>792</v>
      </c>
      <c r="L628" s="21" t="s">
        <v>793</v>
      </c>
      <c r="M628" s="22" t="s">
        <v>1117</v>
      </c>
      <c r="N628" s="23" t="s">
        <v>12808</v>
      </c>
      <c r="O628" s="24" t="s">
        <v>796</v>
      </c>
      <c r="P628" s="25" t="s">
        <v>12809</v>
      </c>
      <c r="Q628" s="26" t="s">
        <v>162</v>
      </c>
      <c r="R628" s="27">
        <v>1000</v>
      </c>
      <c r="S628" s="28" t="s">
        <v>163</v>
      </c>
      <c r="T628" s="29" t="s">
        <v>164</v>
      </c>
      <c r="U628" s="30" t="s">
        <v>565</v>
      </c>
      <c r="V628" s="31" t="s">
        <v>12810</v>
      </c>
      <c r="W628" s="32">
        <v>623</v>
      </c>
      <c r="X628" s="33" t="s">
        <v>12811</v>
      </c>
      <c r="Y628" s="34" t="s">
        <v>153</v>
      </c>
      <c r="Z628" s="35" t="s">
        <v>153</v>
      </c>
      <c r="AA628" s="36">
        <v>2013</v>
      </c>
      <c r="AB628" s="37" t="s">
        <v>12812</v>
      </c>
      <c r="AC628" s="38" t="s">
        <v>153</v>
      </c>
      <c r="AD628" s="39" t="s">
        <v>153</v>
      </c>
      <c r="AE628" s="40" t="s">
        <v>153</v>
      </c>
      <c r="AF628" s="41" t="s">
        <v>153</v>
      </c>
      <c r="AG628" s="42" t="s">
        <v>153</v>
      </c>
      <c r="AH628" s="43" t="s">
        <v>153</v>
      </c>
      <c r="AI628" s="44" t="s">
        <v>153</v>
      </c>
      <c r="AJ628" s="45" t="s">
        <v>153</v>
      </c>
      <c r="AK628" s="46" t="s">
        <v>153</v>
      </c>
      <c r="AL628" s="47" t="s">
        <v>153</v>
      </c>
      <c r="AM628" s="48" t="s">
        <v>153</v>
      </c>
      <c r="AN628" s="49" t="s">
        <v>1442</v>
      </c>
      <c r="AO628" s="50" t="s">
        <v>12813</v>
      </c>
      <c r="AP628" s="51" t="s">
        <v>12814</v>
      </c>
      <c r="AQ628" s="52" t="s">
        <v>12815</v>
      </c>
      <c r="AR628" s="53" t="s">
        <v>12816</v>
      </c>
      <c r="AS628" s="54" t="s">
        <v>12817</v>
      </c>
      <c r="AT628" s="55" t="s">
        <v>1287</v>
      </c>
      <c r="AU628" s="56" t="s">
        <v>12818</v>
      </c>
      <c r="AV628" s="57" t="s">
        <v>153</v>
      </c>
      <c r="AW628" s="58" t="s">
        <v>1290</v>
      </c>
      <c r="AX628" s="59" t="s">
        <v>1291</v>
      </c>
      <c r="AY628" s="60" t="s">
        <v>1292</v>
      </c>
      <c r="AZ628" s="61" t="s">
        <v>215</v>
      </c>
      <c r="BA628" s="62" t="s">
        <v>12817</v>
      </c>
      <c r="BB628" s="63" t="s">
        <v>12819</v>
      </c>
      <c r="BC628" s="64" t="s">
        <v>153</v>
      </c>
      <c r="BD628" s="65" t="s">
        <v>216</v>
      </c>
      <c r="BE628" s="66" t="s">
        <v>217</v>
      </c>
      <c r="BF628" s="67" t="s">
        <v>12820</v>
      </c>
      <c r="BG628" s="68" t="s">
        <v>153</v>
      </c>
      <c r="BH628" s="69" t="s">
        <v>153</v>
      </c>
      <c r="BI628" s="70" t="s">
        <v>12812</v>
      </c>
      <c r="BJ628" s="71" t="s">
        <v>12821</v>
      </c>
      <c r="BK628" s="72" t="s">
        <v>153</v>
      </c>
      <c r="BL628" s="73" t="s">
        <v>153</v>
      </c>
      <c r="BM628" s="74" t="s">
        <v>12822</v>
      </c>
      <c r="BN628" s="75" t="s">
        <v>153</v>
      </c>
      <c r="BO628" s="76" t="s">
        <v>12823</v>
      </c>
      <c r="BP628" s="77" t="s">
        <v>12824</v>
      </c>
      <c r="BQ628" s="78">
        <v>41953</v>
      </c>
      <c r="BR628" s="79">
        <v>1000</v>
      </c>
      <c r="BS628" s="80" t="s">
        <v>186</v>
      </c>
      <c r="BT628" s="81">
        <v>3797.05</v>
      </c>
      <c r="BU628" s="82" t="s">
        <v>187</v>
      </c>
      <c r="BV628" s="83" t="s">
        <v>251</v>
      </c>
      <c r="BW628" s="84" t="s">
        <v>153</v>
      </c>
      <c r="BX628" s="85" t="s">
        <v>153</v>
      </c>
      <c r="BY628" s="86" t="s">
        <v>252</v>
      </c>
      <c r="BZ628" s="87" t="s">
        <v>153</v>
      </c>
      <c r="CA628" s="88" t="s">
        <v>190</v>
      </c>
      <c r="CB628" s="89">
        <v>43382</v>
      </c>
      <c r="CC628" s="90">
        <v>7200</v>
      </c>
      <c r="CD628" s="91" t="s">
        <v>186</v>
      </c>
      <c r="CE628" s="92">
        <v>7200</v>
      </c>
      <c r="CF628" s="93" t="s">
        <v>187</v>
      </c>
      <c r="CG628" s="94" t="s">
        <v>226</v>
      </c>
      <c r="CH628" s="95" t="s">
        <v>153</v>
      </c>
      <c r="CI628" s="96" t="s">
        <v>153</v>
      </c>
      <c r="CJ628" s="97" t="s">
        <v>225</v>
      </c>
      <c r="CK628" s="98">
        <v>43382</v>
      </c>
      <c r="CL628" s="99" t="s">
        <v>153</v>
      </c>
      <c r="CM628" s="100" t="s">
        <v>153</v>
      </c>
      <c r="CN628" s="101" t="s">
        <v>190</v>
      </c>
      <c r="CO628" s="102">
        <v>-2.11</v>
      </c>
      <c r="CP628" s="103">
        <v>2</v>
      </c>
      <c r="CQ628" s="104">
        <v>0</v>
      </c>
      <c r="CR628" s="105">
        <v>-0.09</v>
      </c>
      <c r="CS628" s="106">
        <v>-2.11</v>
      </c>
      <c r="CT628" s="107">
        <v>2</v>
      </c>
      <c r="CU628" s="108" t="s">
        <v>153</v>
      </c>
      <c r="CV628" s="109" t="s">
        <v>153</v>
      </c>
      <c r="CW628" s="110">
        <v>-4.62</v>
      </c>
      <c r="CX628" s="111">
        <v>6</v>
      </c>
      <c r="CY628" s="112">
        <v>0.4</v>
      </c>
      <c r="CZ628" s="113">
        <v>94</v>
      </c>
      <c r="DA628" s="114" t="s">
        <v>153</v>
      </c>
      <c r="DB628" s="115" t="s">
        <v>153</v>
      </c>
      <c r="DC628" s="116">
        <v>8.58</v>
      </c>
      <c r="DD628" s="117">
        <v>91</v>
      </c>
      <c r="DE628" s="118">
        <v>0.03</v>
      </c>
      <c r="DF628" s="119">
        <v>0.37</v>
      </c>
      <c r="DG628" s="120">
        <v>8.58</v>
      </c>
      <c r="DH628" s="121">
        <v>90</v>
      </c>
      <c r="DI628" s="122" t="s">
        <v>153</v>
      </c>
      <c r="DJ628" s="123" t="s">
        <v>153</v>
      </c>
      <c r="DK628" s="124">
        <v>2.96</v>
      </c>
      <c r="DL628" s="125">
        <v>71</v>
      </c>
      <c r="DM628" s="126">
        <v>14.19</v>
      </c>
      <c r="DN628" s="127">
        <v>93</v>
      </c>
      <c r="DO628" s="128" t="s">
        <v>153</v>
      </c>
      <c r="DP628" s="129" t="s">
        <v>153</v>
      </c>
      <c r="DQ628" s="130">
        <v>1776</v>
      </c>
      <c r="DR628" s="131">
        <v>-66</v>
      </c>
      <c r="DS628" s="132">
        <v>-3.58</v>
      </c>
      <c r="DT628" s="133">
        <v>226</v>
      </c>
      <c r="DU628" s="134">
        <v>2</v>
      </c>
      <c r="DV628" s="135">
        <v>0.89</v>
      </c>
      <c r="DW628" s="136" t="s">
        <v>153</v>
      </c>
      <c r="DX628" s="137" t="s">
        <v>153</v>
      </c>
      <c r="DY628" s="138" t="s">
        <v>153</v>
      </c>
      <c r="DZ628" s="139" t="s">
        <v>191</v>
      </c>
      <c r="EA628" s="140">
        <v>44383</v>
      </c>
      <c r="EB628" s="141">
        <v>7200</v>
      </c>
      <c r="EC628" s="142">
        <v>43382</v>
      </c>
      <c r="ED628" s="143" t="s">
        <v>226</v>
      </c>
      <c r="EE628" s="278" t="str">
        <f>HYPERLINK("https://my.pitchbook.com?c=98949-52", "View company online")</f>
        <v>View company online</v>
      </c>
    </row>
    <row r="629" spans="1:135" x14ac:dyDescent="0.45">
      <c r="A629" s="144" t="s">
        <v>12825</v>
      </c>
      <c r="B629" s="145" t="s">
        <v>12826</v>
      </c>
      <c r="C629" s="146" t="s">
        <v>153</v>
      </c>
      <c r="D629" s="147" t="s">
        <v>153</v>
      </c>
      <c r="E629" s="148" t="s">
        <v>12827</v>
      </c>
      <c r="F629" s="149" t="s">
        <v>12828</v>
      </c>
      <c r="G629" s="150" t="s">
        <v>12829</v>
      </c>
      <c r="H629" s="151" t="s">
        <v>12830</v>
      </c>
      <c r="I629" s="152" t="s">
        <v>12825</v>
      </c>
      <c r="J629" s="153" t="s">
        <v>12831</v>
      </c>
      <c r="K629" s="154" t="s">
        <v>792</v>
      </c>
      <c r="L629" s="155" t="s">
        <v>793</v>
      </c>
      <c r="M629" s="156" t="s">
        <v>1534</v>
      </c>
      <c r="N629" s="157" t="s">
        <v>12037</v>
      </c>
      <c r="O629" s="158" t="s">
        <v>1119</v>
      </c>
      <c r="P629" s="159" t="s">
        <v>12832</v>
      </c>
      <c r="Q629" s="160" t="s">
        <v>564</v>
      </c>
      <c r="R629" s="161">
        <v>3534.25</v>
      </c>
      <c r="S629" s="162" t="s">
        <v>163</v>
      </c>
      <c r="T629" s="163" t="s">
        <v>291</v>
      </c>
      <c r="U629" s="164" t="s">
        <v>2534</v>
      </c>
      <c r="V629" s="165" t="s">
        <v>153</v>
      </c>
      <c r="W629" s="166">
        <v>1706</v>
      </c>
      <c r="X629" s="167" t="s">
        <v>12833</v>
      </c>
      <c r="Y629" s="168" t="s">
        <v>372</v>
      </c>
      <c r="Z629" s="169" t="s">
        <v>12834</v>
      </c>
      <c r="AA629" s="170">
        <v>2013</v>
      </c>
      <c r="AB629" s="171" t="s">
        <v>153</v>
      </c>
      <c r="AC629" s="172" t="s">
        <v>428</v>
      </c>
      <c r="AD629" s="173" t="s">
        <v>622</v>
      </c>
      <c r="AE629" s="174">
        <v>2785</v>
      </c>
      <c r="AF629" s="175">
        <v>1105</v>
      </c>
      <c r="AG629" s="176" t="s">
        <v>153</v>
      </c>
      <c r="AH629" s="177">
        <v>7436.51</v>
      </c>
      <c r="AI629" s="178">
        <v>738</v>
      </c>
      <c r="AJ629" s="179">
        <v>316</v>
      </c>
      <c r="AK629" s="180">
        <v>3722.3</v>
      </c>
      <c r="AL629" s="181">
        <v>4161</v>
      </c>
      <c r="AM629" s="182">
        <v>-1</v>
      </c>
      <c r="AN629" s="183" t="s">
        <v>376</v>
      </c>
      <c r="AO629" s="184" t="s">
        <v>12835</v>
      </c>
      <c r="AP629" s="185" t="s">
        <v>12836</v>
      </c>
      <c r="AQ629" s="186" t="s">
        <v>379</v>
      </c>
      <c r="AR629" s="187" t="s">
        <v>12837</v>
      </c>
      <c r="AS629" s="188" t="s">
        <v>12838</v>
      </c>
      <c r="AT629" s="189" t="s">
        <v>12839</v>
      </c>
      <c r="AU629" s="190" t="s">
        <v>12840</v>
      </c>
      <c r="AV629" s="191" t="s">
        <v>3710</v>
      </c>
      <c r="AW629" s="192" t="s">
        <v>12841</v>
      </c>
      <c r="AX629" s="193" t="s">
        <v>1550</v>
      </c>
      <c r="AY629" s="194" t="s">
        <v>12842</v>
      </c>
      <c r="AZ629" s="195" t="s">
        <v>215</v>
      </c>
      <c r="BA629" s="196" t="s">
        <v>12838</v>
      </c>
      <c r="BB629" s="197" t="s">
        <v>153</v>
      </c>
      <c r="BC629" s="198" t="s">
        <v>153</v>
      </c>
      <c r="BD629" s="199" t="s">
        <v>216</v>
      </c>
      <c r="BE629" s="200" t="s">
        <v>217</v>
      </c>
      <c r="BF629" s="201" t="s">
        <v>12843</v>
      </c>
      <c r="BG629" s="202" t="s">
        <v>12844</v>
      </c>
      <c r="BH629" s="203">
        <v>2</v>
      </c>
      <c r="BI629" s="204" t="s">
        <v>153</v>
      </c>
      <c r="BJ629" s="205" t="s">
        <v>12845</v>
      </c>
      <c r="BK629" s="206" t="s">
        <v>3123</v>
      </c>
      <c r="BL629" s="207" t="s">
        <v>12846</v>
      </c>
      <c r="BM629" s="208" t="s">
        <v>12847</v>
      </c>
      <c r="BN629" s="209" t="s">
        <v>12848</v>
      </c>
      <c r="BO629" s="210" t="s">
        <v>12849</v>
      </c>
      <c r="BP629" s="211" t="s">
        <v>12850</v>
      </c>
      <c r="BQ629" s="212">
        <v>41395</v>
      </c>
      <c r="BR629" s="213" t="s">
        <v>153</v>
      </c>
      <c r="BS629" s="214" t="s">
        <v>153</v>
      </c>
      <c r="BT629" s="215">
        <v>11000</v>
      </c>
      <c r="BU629" s="216" t="s">
        <v>187</v>
      </c>
      <c r="BV629" s="217" t="s">
        <v>589</v>
      </c>
      <c r="BW629" s="218" t="s">
        <v>153</v>
      </c>
      <c r="BX629" s="219" t="s">
        <v>153</v>
      </c>
      <c r="BY629" s="220" t="s">
        <v>165</v>
      </c>
      <c r="BZ629" s="221" t="s">
        <v>12851</v>
      </c>
      <c r="CA629" s="222" t="s">
        <v>190</v>
      </c>
      <c r="CB629" s="223">
        <v>44244</v>
      </c>
      <c r="CC629" s="224">
        <v>7200</v>
      </c>
      <c r="CD629" s="225" t="s">
        <v>186</v>
      </c>
      <c r="CE629" s="226">
        <v>7200</v>
      </c>
      <c r="CF629" s="227" t="s">
        <v>187</v>
      </c>
      <c r="CG629" s="228" t="s">
        <v>226</v>
      </c>
      <c r="CH629" s="229" t="s">
        <v>153</v>
      </c>
      <c r="CI629" s="230" t="s">
        <v>153</v>
      </c>
      <c r="CJ629" s="231" t="s">
        <v>225</v>
      </c>
      <c r="CK629" s="232">
        <v>44244</v>
      </c>
      <c r="CL629" s="233" t="s">
        <v>153</v>
      </c>
      <c r="CM629" s="234" t="s">
        <v>153</v>
      </c>
      <c r="CN629" s="235" t="s">
        <v>1278</v>
      </c>
      <c r="CO629" s="236">
        <v>-0.02</v>
      </c>
      <c r="CP629" s="237">
        <v>10</v>
      </c>
      <c r="CQ629" s="238">
        <v>0</v>
      </c>
      <c r="CR629" s="239">
        <v>0</v>
      </c>
      <c r="CS629" s="240">
        <v>0</v>
      </c>
      <c r="CT629" s="241">
        <v>8</v>
      </c>
      <c r="CU629" s="242">
        <v>-0.04</v>
      </c>
      <c r="CV629" s="243">
        <v>34</v>
      </c>
      <c r="CW629" s="244">
        <v>0</v>
      </c>
      <c r="CX629" s="245">
        <v>21</v>
      </c>
      <c r="CY629" s="246" t="s">
        <v>153</v>
      </c>
      <c r="CZ629" s="247" t="s">
        <v>153</v>
      </c>
      <c r="DA629" s="248">
        <v>-0.04</v>
      </c>
      <c r="DB629" s="249">
        <v>34</v>
      </c>
      <c r="DC629" s="250">
        <v>2.2000000000000002</v>
      </c>
      <c r="DD629" s="251">
        <v>71</v>
      </c>
      <c r="DE629" s="252">
        <v>0.01</v>
      </c>
      <c r="DF629" s="253">
        <v>0.6</v>
      </c>
      <c r="DG629" s="254">
        <v>0.22</v>
      </c>
      <c r="DH629" s="255">
        <v>18</v>
      </c>
      <c r="DI629" s="256">
        <v>4.17</v>
      </c>
      <c r="DJ629" s="257">
        <v>75</v>
      </c>
      <c r="DK629" s="258">
        <v>0.22</v>
      </c>
      <c r="DL629" s="259">
        <v>23</v>
      </c>
      <c r="DM629" s="260" t="s">
        <v>153</v>
      </c>
      <c r="DN629" s="261" t="s">
        <v>153</v>
      </c>
      <c r="DO629" s="262">
        <v>4.17</v>
      </c>
      <c r="DP629" s="263">
        <v>75</v>
      </c>
      <c r="DQ629" s="264">
        <v>131</v>
      </c>
      <c r="DR629" s="265">
        <v>-3</v>
      </c>
      <c r="DS629" s="266">
        <v>-2.2400000000000002</v>
      </c>
      <c r="DT629" s="267" t="s">
        <v>153</v>
      </c>
      <c r="DU629" s="268" t="s">
        <v>153</v>
      </c>
      <c r="DV629" s="269" t="s">
        <v>153</v>
      </c>
      <c r="DW629" s="270">
        <v>1311</v>
      </c>
      <c r="DX629" s="271">
        <v>1</v>
      </c>
      <c r="DY629" s="272">
        <v>0.08</v>
      </c>
      <c r="DZ629" s="273" t="s">
        <v>191</v>
      </c>
      <c r="EA629" s="274">
        <v>44402</v>
      </c>
      <c r="EB629" s="275">
        <v>7200</v>
      </c>
      <c r="EC629" s="276">
        <v>44244</v>
      </c>
      <c r="ED629" s="277" t="s">
        <v>226</v>
      </c>
      <c r="EE629" s="279" t="str">
        <f>HYPERLINK("https://my.pitchbook.com?c=56373-31", "View company online")</f>
        <v>View company online</v>
      </c>
    </row>
    <row r="630" spans="1:135" x14ac:dyDescent="0.45">
      <c r="A630" s="10" t="s">
        <v>12852</v>
      </c>
      <c r="B630" s="11" t="s">
        <v>12853</v>
      </c>
      <c r="C630" s="12" t="s">
        <v>153</v>
      </c>
      <c r="D630" s="13" t="s">
        <v>153</v>
      </c>
      <c r="E630" s="14" t="s">
        <v>153</v>
      </c>
      <c r="F630" s="15" t="s">
        <v>12854</v>
      </c>
      <c r="G630" s="16" t="s">
        <v>12855</v>
      </c>
      <c r="H630" s="17" t="s">
        <v>12856</v>
      </c>
      <c r="I630" s="18" t="s">
        <v>12852</v>
      </c>
      <c r="J630" s="19" t="s">
        <v>12857</v>
      </c>
      <c r="K630" s="20" t="s">
        <v>257</v>
      </c>
      <c r="L630" s="21" t="s">
        <v>258</v>
      </c>
      <c r="M630" s="22" t="s">
        <v>259</v>
      </c>
      <c r="N630" s="23" t="s">
        <v>12858</v>
      </c>
      <c r="O630" s="24" t="s">
        <v>12859</v>
      </c>
      <c r="P630" s="25" t="s">
        <v>12860</v>
      </c>
      <c r="Q630" s="26" t="s">
        <v>204</v>
      </c>
      <c r="R630" s="27">
        <v>986.02</v>
      </c>
      <c r="S630" s="28" t="s">
        <v>368</v>
      </c>
      <c r="T630" s="29" t="s">
        <v>164</v>
      </c>
      <c r="U630" s="30" t="s">
        <v>292</v>
      </c>
      <c r="V630" s="31" t="s">
        <v>12861</v>
      </c>
      <c r="W630" s="32">
        <v>1161</v>
      </c>
      <c r="X630" s="33" t="s">
        <v>12862</v>
      </c>
      <c r="Y630" s="34" t="s">
        <v>153</v>
      </c>
      <c r="Z630" s="35" t="s">
        <v>153</v>
      </c>
      <c r="AA630" s="36">
        <v>1998</v>
      </c>
      <c r="AB630" s="37" t="s">
        <v>12863</v>
      </c>
      <c r="AC630" s="38" t="s">
        <v>153</v>
      </c>
      <c r="AD630" s="39" t="s">
        <v>428</v>
      </c>
      <c r="AE630" s="40">
        <v>559.04</v>
      </c>
      <c r="AF630" s="41">
        <v>520.47</v>
      </c>
      <c r="AG630" s="42">
        <v>-69.84</v>
      </c>
      <c r="AH630" s="43">
        <v>6050.36</v>
      </c>
      <c r="AI630" s="44">
        <v>-67.33</v>
      </c>
      <c r="AJ630" s="45">
        <v>-70.13</v>
      </c>
      <c r="AK630" s="46" t="s">
        <v>153</v>
      </c>
      <c r="AL630" s="47">
        <v>-415.6</v>
      </c>
      <c r="AM630" s="48">
        <v>42.35</v>
      </c>
      <c r="AN630" s="49" t="s">
        <v>376</v>
      </c>
      <c r="AO630" s="50" t="s">
        <v>12864</v>
      </c>
      <c r="AP630" s="51" t="s">
        <v>12865</v>
      </c>
      <c r="AQ630" s="52" t="s">
        <v>512</v>
      </c>
      <c r="AR630" s="53" t="s">
        <v>12866</v>
      </c>
      <c r="AS630" s="54" t="s">
        <v>12867</v>
      </c>
      <c r="AT630" s="55" t="s">
        <v>7051</v>
      </c>
      <c r="AU630" s="56" t="s">
        <v>12868</v>
      </c>
      <c r="AV630" s="57" t="s">
        <v>12869</v>
      </c>
      <c r="AW630" s="58" t="s">
        <v>3452</v>
      </c>
      <c r="AX630" s="59" t="s">
        <v>177</v>
      </c>
      <c r="AY630" s="60" t="s">
        <v>12870</v>
      </c>
      <c r="AZ630" s="61" t="s">
        <v>179</v>
      </c>
      <c r="BA630" s="62" t="s">
        <v>12867</v>
      </c>
      <c r="BB630" s="63" t="s">
        <v>12871</v>
      </c>
      <c r="BC630" s="64" t="s">
        <v>12872</v>
      </c>
      <c r="BD630" s="65" t="s">
        <v>180</v>
      </c>
      <c r="BE630" s="66" t="s">
        <v>181</v>
      </c>
      <c r="BF630" s="67" t="s">
        <v>12873</v>
      </c>
      <c r="BG630" s="68" t="s">
        <v>12874</v>
      </c>
      <c r="BH630" s="69">
        <v>1</v>
      </c>
      <c r="BI630" s="70" t="s">
        <v>12863</v>
      </c>
      <c r="BJ630" s="71" t="s">
        <v>12875</v>
      </c>
      <c r="BK630" s="72" t="s">
        <v>153</v>
      </c>
      <c r="BL630" s="73" t="s">
        <v>12876</v>
      </c>
      <c r="BM630" s="74" t="s">
        <v>12877</v>
      </c>
      <c r="BN630" s="75" t="s">
        <v>153</v>
      </c>
      <c r="BO630" s="76" t="s">
        <v>12878</v>
      </c>
      <c r="BP630" s="77" t="s">
        <v>12879</v>
      </c>
      <c r="BQ630" s="78">
        <v>37070</v>
      </c>
      <c r="BR630" s="79" t="s">
        <v>153</v>
      </c>
      <c r="BS630" s="80" t="s">
        <v>153</v>
      </c>
      <c r="BT630" s="81" t="s">
        <v>153</v>
      </c>
      <c r="BU630" s="82" t="s">
        <v>153</v>
      </c>
      <c r="BV630" s="83" t="s">
        <v>251</v>
      </c>
      <c r="BW630" s="84" t="s">
        <v>153</v>
      </c>
      <c r="BX630" s="85" t="s">
        <v>153</v>
      </c>
      <c r="BY630" s="86" t="s">
        <v>252</v>
      </c>
      <c r="BZ630" s="87" t="s">
        <v>153</v>
      </c>
      <c r="CA630" s="88" t="s">
        <v>190</v>
      </c>
      <c r="CB630" s="89">
        <v>44321</v>
      </c>
      <c r="CC630" s="90">
        <v>7200</v>
      </c>
      <c r="CD630" s="91" t="s">
        <v>186</v>
      </c>
      <c r="CE630" s="92">
        <v>7200</v>
      </c>
      <c r="CF630" s="93" t="s">
        <v>187</v>
      </c>
      <c r="CG630" s="94" t="s">
        <v>226</v>
      </c>
      <c r="CH630" s="95" t="s">
        <v>153</v>
      </c>
      <c r="CI630" s="96" t="s">
        <v>153</v>
      </c>
      <c r="CJ630" s="97" t="s">
        <v>225</v>
      </c>
      <c r="CK630" s="98">
        <v>44321</v>
      </c>
      <c r="CL630" s="99" t="s">
        <v>153</v>
      </c>
      <c r="CM630" s="100" t="s">
        <v>153</v>
      </c>
      <c r="CN630" s="101" t="s">
        <v>190</v>
      </c>
      <c r="CO630" s="102">
        <v>0.6</v>
      </c>
      <c r="CP630" s="103">
        <v>94</v>
      </c>
      <c r="CQ630" s="104">
        <v>-0.17</v>
      </c>
      <c r="CR630" s="105">
        <v>-21.85</v>
      </c>
      <c r="CS630" s="106">
        <v>0.6</v>
      </c>
      <c r="CT630" s="107">
        <v>93</v>
      </c>
      <c r="CU630" s="108" t="s">
        <v>153</v>
      </c>
      <c r="CV630" s="109" t="s">
        <v>153</v>
      </c>
      <c r="CW630" s="110" t="s">
        <v>153</v>
      </c>
      <c r="CX630" s="111" t="s">
        <v>153</v>
      </c>
      <c r="CY630" s="112">
        <v>0.6</v>
      </c>
      <c r="CZ630" s="113">
        <v>95</v>
      </c>
      <c r="DA630" s="114" t="s">
        <v>153</v>
      </c>
      <c r="DB630" s="115" t="s">
        <v>153</v>
      </c>
      <c r="DC630" s="116">
        <v>20.25</v>
      </c>
      <c r="DD630" s="117">
        <v>96</v>
      </c>
      <c r="DE630" s="118">
        <v>0.06</v>
      </c>
      <c r="DF630" s="119">
        <v>0.31</v>
      </c>
      <c r="DG630" s="120">
        <v>20.25</v>
      </c>
      <c r="DH630" s="121">
        <v>96</v>
      </c>
      <c r="DI630" s="122" t="s">
        <v>153</v>
      </c>
      <c r="DJ630" s="123" t="s">
        <v>153</v>
      </c>
      <c r="DK630" s="124" t="s">
        <v>153</v>
      </c>
      <c r="DL630" s="125" t="s">
        <v>153</v>
      </c>
      <c r="DM630" s="126">
        <v>20.25</v>
      </c>
      <c r="DN630" s="127">
        <v>95</v>
      </c>
      <c r="DO630" s="128" t="s">
        <v>153</v>
      </c>
      <c r="DP630" s="129" t="s">
        <v>153</v>
      </c>
      <c r="DQ630" s="130" t="s">
        <v>153</v>
      </c>
      <c r="DR630" s="131" t="s">
        <v>153</v>
      </c>
      <c r="DS630" s="132" t="s">
        <v>153</v>
      </c>
      <c r="DT630" s="133">
        <v>324</v>
      </c>
      <c r="DU630" s="134">
        <v>1</v>
      </c>
      <c r="DV630" s="135">
        <v>0.31</v>
      </c>
      <c r="DW630" s="136" t="s">
        <v>153</v>
      </c>
      <c r="DX630" s="137" t="s">
        <v>153</v>
      </c>
      <c r="DY630" s="138" t="s">
        <v>153</v>
      </c>
      <c r="DZ630" s="139" t="s">
        <v>191</v>
      </c>
      <c r="EA630" s="140">
        <v>44393</v>
      </c>
      <c r="EB630" s="141">
        <v>7200</v>
      </c>
      <c r="EC630" s="142">
        <v>44321</v>
      </c>
      <c r="ED630" s="143" t="s">
        <v>226</v>
      </c>
      <c r="EE630" s="278" t="str">
        <f>HYPERLINK("https://my.pitchbook.com?c=56437-57", "View company online")</f>
        <v>View company online</v>
      </c>
    </row>
    <row r="631" spans="1:135" x14ac:dyDescent="0.45">
      <c r="A631" s="144" t="s">
        <v>12880</v>
      </c>
      <c r="B631" s="145" t="s">
        <v>12881</v>
      </c>
      <c r="C631" s="146" t="s">
        <v>153</v>
      </c>
      <c r="D631" s="147" t="s">
        <v>153</v>
      </c>
      <c r="E631" s="148" t="s">
        <v>12882</v>
      </c>
      <c r="F631" s="149" t="s">
        <v>153</v>
      </c>
      <c r="G631" s="150" t="s">
        <v>12883</v>
      </c>
      <c r="H631" s="151" t="s">
        <v>12884</v>
      </c>
      <c r="I631" s="152" t="s">
        <v>12880</v>
      </c>
      <c r="J631" s="153" t="s">
        <v>12885</v>
      </c>
      <c r="K631" s="154" t="s">
        <v>882</v>
      </c>
      <c r="L631" s="155" t="s">
        <v>883</v>
      </c>
      <c r="M631" s="156" t="s">
        <v>3501</v>
      </c>
      <c r="N631" s="157" t="s">
        <v>12886</v>
      </c>
      <c r="O631" s="158" t="s">
        <v>12887</v>
      </c>
      <c r="P631" s="159" t="s">
        <v>12888</v>
      </c>
      <c r="Q631" s="160" t="s">
        <v>162</v>
      </c>
      <c r="R631" s="161">
        <v>800</v>
      </c>
      <c r="S631" s="162" t="s">
        <v>290</v>
      </c>
      <c r="T631" s="163" t="s">
        <v>1392</v>
      </c>
      <c r="U631" s="164" t="s">
        <v>2534</v>
      </c>
      <c r="V631" s="165" t="s">
        <v>12889</v>
      </c>
      <c r="W631" s="166">
        <v>35000</v>
      </c>
      <c r="X631" s="167" t="s">
        <v>12890</v>
      </c>
      <c r="Y631" s="168" t="s">
        <v>153</v>
      </c>
      <c r="Z631" s="169" t="s">
        <v>153</v>
      </c>
      <c r="AA631" s="170">
        <v>1979</v>
      </c>
      <c r="AB631" s="171" t="s">
        <v>153</v>
      </c>
      <c r="AC631" s="172" t="s">
        <v>570</v>
      </c>
      <c r="AD631" s="173" t="s">
        <v>1794</v>
      </c>
      <c r="AE631" s="174" t="s">
        <v>153</v>
      </c>
      <c r="AF631" s="175" t="s">
        <v>153</v>
      </c>
      <c r="AG631" s="176" t="s">
        <v>153</v>
      </c>
      <c r="AH631" s="177" t="s">
        <v>153</v>
      </c>
      <c r="AI631" s="178" t="s">
        <v>153</v>
      </c>
      <c r="AJ631" s="179" t="s">
        <v>153</v>
      </c>
      <c r="AK631" s="180" t="s">
        <v>153</v>
      </c>
      <c r="AL631" s="181" t="s">
        <v>153</v>
      </c>
      <c r="AM631" s="182" t="s">
        <v>153</v>
      </c>
      <c r="AN631" s="183" t="s">
        <v>1570</v>
      </c>
      <c r="AO631" s="184" t="s">
        <v>12891</v>
      </c>
      <c r="AP631" s="185" t="s">
        <v>12892</v>
      </c>
      <c r="AQ631" s="186" t="s">
        <v>171</v>
      </c>
      <c r="AR631" s="187" t="s">
        <v>12893</v>
      </c>
      <c r="AS631" s="188" t="s">
        <v>12894</v>
      </c>
      <c r="AT631" s="189" t="s">
        <v>485</v>
      </c>
      <c r="AU631" s="190" t="s">
        <v>12895</v>
      </c>
      <c r="AV631" s="191" t="s">
        <v>6060</v>
      </c>
      <c r="AW631" s="192" t="s">
        <v>487</v>
      </c>
      <c r="AX631" s="193" t="s">
        <v>308</v>
      </c>
      <c r="AY631" s="194" t="s">
        <v>488</v>
      </c>
      <c r="AZ631" s="195" t="s">
        <v>215</v>
      </c>
      <c r="BA631" s="196" t="s">
        <v>12894</v>
      </c>
      <c r="BB631" s="197" t="s">
        <v>153</v>
      </c>
      <c r="BC631" s="198" t="s">
        <v>153</v>
      </c>
      <c r="BD631" s="199" t="s">
        <v>216</v>
      </c>
      <c r="BE631" s="200" t="s">
        <v>217</v>
      </c>
      <c r="BF631" s="201" t="s">
        <v>12896</v>
      </c>
      <c r="BG631" s="202" t="s">
        <v>12897</v>
      </c>
      <c r="BH631" s="203">
        <v>1</v>
      </c>
      <c r="BI631" s="204" t="s">
        <v>153</v>
      </c>
      <c r="BJ631" s="205" t="s">
        <v>12898</v>
      </c>
      <c r="BK631" s="206" t="s">
        <v>153</v>
      </c>
      <c r="BL631" s="207" t="s">
        <v>12899</v>
      </c>
      <c r="BM631" s="208" t="s">
        <v>12900</v>
      </c>
      <c r="BN631" s="209" t="s">
        <v>153</v>
      </c>
      <c r="BO631" s="210" t="s">
        <v>12901</v>
      </c>
      <c r="BP631" s="211" t="s">
        <v>12902</v>
      </c>
      <c r="BQ631" s="212">
        <v>30317</v>
      </c>
      <c r="BR631" s="213" t="s">
        <v>153</v>
      </c>
      <c r="BS631" s="214" t="s">
        <v>153</v>
      </c>
      <c r="BT631" s="215" t="s">
        <v>153</v>
      </c>
      <c r="BU631" s="216" t="s">
        <v>153</v>
      </c>
      <c r="BV631" s="217" t="s">
        <v>251</v>
      </c>
      <c r="BW631" s="218" t="s">
        <v>153</v>
      </c>
      <c r="BX631" s="219" t="s">
        <v>153</v>
      </c>
      <c r="BY631" s="220" t="s">
        <v>252</v>
      </c>
      <c r="BZ631" s="221" t="s">
        <v>153</v>
      </c>
      <c r="CA631" s="222" t="s">
        <v>190</v>
      </c>
      <c r="CB631" s="223">
        <v>44384</v>
      </c>
      <c r="CC631" s="224">
        <v>7200</v>
      </c>
      <c r="CD631" s="225" t="s">
        <v>186</v>
      </c>
      <c r="CE631" s="226">
        <v>7200</v>
      </c>
      <c r="CF631" s="227" t="s">
        <v>187</v>
      </c>
      <c r="CG631" s="228" t="s">
        <v>188</v>
      </c>
      <c r="CH631" s="229" t="s">
        <v>729</v>
      </c>
      <c r="CI631" s="230" t="s">
        <v>153</v>
      </c>
      <c r="CJ631" s="231" t="s">
        <v>165</v>
      </c>
      <c r="CK631" s="232">
        <v>44384</v>
      </c>
      <c r="CL631" s="233" t="s">
        <v>153</v>
      </c>
      <c r="CM631" s="234" t="s">
        <v>1607</v>
      </c>
      <c r="CN631" s="235" t="s">
        <v>190</v>
      </c>
      <c r="CO631" s="236">
        <v>0.47</v>
      </c>
      <c r="CP631" s="237">
        <v>93</v>
      </c>
      <c r="CQ631" s="238">
        <v>0.01</v>
      </c>
      <c r="CR631" s="239">
        <v>1.48</v>
      </c>
      <c r="CS631" s="240">
        <v>1.4</v>
      </c>
      <c r="CT631" s="241">
        <v>96</v>
      </c>
      <c r="CU631" s="242">
        <v>0</v>
      </c>
      <c r="CV631" s="243">
        <v>41</v>
      </c>
      <c r="CW631" s="244">
        <v>1.4</v>
      </c>
      <c r="CX631" s="245">
        <v>83</v>
      </c>
      <c r="CY631" s="246" t="s">
        <v>153</v>
      </c>
      <c r="CZ631" s="247" t="s">
        <v>153</v>
      </c>
      <c r="DA631" s="248">
        <v>0</v>
      </c>
      <c r="DB631" s="249">
        <v>41</v>
      </c>
      <c r="DC631" s="250">
        <v>358.57</v>
      </c>
      <c r="DD631" s="251">
        <v>100</v>
      </c>
      <c r="DE631" s="252">
        <v>0.16</v>
      </c>
      <c r="DF631" s="253">
        <v>0.05</v>
      </c>
      <c r="DG631" s="254">
        <v>59.73</v>
      </c>
      <c r="DH631" s="255">
        <v>99</v>
      </c>
      <c r="DI631" s="256">
        <v>70.03</v>
      </c>
      <c r="DJ631" s="257">
        <v>97</v>
      </c>
      <c r="DK631" s="258">
        <v>59.73</v>
      </c>
      <c r="DL631" s="259">
        <v>96</v>
      </c>
      <c r="DM631" s="260" t="s">
        <v>153</v>
      </c>
      <c r="DN631" s="261" t="s">
        <v>153</v>
      </c>
      <c r="DO631" s="262">
        <v>70.03</v>
      </c>
      <c r="DP631" s="263">
        <v>97</v>
      </c>
      <c r="DQ631" s="264">
        <v>35483</v>
      </c>
      <c r="DR631" s="265">
        <v>-241</v>
      </c>
      <c r="DS631" s="266">
        <v>-0.67</v>
      </c>
      <c r="DT631" s="267" t="s">
        <v>153</v>
      </c>
      <c r="DU631" s="268" t="s">
        <v>153</v>
      </c>
      <c r="DV631" s="269" t="s">
        <v>153</v>
      </c>
      <c r="DW631" s="270">
        <v>21984</v>
      </c>
      <c r="DX631" s="271">
        <v>13</v>
      </c>
      <c r="DY631" s="272">
        <v>0.06</v>
      </c>
      <c r="DZ631" s="273" t="s">
        <v>191</v>
      </c>
      <c r="EA631" s="274">
        <v>44390</v>
      </c>
      <c r="EB631" s="275">
        <v>7200</v>
      </c>
      <c r="EC631" s="276">
        <v>44384</v>
      </c>
      <c r="ED631" s="277" t="s">
        <v>188</v>
      </c>
      <c r="EE631" s="279" t="str">
        <f>HYPERLINK("https://my.pitchbook.com?c=41065-30", "View company online")</f>
        <v>View company online</v>
      </c>
    </row>
    <row r="632" spans="1:135" x14ac:dyDescent="0.45">
      <c r="A632" s="10" t="s">
        <v>12903</v>
      </c>
      <c r="B632" s="11" t="s">
        <v>12904</v>
      </c>
      <c r="C632" s="12" t="s">
        <v>153</v>
      </c>
      <c r="D632" s="13" t="s">
        <v>153</v>
      </c>
      <c r="E632" s="14" t="s">
        <v>153</v>
      </c>
      <c r="F632" s="15" t="s">
        <v>153</v>
      </c>
      <c r="G632" s="16" t="s">
        <v>12905</v>
      </c>
      <c r="H632" s="17" t="s">
        <v>12906</v>
      </c>
      <c r="I632" s="18" t="s">
        <v>12903</v>
      </c>
      <c r="J632" s="19" t="s">
        <v>12907</v>
      </c>
      <c r="K632" s="20" t="s">
        <v>198</v>
      </c>
      <c r="L632" s="21" t="s">
        <v>199</v>
      </c>
      <c r="M632" s="22" t="s">
        <v>3522</v>
      </c>
      <c r="N632" s="23" t="s">
        <v>12908</v>
      </c>
      <c r="O632" s="24" t="s">
        <v>1592</v>
      </c>
      <c r="P632" s="25" t="s">
        <v>12909</v>
      </c>
      <c r="Q632" s="26" t="s">
        <v>204</v>
      </c>
      <c r="R632" s="27" t="s">
        <v>153</v>
      </c>
      <c r="S632" s="28" t="s">
        <v>290</v>
      </c>
      <c r="T632" s="29" t="s">
        <v>164</v>
      </c>
      <c r="U632" s="30" t="s">
        <v>237</v>
      </c>
      <c r="V632" s="31" t="s">
        <v>12910</v>
      </c>
      <c r="W632" s="32">
        <v>120000</v>
      </c>
      <c r="X632" s="33" t="s">
        <v>12911</v>
      </c>
      <c r="Y632" s="34" t="s">
        <v>153</v>
      </c>
      <c r="Z632" s="35" t="s">
        <v>153</v>
      </c>
      <c r="AA632" s="36" t="s">
        <v>153</v>
      </c>
      <c r="AB632" s="37" t="s">
        <v>3202</v>
      </c>
      <c r="AC632" s="38" t="s">
        <v>428</v>
      </c>
      <c r="AD632" s="39" t="s">
        <v>508</v>
      </c>
      <c r="AE632" s="40" t="s">
        <v>153</v>
      </c>
      <c r="AF632" s="41" t="s">
        <v>153</v>
      </c>
      <c r="AG632" s="42" t="s">
        <v>153</v>
      </c>
      <c r="AH632" s="43" t="s">
        <v>153</v>
      </c>
      <c r="AI632" s="44" t="s">
        <v>153</v>
      </c>
      <c r="AJ632" s="45" t="s">
        <v>153</v>
      </c>
      <c r="AK632" s="46" t="s">
        <v>153</v>
      </c>
      <c r="AL632" s="47" t="s">
        <v>153</v>
      </c>
      <c r="AM632" s="48" t="s">
        <v>153</v>
      </c>
      <c r="AN632" s="49" t="s">
        <v>11654</v>
      </c>
      <c r="AO632" s="50" t="s">
        <v>12912</v>
      </c>
      <c r="AP632" s="51" t="s">
        <v>12913</v>
      </c>
      <c r="AQ632" s="52" t="s">
        <v>12914</v>
      </c>
      <c r="AR632" s="53" t="s">
        <v>12915</v>
      </c>
      <c r="AS632" s="54" t="s">
        <v>12916</v>
      </c>
      <c r="AT632" s="55" t="s">
        <v>12917</v>
      </c>
      <c r="AU632" s="56" t="s">
        <v>12918</v>
      </c>
      <c r="AV632" s="57" t="s">
        <v>153</v>
      </c>
      <c r="AW632" s="58" t="s">
        <v>12919</v>
      </c>
      <c r="AX632" s="59" t="s">
        <v>783</v>
      </c>
      <c r="AY632" s="60" t="s">
        <v>12920</v>
      </c>
      <c r="AZ632" s="61" t="s">
        <v>215</v>
      </c>
      <c r="BA632" s="62" t="s">
        <v>12916</v>
      </c>
      <c r="BB632" s="63" t="s">
        <v>153</v>
      </c>
      <c r="BC632" s="64" t="s">
        <v>153</v>
      </c>
      <c r="BD632" s="65" t="s">
        <v>216</v>
      </c>
      <c r="BE632" s="66" t="s">
        <v>217</v>
      </c>
      <c r="BF632" s="67" t="s">
        <v>12921</v>
      </c>
      <c r="BG632" s="68" t="s">
        <v>153</v>
      </c>
      <c r="BH632" s="69" t="s">
        <v>153</v>
      </c>
      <c r="BI632" s="70" t="s">
        <v>3202</v>
      </c>
      <c r="BJ632" s="71" t="s">
        <v>153</v>
      </c>
      <c r="BK632" s="72" t="s">
        <v>153</v>
      </c>
      <c r="BL632" s="73" t="s">
        <v>153</v>
      </c>
      <c r="BM632" s="74" t="s">
        <v>153</v>
      </c>
      <c r="BN632" s="75" t="s">
        <v>153</v>
      </c>
      <c r="BO632" s="76" t="s">
        <v>12922</v>
      </c>
      <c r="BP632" s="77" t="s">
        <v>12923</v>
      </c>
      <c r="BQ632" s="78">
        <v>32958</v>
      </c>
      <c r="BR632" s="79" t="s">
        <v>153</v>
      </c>
      <c r="BS632" s="80" t="s">
        <v>153</v>
      </c>
      <c r="BT632" s="81" t="s">
        <v>153</v>
      </c>
      <c r="BU632" s="82" t="s">
        <v>153</v>
      </c>
      <c r="BV632" s="83" t="s">
        <v>251</v>
      </c>
      <c r="BW632" s="84" t="s">
        <v>153</v>
      </c>
      <c r="BX632" s="85" t="s">
        <v>153</v>
      </c>
      <c r="BY632" s="86" t="s">
        <v>252</v>
      </c>
      <c r="BZ632" s="87" t="s">
        <v>153</v>
      </c>
      <c r="CA632" s="88" t="s">
        <v>190</v>
      </c>
      <c r="CB632" s="89">
        <v>41617</v>
      </c>
      <c r="CC632" s="90">
        <v>7200</v>
      </c>
      <c r="CD632" s="91" t="s">
        <v>186</v>
      </c>
      <c r="CE632" s="92">
        <v>7200</v>
      </c>
      <c r="CF632" s="93" t="s">
        <v>187</v>
      </c>
      <c r="CG632" s="94" t="s">
        <v>226</v>
      </c>
      <c r="CH632" s="95" t="s">
        <v>930</v>
      </c>
      <c r="CI632" s="96" t="s">
        <v>153</v>
      </c>
      <c r="CJ632" s="97" t="s">
        <v>225</v>
      </c>
      <c r="CK632" s="98">
        <v>41617</v>
      </c>
      <c r="CL632" s="99" t="s">
        <v>153</v>
      </c>
      <c r="CM632" s="100" t="s">
        <v>153</v>
      </c>
      <c r="CN632" s="101" t="s">
        <v>190</v>
      </c>
      <c r="CO632" s="102">
        <v>0.1</v>
      </c>
      <c r="CP632" s="103">
        <v>89</v>
      </c>
      <c r="CQ632" s="104">
        <v>-0.01</v>
      </c>
      <c r="CR632" s="105">
        <v>-12.33</v>
      </c>
      <c r="CS632" s="106">
        <v>0.18</v>
      </c>
      <c r="CT632" s="107">
        <v>90</v>
      </c>
      <c r="CU632" s="108">
        <v>0.03</v>
      </c>
      <c r="CV632" s="109">
        <v>79</v>
      </c>
      <c r="CW632" s="110">
        <v>0.32</v>
      </c>
      <c r="CX632" s="111">
        <v>78</v>
      </c>
      <c r="CY632" s="112">
        <v>0.04</v>
      </c>
      <c r="CZ632" s="113">
        <v>90</v>
      </c>
      <c r="DA632" s="114">
        <v>0.03</v>
      </c>
      <c r="DB632" s="115">
        <v>79</v>
      </c>
      <c r="DC632" s="116">
        <v>189.27</v>
      </c>
      <c r="DD632" s="117">
        <v>100</v>
      </c>
      <c r="DE632" s="118">
        <v>-0.89</v>
      </c>
      <c r="DF632" s="119">
        <v>-0.47</v>
      </c>
      <c r="DG632" s="120">
        <v>345.3</v>
      </c>
      <c r="DH632" s="121">
        <v>100</v>
      </c>
      <c r="DI632" s="122">
        <v>33.25</v>
      </c>
      <c r="DJ632" s="123">
        <v>94</v>
      </c>
      <c r="DK632" s="124">
        <v>294.97000000000003</v>
      </c>
      <c r="DL632" s="125">
        <v>99</v>
      </c>
      <c r="DM632" s="126">
        <v>395.63</v>
      </c>
      <c r="DN632" s="127">
        <v>100</v>
      </c>
      <c r="DO632" s="128">
        <v>33.25</v>
      </c>
      <c r="DP632" s="129">
        <v>94</v>
      </c>
      <c r="DQ632" s="130">
        <v>174580</v>
      </c>
      <c r="DR632" s="131">
        <v>1238</v>
      </c>
      <c r="DS632" s="132">
        <v>0.71</v>
      </c>
      <c r="DT632" s="133">
        <v>6356</v>
      </c>
      <c r="DU632" s="134">
        <v>-40</v>
      </c>
      <c r="DV632" s="135">
        <v>-0.63</v>
      </c>
      <c r="DW632" s="136">
        <v>10440</v>
      </c>
      <c r="DX632" s="137">
        <v>5</v>
      </c>
      <c r="DY632" s="138">
        <v>0.05</v>
      </c>
      <c r="DZ632" s="139" t="s">
        <v>191</v>
      </c>
      <c r="EA632" s="140">
        <v>44385</v>
      </c>
      <c r="EB632" s="141">
        <v>7200</v>
      </c>
      <c r="EC632" s="142">
        <v>41617</v>
      </c>
      <c r="ED632" s="143" t="s">
        <v>226</v>
      </c>
      <c r="EE632" s="278" t="str">
        <f>HYPERLINK("https://my.pitchbook.com?c=10439-02", "View company online")</f>
        <v>View company online</v>
      </c>
    </row>
    <row r="633" spans="1:135" x14ac:dyDescent="0.45">
      <c r="A633" s="144" t="s">
        <v>12924</v>
      </c>
      <c r="B633" s="145" t="s">
        <v>12925</v>
      </c>
      <c r="C633" s="146" t="s">
        <v>153</v>
      </c>
      <c r="D633" s="147" t="s">
        <v>153</v>
      </c>
      <c r="E633" s="148" t="s">
        <v>153</v>
      </c>
      <c r="F633" s="149" t="s">
        <v>153</v>
      </c>
      <c r="G633" s="150" t="s">
        <v>12926</v>
      </c>
      <c r="H633" s="151" t="s">
        <v>12927</v>
      </c>
      <c r="I633" s="152" t="s">
        <v>12924</v>
      </c>
      <c r="J633" s="153" t="s">
        <v>12928</v>
      </c>
      <c r="K633" s="154" t="s">
        <v>559</v>
      </c>
      <c r="L633" s="155" t="s">
        <v>3055</v>
      </c>
      <c r="M633" s="156" t="s">
        <v>12929</v>
      </c>
      <c r="N633" s="157" t="s">
        <v>12930</v>
      </c>
      <c r="O633" s="158" t="s">
        <v>261</v>
      </c>
      <c r="P633" s="159" t="s">
        <v>153</v>
      </c>
      <c r="Q633" s="160" t="s">
        <v>204</v>
      </c>
      <c r="R633" s="161" t="s">
        <v>153</v>
      </c>
      <c r="S633" s="162" t="s">
        <v>290</v>
      </c>
      <c r="T633" s="163" t="s">
        <v>205</v>
      </c>
      <c r="U633" s="164" t="s">
        <v>237</v>
      </c>
      <c r="V633" s="165" t="s">
        <v>12931</v>
      </c>
      <c r="W633" s="166">
        <v>8600</v>
      </c>
      <c r="X633" s="167" t="s">
        <v>12932</v>
      </c>
      <c r="Y633" s="168" t="s">
        <v>153</v>
      </c>
      <c r="Z633" s="169" t="s">
        <v>153</v>
      </c>
      <c r="AA633" s="170">
        <v>1923</v>
      </c>
      <c r="AB633" s="171" t="s">
        <v>153</v>
      </c>
      <c r="AC633" s="172" t="s">
        <v>153</v>
      </c>
      <c r="AD633" s="173" t="s">
        <v>153</v>
      </c>
      <c r="AE633" s="174" t="s">
        <v>153</v>
      </c>
      <c r="AF633" s="175" t="s">
        <v>153</v>
      </c>
      <c r="AG633" s="176" t="s">
        <v>153</v>
      </c>
      <c r="AH633" s="177" t="s">
        <v>153</v>
      </c>
      <c r="AI633" s="178" t="s">
        <v>153</v>
      </c>
      <c r="AJ633" s="179" t="s">
        <v>153</v>
      </c>
      <c r="AK633" s="180" t="s">
        <v>153</v>
      </c>
      <c r="AL633" s="181" t="s">
        <v>153</v>
      </c>
      <c r="AM633" s="182" t="s">
        <v>153</v>
      </c>
      <c r="AN633" s="183" t="s">
        <v>918</v>
      </c>
      <c r="AO633" s="184" t="s">
        <v>153</v>
      </c>
      <c r="AP633" s="185" t="s">
        <v>153</v>
      </c>
      <c r="AQ633" s="186" t="s">
        <v>153</v>
      </c>
      <c r="AR633" s="187" t="s">
        <v>153</v>
      </c>
      <c r="AS633" s="188" t="s">
        <v>153</v>
      </c>
      <c r="AT633" s="189" t="s">
        <v>1071</v>
      </c>
      <c r="AU633" s="190" t="s">
        <v>12933</v>
      </c>
      <c r="AV633" s="191" t="s">
        <v>153</v>
      </c>
      <c r="AW633" s="192" t="s">
        <v>1074</v>
      </c>
      <c r="AX633" s="193" t="s">
        <v>177</v>
      </c>
      <c r="AY633" s="194" t="s">
        <v>12934</v>
      </c>
      <c r="AZ633" s="195" t="s">
        <v>179</v>
      </c>
      <c r="BA633" s="196" t="s">
        <v>153</v>
      </c>
      <c r="BB633" s="197" t="s">
        <v>153</v>
      </c>
      <c r="BC633" s="198" t="s">
        <v>153</v>
      </c>
      <c r="BD633" s="199" t="s">
        <v>180</v>
      </c>
      <c r="BE633" s="200" t="s">
        <v>181</v>
      </c>
      <c r="BF633" s="201" t="s">
        <v>12935</v>
      </c>
      <c r="BG633" s="202" t="s">
        <v>153</v>
      </c>
      <c r="BH633" s="203" t="s">
        <v>153</v>
      </c>
      <c r="BI633" s="204" t="s">
        <v>12936</v>
      </c>
      <c r="BJ633" s="205" t="s">
        <v>153</v>
      </c>
      <c r="BK633" s="206" t="s">
        <v>153</v>
      </c>
      <c r="BL633" s="207" t="s">
        <v>153</v>
      </c>
      <c r="BM633" s="208" t="s">
        <v>153</v>
      </c>
      <c r="BN633" s="209" t="s">
        <v>153</v>
      </c>
      <c r="BO633" s="210" t="s">
        <v>12937</v>
      </c>
      <c r="BP633" s="211" t="s">
        <v>12938</v>
      </c>
      <c r="BQ633" s="212">
        <v>32325</v>
      </c>
      <c r="BR633" s="213" t="s">
        <v>153</v>
      </c>
      <c r="BS633" s="214" t="s">
        <v>153</v>
      </c>
      <c r="BT633" s="215" t="s">
        <v>153</v>
      </c>
      <c r="BU633" s="216" t="s">
        <v>153</v>
      </c>
      <c r="BV633" s="217" t="s">
        <v>251</v>
      </c>
      <c r="BW633" s="218" t="s">
        <v>153</v>
      </c>
      <c r="BX633" s="219" t="s">
        <v>153</v>
      </c>
      <c r="BY633" s="220" t="s">
        <v>252</v>
      </c>
      <c r="BZ633" s="221" t="s">
        <v>153</v>
      </c>
      <c r="CA633" s="222" t="s">
        <v>190</v>
      </c>
      <c r="CB633" s="223">
        <v>42551</v>
      </c>
      <c r="CC633" s="224">
        <v>7200</v>
      </c>
      <c r="CD633" s="225" t="s">
        <v>186</v>
      </c>
      <c r="CE633" s="226">
        <v>7200</v>
      </c>
      <c r="CF633" s="227" t="s">
        <v>186</v>
      </c>
      <c r="CG633" s="228" t="s">
        <v>226</v>
      </c>
      <c r="CH633" s="229" t="s">
        <v>153</v>
      </c>
      <c r="CI633" s="230" t="s">
        <v>153</v>
      </c>
      <c r="CJ633" s="231" t="s">
        <v>225</v>
      </c>
      <c r="CK633" s="232">
        <v>42551</v>
      </c>
      <c r="CL633" s="233" t="s">
        <v>153</v>
      </c>
      <c r="CM633" s="234" t="s">
        <v>153</v>
      </c>
      <c r="CN633" s="235" t="s">
        <v>190</v>
      </c>
      <c r="CO633" s="236" t="s">
        <v>153</v>
      </c>
      <c r="CP633" s="237" t="s">
        <v>153</v>
      </c>
      <c r="CQ633" s="238" t="s">
        <v>153</v>
      </c>
      <c r="CR633" s="239" t="s">
        <v>153</v>
      </c>
      <c r="CS633" s="240" t="s">
        <v>153</v>
      </c>
      <c r="CT633" s="241" t="s">
        <v>153</v>
      </c>
      <c r="CU633" s="242" t="s">
        <v>153</v>
      </c>
      <c r="CV633" s="243" t="s">
        <v>153</v>
      </c>
      <c r="CW633" s="244" t="s">
        <v>153</v>
      </c>
      <c r="CX633" s="245" t="s">
        <v>153</v>
      </c>
      <c r="CY633" s="246" t="s">
        <v>153</v>
      </c>
      <c r="CZ633" s="247" t="s">
        <v>153</v>
      </c>
      <c r="DA633" s="248" t="s">
        <v>153</v>
      </c>
      <c r="DB633" s="249" t="s">
        <v>153</v>
      </c>
      <c r="DC633" s="250" t="s">
        <v>153</v>
      </c>
      <c r="DD633" s="251" t="s">
        <v>153</v>
      </c>
      <c r="DE633" s="252" t="s">
        <v>153</v>
      </c>
      <c r="DF633" s="253" t="s">
        <v>153</v>
      </c>
      <c r="DG633" s="254" t="s">
        <v>153</v>
      </c>
      <c r="DH633" s="255" t="s">
        <v>153</v>
      </c>
      <c r="DI633" s="256" t="s">
        <v>153</v>
      </c>
      <c r="DJ633" s="257" t="s">
        <v>153</v>
      </c>
      <c r="DK633" s="258" t="s">
        <v>153</v>
      </c>
      <c r="DL633" s="259" t="s">
        <v>153</v>
      </c>
      <c r="DM633" s="260" t="s">
        <v>153</v>
      </c>
      <c r="DN633" s="261" t="s">
        <v>153</v>
      </c>
      <c r="DO633" s="262" t="s">
        <v>153</v>
      </c>
      <c r="DP633" s="263" t="s">
        <v>153</v>
      </c>
      <c r="DQ633" s="264" t="s">
        <v>153</v>
      </c>
      <c r="DR633" s="265" t="s">
        <v>153</v>
      </c>
      <c r="DS633" s="266" t="s">
        <v>153</v>
      </c>
      <c r="DT633" s="267" t="s">
        <v>153</v>
      </c>
      <c r="DU633" s="268" t="s">
        <v>153</v>
      </c>
      <c r="DV633" s="269" t="s">
        <v>153</v>
      </c>
      <c r="DW633" s="270" t="s">
        <v>153</v>
      </c>
      <c r="DX633" s="271" t="s">
        <v>153</v>
      </c>
      <c r="DY633" s="272" t="s">
        <v>153</v>
      </c>
      <c r="DZ633" s="273" t="s">
        <v>191</v>
      </c>
      <c r="EA633" s="274">
        <v>44218</v>
      </c>
      <c r="EB633" s="275">
        <v>7200</v>
      </c>
      <c r="EC633" s="276">
        <v>42551</v>
      </c>
      <c r="ED633" s="277" t="s">
        <v>226</v>
      </c>
      <c r="EE633" s="279" t="str">
        <f>HYPERLINK("https://my.pitchbook.com?c=12138-22", "View company online")</f>
        <v>View company online</v>
      </c>
    </row>
    <row r="634" spans="1:135" x14ac:dyDescent="0.45">
      <c r="A634" s="10" t="s">
        <v>12939</v>
      </c>
      <c r="B634" s="11" t="s">
        <v>12940</v>
      </c>
      <c r="C634" s="12" t="s">
        <v>153</v>
      </c>
      <c r="D634" s="13" t="s">
        <v>153</v>
      </c>
      <c r="E634" s="14" t="s">
        <v>153</v>
      </c>
      <c r="F634" s="15" t="s">
        <v>12941</v>
      </c>
      <c r="G634" s="16" t="s">
        <v>12942</v>
      </c>
      <c r="H634" s="17" t="s">
        <v>12943</v>
      </c>
      <c r="I634" s="18" t="s">
        <v>12939</v>
      </c>
      <c r="J634" s="19" t="s">
        <v>12944</v>
      </c>
      <c r="K634" s="20" t="s">
        <v>882</v>
      </c>
      <c r="L634" s="21" t="s">
        <v>883</v>
      </c>
      <c r="M634" s="22" t="s">
        <v>3501</v>
      </c>
      <c r="N634" s="23" t="s">
        <v>12886</v>
      </c>
      <c r="O634" s="24" t="s">
        <v>399</v>
      </c>
      <c r="P634" s="25" t="s">
        <v>12945</v>
      </c>
      <c r="Q634" s="26" t="s">
        <v>162</v>
      </c>
      <c r="R634" s="27" t="s">
        <v>153</v>
      </c>
      <c r="S634" s="28" t="s">
        <v>290</v>
      </c>
      <c r="T634" s="29" t="s">
        <v>1392</v>
      </c>
      <c r="U634" s="30" t="s">
        <v>369</v>
      </c>
      <c r="V634" s="31" t="s">
        <v>12946</v>
      </c>
      <c r="W634" s="32">
        <v>22000</v>
      </c>
      <c r="X634" s="33" t="s">
        <v>12947</v>
      </c>
      <c r="Y634" s="34" t="s">
        <v>153</v>
      </c>
      <c r="Z634" s="35" t="s">
        <v>153</v>
      </c>
      <c r="AA634" s="36">
        <v>1974</v>
      </c>
      <c r="AB634" s="37" t="s">
        <v>153</v>
      </c>
      <c r="AC634" s="38" t="s">
        <v>153</v>
      </c>
      <c r="AD634" s="39" t="s">
        <v>570</v>
      </c>
      <c r="AE634" s="40" t="s">
        <v>153</v>
      </c>
      <c r="AF634" s="41" t="s">
        <v>153</v>
      </c>
      <c r="AG634" s="42" t="s">
        <v>153</v>
      </c>
      <c r="AH634" s="43" t="s">
        <v>153</v>
      </c>
      <c r="AI634" s="44" t="s">
        <v>153</v>
      </c>
      <c r="AJ634" s="45" t="s">
        <v>153</v>
      </c>
      <c r="AK634" s="46" t="s">
        <v>153</v>
      </c>
      <c r="AL634" s="47" t="s">
        <v>153</v>
      </c>
      <c r="AM634" s="48" t="s">
        <v>153</v>
      </c>
      <c r="AN634" s="49" t="s">
        <v>376</v>
      </c>
      <c r="AO634" s="50" t="s">
        <v>12948</v>
      </c>
      <c r="AP634" s="51" t="s">
        <v>12949</v>
      </c>
      <c r="AQ634" s="52" t="s">
        <v>12950</v>
      </c>
      <c r="AR634" s="53" t="s">
        <v>12951</v>
      </c>
      <c r="AS634" s="54" t="s">
        <v>12952</v>
      </c>
      <c r="AT634" s="55" t="s">
        <v>12953</v>
      </c>
      <c r="AU634" s="56" t="s">
        <v>12954</v>
      </c>
      <c r="AV634" s="57" t="s">
        <v>153</v>
      </c>
      <c r="AW634" s="58" t="s">
        <v>12955</v>
      </c>
      <c r="AX634" s="59" t="s">
        <v>4177</v>
      </c>
      <c r="AY634" s="60" t="s">
        <v>12956</v>
      </c>
      <c r="AZ634" s="61" t="s">
        <v>215</v>
      </c>
      <c r="BA634" s="62" t="s">
        <v>12952</v>
      </c>
      <c r="BB634" s="63" t="s">
        <v>153</v>
      </c>
      <c r="BC634" s="64" t="s">
        <v>153</v>
      </c>
      <c r="BD634" s="65" t="s">
        <v>216</v>
      </c>
      <c r="BE634" s="66" t="s">
        <v>217</v>
      </c>
      <c r="BF634" s="67" t="s">
        <v>12957</v>
      </c>
      <c r="BG634" s="68" t="s">
        <v>12958</v>
      </c>
      <c r="BH634" s="69">
        <v>1</v>
      </c>
      <c r="BI634" s="70" t="s">
        <v>153</v>
      </c>
      <c r="BJ634" s="71" t="s">
        <v>153</v>
      </c>
      <c r="BK634" s="72" t="s">
        <v>12959</v>
      </c>
      <c r="BL634" s="73" t="s">
        <v>12960</v>
      </c>
      <c r="BM634" s="74" t="s">
        <v>153</v>
      </c>
      <c r="BN634" s="75" t="s">
        <v>12961</v>
      </c>
      <c r="BO634" s="76" t="s">
        <v>12962</v>
      </c>
      <c r="BP634" s="77" t="s">
        <v>12963</v>
      </c>
      <c r="BQ634" s="78">
        <v>31525</v>
      </c>
      <c r="BR634" s="79" t="s">
        <v>153</v>
      </c>
      <c r="BS634" s="80" t="s">
        <v>153</v>
      </c>
      <c r="BT634" s="81" t="s">
        <v>153</v>
      </c>
      <c r="BU634" s="82" t="s">
        <v>153</v>
      </c>
      <c r="BV634" s="83" t="s">
        <v>251</v>
      </c>
      <c r="BW634" s="84" t="s">
        <v>153</v>
      </c>
      <c r="BX634" s="85" t="s">
        <v>153</v>
      </c>
      <c r="BY634" s="86" t="s">
        <v>252</v>
      </c>
      <c r="BZ634" s="87" t="s">
        <v>153</v>
      </c>
      <c r="CA634" s="88" t="s">
        <v>190</v>
      </c>
      <c r="CB634" s="89">
        <v>44277</v>
      </c>
      <c r="CC634" s="90">
        <v>7200</v>
      </c>
      <c r="CD634" s="91" t="s">
        <v>187</v>
      </c>
      <c r="CE634" s="92">
        <v>7200</v>
      </c>
      <c r="CF634" s="93" t="s">
        <v>187</v>
      </c>
      <c r="CG634" s="94" t="s">
        <v>226</v>
      </c>
      <c r="CH634" s="95" t="s">
        <v>153</v>
      </c>
      <c r="CI634" s="96" t="s">
        <v>153</v>
      </c>
      <c r="CJ634" s="97" t="s">
        <v>225</v>
      </c>
      <c r="CK634" s="98">
        <v>44277</v>
      </c>
      <c r="CL634" s="99" t="s">
        <v>153</v>
      </c>
      <c r="CM634" s="100" t="s">
        <v>153</v>
      </c>
      <c r="CN634" s="101" t="s">
        <v>1278</v>
      </c>
      <c r="CO634" s="102">
        <v>0.89</v>
      </c>
      <c r="CP634" s="103">
        <v>95</v>
      </c>
      <c r="CQ634" s="104">
        <v>-0.01</v>
      </c>
      <c r="CR634" s="105">
        <v>-1.2</v>
      </c>
      <c r="CS634" s="106">
        <v>1.71</v>
      </c>
      <c r="CT634" s="107">
        <v>97</v>
      </c>
      <c r="CU634" s="108">
        <v>0.01</v>
      </c>
      <c r="CV634" s="109">
        <v>77</v>
      </c>
      <c r="CW634" s="110">
        <v>3.63</v>
      </c>
      <c r="CX634" s="111">
        <v>91</v>
      </c>
      <c r="CY634" s="112">
        <v>-0.21</v>
      </c>
      <c r="CZ634" s="113">
        <v>4</v>
      </c>
      <c r="DA634" s="114">
        <v>0.01</v>
      </c>
      <c r="DB634" s="115">
        <v>77</v>
      </c>
      <c r="DC634" s="116">
        <v>259.86</v>
      </c>
      <c r="DD634" s="117">
        <v>100</v>
      </c>
      <c r="DE634" s="118">
        <v>0.14000000000000001</v>
      </c>
      <c r="DF634" s="119">
        <v>0.05</v>
      </c>
      <c r="DG634" s="120">
        <v>128.56</v>
      </c>
      <c r="DH634" s="121">
        <v>100</v>
      </c>
      <c r="DI634" s="122">
        <v>56.44</v>
      </c>
      <c r="DJ634" s="123">
        <v>96</v>
      </c>
      <c r="DK634" s="124">
        <v>83.93</v>
      </c>
      <c r="DL634" s="125">
        <v>97</v>
      </c>
      <c r="DM634" s="126">
        <v>173.19</v>
      </c>
      <c r="DN634" s="127">
        <v>100</v>
      </c>
      <c r="DO634" s="128">
        <v>56.44</v>
      </c>
      <c r="DP634" s="129">
        <v>96</v>
      </c>
      <c r="DQ634" s="130">
        <v>49538</v>
      </c>
      <c r="DR634" s="131">
        <v>862</v>
      </c>
      <c r="DS634" s="132">
        <v>1.77</v>
      </c>
      <c r="DT634" s="133">
        <v>2770</v>
      </c>
      <c r="DU634" s="134">
        <v>1</v>
      </c>
      <c r="DV634" s="135">
        <v>0.04</v>
      </c>
      <c r="DW634" s="136">
        <v>17718</v>
      </c>
      <c r="DX634" s="137">
        <v>9</v>
      </c>
      <c r="DY634" s="138">
        <v>0.05</v>
      </c>
      <c r="DZ634" s="139" t="s">
        <v>191</v>
      </c>
      <c r="EA634" s="140">
        <v>44382</v>
      </c>
      <c r="EB634" s="141">
        <v>7200</v>
      </c>
      <c r="EC634" s="142">
        <v>44277</v>
      </c>
      <c r="ED634" s="143" t="s">
        <v>226</v>
      </c>
      <c r="EE634" s="278" t="str">
        <f>HYPERLINK("https://my.pitchbook.com?c=41736-16", "View company online")</f>
        <v>View company online</v>
      </c>
    </row>
    <row r="635" spans="1:135" x14ac:dyDescent="0.45">
      <c r="A635" s="144" t="s">
        <v>12964</v>
      </c>
      <c r="B635" s="145" t="s">
        <v>12965</v>
      </c>
      <c r="C635" s="146" t="s">
        <v>153</v>
      </c>
      <c r="D635" s="147" t="s">
        <v>153</v>
      </c>
      <c r="E635" s="148" t="s">
        <v>12966</v>
      </c>
      <c r="F635" s="149" t="s">
        <v>153</v>
      </c>
      <c r="G635" s="150" t="s">
        <v>12967</v>
      </c>
      <c r="H635" s="151" t="s">
        <v>153</v>
      </c>
      <c r="I635" s="152" t="s">
        <v>12964</v>
      </c>
      <c r="J635" s="153" t="s">
        <v>12968</v>
      </c>
      <c r="K635" s="154" t="s">
        <v>232</v>
      </c>
      <c r="L635" s="155" t="s">
        <v>362</v>
      </c>
      <c r="M635" s="156" t="s">
        <v>4656</v>
      </c>
      <c r="N635" s="157" t="s">
        <v>4657</v>
      </c>
      <c r="O635" s="158" t="s">
        <v>153</v>
      </c>
      <c r="P635" s="159" t="s">
        <v>12969</v>
      </c>
      <c r="Q635" s="160" t="s">
        <v>204</v>
      </c>
      <c r="R635" s="161" t="s">
        <v>153</v>
      </c>
      <c r="S635" s="162" t="s">
        <v>290</v>
      </c>
      <c r="T635" s="163" t="s">
        <v>205</v>
      </c>
      <c r="U635" s="164" t="s">
        <v>237</v>
      </c>
      <c r="V635" s="165" t="s">
        <v>153</v>
      </c>
      <c r="W635" s="166">
        <v>501</v>
      </c>
      <c r="X635" s="167" t="s">
        <v>12970</v>
      </c>
      <c r="Y635" s="168" t="s">
        <v>153</v>
      </c>
      <c r="Z635" s="169" t="s">
        <v>153</v>
      </c>
      <c r="AA635" s="170">
        <v>1923</v>
      </c>
      <c r="AB635" s="171" t="s">
        <v>153</v>
      </c>
      <c r="AC635" s="172" t="s">
        <v>153</v>
      </c>
      <c r="AD635" s="173" t="s">
        <v>153</v>
      </c>
      <c r="AE635" s="174" t="s">
        <v>153</v>
      </c>
      <c r="AF635" s="175" t="s">
        <v>153</v>
      </c>
      <c r="AG635" s="176" t="s">
        <v>153</v>
      </c>
      <c r="AH635" s="177" t="s">
        <v>153</v>
      </c>
      <c r="AI635" s="178" t="s">
        <v>153</v>
      </c>
      <c r="AJ635" s="179" t="s">
        <v>153</v>
      </c>
      <c r="AK635" s="180" t="s">
        <v>153</v>
      </c>
      <c r="AL635" s="181" t="s">
        <v>153</v>
      </c>
      <c r="AM635" s="182" t="s">
        <v>153</v>
      </c>
      <c r="AN635" s="183" t="s">
        <v>2458</v>
      </c>
      <c r="AO635" s="184" t="s">
        <v>153</v>
      </c>
      <c r="AP635" s="185" t="s">
        <v>153</v>
      </c>
      <c r="AQ635" s="186" t="s">
        <v>153</v>
      </c>
      <c r="AR635" s="187" t="s">
        <v>153</v>
      </c>
      <c r="AS635" s="188" t="s">
        <v>153</v>
      </c>
      <c r="AT635" s="189" t="s">
        <v>780</v>
      </c>
      <c r="AU635" s="190" t="s">
        <v>12971</v>
      </c>
      <c r="AV635" s="191" t="s">
        <v>153</v>
      </c>
      <c r="AW635" s="192" t="s">
        <v>782</v>
      </c>
      <c r="AX635" s="193" t="s">
        <v>783</v>
      </c>
      <c r="AY635" s="194" t="s">
        <v>2876</v>
      </c>
      <c r="AZ635" s="195" t="s">
        <v>215</v>
      </c>
      <c r="BA635" s="196" t="s">
        <v>12972</v>
      </c>
      <c r="BB635" s="197" t="s">
        <v>12973</v>
      </c>
      <c r="BC635" s="198" t="s">
        <v>153</v>
      </c>
      <c r="BD635" s="199" t="s">
        <v>216</v>
      </c>
      <c r="BE635" s="200" t="s">
        <v>217</v>
      </c>
      <c r="BF635" s="201" t="s">
        <v>12974</v>
      </c>
      <c r="BG635" s="202" t="s">
        <v>153</v>
      </c>
      <c r="BH635" s="203" t="s">
        <v>153</v>
      </c>
      <c r="BI635" s="204" t="s">
        <v>12975</v>
      </c>
      <c r="BJ635" s="205" t="s">
        <v>153</v>
      </c>
      <c r="BK635" s="206" t="s">
        <v>153</v>
      </c>
      <c r="BL635" s="207" t="s">
        <v>153</v>
      </c>
      <c r="BM635" s="208" t="s">
        <v>153</v>
      </c>
      <c r="BN635" s="209" t="s">
        <v>153</v>
      </c>
      <c r="BO635" s="210" t="s">
        <v>12976</v>
      </c>
      <c r="BP635" s="211" t="s">
        <v>12977</v>
      </c>
      <c r="BQ635" s="212">
        <v>38995</v>
      </c>
      <c r="BR635" s="213">
        <v>7200</v>
      </c>
      <c r="BS635" s="214" t="s">
        <v>186</v>
      </c>
      <c r="BT635" s="215">
        <v>7200</v>
      </c>
      <c r="BU635" s="216" t="s">
        <v>186</v>
      </c>
      <c r="BV635" s="217" t="s">
        <v>226</v>
      </c>
      <c r="BW635" s="218" t="s">
        <v>153</v>
      </c>
      <c r="BX635" s="219" t="s">
        <v>153</v>
      </c>
      <c r="BY635" s="220" t="s">
        <v>225</v>
      </c>
      <c r="BZ635" s="221" t="s">
        <v>153</v>
      </c>
      <c r="CA635" s="222" t="s">
        <v>190</v>
      </c>
      <c r="CB635" s="223">
        <v>38995</v>
      </c>
      <c r="CC635" s="224">
        <v>7200</v>
      </c>
      <c r="CD635" s="225" t="s">
        <v>186</v>
      </c>
      <c r="CE635" s="226">
        <v>7200</v>
      </c>
      <c r="CF635" s="227" t="s">
        <v>186</v>
      </c>
      <c r="CG635" s="228" t="s">
        <v>226</v>
      </c>
      <c r="CH635" s="229" t="s">
        <v>153</v>
      </c>
      <c r="CI635" s="230" t="s">
        <v>153</v>
      </c>
      <c r="CJ635" s="231" t="s">
        <v>225</v>
      </c>
      <c r="CK635" s="232">
        <v>38995</v>
      </c>
      <c r="CL635" s="233" t="s">
        <v>153</v>
      </c>
      <c r="CM635" s="234" t="s">
        <v>153</v>
      </c>
      <c r="CN635" s="235" t="s">
        <v>190</v>
      </c>
      <c r="CO635" s="236" t="s">
        <v>153</v>
      </c>
      <c r="CP635" s="237" t="s">
        <v>153</v>
      </c>
      <c r="CQ635" s="238" t="s">
        <v>153</v>
      </c>
      <c r="CR635" s="239" t="s">
        <v>153</v>
      </c>
      <c r="CS635" s="240" t="s">
        <v>153</v>
      </c>
      <c r="CT635" s="241" t="s">
        <v>153</v>
      </c>
      <c r="CU635" s="242" t="s">
        <v>153</v>
      </c>
      <c r="CV635" s="243" t="s">
        <v>153</v>
      </c>
      <c r="CW635" s="244" t="s">
        <v>153</v>
      </c>
      <c r="CX635" s="245" t="s">
        <v>153</v>
      </c>
      <c r="CY635" s="246" t="s">
        <v>153</v>
      </c>
      <c r="CZ635" s="247" t="s">
        <v>153</v>
      </c>
      <c r="DA635" s="248" t="s">
        <v>153</v>
      </c>
      <c r="DB635" s="249" t="s">
        <v>153</v>
      </c>
      <c r="DC635" s="250" t="s">
        <v>153</v>
      </c>
      <c r="DD635" s="251" t="s">
        <v>153</v>
      </c>
      <c r="DE635" s="252" t="s">
        <v>153</v>
      </c>
      <c r="DF635" s="253" t="s">
        <v>153</v>
      </c>
      <c r="DG635" s="254" t="s">
        <v>153</v>
      </c>
      <c r="DH635" s="255" t="s">
        <v>153</v>
      </c>
      <c r="DI635" s="256" t="s">
        <v>153</v>
      </c>
      <c r="DJ635" s="257" t="s">
        <v>153</v>
      </c>
      <c r="DK635" s="258" t="s">
        <v>153</v>
      </c>
      <c r="DL635" s="259" t="s">
        <v>153</v>
      </c>
      <c r="DM635" s="260" t="s">
        <v>153</v>
      </c>
      <c r="DN635" s="261" t="s">
        <v>153</v>
      </c>
      <c r="DO635" s="262" t="s">
        <v>153</v>
      </c>
      <c r="DP635" s="263" t="s">
        <v>153</v>
      </c>
      <c r="DQ635" s="264" t="s">
        <v>153</v>
      </c>
      <c r="DR635" s="265" t="s">
        <v>153</v>
      </c>
      <c r="DS635" s="266" t="s">
        <v>153</v>
      </c>
      <c r="DT635" s="267" t="s">
        <v>153</v>
      </c>
      <c r="DU635" s="268" t="s">
        <v>153</v>
      </c>
      <c r="DV635" s="269" t="s">
        <v>153</v>
      </c>
      <c r="DW635" s="270" t="s">
        <v>153</v>
      </c>
      <c r="DX635" s="271" t="s">
        <v>153</v>
      </c>
      <c r="DY635" s="272" t="s">
        <v>153</v>
      </c>
      <c r="DZ635" s="273" t="s">
        <v>191</v>
      </c>
      <c r="EA635" s="274">
        <v>44217</v>
      </c>
      <c r="EB635" s="275">
        <v>7200</v>
      </c>
      <c r="EC635" s="276">
        <v>38995</v>
      </c>
      <c r="ED635" s="277" t="s">
        <v>226</v>
      </c>
      <c r="EE635" s="279" t="str">
        <f>HYPERLINK("https://my.pitchbook.com?c=11071-18", "View company online")</f>
        <v>View company online</v>
      </c>
    </row>
    <row r="636" spans="1:135" x14ac:dyDescent="0.45">
      <c r="A636" s="10" t="s">
        <v>12978</v>
      </c>
      <c r="B636" s="11" t="s">
        <v>12979</v>
      </c>
      <c r="C636" s="12" t="s">
        <v>153</v>
      </c>
      <c r="D636" s="13" t="s">
        <v>153</v>
      </c>
      <c r="E636" s="14" t="s">
        <v>153</v>
      </c>
      <c r="F636" s="15" t="s">
        <v>153</v>
      </c>
      <c r="G636" s="16" t="s">
        <v>12980</v>
      </c>
      <c r="H636" s="17" t="s">
        <v>153</v>
      </c>
      <c r="I636" s="18" t="s">
        <v>12978</v>
      </c>
      <c r="J636" s="19" t="s">
        <v>12981</v>
      </c>
      <c r="K636" s="20" t="s">
        <v>792</v>
      </c>
      <c r="L636" s="21" t="s">
        <v>2586</v>
      </c>
      <c r="M636" s="22" t="s">
        <v>2587</v>
      </c>
      <c r="N636" s="23" t="s">
        <v>12982</v>
      </c>
      <c r="O636" s="24" t="s">
        <v>6444</v>
      </c>
      <c r="P636" s="25" t="s">
        <v>12983</v>
      </c>
      <c r="Q636" s="26" t="s">
        <v>564</v>
      </c>
      <c r="R636" s="27" t="s">
        <v>153</v>
      </c>
      <c r="S636" s="28" t="s">
        <v>163</v>
      </c>
      <c r="T636" s="29" t="s">
        <v>205</v>
      </c>
      <c r="U636" s="30" t="s">
        <v>565</v>
      </c>
      <c r="V636" s="31" t="s">
        <v>12984</v>
      </c>
      <c r="W636" s="32">
        <v>5070</v>
      </c>
      <c r="X636" s="33" t="s">
        <v>12985</v>
      </c>
      <c r="Y636" s="34" t="s">
        <v>153</v>
      </c>
      <c r="Z636" s="35" t="s">
        <v>153</v>
      </c>
      <c r="AA636" s="36">
        <v>1975</v>
      </c>
      <c r="AB636" s="37" t="s">
        <v>153</v>
      </c>
      <c r="AC636" s="38" t="s">
        <v>153</v>
      </c>
      <c r="AD636" s="39" t="s">
        <v>153</v>
      </c>
      <c r="AE636" s="40" t="s">
        <v>153</v>
      </c>
      <c r="AF636" s="41" t="s">
        <v>153</v>
      </c>
      <c r="AG636" s="42" t="s">
        <v>153</v>
      </c>
      <c r="AH636" s="43" t="s">
        <v>153</v>
      </c>
      <c r="AI636" s="44" t="s">
        <v>153</v>
      </c>
      <c r="AJ636" s="45" t="s">
        <v>153</v>
      </c>
      <c r="AK636" s="46" t="s">
        <v>153</v>
      </c>
      <c r="AL636" s="47" t="s">
        <v>153</v>
      </c>
      <c r="AM636" s="48" t="s">
        <v>153</v>
      </c>
      <c r="AN636" s="49" t="s">
        <v>4414</v>
      </c>
      <c r="AO636" s="50" t="s">
        <v>12986</v>
      </c>
      <c r="AP636" s="51" t="s">
        <v>12987</v>
      </c>
      <c r="AQ636" s="52" t="s">
        <v>12988</v>
      </c>
      <c r="AR636" s="53" t="s">
        <v>153</v>
      </c>
      <c r="AS636" s="54" t="s">
        <v>153</v>
      </c>
      <c r="AT636" s="55" t="s">
        <v>1124</v>
      </c>
      <c r="AU636" s="56" t="s">
        <v>12989</v>
      </c>
      <c r="AV636" s="57" t="s">
        <v>3421</v>
      </c>
      <c r="AW636" s="58" t="s">
        <v>1127</v>
      </c>
      <c r="AX636" s="59" t="s">
        <v>1128</v>
      </c>
      <c r="AY636" s="60" t="s">
        <v>12990</v>
      </c>
      <c r="AZ636" s="61" t="s">
        <v>215</v>
      </c>
      <c r="BA636" s="62" t="s">
        <v>153</v>
      </c>
      <c r="BB636" s="63" t="s">
        <v>153</v>
      </c>
      <c r="BC636" s="64" t="s">
        <v>153</v>
      </c>
      <c r="BD636" s="65" t="s">
        <v>216</v>
      </c>
      <c r="BE636" s="66" t="s">
        <v>217</v>
      </c>
      <c r="BF636" s="67" t="s">
        <v>12991</v>
      </c>
      <c r="BG636" s="68" t="s">
        <v>153</v>
      </c>
      <c r="BH636" s="69" t="s">
        <v>153</v>
      </c>
      <c r="BI636" s="70" t="s">
        <v>12992</v>
      </c>
      <c r="BJ636" s="71" t="s">
        <v>12993</v>
      </c>
      <c r="BK636" s="72" t="s">
        <v>153</v>
      </c>
      <c r="BL636" s="73" t="s">
        <v>153</v>
      </c>
      <c r="BM636" s="74" t="s">
        <v>12994</v>
      </c>
      <c r="BN636" s="75" t="s">
        <v>153</v>
      </c>
      <c r="BO636" s="76" t="s">
        <v>153</v>
      </c>
      <c r="BP636" s="77" t="s">
        <v>7937</v>
      </c>
      <c r="BQ636" s="78">
        <v>32509</v>
      </c>
      <c r="BR636" s="79" t="s">
        <v>153</v>
      </c>
      <c r="BS636" s="80" t="s">
        <v>153</v>
      </c>
      <c r="BT636" s="81" t="s">
        <v>153</v>
      </c>
      <c r="BU636" s="82" t="s">
        <v>153</v>
      </c>
      <c r="BV636" s="83" t="s">
        <v>709</v>
      </c>
      <c r="BW636" s="84" t="s">
        <v>153</v>
      </c>
      <c r="BX636" s="85" t="s">
        <v>153</v>
      </c>
      <c r="BY636" s="86" t="s">
        <v>165</v>
      </c>
      <c r="BZ636" s="87" t="s">
        <v>153</v>
      </c>
      <c r="CA636" s="88" t="s">
        <v>190</v>
      </c>
      <c r="CB636" s="89">
        <v>39559</v>
      </c>
      <c r="CC636" s="90">
        <v>7198.6</v>
      </c>
      <c r="CD636" s="91" t="s">
        <v>186</v>
      </c>
      <c r="CE636" s="92">
        <v>7198.6</v>
      </c>
      <c r="CF636" s="93" t="s">
        <v>186</v>
      </c>
      <c r="CG636" s="94" t="s">
        <v>226</v>
      </c>
      <c r="CH636" s="95" t="s">
        <v>153</v>
      </c>
      <c r="CI636" s="96" t="s">
        <v>153</v>
      </c>
      <c r="CJ636" s="97" t="s">
        <v>225</v>
      </c>
      <c r="CK636" s="98">
        <v>39559</v>
      </c>
      <c r="CL636" s="99" t="s">
        <v>153</v>
      </c>
      <c r="CM636" s="100" t="s">
        <v>153</v>
      </c>
      <c r="CN636" s="101" t="s">
        <v>190</v>
      </c>
      <c r="CO636" s="102" t="s">
        <v>153</v>
      </c>
      <c r="CP636" s="103" t="s">
        <v>153</v>
      </c>
      <c r="CQ636" s="104" t="s">
        <v>153</v>
      </c>
      <c r="CR636" s="105" t="s">
        <v>153</v>
      </c>
      <c r="CS636" s="106" t="s">
        <v>153</v>
      </c>
      <c r="CT636" s="107" t="s">
        <v>153</v>
      </c>
      <c r="CU636" s="108" t="s">
        <v>153</v>
      </c>
      <c r="CV636" s="109" t="s">
        <v>153</v>
      </c>
      <c r="CW636" s="110" t="s">
        <v>153</v>
      </c>
      <c r="CX636" s="111" t="s">
        <v>153</v>
      </c>
      <c r="CY636" s="112" t="s">
        <v>153</v>
      </c>
      <c r="CZ636" s="113" t="s">
        <v>153</v>
      </c>
      <c r="DA636" s="114" t="s">
        <v>153</v>
      </c>
      <c r="DB636" s="115" t="s">
        <v>153</v>
      </c>
      <c r="DC636" s="116" t="s">
        <v>153</v>
      </c>
      <c r="DD636" s="117" t="s">
        <v>153</v>
      </c>
      <c r="DE636" s="118" t="s">
        <v>153</v>
      </c>
      <c r="DF636" s="119" t="s">
        <v>153</v>
      </c>
      <c r="DG636" s="120" t="s">
        <v>153</v>
      </c>
      <c r="DH636" s="121" t="s">
        <v>153</v>
      </c>
      <c r="DI636" s="122" t="s">
        <v>153</v>
      </c>
      <c r="DJ636" s="123" t="s">
        <v>153</v>
      </c>
      <c r="DK636" s="124" t="s">
        <v>153</v>
      </c>
      <c r="DL636" s="125" t="s">
        <v>153</v>
      </c>
      <c r="DM636" s="126" t="s">
        <v>153</v>
      </c>
      <c r="DN636" s="127" t="s">
        <v>153</v>
      </c>
      <c r="DO636" s="128" t="s">
        <v>153</v>
      </c>
      <c r="DP636" s="129" t="s">
        <v>153</v>
      </c>
      <c r="DQ636" s="130" t="s">
        <v>153</v>
      </c>
      <c r="DR636" s="131" t="s">
        <v>153</v>
      </c>
      <c r="DS636" s="132" t="s">
        <v>153</v>
      </c>
      <c r="DT636" s="133" t="s">
        <v>153</v>
      </c>
      <c r="DU636" s="134" t="s">
        <v>153</v>
      </c>
      <c r="DV636" s="135" t="s">
        <v>153</v>
      </c>
      <c r="DW636" s="136" t="s">
        <v>153</v>
      </c>
      <c r="DX636" s="137" t="s">
        <v>153</v>
      </c>
      <c r="DY636" s="138" t="s">
        <v>153</v>
      </c>
      <c r="DZ636" s="139" t="s">
        <v>191</v>
      </c>
      <c r="EA636" s="140">
        <v>44259</v>
      </c>
      <c r="EB636" s="141">
        <v>7198.6</v>
      </c>
      <c r="EC636" s="142">
        <v>39559</v>
      </c>
      <c r="ED636" s="143" t="s">
        <v>226</v>
      </c>
      <c r="EE636" s="278" t="str">
        <f>HYPERLINK("https://my.pitchbook.com?c=41419-72", "View company online")</f>
        <v>View company online</v>
      </c>
    </row>
    <row r="637" spans="1:135" x14ac:dyDescent="0.45">
      <c r="A637" s="144" t="s">
        <v>12995</v>
      </c>
      <c r="B637" s="145" t="s">
        <v>12996</v>
      </c>
      <c r="C637" s="146" t="s">
        <v>153</v>
      </c>
      <c r="D637" s="147" t="s">
        <v>153</v>
      </c>
      <c r="E637" s="148" t="s">
        <v>153</v>
      </c>
      <c r="F637" s="149" t="s">
        <v>153</v>
      </c>
      <c r="G637" s="150" t="s">
        <v>12997</v>
      </c>
      <c r="H637" s="151" t="s">
        <v>153</v>
      </c>
      <c r="I637" s="152" t="s">
        <v>12995</v>
      </c>
      <c r="J637" s="153" t="s">
        <v>12998</v>
      </c>
      <c r="K637" s="154" t="s">
        <v>559</v>
      </c>
      <c r="L637" s="155" t="s">
        <v>560</v>
      </c>
      <c r="M637" s="156" t="s">
        <v>561</v>
      </c>
      <c r="N637" s="157" t="s">
        <v>8065</v>
      </c>
      <c r="O637" s="158" t="s">
        <v>12999</v>
      </c>
      <c r="P637" s="159" t="s">
        <v>13000</v>
      </c>
      <c r="Q637" s="160" t="s">
        <v>367</v>
      </c>
      <c r="R637" s="161" t="s">
        <v>153</v>
      </c>
      <c r="S637" s="162" t="s">
        <v>163</v>
      </c>
      <c r="T637" s="163" t="s">
        <v>205</v>
      </c>
      <c r="U637" s="164" t="s">
        <v>206</v>
      </c>
      <c r="V637" s="165" t="s">
        <v>153</v>
      </c>
      <c r="W637" s="166">
        <v>15300</v>
      </c>
      <c r="X637" s="167" t="s">
        <v>13001</v>
      </c>
      <c r="Y637" s="168" t="s">
        <v>153</v>
      </c>
      <c r="Z637" s="169" t="s">
        <v>153</v>
      </c>
      <c r="AA637" s="170" t="s">
        <v>153</v>
      </c>
      <c r="AB637" s="171" t="s">
        <v>153</v>
      </c>
      <c r="AC637" s="172" t="s">
        <v>153</v>
      </c>
      <c r="AD637" s="173" t="s">
        <v>153</v>
      </c>
      <c r="AE637" s="174" t="s">
        <v>153</v>
      </c>
      <c r="AF637" s="175" t="s">
        <v>153</v>
      </c>
      <c r="AG637" s="176" t="s">
        <v>153</v>
      </c>
      <c r="AH637" s="177" t="s">
        <v>153</v>
      </c>
      <c r="AI637" s="178" t="s">
        <v>153</v>
      </c>
      <c r="AJ637" s="179" t="s">
        <v>153</v>
      </c>
      <c r="AK637" s="180" t="s">
        <v>153</v>
      </c>
      <c r="AL637" s="181" t="s">
        <v>153</v>
      </c>
      <c r="AM637" s="182" t="s">
        <v>153</v>
      </c>
      <c r="AN637" s="183" t="s">
        <v>1373</v>
      </c>
      <c r="AO637" s="184" t="s">
        <v>153</v>
      </c>
      <c r="AP637" s="185" t="s">
        <v>153</v>
      </c>
      <c r="AQ637" s="186" t="s">
        <v>153</v>
      </c>
      <c r="AR637" s="187" t="s">
        <v>153</v>
      </c>
      <c r="AS637" s="188" t="s">
        <v>153</v>
      </c>
      <c r="AT637" s="189" t="s">
        <v>13002</v>
      </c>
      <c r="AU637" s="190" t="s">
        <v>153</v>
      </c>
      <c r="AV637" s="191" t="s">
        <v>153</v>
      </c>
      <c r="AW637" s="192" t="s">
        <v>13003</v>
      </c>
      <c r="AX637" s="193" t="s">
        <v>153</v>
      </c>
      <c r="AY637" s="194" t="s">
        <v>153</v>
      </c>
      <c r="AZ637" s="195" t="s">
        <v>352</v>
      </c>
      <c r="BA637" s="196" t="s">
        <v>153</v>
      </c>
      <c r="BB637" s="197" t="s">
        <v>153</v>
      </c>
      <c r="BC637" s="198" t="s">
        <v>153</v>
      </c>
      <c r="BD637" s="199" t="s">
        <v>180</v>
      </c>
      <c r="BE637" s="200" t="s">
        <v>181</v>
      </c>
      <c r="BF637" s="201" t="s">
        <v>13004</v>
      </c>
      <c r="BG637" s="202" t="s">
        <v>153</v>
      </c>
      <c r="BH637" s="203" t="s">
        <v>153</v>
      </c>
      <c r="BI637" s="204" t="s">
        <v>655</v>
      </c>
      <c r="BJ637" s="205" t="s">
        <v>13005</v>
      </c>
      <c r="BK637" s="206" t="s">
        <v>153</v>
      </c>
      <c r="BL637" s="207" t="s">
        <v>153</v>
      </c>
      <c r="BM637" s="208" t="s">
        <v>13006</v>
      </c>
      <c r="BN637" s="209" t="s">
        <v>153</v>
      </c>
      <c r="BO637" s="210" t="s">
        <v>153</v>
      </c>
      <c r="BP637" s="211" t="s">
        <v>153</v>
      </c>
      <c r="BQ637" s="212">
        <v>37410</v>
      </c>
      <c r="BR637" s="213">
        <v>7184.81</v>
      </c>
      <c r="BS637" s="214" t="s">
        <v>186</v>
      </c>
      <c r="BT637" s="215">
        <v>7184.81</v>
      </c>
      <c r="BU637" s="216" t="s">
        <v>187</v>
      </c>
      <c r="BV637" s="217" t="s">
        <v>226</v>
      </c>
      <c r="BW637" s="218" t="s">
        <v>153</v>
      </c>
      <c r="BX637" s="219" t="s">
        <v>153</v>
      </c>
      <c r="BY637" s="220" t="s">
        <v>225</v>
      </c>
      <c r="BZ637" s="221" t="s">
        <v>153</v>
      </c>
      <c r="CA637" s="222" t="s">
        <v>190</v>
      </c>
      <c r="CB637" s="223">
        <v>37410</v>
      </c>
      <c r="CC637" s="224">
        <v>7184.81</v>
      </c>
      <c r="CD637" s="225" t="s">
        <v>186</v>
      </c>
      <c r="CE637" s="226">
        <v>7184.81</v>
      </c>
      <c r="CF637" s="227" t="s">
        <v>187</v>
      </c>
      <c r="CG637" s="228" t="s">
        <v>226</v>
      </c>
      <c r="CH637" s="229" t="s">
        <v>153</v>
      </c>
      <c r="CI637" s="230" t="s">
        <v>153</v>
      </c>
      <c r="CJ637" s="231" t="s">
        <v>225</v>
      </c>
      <c r="CK637" s="232">
        <v>37410</v>
      </c>
      <c r="CL637" s="233" t="s">
        <v>153</v>
      </c>
      <c r="CM637" s="234" t="s">
        <v>153</v>
      </c>
      <c r="CN637" s="235" t="s">
        <v>190</v>
      </c>
      <c r="CO637" s="236" t="s">
        <v>153</v>
      </c>
      <c r="CP637" s="237" t="s">
        <v>153</v>
      </c>
      <c r="CQ637" s="238" t="s">
        <v>153</v>
      </c>
      <c r="CR637" s="239" t="s">
        <v>153</v>
      </c>
      <c r="CS637" s="240" t="s">
        <v>153</v>
      </c>
      <c r="CT637" s="241" t="s">
        <v>153</v>
      </c>
      <c r="CU637" s="242" t="s">
        <v>153</v>
      </c>
      <c r="CV637" s="243" t="s">
        <v>153</v>
      </c>
      <c r="CW637" s="244" t="s">
        <v>153</v>
      </c>
      <c r="CX637" s="245" t="s">
        <v>153</v>
      </c>
      <c r="CY637" s="246" t="s">
        <v>153</v>
      </c>
      <c r="CZ637" s="247" t="s">
        <v>153</v>
      </c>
      <c r="DA637" s="248" t="s">
        <v>153</v>
      </c>
      <c r="DB637" s="249" t="s">
        <v>153</v>
      </c>
      <c r="DC637" s="250" t="s">
        <v>153</v>
      </c>
      <c r="DD637" s="251" t="s">
        <v>153</v>
      </c>
      <c r="DE637" s="252" t="s">
        <v>153</v>
      </c>
      <c r="DF637" s="253" t="s">
        <v>153</v>
      </c>
      <c r="DG637" s="254" t="s">
        <v>153</v>
      </c>
      <c r="DH637" s="255" t="s">
        <v>153</v>
      </c>
      <c r="DI637" s="256" t="s">
        <v>153</v>
      </c>
      <c r="DJ637" s="257" t="s">
        <v>153</v>
      </c>
      <c r="DK637" s="258" t="s">
        <v>153</v>
      </c>
      <c r="DL637" s="259" t="s">
        <v>153</v>
      </c>
      <c r="DM637" s="260" t="s">
        <v>153</v>
      </c>
      <c r="DN637" s="261" t="s">
        <v>153</v>
      </c>
      <c r="DO637" s="262" t="s">
        <v>153</v>
      </c>
      <c r="DP637" s="263" t="s">
        <v>153</v>
      </c>
      <c r="DQ637" s="264" t="s">
        <v>153</v>
      </c>
      <c r="DR637" s="265" t="s">
        <v>153</v>
      </c>
      <c r="DS637" s="266" t="s">
        <v>153</v>
      </c>
      <c r="DT637" s="267" t="s">
        <v>153</v>
      </c>
      <c r="DU637" s="268" t="s">
        <v>153</v>
      </c>
      <c r="DV637" s="269" t="s">
        <v>153</v>
      </c>
      <c r="DW637" s="270" t="s">
        <v>153</v>
      </c>
      <c r="DX637" s="271" t="s">
        <v>153</v>
      </c>
      <c r="DY637" s="272" t="s">
        <v>153</v>
      </c>
      <c r="DZ637" s="273" t="s">
        <v>191</v>
      </c>
      <c r="EA637" s="274">
        <v>44358</v>
      </c>
      <c r="EB637" s="275">
        <v>7184.81</v>
      </c>
      <c r="EC637" s="276">
        <v>37410</v>
      </c>
      <c r="ED637" s="277" t="s">
        <v>226</v>
      </c>
      <c r="EE637" s="279" t="str">
        <f>HYPERLINK("https://my.pitchbook.com?c=84325-15", "View company online")</f>
        <v>View company online</v>
      </c>
    </row>
    <row r="638" spans="1:135" x14ac:dyDescent="0.45">
      <c r="A638" s="10" t="s">
        <v>13007</v>
      </c>
      <c r="B638" s="11" t="s">
        <v>13008</v>
      </c>
      <c r="C638" s="12" t="s">
        <v>153</v>
      </c>
      <c r="D638" s="13" t="s">
        <v>153</v>
      </c>
      <c r="E638" s="14" t="s">
        <v>13009</v>
      </c>
      <c r="F638" s="15" t="s">
        <v>13010</v>
      </c>
      <c r="G638" s="16" t="s">
        <v>13011</v>
      </c>
      <c r="H638" s="17" t="s">
        <v>13012</v>
      </c>
      <c r="I638" s="18" t="s">
        <v>13007</v>
      </c>
      <c r="J638" s="19" t="s">
        <v>13013</v>
      </c>
      <c r="K638" s="20" t="s">
        <v>792</v>
      </c>
      <c r="L638" s="21" t="s">
        <v>793</v>
      </c>
      <c r="M638" s="22" t="s">
        <v>1117</v>
      </c>
      <c r="N638" s="23" t="s">
        <v>13014</v>
      </c>
      <c r="O638" s="24" t="s">
        <v>796</v>
      </c>
      <c r="P638" s="25" t="s">
        <v>13015</v>
      </c>
      <c r="Q638" s="26" t="s">
        <v>162</v>
      </c>
      <c r="R638" s="27" t="s">
        <v>153</v>
      </c>
      <c r="S638" s="28" t="s">
        <v>290</v>
      </c>
      <c r="T638" s="29" t="s">
        <v>164</v>
      </c>
      <c r="U638" s="30" t="s">
        <v>165</v>
      </c>
      <c r="V638" s="31" t="s">
        <v>13016</v>
      </c>
      <c r="W638" s="32">
        <v>1450</v>
      </c>
      <c r="X638" s="33" t="s">
        <v>13017</v>
      </c>
      <c r="Y638" s="34" t="s">
        <v>153</v>
      </c>
      <c r="Z638" s="35" t="s">
        <v>153</v>
      </c>
      <c r="AA638" s="36">
        <v>2004</v>
      </c>
      <c r="AB638" s="37" t="s">
        <v>13018</v>
      </c>
      <c r="AC638" s="38" t="s">
        <v>153</v>
      </c>
      <c r="AD638" s="39" t="s">
        <v>153</v>
      </c>
      <c r="AE638" s="40" t="s">
        <v>153</v>
      </c>
      <c r="AF638" s="41" t="s">
        <v>153</v>
      </c>
      <c r="AG638" s="42" t="s">
        <v>153</v>
      </c>
      <c r="AH638" s="43" t="s">
        <v>153</v>
      </c>
      <c r="AI638" s="44" t="s">
        <v>153</v>
      </c>
      <c r="AJ638" s="45" t="s">
        <v>153</v>
      </c>
      <c r="AK638" s="46" t="s">
        <v>153</v>
      </c>
      <c r="AL638" s="47" t="s">
        <v>153</v>
      </c>
      <c r="AM638" s="48" t="s">
        <v>153</v>
      </c>
      <c r="AN638" s="49" t="s">
        <v>1442</v>
      </c>
      <c r="AO638" s="50" t="s">
        <v>13019</v>
      </c>
      <c r="AP638" s="51" t="s">
        <v>13020</v>
      </c>
      <c r="AQ638" s="52" t="s">
        <v>512</v>
      </c>
      <c r="AR638" s="53" t="s">
        <v>13021</v>
      </c>
      <c r="AS638" s="54" t="s">
        <v>13022</v>
      </c>
      <c r="AT638" s="55" t="s">
        <v>3635</v>
      </c>
      <c r="AU638" s="56" t="s">
        <v>13023</v>
      </c>
      <c r="AV638" s="57" t="s">
        <v>153</v>
      </c>
      <c r="AW638" s="58" t="s">
        <v>3637</v>
      </c>
      <c r="AX638" s="59" t="s">
        <v>13024</v>
      </c>
      <c r="AY638" s="60" t="s">
        <v>13025</v>
      </c>
      <c r="AZ638" s="61" t="s">
        <v>352</v>
      </c>
      <c r="BA638" s="62" t="s">
        <v>13022</v>
      </c>
      <c r="BB638" s="63" t="s">
        <v>13026</v>
      </c>
      <c r="BC638" s="64" t="s">
        <v>13027</v>
      </c>
      <c r="BD638" s="65" t="s">
        <v>180</v>
      </c>
      <c r="BE638" s="66" t="s">
        <v>181</v>
      </c>
      <c r="BF638" s="67" t="s">
        <v>13028</v>
      </c>
      <c r="BG638" s="68" t="s">
        <v>153</v>
      </c>
      <c r="BH638" s="69" t="s">
        <v>153</v>
      </c>
      <c r="BI638" s="70" t="s">
        <v>13018</v>
      </c>
      <c r="BJ638" s="71" t="s">
        <v>11803</v>
      </c>
      <c r="BK638" s="72" t="s">
        <v>13029</v>
      </c>
      <c r="BL638" s="73" t="s">
        <v>153</v>
      </c>
      <c r="BM638" s="74" t="s">
        <v>13030</v>
      </c>
      <c r="BN638" s="75" t="s">
        <v>13031</v>
      </c>
      <c r="BO638" s="76" t="s">
        <v>13032</v>
      </c>
      <c r="BP638" s="77" t="s">
        <v>13033</v>
      </c>
      <c r="BQ638" s="78">
        <v>41045</v>
      </c>
      <c r="BR638" s="79">
        <v>4181.75</v>
      </c>
      <c r="BS638" s="80" t="s">
        <v>186</v>
      </c>
      <c r="BT638" s="81">
        <v>4181.75</v>
      </c>
      <c r="BU638" s="82" t="s">
        <v>187</v>
      </c>
      <c r="BV638" s="83" t="s">
        <v>188</v>
      </c>
      <c r="BW638" s="84" t="s">
        <v>189</v>
      </c>
      <c r="BX638" s="85" t="s">
        <v>729</v>
      </c>
      <c r="BY638" s="86" t="s">
        <v>165</v>
      </c>
      <c r="BZ638" s="87" t="s">
        <v>13034</v>
      </c>
      <c r="CA638" s="88" t="s">
        <v>190</v>
      </c>
      <c r="CB638" s="89">
        <v>44280</v>
      </c>
      <c r="CC638" s="90">
        <v>7183.44</v>
      </c>
      <c r="CD638" s="91" t="s">
        <v>187</v>
      </c>
      <c r="CE638" s="92" t="s">
        <v>153</v>
      </c>
      <c r="CF638" s="93" t="s">
        <v>153</v>
      </c>
      <c r="CG638" s="94" t="s">
        <v>906</v>
      </c>
      <c r="CH638" s="95" t="s">
        <v>153</v>
      </c>
      <c r="CI638" s="96" t="s">
        <v>153</v>
      </c>
      <c r="CJ638" s="97" t="s">
        <v>321</v>
      </c>
      <c r="CK638" s="98">
        <v>44280</v>
      </c>
      <c r="CL638" s="99" t="s">
        <v>153</v>
      </c>
      <c r="CM638" s="100" t="s">
        <v>153</v>
      </c>
      <c r="CN638" s="101" t="s">
        <v>2042</v>
      </c>
      <c r="CO638" s="102">
        <v>0.2</v>
      </c>
      <c r="CP638" s="103">
        <v>90</v>
      </c>
      <c r="CQ638" s="104">
        <v>0.01</v>
      </c>
      <c r="CR638" s="105">
        <v>7.02</v>
      </c>
      <c r="CS638" s="106">
        <v>0.54</v>
      </c>
      <c r="CT638" s="107">
        <v>93</v>
      </c>
      <c r="CU638" s="108">
        <v>7.0000000000000007E-2</v>
      </c>
      <c r="CV638" s="109">
        <v>83</v>
      </c>
      <c r="CW638" s="110" t="s">
        <v>153</v>
      </c>
      <c r="CX638" s="111" t="s">
        <v>153</v>
      </c>
      <c r="CY638" s="112">
        <v>0.54</v>
      </c>
      <c r="CZ638" s="113">
        <v>95</v>
      </c>
      <c r="DA638" s="114">
        <v>7.0000000000000007E-2</v>
      </c>
      <c r="DB638" s="115">
        <v>83</v>
      </c>
      <c r="DC638" s="116">
        <v>18.73</v>
      </c>
      <c r="DD638" s="117">
        <v>96</v>
      </c>
      <c r="DE638" s="118">
        <v>0.03</v>
      </c>
      <c r="DF638" s="119">
        <v>0.17</v>
      </c>
      <c r="DG638" s="120">
        <v>13.44</v>
      </c>
      <c r="DH638" s="121">
        <v>93</v>
      </c>
      <c r="DI638" s="122">
        <v>3.55</v>
      </c>
      <c r="DJ638" s="123">
        <v>73</v>
      </c>
      <c r="DK638" s="124" t="s">
        <v>153</v>
      </c>
      <c r="DL638" s="125" t="s">
        <v>153</v>
      </c>
      <c r="DM638" s="126">
        <v>13.44</v>
      </c>
      <c r="DN638" s="127">
        <v>92</v>
      </c>
      <c r="DO638" s="128">
        <v>3.55</v>
      </c>
      <c r="DP638" s="129">
        <v>73</v>
      </c>
      <c r="DQ638" s="130" t="s">
        <v>153</v>
      </c>
      <c r="DR638" s="131" t="s">
        <v>153</v>
      </c>
      <c r="DS638" s="132" t="s">
        <v>153</v>
      </c>
      <c r="DT638" s="133">
        <v>214</v>
      </c>
      <c r="DU638" s="134">
        <v>2</v>
      </c>
      <c r="DV638" s="135">
        <v>0.94</v>
      </c>
      <c r="DW638" s="136">
        <v>1115</v>
      </c>
      <c r="DX638" s="137">
        <v>4</v>
      </c>
      <c r="DY638" s="138">
        <v>0.36</v>
      </c>
      <c r="DZ638" s="139" t="s">
        <v>191</v>
      </c>
      <c r="EA638" s="140">
        <v>44280</v>
      </c>
      <c r="EB638" s="141">
        <v>4181.75</v>
      </c>
      <c r="EC638" s="142">
        <v>41045</v>
      </c>
      <c r="ED638" s="143" t="s">
        <v>188</v>
      </c>
      <c r="EE638" s="278" t="str">
        <f>HYPERLINK("https://my.pitchbook.com?c=56824-21", "View company online")</f>
        <v>View company online</v>
      </c>
    </row>
    <row r="639" spans="1:135" x14ac:dyDescent="0.45">
      <c r="A639" s="144" t="s">
        <v>13035</v>
      </c>
      <c r="B639" s="145" t="s">
        <v>13036</v>
      </c>
      <c r="C639" s="146" t="s">
        <v>153</v>
      </c>
      <c r="D639" s="147" t="s">
        <v>153</v>
      </c>
      <c r="E639" s="148" t="s">
        <v>153</v>
      </c>
      <c r="F639" s="149" t="s">
        <v>153</v>
      </c>
      <c r="G639" s="150" t="s">
        <v>153</v>
      </c>
      <c r="H639" s="151" t="s">
        <v>153</v>
      </c>
      <c r="I639" s="152" t="s">
        <v>13035</v>
      </c>
      <c r="J639" s="153" t="s">
        <v>13037</v>
      </c>
      <c r="K639" s="154" t="s">
        <v>198</v>
      </c>
      <c r="L639" s="155" t="s">
        <v>199</v>
      </c>
      <c r="M639" s="156" t="s">
        <v>6708</v>
      </c>
      <c r="N639" s="157" t="s">
        <v>6709</v>
      </c>
      <c r="O639" s="158" t="s">
        <v>202</v>
      </c>
      <c r="P639" s="159" t="s">
        <v>13038</v>
      </c>
      <c r="Q639" s="160" t="s">
        <v>564</v>
      </c>
      <c r="R639" s="161">
        <v>339.2</v>
      </c>
      <c r="S639" s="162" t="s">
        <v>368</v>
      </c>
      <c r="T639" s="163" t="s">
        <v>205</v>
      </c>
      <c r="U639" s="164" t="s">
        <v>452</v>
      </c>
      <c r="V639" s="165" t="s">
        <v>153</v>
      </c>
      <c r="W639" s="166">
        <v>2</v>
      </c>
      <c r="X639" s="167" t="s">
        <v>13039</v>
      </c>
      <c r="Y639" s="168" t="s">
        <v>153</v>
      </c>
      <c r="Z639" s="169" t="s">
        <v>153</v>
      </c>
      <c r="AA639" s="170" t="s">
        <v>153</v>
      </c>
      <c r="AB639" s="171" t="s">
        <v>13040</v>
      </c>
      <c r="AC639" s="172" t="s">
        <v>153</v>
      </c>
      <c r="AD639" s="173" t="s">
        <v>153</v>
      </c>
      <c r="AE639" s="174" t="s">
        <v>153</v>
      </c>
      <c r="AF639" s="175" t="s">
        <v>153</v>
      </c>
      <c r="AG639" s="176" t="s">
        <v>153</v>
      </c>
      <c r="AH639" s="177" t="s">
        <v>153</v>
      </c>
      <c r="AI639" s="178" t="s">
        <v>153</v>
      </c>
      <c r="AJ639" s="179" t="s">
        <v>153</v>
      </c>
      <c r="AK639" s="180" t="s">
        <v>153</v>
      </c>
      <c r="AL639" s="181" t="s">
        <v>153</v>
      </c>
      <c r="AM639" s="182" t="s">
        <v>153</v>
      </c>
      <c r="AN639" s="183" t="s">
        <v>4224</v>
      </c>
      <c r="AO639" s="184" t="s">
        <v>13041</v>
      </c>
      <c r="AP639" s="185" t="s">
        <v>13042</v>
      </c>
      <c r="AQ639" s="186" t="s">
        <v>3351</v>
      </c>
      <c r="AR639" s="187" t="s">
        <v>153</v>
      </c>
      <c r="AS639" s="188" t="s">
        <v>13043</v>
      </c>
      <c r="AT639" s="189" t="s">
        <v>10776</v>
      </c>
      <c r="AU639" s="190" t="s">
        <v>13044</v>
      </c>
      <c r="AV639" s="191" t="s">
        <v>13045</v>
      </c>
      <c r="AW639" s="192" t="s">
        <v>10778</v>
      </c>
      <c r="AX639" s="193" t="s">
        <v>4741</v>
      </c>
      <c r="AY639" s="194" t="s">
        <v>13046</v>
      </c>
      <c r="AZ639" s="195" t="s">
        <v>215</v>
      </c>
      <c r="BA639" s="196" t="s">
        <v>13043</v>
      </c>
      <c r="BB639" s="197" t="s">
        <v>153</v>
      </c>
      <c r="BC639" s="198" t="s">
        <v>153</v>
      </c>
      <c r="BD639" s="199" t="s">
        <v>216</v>
      </c>
      <c r="BE639" s="200" t="s">
        <v>217</v>
      </c>
      <c r="BF639" s="201" t="s">
        <v>13047</v>
      </c>
      <c r="BG639" s="202" t="s">
        <v>153</v>
      </c>
      <c r="BH639" s="203" t="s">
        <v>153</v>
      </c>
      <c r="BI639" s="204" t="s">
        <v>13048</v>
      </c>
      <c r="BJ639" s="205" t="s">
        <v>13049</v>
      </c>
      <c r="BK639" s="206" t="s">
        <v>153</v>
      </c>
      <c r="BL639" s="207" t="s">
        <v>153</v>
      </c>
      <c r="BM639" s="208" t="s">
        <v>13050</v>
      </c>
      <c r="BN639" s="209" t="s">
        <v>153</v>
      </c>
      <c r="BO639" s="210" t="s">
        <v>13051</v>
      </c>
      <c r="BP639" s="211" t="s">
        <v>13052</v>
      </c>
      <c r="BQ639" s="212">
        <v>34768</v>
      </c>
      <c r="BR639" s="213">
        <v>31</v>
      </c>
      <c r="BS639" s="214" t="s">
        <v>186</v>
      </c>
      <c r="BT639" s="215" t="s">
        <v>153</v>
      </c>
      <c r="BU639" s="216" t="s">
        <v>153</v>
      </c>
      <c r="BV639" s="217" t="s">
        <v>709</v>
      </c>
      <c r="BW639" s="218" t="s">
        <v>153</v>
      </c>
      <c r="BX639" s="219" t="s">
        <v>153</v>
      </c>
      <c r="BY639" s="220" t="s">
        <v>165</v>
      </c>
      <c r="BZ639" s="221" t="s">
        <v>153</v>
      </c>
      <c r="CA639" s="222" t="s">
        <v>190</v>
      </c>
      <c r="CB639" s="223">
        <v>36584</v>
      </c>
      <c r="CC639" s="224">
        <v>7173.35</v>
      </c>
      <c r="CD639" s="225" t="s">
        <v>187</v>
      </c>
      <c r="CE639" s="226">
        <v>7173.35</v>
      </c>
      <c r="CF639" s="227" t="s">
        <v>187</v>
      </c>
      <c r="CG639" s="228" t="s">
        <v>226</v>
      </c>
      <c r="CH639" s="229" t="s">
        <v>153</v>
      </c>
      <c r="CI639" s="230" t="s">
        <v>153</v>
      </c>
      <c r="CJ639" s="231" t="s">
        <v>225</v>
      </c>
      <c r="CK639" s="232">
        <v>36584</v>
      </c>
      <c r="CL639" s="233" t="s">
        <v>153</v>
      </c>
      <c r="CM639" s="234" t="s">
        <v>153</v>
      </c>
      <c r="CN639" s="235" t="s">
        <v>190</v>
      </c>
      <c r="CO639" s="236" t="s">
        <v>153</v>
      </c>
      <c r="CP639" s="237" t="s">
        <v>153</v>
      </c>
      <c r="CQ639" s="238" t="s">
        <v>153</v>
      </c>
      <c r="CR639" s="239" t="s">
        <v>153</v>
      </c>
      <c r="CS639" s="240" t="s">
        <v>153</v>
      </c>
      <c r="CT639" s="241" t="s">
        <v>153</v>
      </c>
      <c r="CU639" s="242" t="s">
        <v>153</v>
      </c>
      <c r="CV639" s="243" t="s">
        <v>153</v>
      </c>
      <c r="CW639" s="244" t="s">
        <v>153</v>
      </c>
      <c r="CX639" s="245" t="s">
        <v>153</v>
      </c>
      <c r="CY639" s="246" t="s">
        <v>153</v>
      </c>
      <c r="CZ639" s="247" t="s">
        <v>153</v>
      </c>
      <c r="DA639" s="248" t="s">
        <v>153</v>
      </c>
      <c r="DB639" s="249" t="s">
        <v>153</v>
      </c>
      <c r="DC639" s="250" t="s">
        <v>153</v>
      </c>
      <c r="DD639" s="251" t="s">
        <v>153</v>
      </c>
      <c r="DE639" s="252" t="s">
        <v>153</v>
      </c>
      <c r="DF639" s="253" t="s">
        <v>153</v>
      </c>
      <c r="DG639" s="254" t="s">
        <v>153</v>
      </c>
      <c r="DH639" s="255" t="s">
        <v>153</v>
      </c>
      <c r="DI639" s="256" t="s">
        <v>153</v>
      </c>
      <c r="DJ639" s="257" t="s">
        <v>153</v>
      </c>
      <c r="DK639" s="258" t="s">
        <v>153</v>
      </c>
      <c r="DL639" s="259" t="s">
        <v>153</v>
      </c>
      <c r="DM639" s="260" t="s">
        <v>153</v>
      </c>
      <c r="DN639" s="261" t="s">
        <v>153</v>
      </c>
      <c r="DO639" s="262" t="s">
        <v>153</v>
      </c>
      <c r="DP639" s="263" t="s">
        <v>153</v>
      </c>
      <c r="DQ639" s="264" t="s">
        <v>153</v>
      </c>
      <c r="DR639" s="265" t="s">
        <v>153</v>
      </c>
      <c r="DS639" s="266" t="s">
        <v>153</v>
      </c>
      <c r="DT639" s="267" t="s">
        <v>153</v>
      </c>
      <c r="DU639" s="268" t="s">
        <v>153</v>
      </c>
      <c r="DV639" s="269" t="s">
        <v>153</v>
      </c>
      <c r="DW639" s="270" t="s">
        <v>153</v>
      </c>
      <c r="DX639" s="271" t="s">
        <v>153</v>
      </c>
      <c r="DY639" s="272" t="s">
        <v>153</v>
      </c>
      <c r="DZ639" s="273" t="s">
        <v>191</v>
      </c>
      <c r="EA639" s="274">
        <v>44322</v>
      </c>
      <c r="EB639" s="275">
        <v>7173.35</v>
      </c>
      <c r="EC639" s="276">
        <v>36584</v>
      </c>
      <c r="ED639" s="277" t="s">
        <v>226</v>
      </c>
      <c r="EE639" s="279" t="str">
        <f>HYPERLINK("https://my.pitchbook.com?c=13203-37", "View company online")</f>
        <v>View company online</v>
      </c>
    </row>
    <row r="640" spans="1:135" x14ac:dyDescent="0.45">
      <c r="A640" s="10" t="s">
        <v>13053</v>
      </c>
      <c r="B640" s="11" t="s">
        <v>13054</v>
      </c>
      <c r="C640" s="12" t="s">
        <v>153</v>
      </c>
      <c r="D640" s="13" t="s">
        <v>153</v>
      </c>
      <c r="E640" s="14" t="s">
        <v>153</v>
      </c>
      <c r="F640" s="15" t="s">
        <v>153</v>
      </c>
      <c r="G640" s="16" t="s">
        <v>153</v>
      </c>
      <c r="H640" s="17" t="s">
        <v>153</v>
      </c>
      <c r="I640" s="18" t="s">
        <v>13053</v>
      </c>
      <c r="J640" s="19" t="s">
        <v>13055</v>
      </c>
      <c r="K640" s="20" t="s">
        <v>882</v>
      </c>
      <c r="L640" s="21" t="s">
        <v>2888</v>
      </c>
      <c r="M640" s="22" t="s">
        <v>2889</v>
      </c>
      <c r="N640" s="23" t="s">
        <v>13056</v>
      </c>
      <c r="O640" s="24" t="s">
        <v>1348</v>
      </c>
      <c r="P640" s="25" t="s">
        <v>13057</v>
      </c>
      <c r="Q640" s="26" t="s">
        <v>204</v>
      </c>
      <c r="R640" s="27" t="s">
        <v>153</v>
      </c>
      <c r="S640" s="28" t="s">
        <v>153</v>
      </c>
      <c r="T640" s="29" t="s">
        <v>205</v>
      </c>
      <c r="U640" s="30" t="s">
        <v>206</v>
      </c>
      <c r="V640" s="31" t="s">
        <v>153</v>
      </c>
      <c r="W640" s="32" t="s">
        <v>153</v>
      </c>
      <c r="X640" s="33" t="s">
        <v>153</v>
      </c>
      <c r="Y640" s="34" t="s">
        <v>153</v>
      </c>
      <c r="Z640" s="35" t="s">
        <v>153</v>
      </c>
      <c r="AA640" s="36" t="s">
        <v>153</v>
      </c>
      <c r="AB640" s="37" t="s">
        <v>153</v>
      </c>
      <c r="AC640" s="38" t="s">
        <v>153</v>
      </c>
      <c r="AD640" s="39" t="s">
        <v>153</v>
      </c>
      <c r="AE640" s="40" t="s">
        <v>153</v>
      </c>
      <c r="AF640" s="41" t="s">
        <v>153</v>
      </c>
      <c r="AG640" s="42" t="s">
        <v>153</v>
      </c>
      <c r="AH640" s="43" t="s">
        <v>153</v>
      </c>
      <c r="AI640" s="44" t="s">
        <v>153</v>
      </c>
      <c r="AJ640" s="45" t="s">
        <v>153</v>
      </c>
      <c r="AK640" s="46" t="s">
        <v>153</v>
      </c>
      <c r="AL640" s="47" t="s">
        <v>153</v>
      </c>
      <c r="AM640" s="48" t="s">
        <v>153</v>
      </c>
      <c r="AN640" s="49" t="s">
        <v>153</v>
      </c>
      <c r="AO640" s="50" t="s">
        <v>153</v>
      </c>
      <c r="AP640" s="51" t="s">
        <v>153</v>
      </c>
      <c r="AQ640" s="52" t="s">
        <v>153</v>
      </c>
      <c r="AR640" s="53" t="s">
        <v>153</v>
      </c>
      <c r="AS640" s="54" t="s">
        <v>153</v>
      </c>
      <c r="AT640" s="55" t="s">
        <v>153</v>
      </c>
      <c r="AU640" s="56" t="s">
        <v>153</v>
      </c>
      <c r="AV640" s="57" t="s">
        <v>153</v>
      </c>
      <c r="AW640" s="58" t="s">
        <v>153</v>
      </c>
      <c r="AX640" s="59" t="s">
        <v>153</v>
      </c>
      <c r="AY640" s="60" t="s">
        <v>153</v>
      </c>
      <c r="AZ640" s="61" t="s">
        <v>153</v>
      </c>
      <c r="BA640" s="62" t="s">
        <v>153</v>
      </c>
      <c r="BB640" s="63" t="s">
        <v>153</v>
      </c>
      <c r="BC640" s="64" t="s">
        <v>153</v>
      </c>
      <c r="BD640" s="65" t="s">
        <v>153</v>
      </c>
      <c r="BE640" s="66" t="s">
        <v>153</v>
      </c>
      <c r="BF640" s="67" t="s">
        <v>13058</v>
      </c>
      <c r="BG640" s="68" t="s">
        <v>153</v>
      </c>
      <c r="BH640" s="69" t="s">
        <v>153</v>
      </c>
      <c r="BI640" s="70" t="s">
        <v>13059</v>
      </c>
      <c r="BJ640" s="71" t="s">
        <v>13060</v>
      </c>
      <c r="BK640" s="72" t="s">
        <v>13061</v>
      </c>
      <c r="BL640" s="73" t="s">
        <v>153</v>
      </c>
      <c r="BM640" s="74" t="s">
        <v>13062</v>
      </c>
      <c r="BN640" s="75" t="s">
        <v>13063</v>
      </c>
      <c r="BO640" s="76" t="s">
        <v>153</v>
      </c>
      <c r="BP640" s="77" t="s">
        <v>13064</v>
      </c>
      <c r="BQ640" s="78">
        <v>42219</v>
      </c>
      <c r="BR640" s="79">
        <v>7162.7</v>
      </c>
      <c r="BS640" s="80" t="s">
        <v>186</v>
      </c>
      <c r="BT640" s="81">
        <v>7162.7</v>
      </c>
      <c r="BU640" s="82" t="s">
        <v>186</v>
      </c>
      <c r="BV640" s="83" t="s">
        <v>1524</v>
      </c>
      <c r="BW640" s="84" t="s">
        <v>1525</v>
      </c>
      <c r="BX640" s="85" t="s">
        <v>1526</v>
      </c>
      <c r="BY640" s="86" t="s">
        <v>225</v>
      </c>
      <c r="BZ640" s="87" t="s">
        <v>153</v>
      </c>
      <c r="CA640" s="88" t="s">
        <v>190</v>
      </c>
      <c r="CB640" s="89">
        <v>42219</v>
      </c>
      <c r="CC640" s="90">
        <v>7162.7</v>
      </c>
      <c r="CD640" s="91" t="s">
        <v>186</v>
      </c>
      <c r="CE640" s="92">
        <v>7162.7</v>
      </c>
      <c r="CF640" s="93" t="s">
        <v>186</v>
      </c>
      <c r="CG640" s="94" t="s">
        <v>1524</v>
      </c>
      <c r="CH640" s="95" t="s">
        <v>1525</v>
      </c>
      <c r="CI640" s="96" t="s">
        <v>1526</v>
      </c>
      <c r="CJ640" s="97" t="s">
        <v>225</v>
      </c>
      <c r="CK640" s="98">
        <v>42219</v>
      </c>
      <c r="CL640" s="99" t="s">
        <v>153</v>
      </c>
      <c r="CM640" s="100" t="s">
        <v>153</v>
      </c>
      <c r="CN640" s="101" t="s">
        <v>190</v>
      </c>
      <c r="CO640" s="102" t="s">
        <v>153</v>
      </c>
      <c r="CP640" s="103" t="s">
        <v>153</v>
      </c>
      <c r="CQ640" s="104" t="s">
        <v>153</v>
      </c>
      <c r="CR640" s="105" t="s">
        <v>153</v>
      </c>
      <c r="CS640" s="106" t="s">
        <v>153</v>
      </c>
      <c r="CT640" s="107" t="s">
        <v>153</v>
      </c>
      <c r="CU640" s="108" t="s">
        <v>153</v>
      </c>
      <c r="CV640" s="109" t="s">
        <v>153</v>
      </c>
      <c r="CW640" s="110" t="s">
        <v>153</v>
      </c>
      <c r="CX640" s="111" t="s">
        <v>153</v>
      </c>
      <c r="CY640" s="112" t="s">
        <v>153</v>
      </c>
      <c r="CZ640" s="113" t="s">
        <v>153</v>
      </c>
      <c r="DA640" s="114" t="s">
        <v>153</v>
      </c>
      <c r="DB640" s="115" t="s">
        <v>153</v>
      </c>
      <c r="DC640" s="116" t="s">
        <v>153</v>
      </c>
      <c r="DD640" s="117" t="s">
        <v>153</v>
      </c>
      <c r="DE640" s="118" t="s">
        <v>153</v>
      </c>
      <c r="DF640" s="119" t="s">
        <v>153</v>
      </c>
      <c r="DG640" s="120" t="s">
        <v>153</v>
      </c>
      <c r="DH640" s="121" t="s">
        <v>153</v>
      </c>
      <c r="DI640" s="122" t="s">
        <v>153</v>
      </c>
      <c r="DJ640" s="123" t="s">
        <v>153</v>
      </c>
      <c r="DK640" s="124" t="s">
        <v>153</v>
      </c>
      <c r="DL640" s="125" t="s">
        <v>153</v>
      </c>
      <c r="DM640" s="126" t="s">
        <v>153</v>
      </c>
      <c r="DN640" s="127" t="s">
        <v>153</v>
      </c>
      <c r="DO640" s="128" t="s">
        <v>153</v>
      </c>
      <c r="DP640" s="129" t="s">
        <v>153</v>
      </c>
      <c r="DQ640" s="130" t="s">
        <v>153</v>
      </c>
      <c r="DR640" s="131" t="s">
        <v>153</v>
      </c>
      <c r="DS640" s="132" t="s">
        <v>153</v>
      </c>
      <c r="DT640" s="133" t="s">
        <v>153</v>
      </c>
      <c r="DU640" s="134" t="s">
        <v>153</v>
      </c>
      <c r="DV640" s="135" t="s">
        <v>153</v>
      </c>
      <c r="DW640" s="136" t="s">
        <v>153</v>
      </c>
      <c r="DX640" s="137" t="s">
        <v>153</v>
      </c>
      <c r="DY640" s="138" t="s">
        <v>153</v>
      </c>
      <c r="DZ640" s="139" t="s">
        <v>191</v>
      </c>
      <c r="EA640" s="140">
        <v>44175</v>
      </c>
      <c r="EB640" s="141">
        <v>7162.7</v>
      </c>
      <c r="EC640" s="142">
        <v>42219</v>
      </c>
      <c r="ED640" s="143" t="s">
        <v>1524</v>
      </c>
      <c r="EE640" s="278" t="str">
        <f>HYPERLINK("https://my.pitchbook.com?c=97719-67", "View company online")</f>
        <v>View company online</v>
      </c>
    </row>
    <row r="641" spans="1:135" x14ac:dyDescent="0.45">
      <c r="A641" s="144" t="s">
        <v>13065</v>
      </c>
      <c r="B641" s="145" t="s">
        <v>13066</v>
      </c>
      <c r="C641" s="146" t="s">
        <v>153</v>
      </c>
      <c r="D641" s="147" t="s">
        <v>153</v>
      </c>
      <c r="E641" s="148" t="s">
        <v>13067</v>
      </c>
      <c r="F641" s="149" t="s">
        <v>13068</v>
      </c>
      <c r="G641" s="150" t="s">
        <v>13069</v>
      </c>
      <c r="H641" s="151" t="s">
        <v>13070</v>
      </c>
      <c r="I641" s="152" t="s">
        <v>13065</v>
      </c>
      <c r="J641" s="153" t="s">
        <v>13071</v>
      </c>
      <c r="K641" s="154" t="s">
        <v>157</v>
      </c>
      <c r="L641" s="155" t="s">
        <v>4190</v>
      </c>
      <c r="M641" s="156" t="s">
        <v>4191</v>
      </c>
      <c r="N641" s="157" t="s">
        <v>13072</v>
      </c>
      <c r="O641" s="158" t="s">
        <v>153</v>
      </c>
      <c r="P641" s="159" t="s">
        <v>13073</v>
      </c>
      <c r="Q641" s="160" t="s">
        <v>162</v>
      </c>
      <c r="R641" s="161">
        <v>72.7</v>
      </c>
      <c r="S641" s="162" t="s">
        <v>163</v>
      </c>
      <c r="T641" s="163" t="s">
        <v>1392</v>
      </c>
      <c r="U641" s="164" t="s">
        <v>565</v>
      </c>
      <c r="V641" s="165" t="s">
        <v>13074</v>
      </c>
      <c r="W641" s="166">
        <v>100000</v>
      </c>
      <c r="X641" s="167" t="s">
        <v>13075</v>
      </c>
      <c r="Y641" s="168" t="s">
        <v>153</v>
      </c>
      <c r="Z641" s="169" t="s">
        <v>153</v>
      </c>
      <c r="AA641" s="170">
        <v>1981</v>
      </c>
      <c r="AB641" s="171" t="s">
        <v>153</v>
      </c>
      <c r="AC641" s="172" t="s">
        <v>153</v>
      </c>
      <c r="AD641" s="173" t="s">
        <v>1794</v>
      </c>
      <c r="AE641" s="174" t="s">
        <v>153</v>
      </c>
      <c r="AF641" s="175" t="s">
        <v>153</v>
      </c>
      <c r="AG641" s="176" t="s">
        <v>153</v>
      </c>
      <c r="AH641" s="177" t="s">
        <v>153</v>
      </c>
      <c r="AI641" s="178" t="s">
        <v>153</v>
      </c>
      <c r="AJ641" s="179" t="s">
        <v>153</v>
      </c>
      <c r="AK641" s="180" t="s">
        <v>153</v>
      </c>
      <c r="AL641" s="181" t="s">
        <v>153</v>
      </c>
      <c r="AM641" s="182" t="s">
        <v>153</v>
      </c>
      <c r="AN641" s="183" t="s">
        <v>2139</v>
      </c>
      <c r="AO641" s="184" t="s">
        <v>13076</v>
      </c>
      <c r="AP641" s="185" t="s">
        <v>13077</v>
      </c>
      <c r="AQ641" s="186" t="s">
        <v>13078</v>
      </c>
      <c r="AR641" s="187" t="s">
        <v>13079</v>
      </c>
      <c r="AS641" s="188" t="s">
        <v>153</v>
      </c>
      <c r="AT641" s="189" t="s">
        <v>649</v>
      </c>
      <c r="AU641" s="190" t="s">
        <v>13080</v>
      </c>
      <c r="AV641" s="191" t="s">
        <v>153</v>
      </c>
      <c r="AW641" s="192" t="s">
        <v>651</v>
      </c>
      <c r="AX641" s="193" t="s">
        <v>652</v>
      </c>
      <c r="AY641" s="194" t="s">
        <v>13081</v>
      </c>
      <c r="AZ641" s="195" t="s">
        <v>215</v>
      </c>
      <c r="BA641" s="196" t="s">
        <v>153</v>
      </c>
      <c r="BB641" s="197" t="s">
        <v>153</v>
      </c>
      <c r="BC641" s="198" t="s">
        <v>153</v>
      </c>
      <c r="BD641" s="199" t="s">
        <v>216</v>
      </c>
      <c r="BE641" s="200" t="s">
        <v>217</v>
      </c>
      <c r="BF641" s="201" t="s">
        <v>13082</v>
      </c>
      <c r="BG641" s="202" t="s">
        <v>13083</v>
      </c>
      <c r="BH641" s="203">
        <v>2</v>
      </c>
      <c r="BI641" s="204" t="s">
        <v>153</v>
      </c>
      <c r="BJ641" s="205" t="s">
        <v>13084</v>
      </c>
      <c r="BK641" s="206" t="s">
        <v>153</v>
      </c>
      <c r="BL641" s="207" t="s">
        <v>13085</v>
      </c>
      <c r="BM641" s="208" t="s">
        <v>13086</v>
      </c>
      <c r="BN641" s="209" t="s">
        <v>153</v>
      </c>
      <c r="BO641" s="210" t="s">
        <v>13087</v>
      </c>
      <c r="BP641" s="211" t="s">
        <v>13088</v>
      </c>
      <c r="BQ641" s="212">
        <v>33396</v>
      </c>
      <c r="BR641" s="213" t="s">
        <v>153</v>
      </c>
      <c r="BS641" s="214" t="s">
        <v>153</v>
      </c>
      <c r="BT641" s="215" t="s">
        <v>153</v>
      </c>
      <c r="BU641" s="216" t="s">
        <v>153</v>
      </c>
      <c r="BV641" s="217" t="s">
        <v>251</v>
      </c>
      <c r="BW641" s="218" t="s">
        <v>153</v>
      </c>
      <c r="BX641" s="219" t="s">
        <v>153</v>
      </c>
      <c r="BY641" s="220" t="s">
        <v>252</v>
      </c>
      <c r="BZ641" s="221" t="s">
        <v>153</v>
      </c>
      <c r="CA641" s="222" t="s">
        <v>190</v>
      </c>
      <c r="CB641" s="223">
        <v>42934</v>
      </c>
      <c r="CC641" s="224">
        <v>7160</v>
      </c>
      <c r="CD641" s="225" t="s">
        <v>186</v>
      </c>
      <c r="CE641" s="226">
        <v>7160</v>
      </c>
      <c r="CF641" s="227" t="s">
        <v>187</v>
      </c>
      <c r="CG641" s="228" t="s">
        <v>188</v>
      </c>
      <c r="CH641" s="229" t="s">
        <v>930</v>
      </c>
      <c r="CI641" s="230" t="s">
        <v>153</v>
      </c>
      <c r="CJ641" s="231" t="s">
        <v>165</v>
      </c>
      <c r="CK641" s="232">
        <v>42934</v>
      </c>
      <c r="CL641" s="233">
        <v>2250</v>
      </c>
      <c r="CM641" s="234" t="s">
        <v>13089</v>
      </c>
      <c r="CN641" s="235" t="s">
        <v>190</v>
      </c>
      <c r="CO641" s="236">
        <v>0.06</v>
      </c>
      <c r="CP641" s="237">
        <v>88</v>
      </c>
      <c r="CQ641" s="238">
        <v>0.01</v>
      </c>
      <c r="CR641" s="239">
        <v>12.1</v>
      </c>
      <c r="CS641" s="240">
        <v>0</v>
      </c>
      <c r="CT641" s="241">
        <v>8</v>
      </c>
      <c r="CU641" s="242">
        <v>-0.12</v>
      </c>
      <c r="CV641" s="243">
        <v>15</v>
      </c>
      <c r="CW641" s="244" t="s">
        <v>153</v>
      </c>
      <c r="CX641" s="245" t="s">
        <v>153</v>
      </c>
      <c r="CY641" s="246">
        <v>0</v>
      </c>
      <c r="CZ641" s="247">
        <v>5</v>
      </c>
      <c r="DA641" s="248">
        <v>-0.12</v>
      </c>
      <c r="DB641" s="249">
        <v>15</v>
      </c>
      <c r="DC641" s="250">
        <v>18445.060000000001</v>
      </c>
      <c r="DD641" s="251">
        <v>100</v>
      </c>
      <c r="DE641" s="252">
        <v>42.1</v>
      </c>
      <c r="DF641" s="253">
        <v>0.23</v>
      </c>
      <c r="DG641" s="254">
        <v>1.06</v>
      </c>
      <c r="DH641" s="255">
        <v>53</v>
      </c>
      <c r="DI641" s="256">
        <v>1418.18</v>
      </c>
      <c r="DJ641" s="257">
        <v>100</v>
      </c>
      <c r="DK641" s="258" t="s">
        <v>153</v>
      </c>
      <c r="DL641" s="259" t="s">
        <v>153</v>
      </c>
      <c r="DM641" s="260">
        <v>1.06</v>
      </c>
      <c r="DN641" s="261">
        <v>52</v>
      </c>
      <c r="DO641" s="262">
        <v>1418.18</v>
      </c>
      <c r="DP641" s="263">
        <v>100</v>
      </c>
      <c r="DQ641" s="264">
        <v>39967</v>
      </c>
      <c r="DR641" s="265">
        <v>-5720</v>
      </c>
      <c r="DS641" s="266">
        <v>-12.52</v>
      </c>
      <c r="DT641" s="267">
        <v>17</v>
      </c>
      <c r="DU641" s="268">
        <v>1</v>
      </c>
      <c r="DV641" s="269">
        <v>6.25</v>
      </c>
      <c r="DW641" s="270">
        <v>445322</v>
      </c>
      <c r="DX641" s="271">
        <v>-130</v>
      </c>
      <c r="DY641" s="272">
        <v>-0.03</v>
      </c>
      <c r="DZ641" s="273" t="s">
        <v>191</v>
      </c>
      <c r="EA641" s="274">
        <v>44384</v>
      </c>
      <c r="EB641" s="275">
        <v>7160</v>
      </c>
      <c r="EC641" s="276">
        <v>42934</v>
      </c>
      <c r="ED641" s="277" t="s">
        <v>188</v>
      </c>
      <c r="EE641" s="279" t="str">
        <f>HYPERLINK("https://my.pitchbook.com?c=13200-13", "View company online")</f>
        <v>View company online</v>
      </c>
    </row>
    <row r="642" spans="1:135" x14ac:dyDescent="0.45">
      <c r="A642" s="10" t="s">
        <v>13090</v>
      </c>
      <c r="B642" s="11" t="s">
        <v>13091</v>
      </c>
      <c r="C642" s="12" t="s">
        <v>153</v>
      </c>
      <c r="D642" s="13" t="s">
        <v>153</v>
      </c>
      <c r="E642" s="14" t="s">
        <v>153</v>
      </c>
      <c r="F642" s="15" t="s">
        <v>153</v>
      </c>
      <c r="G642" s="16" t="s">
        <v>153</v>
      </c>
      <c r="H642" s="17" t="s">
        <v>153</v>
      </c>
      <c r="I642" s="18" t="s">
        <v>13090</v>
      </c>
      <c r="J642" s="19" t="s">
        <v>13092</v>
      </c>
      <c r="K642" s="20" t="s">
        <v>157</v>
      </c>
      <c r="L642" s="21" t="s">
        <v>817</v>
      </c>
      <c r="M642" s="22" t="s">
        <v>863</v>
      </c>
      <c r="N642" s="23" t="s">
        <v>2494</v>
      </c>
      <c r="O642" s="24" t="s">
        <v>153</v>
      </c>
      <c r="P642" s="25" t="s">
        <v>13093</v>
      </c>
      <c r="Q642" s="26" t="s">
        <v>204</v>
      </c>
      <c r="R642" s="27" t="s">
        <v>153</v>
      </c>
      <c r="S642" s="28" t="s">
        <v>163</v>
      </c>
      <c r="T642" s="29" t="s">
        <v>205</v>
      </c>
      <c r="U642" s="30" t="s">
        <v>206</v>
      </c>
      <c r="V642" s="31" t="s">
        <v>153</v>
      </c>
      <c r="W642" s="32" t="s">
        <v>153</v>
      </c>
      <c r="X642" s="33" t="s">
        <v>153</v>
      </c>
      <c r="Y642" s="34" t="s">
        <v>153</v>
      </c>
      <c r="Z642" s="35" t="s">
        <v>153</v>
      </c>
      <c r="AA642" s="36" t="s">
        <v>153</v>
      </c>
      <c r="AB642" s="37" t="s">
        <v>153</v>
      </c>
      <c r="AC642" s="38" t="s">
        <v>153</v>
      </c>
      <c r="AD642" s="39" t="s">
        <v>153</v>
      </c>
      <c r="AE642" s="40" t="s">
        <v>153</v>
      </c>
      <c r="AF642" s="41" t="s">
        <v>153</v>
      </c>
      <c r="AG642" s="42" t="s">
        <v>153</v>
      </c>
      <c r="AH642" s="43" t="s">
        <v>153</v>
      </c>
      <c r="AI642" s="44" t="s">
        <v>153</v>
      </c>
      <c r="AJ642" s="45" t="s">
        <v>153</v>
      </c>
      <c r="AK642" s="46" t="s">
        <v>153</v>
      </c>
      <c r="AL642" s="47" t="s">
        <v>153</v>
      </c>
      <c r="AM642" s="48" t="s">
        <v>153</v>
      </c>
      <c r="AN642" s="49" t="s">
        <v>868</v>
      </c>
      <c r="AO642" s="50" t="s">
        <v>153</v>
      </c>
      <c r="AP642" s="51" t="s">
        <v>153</v>
      </c>
      <c r="AQ642" s="52" t="s">
        <v>153</v>
      </c>
      <c r="AR642" s="53" t="s">
        <v>153</v>
      </c>
      <c r="AS642" s="54" t="s">
        <v>153</v>
      </c>
      <c r="AT642" s="55" t="s">
        <v>4738</v>
      </c>
      <c r="AU642" s="56" t="s">
        <v>153</v>
      </c>
      <c r="AV642" s="57" t="s">
        <v>153</v>
      </c>
      <c r="AW642" s="58" t="s">
        <v>4740</v>
      </c>
      <c r="AX642" s="59" t="s">
        <v>4741</v>
      </c>
      <c r="AY642" s="60" t="s">
        <v>153</v>
      </c>
      <c r="AZ642" s="61" t="s">
        <v>215</v>
      </c>
      <c r="BA642" s="62" t="s">
        <v>153</v>
      </c>
      <c r="BB642" s="63" t="s">
        <v>153</v>
      </c>
      <c r="BC642" s="64" t="s">
        <v>153</v>
      </c>
      <c r="BD642" s="65" t="s">
        <v>216</v>
      </c>
      <c r="BE642" s="66" t="s">
        <v>217</v>
      </c>
      <c r="BF642" s="67" t="s">
        <v>13094</v>
      </c>
      <c r="BG642" s="68" t="s">
        <v>153</v>
      </c>
      <c r="BH642" s="69" t="s">
        <v>153</v>
      </c>
      <c r="BI642" s="70" t="s">
        <v>7031</v>
      </c>
      <c r="BJ642" s="71" t="s">
        <v>13095</v>
      </c>
      <c r="BK642" s="72" t="s">
        <v>153</v>
      </c>
      <c r="BL642" s="73" t="s">
        <v>153</v>
      </c>
      <c r="BM642" s="74" t="s">
        <v>13096</v>
      </c>
      <c r="BN642" s="75" t="s">
        <v>153</v>
      </c>
      <c r="BO642" s="76" t="s">
        <v>153</v>
      </c>
      <c r="BP642" s="77" t="s">
        <v>153</v>
      </c>
      <c r="BQ642" s="78">
        <v>43340</v>
      </c>
      <c r="BR642" s="79">
        <v>7150</v>
      </c>
      <c r="BS642" s="80" t="s">
        <v>186</v>
      </c>
      <c r="BT642" s="81">
        <v>7150</v>
      </c>
      <c r="BU642" s="82" t="s">
        <v>186</v>
      </c>
      <c r="BV642" s="83" t="s">
        <v>226</v>
      </c>
      <c r="BW642" s="84" t="s">
        <v>729</v>
      </c>
      <c r="BX642" s="85" t="s">
        <v>153</v>
      </c>
      <c r="BY642" s="86" t="s">
        <v>225</v>
      </c>
      <c r="BZ642" s="87" t="s">
        <v>153</v>
      </c>
      <c r="CA642" s="88" t="s">
        <v>190</v>
      </c>
      <c r="CB642" s="89">
        <v>43340</v>
      </c>
      <c r="CC642" s="90">
        <v>7150</v>
      </c>
      <c r="CD642" s="91" t="s">
        <v>186</v>
      </c>
      <c r="CE642" s="92">
        <v>7150</v>
      </c>
      <c r="CF642" s="93" t="s">
        <v>186</v>
      </c>
      <c r="CG642" s="94" t="s">
        <v>226</v>
      </c>
      <c r="CH642" s="95" t="s">
        <v>729</v>
      </c>
      <c r="CI642" s="96" t="s">
        <v>153</v>
      </c>
      <c r="CJ642" s="97" t="s">
        <v>225</v>
      </c>
      <c r="CK642" s="98">
        <v>43340</v>
      </c>
      <c r="CL642" s="99" t="s">
        <v>153</v>
      </c>
      <c r="CM642" s="100" t="s">
        <v>153</v>
      </c>
      <c r="CN642" s="101" t="s">
        <v>190</v>
      </c>
      <c r="CO642" s="102" t="s">
        <v>153</v>
      </c>
      <c r="CP642" s="103" t="s">
        <v>153</v>
      </c>
      <c r="CQ642" s="104" t="s">
        <v>153</v>
      </c>
      <c r="CR642" s="105" t="s">
        <v>153</v>
      </c>
      <c r="CS642" s="106" t="s">
        <v>153</v>
      </c>
      <c r="CT642" s="107" t="s">
        <v>153</v>
      </c>
      <c r="CU642" s="108" t="s">
        <v>153</v>
      </c>
      <c r="CV642" s="109" t="s">
        <v>153</v>
      </c>
      <c r="CW642" s="110" t="s">
        <v>153</v>
      </c>
      <c r="CX642" s="111" t="s">
        <v>153</v>
      </c>
      <c r="CY642" s="112" t="s">
        <v>153</v>
      </c>
      <c r="CZ642" s="113" t="s">
        <v>153</v>
      </c>
      <c r="DA642" s="114" t="s">
        <v>153</v>
      </c>
      <c r="DB642" s="115" t="s">
        <v>153</v>
      </c>
      <c r="DC642" s="116" t="s">
        <v>153</v>
      </c>
      <c r="DD642" s="117" t="s">
        <v>153</v>
      </c>
      <c r="DE642" s="118" t="s">
        <v>153</v>
      </c>
      <c r="DF642" s="119" t="s">
        <v>153</v>
      </c>
      <c r="DG642" s="120" t="s">
        <v>153</v>
      </c>
      <c r="DH642" s="121" t="s">
        <v>153</v>
      </c>
      <c r="DI642" s="122" t="s">
        <v>153</v>
      </c>
      <c r="DJ642" s="123" t="s">
        <v>153</v>
      </c>
      <c r="DK642" s="124" t="s">
        <v>153</v>
      </c>
      <c r="DL642" s="125" t="s">
        <v>153</v>
      </c>
      <c r="DM642" s="126" t="s">
        <v>153</v>
      </c>
      <c r="DN642" s="127" t="s">
        <v>153</v>
      </c>
      <c r="DO642" s="128" t="s">
        <v>153</v>
      </c>
      <c r="DP642" s="129" t="s">
        <v>153</v>
      </c>
      <c r="DQ642" s="130" t="s">
        <v>153</v>
      </c>
      <c r="DR642" s="131" t="s">
        <v>153</v>
      </c>
      <c r="DS642" s="132" t="s">
        <v>153</v>
      </c>
      <c r="DT642" s="133" t="s">
        <v>153</v>
      </c>
      <c r="DU642" s="134" t="s">
        <v>153</v>
      </c>
      <c r="DV642" s="135" t="s">
        <v>153</v>
      </c>
      <c r="DW642" s="136" t="s">
        <v>153</v>
      </c>
      <c r="DX642" s="137" t="s">
        <v>153</v>
      </c>
      <c r="DY642" s="138" t="s">
        <v>153</v>
      </c>
      <c r="DZ642" s="139" t="s">
        <v>191</v>
      </c>
      <c r="EA642" s="140">
        <v>44329</v>
      </c>
      <c r="EB642" s="141">
        <v>7150</v>
      </c>
      <c r="EC642" s="142">
        <v>43340</v>
      </c>
      <c r="ED642" s="143" t="s">
        <v>226</v>
      </c>
      <c r="EE642" s="278" t="str">
        <f>HYPERLINK("https://my.pitchbook.com?c=231397-39", "View company online")</f>
        <v>View company online</v>
      </c>
    </row>
    <row r="643" spans="1:135" x14ac:dyDescent="0.45">
      <c r="A643" s="144" t="s">
        <v>13097</v>
      </c>
      <c r="B643" s="145" t="s">
        <v>13098</v>
      </c>
      <c r="C643" s="146" t="s">
        <v>153</v>
      </c>
      <c r="D643" s="147" t="s">
        <v>153</v>
      </c>
      <c r="E643" s="148" t="s">
        <v>153</v>
      </c>
      <c r="F643" s="149" t="s">
        <v>13099</v>
      </c>
      <c r="G643" s="150" t="s">
        <v>13100</v>
      </c>
      <c r="H643" s="151" t="s">
        <v>13101</v>
      </c>
      <c r="I643" s="152" t="s">
        <v>13097</v>
      </c>
      <c r="J643" s="153" t="s">
        <v>13102</v>
      </c>
      <c r="K643" s="154" t="s">
        <v>198</v>
      </c>
      <c r="L643" s="155" t="s">
        <v>199</v>
      </c>
      <c r="M643" s="156" t="s">
        <v>3522</v>
      </c>
      <c r="N643" s="157" t="s">
        <v>13103</v>
      </c>
      <c r="O643" s="158" t="s">
        <v>1592</v>
      </c>
      <c r="P643" s="159" t="s">
        <v>13104</v>
      </c>
      <c r="Q643" s="160" t="s">
        <v>204</v>
      </c>
      <c r="R643" s="161">
        <v>192.52</v>
      </c>
      <c r="S643" s="162" t="s">
        <v>290</v>
      </c>
      <c r="T643" s="163" t="s">
        <v>205</v>
      </c>
      <c r="U643" s="164" t="s">
        <v>482</v>
      </c>
      <c r="V643" s="165" t="s">
        <v>13105</v>
      </c>
      <c r="W643" s="166">
        <v>1454</v>
      </c>
      <c r="X643" s="167" t="s">
        <v>13106</v>
      </c>
      <c r="Y643" s="168" t="s">
        <v>153</v>
      </c>
      <c r="Z643" s="169" t="s">
        <v>153</v>
      </c>
      <c r="AA643" s="170">
        <v>1999</v>
      </c>
      <c r="AB643" s="171" t="s">
        <v>13107</v>
      </c>
      <c r="AC643" s="172" t="s">
        <v>153</v>
      </c>
      <c r="AD643" s="173" t="s">
        <v>153</v>
      </c>
      <c r="AE643" s="174" t="s">
        <v>153</v>
      </c>
      <c r="AF643" s="175" t="s">
        <v>153</v>
      </c>
      <c r="AG643" s="176" t="s">
        <v>153</v>
      </c>
      <c r="AH643" s="177" t="s">
        <v>153</v>
      </c>
      <c r="AI643" s="178" t="s">
        <v>153</v>
      </c>
      <c r="AJ643" s="179" t="s">
        <v>153</v>
      </c>
      <c r="AK643" s="180" t="s">
        <v>153</v>
      </c>
      <c r="AL643" s="181" t="s">
        <v>153</v>
      </c>
      <c r="AM643" s="182" t="s">
        <v>153</v>
      </c>
      <c r="AN643" s="183" t="s">
        <v>623</v>
      </c>
      <c r="AO643" s="184" t="s">
        <v>13108</v>
      </c>
      <c r="AP643" s="185" t="s">
        <v>13109</v>
      </c>
      <c r="AQ643" s="186" t="s">
        <v>13110</v>
      </c>
      <c r="AR643" s="187" t="s">
        <v>13111</v>
      </c>
      <c r="AS643" s="188" t="s">
        <v>13112</v>
      </c>
      <c r="AT643" s="189" t="s">
        <v>2033</v>
      </c>
      <c r="AU643" s="190" t="s">
        <v>13113</v>
      </c>
      <c r="AV643" s="191" t="s">
        <v>153</v>
      </c>
      <c r="AW643" s="192" t="s">
        <v>2036</v>
      </c>
      <c r="AX643" s="193" t="s">
        <v>308</v>
      </c>
      <c r="AY643" s="194" t="s">
        <v>13114</v>
      </c>
      <c r="AZ643" s="195" t="s">
        <v>215</v>
      </c>
      <c r="BA643" s="196" t="s">
        <v>13112</v>
      </c>
      <c r="BB643" s="197" t="s">
        <v>13115</v>
      </c>
      <c r="BC643" s="198" t="s">
        <v>153</v>
      </c>
      <c r="BD643" s="199" t="s">
        <v>216</v>
      </c>
      <c r="BE643" s="200" t="s">
        <v>217</v>
      </c>
      <c r="BF643" s="201" t="s">
        <v>13116</v>
      </c>
      <c r="BG643" s="202" t="s">
        <v>153</v>
      </c>
      <c r="BH643" s="203" t="s">
        <v>153</v>
      </c>
      <c r="BI643" s="204" t="s">
        <v>13107</v>
      </c>
      <c r="BJ643" s="205" t="s">
        <v>13117</v>
      </c>
      <c r="BK643" s="206" t="s">
        <v>13118</v>
      </c>
      <c r="BL643" s="207" t="s">
        <v>153</v>
      </c>
      <c r="BM643" s="208" t="s">
        <v>13119</v>
      </c>
      <c r="BN643" s="209" t="s">
        <v>13120</v>
      </c>
      <c r="BO643" s="210" t="s">
        <v>13121</v>
      </c>
      <c r="BP643" s="211" t="s">
        <v>13122</v>
      </c>
      <c r="BQ643" s="212">
        <v>36312</v>
      </c>
      <c r="BR643" s="213">
        <v>7.6</v>
      </c>
      <c r="BS643" s="214" t="s">
        <v>186</v>
      </c>
      <c r="BT643" s="215" t="s">
        <v>153</v>
      </c>
      <c r="BU643" s="216" t="s">
        <v>153</v>
      </c>
      <c r="BV643" s="217" t="s">
        <v>471</v>
      </c>
      <c r="BW643" s="218" t="s">
        <v>1811</v>
      </c>
      <c r="BX643" s="219" t="s">
        <v>153</v>
      </c>
      <c r="BY643" s="220" t="s">
        <v>472</v>
      </c>
      <c r="BZ643" s="221" t="s">
        <v>153</v>
      </c>
      <c r="CA643" s="222" t="s">
        <v>190</v>
      </c>
      <c r="CB643" s="223">
        <v>43948</v>
      </c>
      <c r="CC643" s="224">
        <v>7134</v>
      </c>
      <c r="CD643" s="225" t="s">
        <v>186</v>
      </c>
      <c r="CE643" s="226">
        <v>7134</v>
      </c>
      <c r="CF643" s="227" t="s">
        <v>187</v>
      </c>
      <c r="CG643" s="228" t="s">
        <v>226</v>
      </c>
      <c r="CH643" s="229" t="s">
        <v>153</v>
      </c>
      <c r="CI643" s="230" t="s">
        <v>153</v>
      </c>
      <c r="CJ643" s="231" t="s">
        <v>225</v>
      </c>
      <c r="CK643" s="232">
        <v>43948</v>
      </c>
      <c r="CL643" s="233" t="s">
        <v>153</v>
      </c>
      <c r="CM643" s="234" t="s">
        <v>153</v>
      </c>
      <c r="CN643" s="235" t="s">
        <v>190</v>
      </c>
      <c r="CO643" s="236" t="s">
        <v>153</v>
      </c>
      <c r="CP643" s="237" t="s">
        <v>153</v>
      </c>
      <c r="CQ643" s="238" t="s">
        <v>153</v>
      </c>
      <c r="CR643" s="239" t="s">
        <v>153</v>
      </c>
      <c r="CS643" s="240" t="s">
        <v>153</v>
      </c>
      <c r="CT643" s="241" t="s">
        <v>153</v>
      </c>
      <c r="CU643" s="242" t="s">
        <v>153</v>
      </c>
      <c r="CV643" s="243" t="s">
        <v>153</v>
      </c>
      <c r="CW643" s="244" t="s">
        <v>153</v>
      </c>
      <c r="CX643" s="245" t="s">
        <v>153</v>
      </c>
      <c r="CY643" s="246" t="s">
        <v>153</v>
      </c>
      <c r="CZ643" s="247" t="s">
        <v>153</v>
      </c>
      <c r="DA643" s="248" t="s">
        <v>153</v>
      </c>
      <c r="DB643" s="249" t="s">
        <v>153</v>
      </c>
      <c r="DC643" s="250" t="s">
        <v>153</v>
      </c>
      <c r="DD643" s="251" t="s">
        <v>153</v>
      </c>
      <c r="DE643" s="252" t="s">
        <v>153</v>
      </c>
      <c r="DF643" s="253" t="s">
        <v>153</v>
      </c>
      <c r="DG643" s="254" t="s">
        <v>153</v>
      </c>
      <c r="DH643" s="255" t="s">
        <v>153</v>
      </c>
      <c r="DI643" s="256" t="s">
        <v>153</v>
      </c>
      <c r="DJ643" s="257" t="s">
        <v>153</v>
      </c>
      <c r="DK643" s="258" t="s">
        <v>153</v>
      </c>
      <c r="DL643" s="259" t="s">
        <v>153</v>
      </c>
      <c r="DM643" s="260" t="s">
        <v>153</v>
      </c>
      <c r="DN643" s="261" t="s">
        <v>153</v>
      </c>
      <c r="DO643" s="262" t="s">
        <v>153</v>
      </c>
      <c r="DP643" s="263" t="s">
        <v>153</v>
      </c>
      <c r="DQ643" s="264" t="s">
        <v>153</v>
      </c>
      <c r="DR643" s="265" t="s">
        <v>153</v>
      </c>
      <c r="DS643" s="266" t="s">
        <v>153</v>
      </c>
      <c r="DT643" s="267" t="s">
        <v>153</v>
      </c>
      <c r="DU643" s="268" t="s">
        <v>153</v>
      </c>
      <c r="DV643" s="269" t="s">
        <v>153</v>
      </c>
      <c r="DW643" s="270" t="s">
        <v>153</v>
      </c>
      <c r="DX643" s="271" t="s">
        <v>153</v>
      </c>
      <c r="DY643" s="272" t="s">
        <v>153</v>
      </c>
      <c r="DZ643" s="273" t="s">
        <v>191</v>
      </c>
      <c r="EA643" s="274">
        <v>44385</v>
      </c>
      <c r="EB643" s="275">
        <v>7134</v>
      </c>
      <c r="EC643" s="276">
        <v>43948</v>
      </c>
      <c r="ED643" s="277" t="s">
        <v>226</v>
      </c>
      <c r="EE643" s="279" t="str">
        <f>HYPERLINK("https://my.pitchbook.com?c=42081-04", "View company online")</f>
        <v>View company online</v>
      </c>
    </row>
    <row r="644" spans="1:135" x14ac:dyDescent="0.45">
      <c r="A644" s="10" t="s">
        <v>13123</v>
      </c>
      <c r="B644" s="11" t="s">
        <v>13124</v>
      </c>
      <c r="C644" s="12" t="s">
        <v>153</v>
      </c>
      <c r="D644" s="13" t="s">
        <v>153</v>
      </c>
      <c r="E644" s="14" t="s">
        <v>153</v>
      </c>
      <c r="F644" s="15" t="s">
        <v>153</v>
      </c>
      <c r="G644" s="16" t="s">
        <v>153</v>
      </c>
      <c r="H644" s="17" t="s">
        <v>153</v>
      </c>
      <c r="I644" s="18" t="s">
        <v>13123</v>
      </c>
      <c r="J644" s="19" t="s">
        <v>13125</v>
      </c>
      <c r="K644" s="20" t="s">
        <v>792</v>
      </c>
      <c r="L644" s="21" t="s">
        <v>1516</v>
      </c>
      <c r="M644" s="22" t="s">
        <v>1516</v>
      </c>
      <c r="N644" s="23" t="s">
        <v>13126</v>
      </c>
      <c r="O644" s="24" t="s">
        <v>5057</v>
      </c>
      <c r="P644" s="25" t="s">
        <v>13127</v>
      </c>
      <c r="Q644" s="26" t="s">
        <v>204</v>
      </c>
      <c r="R644" s="27" t="s">
        <v>153</v>
      </c>
      <c r="S644" s="28" t="s">
        <v>153</v>
      </c>
      <c r="T644" s="29" t="s">
        <v>205</v>
      </c>
      <c r="U644" s="30" t="s">
        <v>206</v>
      </c>
      <c r="V644" s="31" t="s">
        <v>153</v>
      </c>
      <c r="W644" s="32" t="s">
        <v>153</v>
      </c>
      <c r="X644" s="33" t="s">
        <v>153</v>
      </c>
      <c r="Y644" s="34" t="s">
        <v>153</v>
      </c>
      <c r="Z644" s="35" t="s">
        <v>153</v>
      </c>
      <c r="AA644" s="36" t="s">
        <v>153</v>
      </c>
      <c r="AB644" s="37" t="s">
        <v>153</v>
      </c>
      <c r="AC644" s="38" t="s">
        <v>153</v>
      </c>
      <c r="AD644" s="39" t="s">
        <v>153</v>
      </c>
      <c r="AE644" s="40" t="s">
        <v>153</v>
      </c>
      <c r="AF644" s="41" t="s">
        <v>153</v>
      </c>
      <c r="AG644" s="42" t="s">
        <v>153</v>
      </c>
      <c r="AH644" s="43" t="s">
        <v>153</v>
      </c>
      <c r="AI644" s="44" t="s">
        <v>153</v>
      </c>
      <c r="AJ644" s="45" t="s">
        <v>153</v>
      </c>
      <c r="AK644" s="46" t="s">
        <v>153</v>
      </c>
      <c r="AL644" s="47" t="s">
        <v>153</v>
      </c>
      <c r="AM644" s="48" t="s">
        <v>153</v>
      </c>
      <c r="AN644" s="49" t="s">
        <v>153</v>
      </c>
      <c r="AO644" s="50" t="s">
        <v>153</v>
      </c>
      <c r="AP644" s="51" t="s">
        <v>153</v>
      </c>
      <c r="AQ644" s="52" t="s">
        <v>153</v>
      </c>
      <c r="AR644" s="53" t="s">
        <v>153</v>
      </c>
      <c r="AS644" s="54" t="s">
        <v>153</v>
      </c>
      <c r="AT644" s="55" t="s">
        <v>8753</v>
      </c>
      <c r="AU644" s="56" t="s">
        <v>153</v>
      </c>
      <c r="AV644" s="57" t="s">
        <v>153</v>
      </c>
      <c r="AW644" s="58" t="s">
        <v>153</v>
      </c>
      <c r="AX644" s="59" t="s">
        <v>153</v>
      </c>
      <c r="AY644" s="60" t="s">
        <v>153</v>
      </c>
      <c r="AZ644" s="61" t="s">
        <v>8753</v>
      </c>
      <c r="BA644" s="62" t="s">
        <v>153</v>
      </c>
      <c r="BB644" s="63" t="s">
        <v>153</v>
      </c>
      <c r="BC644" s="64" t="s">
        <v>153</v>
      </c>
      <c r="BD644" s="65" t="s">
        <v>180</v>
      </c>
      <c r="BE644" s="66" t="s">
        <v>2051</v>
      </c>
      <c r="BF644" s="67" t="s">
        <v>13128</v>
      </c>
      <c r="BG644" s="68" t="s">
        <v>153</v>
      </c>
      <c r="BH644" s="69" t="s">
        <v>153</v>
      </c>
      <c r="BI644" s="70" t="s">
        <v>13129</v>
      </c>
      <c r="BJ644" s="71" t="s">
        <v>13130</v>
      </c>
      <c r="BK644" s="72" t="s">
        <v>153</v>
      </c>
      <c r="BL644" s="73" t="s">
        <v>153</v>
      </c>
      <c r="BM644" s="74" t="s">
        <v>13131</v>
      </c>
      <c r="BN644" s="75" t="s">
        <v>153</v>
      </c>
      <c r="BO644" s="76" t="s">
        <v>153</v>
      </c>
      <c r="BP644" s="77" t="s">
        <v>153</v>
      </c>
      <c r="BQ644" s="78">
        <v>39653</v>
      </c>
      <c r="BR644" s="79">
        <v>7103.72</v>
      </c>
      <c r="BS644" s="80" t="s">
        <v>186</v>
      </c>
      <c r="BT644" s="81">
        <v>7103.72</v>
      </c>
      <c r="BU644" s="82" t="s">
        <v>186</v>
      </c>
      <c r="BV644" s="83" t="s">
        <v>1524</v>
      </c>
      <c r="BW644" s="84" t="s">
        <v>1525</v>
      </c>
      <c r="BX644" s="85" t="s">
        <v>1526</v>
      </c>
      <c r="BY644" s="86" t="s">
        <v>225</v>
      </c>
      <c r="BZ644" s="87" t="s">
        <v>153</v>
      </c>
      <c r="CA644" s="88" t="s">
        <v>190</v>
      </c>
      <c r="CB644" s="89">
        <v>39653</v>
      </c>
      <c r="CC644" s="90">
        <v>7103.72</v>
      </c>
      <c r="CD644" s="91" t="s">
        <v>186</v>
      </c>
      <c r="CE644" s="92">
        <v>7103.72</v>
      </c>
      <c r="CF644" s="93" t="s">
        <v>186</v>
      </c>
      <c r="CG644" s="94" t="s">
        <v>1524</v>
      </c>
      <c r="CH644" s="95" t="s">
        <v>1525</v>
      </c>
      <c r="CI644" s="96" t="s">
        <v>1526</v>
      </c>
      <c r="CJ644" s="97" t="s">
        <v>225</v>
      </c>
      <c r="CK644" s="98">
        <v>39653</v>
      </c>
      <c r="CL644" s="99" t="s">
        <v>153</v>
      </c>
      <c r="CM644" s="100" t="s">
        <v>153</v>
      </c>
      <c r="CN644" s="101" t="s">
        <v>190</v>
      </c>
      <c r="CO644" s="102" t="s">
        <v>153</v>
      </c>
      <c r="CP644" s="103" t="s">
        <v>153</v>
      </c>
      <c r="CQ644" s="104" t="s">
        <v>153</v>
      </c>
      <c r="CR644" s="105" t="s">
        <v>153</v>
      </c>
      <c r="CS644" s="106" t="s">
        <v>153</v>
      </c>
      <c r="CT644" s="107" t="s">
        <v>153</v>
      </c>
      <c r="CU644" s="108" t="s">
        <v>153</v>
      </c>
      <c r="CV644" s="109" t="s">
        <v>153</v>
      </c>
      <c r="CW644" s="110" t="s">
        <v>153</v>
      </c>
      <c r="CX644" s="111" t="s">
        <v>153</v>
      </c>
      <c r="CY644" s="112" t="s">
        <v>153</v>
      </c>
      <c r="CZ644" s="113" t="s">
        <v>153</v>
      </c>
      <c r="DA644" s="114" t="s">
        <v>153</v>
      </c>
      <c r="DB644" s="115" t="s">
        <v>153</v>
      </c>
      <c r="DC644" s="116" t="s">
        <v>153</v>
      </c>
      <c r="DD644" s="117" t="s">
        <v>153</v>
      </c>
      <c r="DE644" s="118" t="s">
        <v>153</v>
      </c>
      <c r="DF644" s="119" t="s">
        <v>153</v>
      </c>
      <c r="DG644" s="120" t="s">
        <v>153</v>
      </c>
      <c r="DH644" s="121" t="s">
        <v>153</v>
      </c>
      <c r="DI644" s="122" t="s">
        <v>153</v>
      </c>
      <c r="DJ644" s="123" t="s">
        <v>153</v>
      </c>
      <c r="DK644" s="124" t="s">
        <v>153</v>
      </c>
      <c r="DL644" s="125" t="s">
        <v>153</v>
      </c>
      <c r="DM644" s="126" t="s">
        <v>153</v>
      </c>
      <c r="DN644" s="127" t="s">
        <v>153</v>
      </c>
      <c r="DO644" s="128" t="s">
        <v>153</v>
      </c>
      <c r="DP644" s="129" t="s">
        <v>153</v>
      </c>
      <c r="DQ644" s="130" t="s">
        <v>153</v>
      </c>
      <c r="DR644" s="131" t="s">
        <v>153</v>
      </c>
      <c r="DS644" s="132" t="s">
        <v>153</v>
      </c>
      <c r="DT644" s="133" t="s">
        <v>153</v>
      </c>
      <c r="DU644" s="134" t="s">
        <v>153</v>
      </c>
      <c r="DV644" s="135" t="s">
        <v>153</v>
      </c>
      <c r="DW644" s="136" t="s">
        <v>153</v>
      </c>
      <c r="DX644" s="137" t="s">
        <v>153</v>
      </c>
      <c r="DY644" s="138" t="s">
        <v>153</v>
      </c>
      <c r="DZ644" s="139" t="s">
        <v>191</v>
      </c>
      <c r="EA644" s="140">
        <v>43476</v>
      </c>
      <c r="EB644" s="141">
        <v>7103.72</v>
      </c>
      <c r="EC644" s="142">
        <v>39653</v>
      </c>
      <c r="ED644" s="143" t="s">
        <v>1524</v>
      </c>
      <c r="EE644" s="278" t="str">
        <f>HYPERLINK("https://my.pitchbook.com?c=187950-79", "View company online")</f>
        <v>View company online</v>
      </c>
    </row>
    <row r="645" spans="1:135" x14ac:dyDescent="0.45">
      <c r="A645" s="144" t="s">
        <v>13132</v>
      </c>
      <c r="B645" s="145" t="s">
        <v>13133</v>
      </c>
      <c r="C645" s="146" t="s">
        <v>153</v>
      </c>
      <c r="D645" s="147" t="s">
        <v>153</v>
      </c>
      <c r="E645" s="148" t="s">
        <v>13134</v>
      </c>
      <c r="F645" s="149" t="s">
        <v>13135</v>
      </c>
      <c r="G645" s="150" t="s">
        <v>13136</v>
      </c>
      <c r="H645" s="151" t="s">
        <v>13137</v>
      </c>
      <c r="I645" s="152" t="s">
        <v>13132</v>
      </c>
      <c r="J645" s="153" t="s">
        <v>13138</v>
      </c>
      <c r="K645" s="154" t="s">
        <v>198</v>
      </c>
      <c r="L645" s="155" t="s">
        <v>1846</v>
      </c>
      <c r="M645" s="156" t="s">
        <v>6687</v>
      </c>
      <c r="N645" s="157" t="s">
        <v>6688</v>
      </c>
      <c r="O645" s="158" t="s">
        <v>13139</v>
      </c>
      <c r="P645" s="159" t="s">
        <v>13140</v>
      </c>
      <c r="Q645" s="160" t="s">
        <v>204</v>
      </c>
      <c r="R645" s="161">
        <v>13.05</v>
      </c>
      <c r="S645" s="162" t="s">
        <v>290</v>
      </c>
      <c r="T645" s="163" t="s">
        <v>1392</v>
      </c>
      <c r="U645" s="164" t="s">
        <v>2025</v>
      </c>
      <c r="V645" s="165" t="s">
        <v>13141</v>
      </c>
      <c r="W645" s="166">
        <v>5500</v>
      </c>
      <c r="X645" s="167" t="s">
        <v>13142</v>
      </c>
      <c r="Y645" s="168" t="s">
        <v>153</v>
      </c>
      <c r="Z645" s="169" t="s">
        <v>153</v>
      </c>
      <c r="AA645" s="170">
        <v>1985</v>
      </c>
      <c r="AB645" s="171" t="s">
        <v>153</v>
      </c>
      <c r="AC645" s="172" t="s">
        <v>153</v>
      </c>
      <c r="AD645" s="173" t="s">
        <v>428</v>
      </c>
      <c r="AE645" s="174">
        <v>1000</v>
      </c>
      <c r="AF645" s="175" t="s">
        <v>153</v>
      </c>
      <c r="AG645" s="176" t="s">
        <v>153</v>
      </c>
      <c r="AH645" s="177" t="s">
        <v>153</v>
      </c>
      <c r="AI645" s="178" t="s">
        <v>153</v>
      </c>
      <c r="AJ645" s="179" t="s">
        <v>153</v>
      </c>
      <c r="AK645" s="180" t="s">
        <v>153</v>
      </c>
      <c r="AL645" s="181" t="s">
        <v>153</v>
      </c>
      <c r="AM645" s="182">
        <v>-4.12</v>
      </c>
      <c r="AN645" s="183" t="s">
        <v>168</v>
      </c>
      <c r="AO645" s="184" t="s">
        <v>13143</v>
      </c>
      <c r="AP645" s="185" t="s">
        <v>13144</v>
      </c>
      <c r="AQ645" s="186" t="s">
        <v>13145</v>
      </c>
      <c r="AR645" s="187" t="s">
        <v>13146</v>
      </c>
      <c r="AS645" s="188" t="s">
        <v>13147</v>
      </c>
      <c r="AT645" s="189" t="s">
        <v>3608</v>
      </c>
      <c r="AU645" s="190" t="s">
        <v>13148</v>
      </c>
      <c r="AV645" s="191" t="s">
        <v>1577</v>
      </c>
      <c r="AW645" s="192" t="s">
        <v>3611</v>
      </c>
      <c r="AX645" s="193" t="s">
        <v>2482</v>
      </c>
      <c r="AY645" s="194" t="s">
        <v>13149</v>
      </c>
      <c r="AZ645" s="195" t="s">
        <v>215</v>
      </c>
      <c r="BA645" s="196" t="s">
        <v>13147</v>
      </c>
      <c r="BB645" s="197" t="s">
        <v>153</v>
      </c>
      <c r="BC645" s="198" t="s">
        <v>13150</v>
      </c>
      <c r="BD645" s="199" t="s">
        <v>216</v>
      </c>
      <c r="BE645" s="200" t="s">
        <v>217</v>
      </c>
      <c r="BF645" s="201" t="s">
        <v>13151</v>
      </c>
      <c r="BG645" s="202" t="s">
        <v>153</v>
      </c>
      <c r="BH645" s="203" t="s">
        <v>153</v>
      </c>
      <c r="BI645" s="204" t="s">
        <v>13152</v>
      </c>
      <c r="BJ645" s="205" t="s">
        <v>13153</v>
      </c>
      <c r="BK645" s="206" t="s">
        <v>153</v>
      </c>
      <c r="BL645" s="207" t="s">
        <v>153</v>
      </c>
      <c r="BM645" s="208" t="s">
        <v>13154</v>
      </c>
      <c r="BN645" s="209" t="s">
        <v>153</v>
      </c>
      <c r="BO645" s="210" t="s">
        <v>13155</v>
      </c>
      <c r="BP645" s="211" t="s">
        <v>13156</v>
      </c>
      <c r="BQ645" s="212">
        <v>36069</v>
      </c>
      <c r="BR645" s="213" t="s">
        <v>153</v>
      </c>
      <c r="BS645" s="214" t="s">
        <v>153</v>
      </c>
      <c r="BT645" s="215" t="s">
        <v>153</v>
      </c>
      <c r="BU645" s="216" t="s">
        <v>153</v>
      </c>
      <c r="BV645" s="217" t="s">
        <v>188</v>
      </c>
      <c r="BW645" s="218" t="s">
        <v>153</v>
      </c>
      <c r="BX645" s="219" t="s">
        <v>153</v>
      </c>
      <c r="BY645" s="220" t="s">
        <v>165</v>
      </c>
      <c r="BZ645" s="221" t="s">
        <v>153</v>
      </c>
      <c r="CA645" s="222" t="s">
        <v>190</v>
      </c>
      <c r="CB645" s="223">
        <v>44309</v>
      </c>
      <c r="CC645" s="224">
        <v>7100</v>
      </c>
      <c r="CD645" s="225" t="s">
        <v>186</v>
      </c>
      <c r="CE645" s="226">
        <v>8500</v>
      </c>
      <c r="CF645" s="227" t="s">
        <v>186</v>
      </c>
      <c r="CG645" s="228" t="s">
        <v>226</v>
      </c>
      <c r="CH645" s="229" t="s">
        <v>153</v>
      </c>
      <c r="CI645" s="230" t="s">
        <v>153</v>
      </c>
      <c r="CJ645" s="231" t="s">
        <v>225</v>
      </c>
      <c r="CK645" s="232">
        <v>44309</v>
      </c>
      <c r="CL645" s="233" t="s">
        <v>153</v>
      </c>
      <c r="CM645" s="234" t="s">
        <v>153</v>
      </c>
      <c r="CN645" s="235" t="s">
        <v>190</v>
      </c>
      <c r="CO645" s="236">
        <v>-0.16</v>
      </c>
      <c r="CP645" s="237">
        <v>7</v>
      </c>
      <c r="CQ645" s="238">
        <v>0</v>
      </c>
      <c r="CR645" s="239">
        <v>-0.12</v>
      </c>
      <c r="CS645" s="240">
        <v>-0.94</v>
      </c>
      <c r="CT645" s="241">
        <v>4</v>
      </c>
      <c r="CU645" s="242">
        <v>0.04</v>
      </c>
      <c r="CV645" s="243">
        <v>80</v>
      </c>
      <c r="CW645" s="244">
        <v>-0.94</v>
      </c>
      <c r="CX645" s="245">
        <v>17</v>
      </c>
      <c r="CY645" s="246" t="s">
        <v>153</v>
      </c>
      <c r="CZ645" s="247" t="s">
        <v>153</v>
      </c>
      <c r="DA645" s="248">
        <v>0.04</v>
      </c>
      <c r="DB645" s="249">
        <v>80</v>
      </c>
      <c r="DC645" s="250">
        <v>31.46</v>
      </c>
      <c r="DD645" s="251">
        <v>97</v>
      </c>
      <c r="DE645" s="252">
        <v>0.12</v>
      </c>
      <c r="DF645" s="253">
        <v>0.38</v>
      </c>
      <c r="DG645" s="254">
        <v>43.02</v>
      </c>
      <c r="DH645" s="255">
        <v>98</v>
      </c>
      <c r="DI645" s="256">
        <v>37.700000000000003</v>
      </c>
      <c r="DJ645" s="257">
        <v>95</v>
      </c>
      <c r="DK645" s="258">
        <v>43.02</v>
      </c>
      <c r="DL645" s="259">
        <v>94</v>
      </c>
      <c r="DM645" s="260" t="s">
        <v>153</v>
      </c>
      <c r="DN645" s="261" t="s">
        <v>153</v>
      </c>
      <c r="DO645" s="262">
        <v>37.700000000000003</v>
      </c>
      <c r="DP645" s="263">
        <v>95</v>
      </c>
      <c r="DQ645" s="264">
        <v>25519</v>
      </c>
      <c r="DR645" s="265">
        <v>-33</v>
      </c>
      <c r="DS645" s="266">
        <v>-0.13</v>
      </c>
      <c r="DT645" s="267" t="s">
        <v>153</v>
      </c>
      <c r="DU645" s="268" t="s">
        <v>153</v>
      </c>
      <c r="DV645" s="269" t="s">
        <v>153</v>
      </c>
      <c r="DW645" s="270">
        <v>11837</v>
      </c>
      <c r="DX645" s="271">
        <v>11</v>
      </c>
      <c r="DY645" s="272">
        <v>0.09</v>
      </c>
      <c r="DZ645" s="273" t="s">
        <v>191</v>
      </c>
      <c r="EA645" s="274">
        <v>44389</v>
      </c>
      <c r="EB645" s="275">
        <v>8500</v>
      </c>
      <c r="EC645" s="276">
        <v>44309</v>
      </c>
      <c r="ED645" s="277" t="s">
        <v>226</v>
      </c>
      <c r="EE645" s="279" t="str">
        <f>HYPERLINK("https://my.pitchbook.com?c=10645-03", "View company online")</f>
        <v>View company online</v>
      </c>
    </row>
    <row r="646" spans="1:135" x14ac:dyDescent="0.45">
      <c r="A646" s="10" t="s">
        <v>13157</v>
      </c>
      <c r="B646" s="11" t="s">
        <v>13158</v>
      </c>
      <c r="C646" s="12" t="s">
        <v>153</v>
      </c>
      <c r="D646" s="13" t="s">
        <v>153</v>
      </c>
      <c r="E646" s="14" t="s">
        <v>153</v>
      </c>
      <c r="F646" s="15" t="s">
        <v>153</v>
      </c>
      <c r="G646" s="16" t="s">
        <v>13159</v>
      </c>
      <c r="H646" s="17" t="s">
        <v>153</v>
      </c>
      <c r="I646" s="18" t="s">
        <v>13157</v>
      </c>
      <c r="J646" s="19" t="s">
        <v>13160</v>
      </c>
      <c r="K646" s="20" t="s">
        <v>232</v>
      </c>
      <c r="L646" s="21" t="s">
        <v>2162</v>
      </c>
      <c r="M646" s="22" t="s">
        <v>4087</v>
      </c>
      <c r="N646" s="23" t="s">
        <v>7287</v>
      </c>
      <c r="O646" s="24" t="s">
        <v>153</v>
      </c>
      <c r="P646" s="25" t="s">
        <v>13161</v>
      </c>
      <c r="Q646" s="26" t="s">
        <v>204</v>
      </c>
      <c r="R646" s="27" t="s">
        <v>153</v>
      </c>
      <c r="S646" s="28" t="s">
        <v>163</v>
      </c>
      <c r="T646" s="29" t="s">
        <v>205</v>
      </c>
      <c r="U646" s="30" t="s">
        <v>206</v>
      </c>
      <c r="V646" s="31" t="s">
        <v>153</v>
      </c>
      <c r="W646" s="32" t="s">
        <v>153</v>
      </c>
      <c r="X646" s="33" t="s">
        <v>153</v>
      </c>
      <c r="Y646" s="34" t="s">
        <v>153</v>
      </c>
      <c r="Z646" s="35" t="s">
        <v>153</v>
      </c>
      <c r="AA646" s="36">
        <v>1869</v>
      </c>
      <c r="AB646" s="37" t="s">
        <v>153</v>
      </c>
      <c r="AC646" s="38" t="s">
        <v>153</v>
      </c>
      <c r="AD646" s="39" t="s">
        <v>153</v>
      </c>
      <c r="AE646" s="40" t="s">
        <v>153</v>
      </c>
      <c r="AF646" s="41" t="s">
        <v>153</v>
      </c>
      <c r="AG646" s="42" t="s">
        <v>153</v>
      </c>
      <c r="AH646" s="43" t="s">
        <v>153</v>
      </c>
      <c r="AI646" s="44" t="s">
        <v>153</v>
      </c>
      <c r="AJ646" s="45" t="s">
        <v>153</v>
      </c>
      <c r="AK646" s="46" t="s">
        <v>153</v>
      </c>
      <c r="AL646" s="47" t="s">
        <v>153</v>
      </c>
      <c r="AM646" s="48" t="s">
        <v>153</v>
      </c>
      <c r="AN646" s="49" t="s">
        <v>153</v>
      </c>
      <c r="AO646" s="50" t="s">
        <v>13162</v>
      </c>
      <c r="AP646" s="51" t="s">
        <v>13163</v>
      </c>
      <c r="AQ646" s="52" t="s">
        <v>171</v>
      </c>
      <c r="AR646" s="53" t="s">
        <v>153</v>
      </c>
      <c r="AS646" s="54" t="s">
        <v>153</v>
      </c>
      <c r="AT646" s="55" t="s">
        <v>13164</v>
      </c>
      <c r="AU646" s="56" t="s">
        <v>13165</v>
      </c>
      <c r="AV646" s="57" t="s">
        <v>153</v>
      </c>
      <c r="AW646" s="58" t="s">
        <v>13166</v>
      </c>
      <c r="AX646" s="59" t="s">
        <v>3712</v>
      </c>
      <c r="AY646" s="60" t="s">
        <v>13167</v>
      </c>
      <c r="AZ646" s="61" t="s">
        <v>1358</v>
      </c>
      <c r="BA646" s="62" t="s">
        <v>153</v>
      </c>
      <c r="BB646" s="63" t="s">
        <v>153</v>
      </c>
      <c r="BC646" s="64" t="s">
        <v>153</v>
      </c>
      <c r="BD646" s="65" t="s">
        <v>216</v>
      </c>
      <c r="BE646" s="66" t="s">
        <v>217</v>
      </c>
      <c r="BF646" s="67" t="s">
        <v>13168</v>
      </c>
      <c r="BG646" s="68" t="s">
        <v>153</v>
      </c>
      <c r="BH646" s="69" t="s">
        <v>153</v>
      </c>
      <c r="BI646" s="70" t="s">
        <v>13169</v>
      </c>
      <c r="BJ646" s="71" t="s">
        <v>153</v>
      </c>
      <c r="BK646" s="72" t="s">
        <v>153</v>
      </c>
      <c r="BL646" s="73" t="s">
        <v>153</v>
      </c>
      <c r="BM646" s="74" t="s">
        <v>153</v>
      </c>
      <c r="BN646" s="75" t="s">
        <v>153</v>
      </c>
      <c r="BO646" s="76" t="s">
        <v>153</v>
      </c>
      <c r="BP646" s="77" t="s">
        <v>13170</v>
      </c>
      <c r="BQ646" s="78">
        <v>37405</v>
      </c>
      <c r="BR646" s="79">
        <v>7100</v>
      </c>
      <c r="BS646" s="80" t="s">
        <v>186</v>
      </c>
      <c r="BT646" s="81">
        <v>7100</v>
      </c>
      <c r="BU646" s="82" t="s">
        <v>186</v>
      </c>
      <c r="BV646" s="83" t="s">
        <v>226</v>
      </c>
      <c r="BW646" s="84" t="s">
        <v>153</v>
      </c>
      <c r="BX646" s="85" t="s">
        <v>153</v>
      </c>
      <c r="BY646" s="86" t="s">
        <v>225</v>
      </c>
      <c r="BZ646" s="87" t="s">
        <v>153</v>
      </c>
      <c r="CA646" s="88" t="s">
        <v>190</v>
      </c>
      <c r="CB646" s="89">
        <v>37405</v>
      </c>
      <c r="CC646" s="90">
        <v>7100</v>
      </c>
      <c r="CD646" s="91" t="s">
        <v>186</v>
      </c>
      <c r="CE646" s="92">
        <v>7100</v>
      </c>
      <c r="CF646" s="93" t="s">
        <v>186</v>
      </c>
      <c r="CG646" s="94" t="s">
        <v>226</v>
      </c>
      <c r="CH646" s="95" t="s">
        <v>153</v>
      </c>
      <c r="CI646" s="96" t="s">
        <v>153</v>
      </c>
      <c r="CJ646" s="97" t="s">
        <v>225</v>
      </c>
      <c r="CK646" s="98">
        <v>37405</v>
      </c>
      <c r="CL646" s="99" t="s">
        <v>153</v>
      </c>
      <c r="CM646" s="100" t="s">
        <v>153</v>
      </c>
      <c r="CN646" s="101" t="s">
        <v>190</v>
      </c>
      <c r="CO646" s="102" t="s">
        <v>153</v>
      </c>
      <c r="CP646" s="103" t="s">
        <v>153</v>
      </c>
      <c r="CQ646" s="104" t="s">
        <v>153</v>
      </c>
      <c r="CR646" s="105" t="s">
        <v>153</v>
      </c>
      <c r="CS646" s="106" t="s">
        <v>153</v>
      </c>
      <c r="CT646" s="107" t="s">
        <v>153</v>
      </c>
      <c r="CU646" s="108" t="s">
        <v>153</v>
      </c>
      <c r="CV646" s="109" t="s">
        <v>153</v>
      </c>
      <c r="CW646" s="110" t="s">
        <v>153</v>
      </c>
      <c r="CX646" s="111" t="s">
        <v>153</v>
      </c>
      <c r="CY646" s="112" t="s">
        <v>153</v>
      </c>
      <c r="CZ646" s="113" t="s">
        <v>153</v>
      </c>
      <c r="DA646" s="114" t="s">
        <v>153</v>
      </c>
      <c r="DB646" s="115" t="s">
        <v>153</v>
      </c>
      <c r="DC646" s="116" t="s">
        <v>153</v>
      </c>
      <c r="DD646" s="117" t="s">
        <v>153</v>
      </c>
      <c r="DE646" s="118" t="s">
        <v>153</v>
      </c>
      <c r="DF646" s="119" t="s">
        <v>153</v>
      </c>
      <c r="DG646" s="120" t="s">
        <v>153</v>
      </c>
      <c r="DH646" s="121" t="s">
        <v>153</v>
      </c>
      <c r="DI646" s="122" t="s">
        <v>153</v>
      </c>
      <c r="DJ646" s="123" t="s">
        <v>153</v>
      </c>
      <c r="DK646" s="124" t="s">
        <v>153</v>
      </c>
      <c r="DL646" s="125" t="s">
        <v>153</v>
      </c>
      <c r="DM646" s="126" t="s">
        <v>153</v>
      </c>
      <c r="DN646" s="127" t="s">
        <v>153</v>
      </c>
      <c r="DO646" s="128" t="s">
        <v>153</v>
      </c>
      <c r="DP646" s="129" t="s">
        <v>153</v>
      </c>
      <c r="DQ646" s="130" t="s">
        <v>153</v>
      </c>
      <c r="DR646" s="131" t="s">
        <v>153</v>
      </c>
      <c r="DS646" s="132" t="s">
        <v>153</v>
      </c>
      <c r="DT646" s="133" t="s">
        <v>153</v>
      </c>
      <c r="DU646" s="134" t="s">
        <v>153</v>
      </c>
      <c r="DV646" s="135" t="s">
        <v>153</v>
      </c>
      <c r="DW646" s="136" t="s">
        <v>153</v>
      </c>
      <c r="DX646" s="137" t="s">
        <v>153</v>
      </c>
      <c r="DY646" s="138" t="s">
        <v>153</v>
      </c>
      <c r="DZ646" s="139" t="s">
        <v>191</v>
      </c>
      <c r="EA646" s="140">
        <v>44008</v>
      </c>
      <c r="EB646" s="141">
        <v>7100</v>
      </c>
      <c r="EC646" s="142">
        <v>37405</v>
      </c>
      <c r="ED646" s="143" t="s">
        <v>226</v>
      </c>
      <c r="EE646" s="278" t="str">
        <f>HYPERLINK("https://my.pitchbook.com?c=183379-51", "View company online")</f>
        <v>View company online</v>
      </c>
    </row>
    <row r="647" spans="1:135" x14ac:dyDescent="0.45">
      <c r="A647" s="144" t="s">
        <v>13171</v>
      </c>
      <c r="B647" s="145" t="s">
        <v>13172</v>
      </c>
      <c r="C647" s="146" t="s">
        <v>153</v>
      </c>
      <c r="D647" s="147" t="s">
        <v>153</v>
      </c>
      <c r="E647" s="148" t="s">
        <v>13173</v>
      </c>
      <c r="F647" s="149" t="s">
        <v>153</v>
      </c>
      <c r="G647" s="150" t="s">
        <v>13174</v>
      </c>
      <c r="H647" s="151" t="s">
        <v>13175</v>
      </c>
      <c r="I647" s="152" t="s">
        <v>13171</v>
      </c>
      <c r="J647" s="153" t="s">
        <v>13176</v>
      </c>
      <c r="K647" s="154" t="s">
        <v>792</v>
      </c>
      <c r="L647" s="155" t="s">
        <v>841</v>
      </c>
      <c r="M647" s="156" t="s">
        <v>842</v>
      </c>
      <c r="N647" s="157" t="s">
        <v>843</v>
      </c>
      <c r="O647" s="158" t="s">
        <v>796</v>
      </c>
      <c r="P647" s="159" t="s">
        <v>13177</v>
      </c>
      <c r="Q647" s="160" t="s">
        <v>204</v>
      </c>
      <c r="R647" s="161">
        <v>382.02</v>
      </c>
      <c r="S647" s="162" t="s">
        <v>290</v>
      </c>
      <c r="T647" s="163" t="s">
        <v>205</v>
      </c>
      <c r="U647" s="164" t="s">
        <v>369</v>
      </c>
      <c r="V647" s="165" t="s">
        <v>13178</v>
      </c>
      <c r="W647" s="166">
        <v>390</v>
      </c>
      <c r="X647" s="167" t="s">
        <v>13179</v>
      </c>
      <c r="Y647" s="168" t="s">
        <v>153</v>
      </c>
      <c r="Z647" s="169" t="s">
        <v>153</v>
      </c>
      <c r="AA647" s="170">
        <v>1953</v>
      </c>
      <c r="AB647" s="171" t="s">
        <v>153</v>
      </c>
      <c r="AC647" s="172" t="s">
        <v>153</v>
      </c>
      <c r="AD647" s="173" t="s">
        <v>428</v>
      </c>
      <c r="AE647" s="174" t="s">
        <v>153</v>
      </c>
      <c r="AF647" s="175" t="s">
        <v>153</v>
      </c>
      <c r="AG647" s="176" t="s">
        <v>153</v>
      </c>
      <c r="AH647" s="177" t="s">
        <v>153</v>
      </c>
      <c r="AI647" s="178" t="s">
        <v>153</v>
      </c>
      <c r="AJ647" s="179" t="s">
        <v>153</v>
      </c>
      <c r="AK647" s="180" t="s">
        <v>153</v>
      </c>
      <c r="AL647" s="181" t="s">
        <v>153</v>
      </c>
      <c r="AM647" s="182" t="s">
        <v>153</v>
      </c>
      <c r="AN647" s="183" t="s">
        <v>538</v>
      </c>
      <c r="AO647" s="184" t="s">
        <v>13180</v>
      </c>
      <c r="AP647" s="185" t="s">
        <v>13181</v>
      </c>
      <c r="AQ647" s="186" t="s">
        <v>13182</v>
      </c>
      <c r="AR647" s="187" t="s">
        <v>153</v>
      </c>
      <c r="AS647" s="188" t="s">
        <v>153</v>
      </c>
      <c r="AT647" s="189" t="s">
        <v>13183</v>
      </c>
      <c r="AU647" s="190" t="s">
        <v>13184</v>
      </c>
      <c r="AV647" s="191" t="s">
        <v>153</v>
      </c>
      <c r="AW647" s="192" t="s">
        <v>5307</v>
      </c>
      <c r="AX647" s="193" t="s">
        <v>13185</v>
      </c>
      <c r="AY647" s="194" t="s">
        <v>13186</v>
      </c>
      <c r="AZ647" s="195" t="s">
        <v>215</v>
      </c>
      <c r="BA647" s="196" t="s">
        <v>153</v>
      </c>
      <c r="BB647" s="197" t="s">
        <v>153</v>
      </c>
      <c r="BC647" s="198" t="s">
        <v>153</v>
      </c>
      <c r="BD647" s="199" t="s">
        <v>216</v>
      </c>
      <c r="BE647" s="200" t="s">
        <v>217</v>
      </c>
      <c r="BF647" s="201" t="s">
        <v>13187</v>
      </c>
      <c r="BG647" s="202" t="s">
        <v>153</v>
      </c>
      <c r="BH647" s="203" t="s">
        <v>153</v>
      </c>
      <c r="BI647" s="204" t="s">
        <v>13188</v>
      </c>
      <c r="BJ647" s="205" t="s">
        <v>13189</v>
      </c>
      <c r="BK647" s="206" t="s">
        <v>153</v>
      </c>
      <c r="BL647" s="207" t="s">
        <v>153</v>
      </c>
      <c r="BM647" s="208" t="s">
        <v>13190</v>
      </c>
      <c r="BN647" s="209" t="s">
        <v>153</v>
      </c>
      <c r="BO647" s="210" t="s">
        <v>12823</v>
      </c>
      <c r="BP647" s="211" t="s">
        <v>13191</v>
      </c>
      <c r="BQ647" s="212">
        <v>21170</v>
      </c>
      <c r="BR647" s="213" t="s">
        <v>153</v>
      </c>
      <c r="BS647" s="214" t="s">
        <v>153</v>
      </c>
      <c r="BT647" s="215" t="s">
        <v>153</v>
      </c>
      <c r="BU647" s="216" t="s">
        <v>153</v>
      </c>
      <c r="BV647" s="217" t="s">
        <v>251</v>
      </c>
      <c r="BW647" s="218" t="s">
        <v>153</v>
      </c>
      <c r="BX647" s="219" t="s">
        <v>153</v>
      </c>
      <c r="BY647" s="220" t="s">
        <v>252</v>
      </c>
      <c r="BZ647" s="221" t="s">
        <v>153</v>
      </c>
      <c r="CA647" s="222" t="s">
        <v>190</v>
      </c>
      <c r="CB647" s="223">
        <v>43433</v>
      </c>
      <c r="CC647" s="224">
        <v>7100</v>
      </c>
      <c r="CD647" s="225" t="s">
        <v>186</v>
      </c>
      <c r="CE647" s="226">
        <v>11451</v>
      </c>
      <c r="CF647" s="227" t="s">
        <v>187</v>
      </c>
      <c r="CG647" s="228" t="s">
        <v>226</v>
      </c>
      <c r="CH647" s="229" t="s">
        <v>153</v>
      </c>
      <c r="CI647" s="230" t="s">
        <v>153</v>
      </c>
      <c r="CJ647" s="231" t="s">
        <v>225</v>
      </c>
      <c r="CK647" s="232">
        <v>43433</v>
      </c>
      <c r="CL647" s="233" t="s">
        <v>153</v>
      </c>
      <c r="CM647" s="234" t="s">
        <v>153</v>
      </c>
      <c r="CN647" s="235" t="s">
        <v>190</v>
      </c>
      <c r="CO647" s="236" t="s">
        <v>153</v>
      </c>
      <c r="CP647" s="237" t="s">
        <v>153</v>
      </c>
      <c r="CQ647" s="238" t="s">
        <v>153</v>
      </c>
      <c r="CR647" s="239" t="s">
        <v>153</v>
      </c>
      <c r="CS647" s="240" t="s">
        <v>153</v>
      </c>
      <c r="CT647" s="241" t="s">
        <v>153</v>
      </c>
      <c r="CU647" s="242" t="s">
        <v>153</v>
      </c>
      <c r="CV647" s="243" t="s">
        <v>153</v>
      </c>
      <c r="CW647" s="244" t="s">
        <v>153</v>
      </c>
      <c r="CX647" s="245" t="s">
        <v>153</v>
      </c>
      <c r="CY647" s="246" t="s">
        <v>153</v>
      </c>
      <c r="CZ647" s="247" t="s">
        <v>153</v>
      </c>
      <c r="DA647" s="248" t="s">
        <v>153</v>
      </c>
      <c r="DB647" s="249" t="s">
        <v>153</v>
      </c>
      <c r="DC647" s="250" t="s">
        <v>153</v>
      </c>
      <c r="DD647" s="251" t="s">
        <v>153</v>
      </c>
      <c r="DE647" s="252" t="s">
        <v>153</v>
      </c>
      <c r="DF647" s="253" t="s">
        <v>153</v>
      </c>
      <c r="DG647" s="254" t="s">
        <v>153</v>
      </c>
      <c r="DH647" s="255" t="s">
        <v>153</v>
      </c>
      <c r="DI647" s="256" t="s">
        <v>153</v>
      </c>
      <c r="DJ647" s="257" t="s">
        <v>153</v>
      </c>
      <c r="DK647" s="258" t="s">
        <v>153</v>
      </c>
      <c r="DL647" s="259" t="s">
        <v>153</v>
      </c>
      <c r="DM647" s="260" t="s">
        <v>153</v>
      </c>
      <c r="DN647" s="261" t="s">
        <v>153</v>
      </c>
      <c r="DO647" s="262" t="s">
        <v>153</v>
      </c>
      <c r="DP647" s="263" t="s">
        <v>153</v>
      </c>
      <c r="DQ647" s="264" t="s">
        <v>153</v>
      </c>
      <c r="DR647" s="265" t="s">
        <v>153</v>
      </c>
      <c r="DS647" s="266" t="s">
        <v>153</v>
      </c>
      <c r="DT647" s="267" t="s">
        <v>153</v>
      </c>
      <c r="DU647" s="268" t="s">
        <v>153</v>
      </c>
      <c r="DV647" s="269" t="s">
        <v>153</v>
      </c>
      <c r="DW647" s="270" t="s">
        <v>153</v>
      </c>
      <c r="DX647" s="271" t="s">
        <v>153</v>
      </c>
      <c r="DY647" s="272" t="s">
        <v>153</v>
      </c>
      <c r="DZ647" s="273" t="s">
        <v>191</v>
      </c>
      <c r="EA647" s="274">
        <v>44293</v>
      </c>
      <c r="EB647" s="275">
        <v>11451</v>
      </c>
      <c r="EC647" s="276">
        <v>43433</v>
      </c>
      <c r="ED647" s="277" t="s">
        <v>226</v>
      </c>
      <c r="EE647" s="279" t="str">
        <f>HYPERLINK("https://my.pitchbook.com?c=41147-11", "View company online")</f>
        <v>View company online</v>
      </c>
    </row>
    <row r="648" spans="1:135" x14ac:dyDescent="0.45">
      <c r="A648" s="10" t="s">
        <v>13192</v>
      </c>
      <c r="B648" s="11" t="s">
        <v>13193</v>
      </c>
      <c r="C648" s="12" t="s">
        <v>153</v>
      </c>
      <c r="D648" s="13" t="s">
        <v>153</v>
      </c>
      <c r="E648" s="14" t="s">
        <v>153</v>
      </c>
      <c r="F648" s="15" t="s">
        <v>13194</v>
      </c>
      <c r="G648" s="16" t="s">
        <v>13195</v>
      </c>
      <c r="H648" s="17" t="s">
        <v>13196</v>
      </c>
      <c r="I648" s="18" t="s">
        <v>13192</v>
      </c>
      <c r="J648" s="19" t="s">
        <v>13197</v>
      </c>
      <c r="K648" s="20" t="s">
        <v>198</v>
      </c>
      <c r="L648" s="21" t="s">
        <v>199</v>
      </c>
      <c r="M648" s="22" t="s">
        <v>200</v>
      </c>
      <c r="N648" s="23" t="s">
        <v>13198</v>
      </c>
      <c r="O648" s="24" t="s">
        <v>399</v>
      </c>
      <c r="P648" s="25" t="s">
        <v>13199</v>
      </c>
      <c r="Q648" s="26" t="s">
        <v>564</v>
      </c>
      <c r="R648" s="27">
        <v>183.5</v>
      </c>
      <c r="S648" s="28" t="s">
        <v>163</v>
      </c>
      <c r="T648" s="29" t="s">
        <v>205</v>
      </c>
      <c r="U648" s="30" t="s">
        <v>5464</v>
      </c>
      <c r="V648" s="31" t="s">
        <v>13200</v>
      </c>
      <c r="W648" s="32">
        <v>510</v>
      </c>
      <c r="X648" s="33" t="s">
        <v>13201</v>
      </c>
      <c r="Y648" s="34" t="s">
        <v>153</v>
      </c>
      <c r="Z648" s="35" t="s">
        <v>153</v>
      </c>
      <c r="AA648" s="36">
        <v>2006</v>
      </c>
      <c r="AB648" s="37" t="s">
        <v>153</v>
      </c>
      <c r="AC648" s="38" t="s">
        <v>153</v>
      </c>
      <c r="AD648" s="39" t="s">
        <v>153</v>
      </c>
      <c r="AE648" s="40" t="s">
        <v>153</v>
      </c>
      <c r="AF648" s="41" t="s">
        <v>153</v>
      </c>
      <c r="AG648" s="42" t="s">
        <v>153</v>
      </c>
      <c r="AH648" s="43" t="s">
        <v>153</v>
      </c>
      <c r="AI648" s="44" t="s">
        <v>153</v>
      </c>
      <c r="AJ648" s="45" t="s">
        <v>153</v>
      </c>
      <c r="AK648" s="46" t="s">
        <v>153</v>
      </c>
      <c r="AL648" s="47" t="s">
        <v>153</v>
      </c>
      <c r="AM648" s="48" t="s">
        <v>153</v>
      </c>
      <c r="AN648" s="49" t="s">
        <v>868</v>
      </c>
      <c r="AO648" s="50" t="s">
        <v>13202</v>
      </c>
      <c r="AP648" s="51" t="s">
        <v>13203</v>
      </c>
      <c r="AQ648" s="52" t="s">
        <v>512</v>
      </c>
      <c r="AR648" s="53" t="s">
        <v>153</v>
      </c>
      <c r="AS648" s="54" t="s">
        <v>153</v>
      </c>
      <c r="AT648" s="55" t="s">
        <v>13204</v>
      </c>
      <c r="AU648" s="56" t="s">
        <v>13205</v>
      </c>
      <c r="AV648" s="57" t="s">
        <v>153</v>
      </c>
      <c r="AW648" s="58" t="s">
        <v>13206</v>
      </c>
      <c r="AX648" s="59" t="s">
        <v>385</v>
      </c>
      <c r="AY648" s="60" t="s">
        <v>13207</v>
      </c>
      <c r="AZ648" s="61" t="s">
        <v>215</v>
      </c>
      <c r="BA648" s="62" t="s">
        <v>153</v>
      </c>
      <c r="BB648" s="63" t="s">
        <v>153</v>
      </c>
      <c r="BC648" s="64" t="s">
        <v>153</v>
      </c>
      <c r="BD648" s="65" t="s">
        <v>216</v>
      </c>
      <c r="BE648" s="66" t="s">
        <v>217</v>
      </c>
      <c r="BF648" s="67" t="s">
        <v>13208</v>
      </c>
      <c r="BG648" s="68" t="s">
        <v>153</v>
      </c>
      <c r="BH648" s="69" t="s">
        <v>153</v>
      </c>
      <c r="BI648" s="70" t="s">
        <v>13209</v>
      </c>
      <c r="BJ648" s="71" t="s">
        <v>13210</v>
      </c>
      <c r="BK648" s="72" t="s">
        <v>153</v>
      </c>
      <c r="BL648" s="73" t="s">
        <v>153</v>
      </c>
      <c r="BM648" s="74" t="s">
        <v>13211</v>
      </c>
      <c r="BN648" s="75" t="s">
        <v>153</v>
      </c>
      <c r="BO648" s="76" t="s">
        <v>13212</v>
      </c>
      <c r="BP648" s="77" t="s">
        <v>13213</v>
      </c>
      <c r="BQ648" s="78">
        <v>39417</v>
      </c>
      <c r="BR648" s="79">
        <v>290</v>
      </c>
      <c r="BS648" s="80" t="s">
        <v>186</v>
      </c>
      <c r="BT648" s="81">
        <v>290</v>
      </c>
      <c r="BU648" s="82" t="s">
        <v>187</v>
      </c>
      <c r="BV648" s="83" t="s">
        <v>188</v>
      </c>
      <c r="BW648" s="84" t="s">
        <v>729</v>
      </c>
      <c r="BX648" s="85" t="s">
        <v>153</v>
      </c>
      <c r="BY648" s="86" t="s">
        <v>165</v>
      </c>
      <c r="BZ648" s="87" t="s">
        <v>13214</v>
      </c>
      <c r="CA648" s="88" t="s">
        <v>190</v>
      </c>
      <c r="CB648" s="89">
        <v>43040</v>
      </c>
      <c r="CC648" s="90">
        <v>7100</v>
      </c>
      <c r="CD648" s="91" t="s">
        <v>186</v>
      </c>
      <c r="CE648" s="92">
        <v>7100</v>
      </c>
      <c r="CF648" s="93" t="s">
        <v>187</v>
      </c>
      <c r="CG648" s="94" t="s">
        <v>226</v>
      </c>
      <c r="CH648" s="95" t="s">
        <v>153</v>
      </c>
      <c r="CI648" s="96" t="s">
        <v>153</v>
      </c>
      <c r="CJ648" s="97" t="s">
        <v>225</v>
      </c>
      <c r="CK648" s="98">
        <v>43040</v>
      </c>
      <c r="CL648" s="99" t="s">
        <v>153</v>
      </c>
      <c r="CM648" s="100" t="s">
        <v>153</v>
      </c>
      <c r="CN648" s="101" t="s">
        <v>190</v>
      </c>
      <c r="CO648" s="102" t="s">
        <v>153</v>
      </c>
      <c r="CP648" s="103" t="s">
        <v>153</v>
      </c>
      <c r="CQ648" s="104" t="s">
        <v>153</v>
      </c>
      <c r="CR648" s="105" t="s">
        <v>153</v>
      </c>
      <c r="CS648" s="106" t="s">
        <v>153</v>
      </c>
      <c r="CT648" s="107" t="s">
        <v>153</v>
      </c>
      <c r="CU648" s="108" t="s">
        <v>153</v>
      </c>
      <c r="CV648" s="109" t="s">
        <v>153</v>
      </c>
      <c r="CW648" s="110" t="s">
        <v>153</v>
      </c>
      <c r="CX648" s="111" t="s">
        <v>153</v>
      </c>
      <c r="CY648" s="112" t="s">
        <v>153</v>
      </c>
      <c r="CZ648" s="113" t="s">
        <v>153</v>
      </c>
      <c r="DA648" s="114" t="s">
        <v>153</v>
      </c>
      <c r="DB648" s="115" t="s">
        <v>153</v>
      </c>
      <c r="DC648" s="116" t="s">
        <v>153</v>
      </c>
      <c r="DD648" s="117" t="s">
        <v>153</v>
      </c>
      <c r="DE648" s="118" t="s">
        <v>153</v>
      </c>
      <c r="DF648" s="119" t="s">
        <v>153</v>
      </c>
      <c r="DG648" s="120" t="s">
        <v>153</v>
      </c>
      <c r="DH648" s="121" t="s">
        <v>153</v>
      </c>
      <c r="DI648" s="122" t="s">
        <v>153</v>
      </c>
      <c r="DJ648" s="123" t="s">
        <v>153</v>
      </c>
      <c r="DK648" s="124" t="s">
        <v>153</v>
      </c>
      <c r="DL648" s="125" t="s">
        <v>153</v>
      </c>
      <c r="DM648" s="126" t="s">
        <v>153</v>
      </c>
      <c r="DN648" s="127" t="s">
        <v>153</v>
      </c>
      <c r="DO648" s="128" t="s">
        <v>153</v>
      </c>
      <c r="DP648" s="129" t="s">
        <v>153</v>
      </c>
      <c r="DQ648" s="130" t="s">
        <v>153</v>
      </c>
      <c r="DR648" s="131" t="s">
        <v>153</v>
      </c>
      <c r="DS648" s="132" t="s">
        <v>153</v>
      </c>
      <c r="DT648" s="133" t="s">
        <v>153</v>
      </c>
      <c r="DU648" s="134" t="s">
        <v>153</v>
      </c>
      <c r="DV648" s="135" t="s">
        <v>153</v>
      </c>
      <c r="DW648" s="136" t="s">
        <v>153</v>
      </c>
      <c r="DX648" s="137" t="s">
        <v>153</v>
      </c>
      <c r="DY648" s="138" t="s">
        <v>153</v>
      </c>
      <c r="DZ648" s="139" t="s">
        <v>191</v>
      </c>
      <c r="EA648" s="140">
        <v>44369</v>
      </c>
      <c r="EB648" s="141">
        <v>7100</v>
      </c>
      <c r="EC648" s="142">
        <v>43040</v>
      </c>
      <c r="ED648" s="143" t="s">
        <v>226</v>
      </c>
      <c r="EE648" s="278" t="str">
        <f>HYPERLINK("https://my.pitchbook.com?c=10972-72", "View company online")</f>
        <v>View company online</v>
      </c>
    </row>
    <row r="649" spans="1:135" x14ac:dyDescent="0.45">
      <c r="A649" s="144" t="s">
        <v>13215</v>
      </c>
      <c r="B649" s="145" t="s">
        <v>13216</v>
      </c>
      <c r="C649" s="146" t="s">
        <v>153</v>
      </c>
      <c r="D649" s="147" t="s">
        <v>153</v>
      </c>
      <c r="E649" s="148" t="s">
        <v>153</v>
      </c>
      <c r="F649" s="149" t="s">
        <v>153</v>
      </c>
      <c r="G649" s="150" t="s">
        <v>13217</v>
      </c>
      <c r="H649" s="151" t="s">
        <v>153</v>
      </c>
      <c r="I649" s="152" t="s">
        <v>13215</v>
      </c>
      <c r="J649" s="153" t="s">
        <v>13218</v>
      </c>
      <c r="K649" s="154" t="s">
        <v>198</v>
      </c>
      <c r="L649" s="155" t="s">
        <v>199</v>
      </c>
      <c r="M649" s="156" t="s">
        <v>3522</v>
      </c>
      <c r="N649" s="157" t="s">
        <v>3523</v>
      </c>
      <c r="O649" s="158" t="s">
        <v>153</v>
      </c>
      <c r="P649" s="159" t="s">
        <v>13219</v>
      </c>
      <c r="Q649" s="160" t="s">
        <v>204</v>
      </c>
      <c r="R649" s="161" t="s">
        <v>153</v>
      </c>
      <c r="S649" s="162" t="s">
        <v>163</v>
      </c>
      <c r="T649" s="163" t="s">
        <v>205</v>
      </c>
      <c r="U649" s="164" t="s">
        <v>237</v>
      </c>
      <c r="V649" s="165" t="s">
        <v>13220</v>
      </c>
      <c r="W649" s="166">
        <v>6500</v>
      </c>
      <c r="X649" s="167" t="s">
        <v>11139</v>
      </c>
      <c r="Y649" s="168" t="s">
        <v>153</v>
      </c>
      <c r="Z649" s="169" t="s">
        <v>153</v>
      </c>
      <c r="AA649" s="170">
        <v>1986</v>
      </c>
      <c r="AB649" s="171" t="s">
        <v>153</v>
      </c>
      <c r="AC649" s="172" t="s">
        <v>153</v>
      </c>
      <c r="AD649" s="173" t="s">
        <v>153</v>
      </c>
      <c r="AE649" s="174" t="s">
        <v>153</v>
      </c>
      <c r="AF649" s="175" t="s">
        <v>153</v>
      </c>
      <c r="AG649" s="176" t="s">
        <v>153</v>
      </c>
      <c r="AH649" s="177" t="s">
        <v>153</v>
      </c>
      <c r="AI649" s="178" t="s">
        <v>153</v>
      </c>
      <c r="AJ649" s="179" t="s">
        <v>153</v>
      </c>
      <c r="AK649" s="180" t="s">
        <v>153</v>
      </c>
      <c r="AL649" s="181" t="s">
        <v>153</v>
      </c>
      <c r="AM649" s="182" t="s">
        <v>153</v>
      </c>
      <c r="AN649" s="183" t="s">
        <v>1373</v>
      </c>
      <c r="AO649" s="184" t="s">
        <v>153</v>
      </c>
      <c r="AP649" s="185" t="s">
        <v>153</v>
      </c>
      <c r="AQ649" s="186" t="s">
        <v>153</v>
      </c>
      <c r="AR649" s="187" t="s">
        <v>153</v>
      </c>
      <c r="AS649" s="188" t="s">
        <v>153</v>
      </c>
      <c r="AT649" s="189" t="s">
        <v>13221</v>
      </c>
      <c r="AU649" s="190" t="s">
        <v>13222</v>
      </c>
      <c r="AV649" s="191" t="s">
        <v>13223</v>
      </c>
      <c r="AW649" s="192" t="s">
        <v>13224</v>
      </c>
      <c r="AX649" s="193" t="s">
        <v>3712</v>
      </c>
      <c r="AY649" s="194" t="s">
        <v>13225</v>
      </c>
      <c r="AZ649" s="195" t="s">
        <v>1358</v>
      </c>
      <c r="BA649" s="196" t="s">
        <v>153</v>
      </c>
      <c r="BB649" s="197" t="s">
        <v>153</v>
      </c>
      <c r="BC649" s="198" t="s">
        <v>153</v>
      </c>
      <c r="BD649" s="199" t="s">
        <v>216</v>
      </c>
      <c r="BE649" s="200" t="s">
        <v>217</v>
      </c>
      <c r="BF649" s="201" t="s">
        <v>13226</v>
      </c>
      <c r="BG649" s="202" t="s">
        <v>153</v>
      </c>
      <c r="BH649" s="203" t="s">
        <v>153</v>
      </c>
      <c r="BI649" s="204" t="s">
        <v>13227</v>
      </c>
      <c r="BJ649" s="205" t="s">
        <v>153</v>
      </c>
      <c r="BK649" s="206" t="s">
        <v>153</v>
      </c>
      <c r="BL649" s="207" t="s">
        <v>153</v>
      </c>
      <c r="BM649" s="208" t="s">
        <v>153</v>
      </c>
      <c r="BN649" s="209" t="s">
        <v>153</v>
      </c>
      <c r="BO649" s="210" t="s">
        <v>153</v>
      </c>
      <c r="BP649" s="211" t="s">
        <v>153</v>
      </c>
      <c r="BQ649" s="212">
        <v>32958</v>
      </c>
      <c r="BR649" s="213" t="s">
        <v>153</v>
      </c>
      <c r="BS649" s="214" t="s">
        <v>153</v>
      </c>
      <c r="BT649" s="215" t="s">
        <v>153</v>
      </c>
      <c r="BU649" s="216" t="s">
        <v>153</v>
      </c>
      <c r="BV649" s="217" t="s">
        <v>251</v>
      </c>
      <c r="BW649" s="218" t="s">
        <v>153</v>
      </c>
      <c r="BX649" s="219" t="s">
        <v>153</v>
      </c>
      <c r="BY649" s="220" t="s">
        <v>252</v>
      </c>
      <c r="BZ649" s="221" t="s">
        <v>153</v>
      </c>
      <c r="CA649" s="222" t="s">
        <v>190</v>
      </c>
      <c r="CB649" s="223">
        <v>36580</v>
      </c>
      <c r="CC649" s="224">
        <v>7100</v>
      </c>
      <c r="CD649" s="225" t="s">
        <v>186</v>
      </c>
      <c r="CE649" s="226">
        <v>7100</v>
      </c>
      <c r="CF649" s="227" t="s">
        <v>187</v>
      </c>
      <c r="CG649" s="228" t="s">
        <v>226</v>
      </c>
      <c r="CH649" s="229" t="s">
        <v>153</v>
      </c>
      <c r="CI649" s="230" t="s">
        <v>153</v>
      </c>
      <c r="CJ649" s="231" t="s">
        <v>225</v>
      </c>
      <c r="CK649" s="232">
        <v>36580</v>
      </c>
      <c r="CL649" s="233" t="s">
        <v>153</v>
      </c>
      <c r="CM649" s="234" t="s">
        <v>153</v>
      </c>
      <c r="CN649" s="235" t="s">
        <v>190</v>
      </c>
      <c r="CO649" s="236" t="s">
        <v>153</v>
      </c>
      <c r="CP649" s="237" t="s">
        <v>153</v>
      </c>
      <c r="CQ649" s="238" t="s">
        <v>153</v>
      </c>
      <c r="CR649" s="239" t="s">
        <v>153</v>
      </c>
      <c r="CS649" s="240" t="s">
        <v>153</v>
      </c>
      <c r="CT649" s="241" t="s">
        <v>153</v>
      </c>
      <c r="CU649" s="242" t="s">
        <v>153</v>
      </c>
      <c r="CV649" s="243" t="s">
        <v>153</v>
      </c>
      <c r="CW649" s="244" t="s">
        <v>153</v>
      </c>
      <c r="CX649" s="245" t="s">
        <v>153</v>
      </c>
      <c r="CY649" s="246" t="s">
        <v>153</v>
      </c>
      <c r="CZ649" s="247" t="s">
        <v>153</v>
      </c>
      <c r="DA649" s="248" t="s">
        <v>153</v>
      </c>
      <c r="DB649" s="249" t="s">
        <v>153</v>
      </c>
      <c r="DC649" s="250" t="s">
        <v>153</v>
      </c>
      <c r="DD649" s="251" t="s">
        <v>153</v>
      </c>
      <c r="DE649" s="252" t="s">
        <v>153</v>
      </c>
      <c r="DF649" s="253" t="s">
        <v>153</v>
      </c>
      <c r="DG649" s="254" t="s">
        <v>153</v>
      </c>
      <c r="DH649" s="255" t="s">
        <v>153</v>
      </c>
      <c r="DI649" s="256" t="s">
        <v>153</v>
      </c>
      <c r="DJ649" s="257" t="s">
        <v>153</v>
      </c>
      <c r="DK649" s="258" t="s">
        <v>153</v>
      </c>
      <c r="DL649" s="259" t="s">
        <v>153</v>
      </c>
      <c r="DM649" s="260" t="s">
        <v>153</v>
      </c>
      <c r="DN649" s="261" t="s">
        <v>153</v>
      </c>
      <c r="DO649" s="262" t="s">
        <v>153</v>
      </c>
      <c r="DP649" s="263" t="s">
        <v>153</v>
      </c>
      <c r="DQ649" s="264" t="s">
        <v>153</v>
      </c>
      <c r="DR649" s="265" t="s">
        <v>153</v>
      </c>
      <c r="DS649" s="266" t="s">
        <v>153</v>
      </c>
      <c r="DT649" s="267" t="s">
        <v>153</v>
      </c>
      <c r="DU649" s="268" t="s">
        <v>153</v>
      </c>
      <c r="DV649" s="269" t="s">
        <v>153</v>
      </c>
      <c r="DW649" s="270" t="s">
        <v>153</v>
      </c>
      <c r="DX649" s="271" t="s">
        <v>153</v>
      </c>
      <c r="DY649" s="272" t="s">
        <v>153</v>
      </c>
      <c r="DZ649" s="273" t="s">
        <v>191</v>
      </c>
      <c r="EA649" s="274">
        <v>44210</v>
      </c>
      <c r="EB649" s="275">
        <v>7100</v>
      </c>
      <c r="EC649" s="276">
        <v>36580</v>
      </c>
      <c r="ED649" s="277" t="s">
        <v>226</v>
      </c>
      <c r="EE649" s="279" t="str">
        <f>HYPERLINK("https://my.pitchbook.com?c=55440-82", "View company online")</f>
        <v>View company online</v>
      </c>
    </row>
    <row r="650" spans="1:135" x14ac:dyDescent="0.45">
      <c r="A650" s="10" t="s">
        <v>13228</v>
      </c>
      <c r="B650" s="11" t="s">
        <v>13229</v>
      </c>
      <c r="C650" s="12" t="s">
        <v>153</v>
      </c>
      <c r="D650" s="13" t="s">
        <v>153</v>
      </c>
      <c r="E650" s="14" t="s">
        <v>153</v>
      </c>
      <c r="F650" s="15" t="s">
        <v>13230</v>
      </c>
      <c r="G650" s="16" t="s">
        <v>13231</v>
      </c>
      <c r="H650" s="17" t="s">
        <v>13232</v>
      </c>
      <c r="I650" s="18" t="s">
        <v>13228</v>
      </c>
      <c r="J650" s="19" t="s">
        <v>13233</v>
      </c>
      <c r="K650" s="20" t="s">
        <v>198</v>
      </c>
      <c r="L650" s="21" t="s">
        <v>1846</v>
      </c>
      <c r="M650" s="22" t="s">
        <v>6687</v>
      </c>
      <c r="N650" s="23" t="s">
        <v>8523</v>
      </c>
      <c r="O650" s="24" t="s">
        <v>399</v>
      </c>
      <c r="P650" s="25" t="s">
        <v>13234</v>
      </c>
      <c r="Q650" s="26" t="s">
        <v>162</v>
      </c>
      <c r="R650" s="27" t="s">
        <v>153</v>
      </c>
      <c r="S650" s="28" t="s">
        <v>163</v>
      </c>
      <c r="T650" s="29" t="s">
        <v>205</v>
      </c>
      <c r="U650" s="30" t="s">
        <v>565</v>
      </c>
      <c r="V650" s="31" t="s">
        <v>13235</v>
      </c>
      <c r="W650" s="32">
        <v>14000</v>
      </c>
      <c r="X650" s="33" t="s">
        <v>13236</v>
      </c>
      <c r="Y650" s="34" t="s">
        <v>153</v>
      </c>
      <c r="Z650" s="35" t="s">
        <v>153</v>
      </c>
      <c r="AA650" s="36">
        <v>2018</v>
      </c>
      <c r="AB650" s="37" t="s">
        <v>153</v>
      </c>
      <c r="AC650" s="38" t="s">
        <v>428</v>
      </c>
      <c r="AD650" s="39" t="s">
        <v>428</v>
      </c>
      <c r="AE650" s="40">
        <v>4483</v>
      </c>
      <c r="AF650" s="41">
        <v>913</v>
      </c>
      <c r="AG650" s="42">
        <v>-745</v>
      </c>
      <c r="AH650" s="43">
        <v>6312.01</v>
      </c>
      <c r="AI650" s="44">
        <v>-322</v>
      </c>
      <c r="AJ650" s="45">
        <v>-698</v>
      </c>
      <c r="AK650" s="46" t="s">
        <v>153</v>
      </c>
      <c r="AL650" s="47">
        <v>2339</v>
      </c>
      <c r="AM650" s="48">
        <v>-0.36</v>
      </c>
      <c r="AN650" s="49" t="s">
        <v>3265</v>
      </c>
      <c r="AO650" s="50" t="s">
        <v>13237</v>
      </c>
      <c r="AP650" s="51" t="s">
        <v>13238</v>
      </c>
      <c r="AQ650" s="52" t="s">
        <v>13239</v>
      </c>
      <c r="AR650" s="53" t="s">
        <v>13240</v>
      </c>
      <c r="AS650" s="54" t="s">
        <v>153</v>
      </c>
      <c r="AT650" s="55" t="s">
        <v>13241</v>
      </c>
      <c r="AU650" s="56" t="s">
        <v>13242</v>
      </c>
      <c r="AV650" s="57" t="s">
        <v>153</v>
      </c>
      <c r="AW650" s="58" t="s">
        <v>13243</v>
      </c>
      <c r="AX650" s="59" t="s">
        <v>2093</v>
      </c>
      <c r="AY650" s="60" t="s">
        <v>13244</v>
      </c>
      <c r="AZ650" s="61" t="s">
        <v>215</v>
      </c>
      <c r="BA650" s="62" t="s">
        <v>153</v>
      </c>
      <c r="BB650" s="63" t="s">
        <v>153</v>
      </c>
      <c r="BC650" s="64" t="s">
        <v>153</v>
      </c>
      <c r="BD650" s="65" t="s">
        <v>216</v>
      </c>
      <c r="BE650" s="66" t="s">
        <v>217</v>
      </c>
      <c r="BF650" s="67" t="s">
        <v>13245</v>
      </c>
      <c r="BG650" s="68" t="s">
        <v>153</v>
      </c>
      <c r="BH650" s="69" t="s">
        <v>153</v>
      </c>
      <c r="BI650" s="70" t="s">
        <v>13246</v>
      </c>
      <c r="BJ650" s="71" t="s">
        <v>13247</v>
      </c>
      <c r="BK650" s="72" t="s">
        <v>13248</v>
      </c>
      <c r="BL650" s="73" t="s">
        <v>153</v>
      </c>
      <c r="BM650" s="74" t="s">
        <v>13249</v>
      </c>
      <c r="BN650" s="75" t="s">
        <v>13250</v>
      </c>
      <c r="BO650" s="76" t="s">
        <v>153</v>
      </c>
      <c r="BP650" s="77" t="s">
        <v>13251</v>
      </c>
      <c r="BQ650" s="78">
        <v>43244</v>
      </c>
      <c r="BR650" s="79" t="s">
        <v>153</v>
      </c>
      <c r="BS650" s="80" t="s">
        <v>153</v>
      </c>
      <c r="BT650" s="81" t="s">
        <v>153</v>
      </c>
      <c r="BU650" s="82" t="s">
        <v>153</v>
      </c>
      <c r="BV650" s="83" t="s">
        <v>251</v>
      </c>
      <c r="BW650" s="84" t="s">
        <v>524</v>
      </c>
      <c r="BX650" s="85" t="s">
        <v>153</v>
      </c>
      <c r="BY650" s="86" t="s">
        <v>252</v>
      </c>
      <c r="BZ650" s="87" t="s">
        <v>153</v>
      </c>
      <c r="CA650" s="88" t="s">
        <v>190</v>
      </c>
      <c r="CB650" s="89">
        <v>44322</v>
      </c>
      <c r="CC650" s="90">
        <v>7100</v>
      </c>
      <c r="CD650" s="91" t="s">
        <v>186</v>
      </c>
      <c r="CE650" s="92">
        <v>7100</v>
      </c>
      <c r="CF650" s="93" t="s">
        <v>187</v>
      </c>
      <c r="CG650" s="94" t="s">
        <v>188</v>
      </c>
      <c r="CH650" s="95" t="s">
        <v>189</v>
      </c>
      <c r="CI650" s="96" t="s">
        <v>930</v>
      </c>
      <c r="CJ650" s="97" t="s">
        <v>165</v>
      </c>
      <c r="CK650" s="98">
        <v>44322</v>
      </c>
      <c r="CL650" s="99" t="s">
        <v>153</v>
      </c>
      <c r="CM650" s="100" t="s">
        <v>153</v>
      </c>
      <c r="CN650" s="101" t="s">
        <v>190</v>
      </c>
      <c r="CO650" s="102" t="s">
        <v>153</v>
      </c>
      <c r="CP650" s="103" t="s">
        <v>153</v>
      </c>
      <c r="CQ650" s="104" t="s">
        <v>153</v>
      </c>
      <c r="CR650" s="105" t="s">
        <v>153</v>
      </c>
      <c r="CS650" s="106" t="s">
        <v>153</v>
      </c>
      <c r="CT650" s="107" t="s">
        <v>153</v>
      </c>
      <c r="CU650" s="108" t="s">
        <v>153</v>
      </c>
      <c r="CV650" s="109" t="s">
        <v>153</v>
      </c>
      <c r="CW650" s="110" t="s">
        <v>153</v>
      </c>
      <c r="CX650" s="111" t="s">
        <v>153</v>
      </c>
      <c r="CY650" s="112" t="s">
        <v>153</v>
      </c>
      <c r="CZ650" s="113" t="s">
        <v>153</v>
      </c>
      <c r="DA650" s="114" t="s">
        <v>153</v>
      </c>
      <c r="DB650" s="115" t="s">
        <v>153</v>
      </c>
      <c r="DC650" s="116" t="s">
        <v>153</v>
      </c>
      <c r="DD650" s="117" t="s">
        <v>153</v>
      </c>
      <c r="DE650" s="118" t="s">
        <v>153</v>
      </c>
      <c r="DF650" s="119" t="s">
        <v>153</v>
      </c>
      <c r="DG650" s="120" t="s">
        <v>153</v>
      </c>
      <c r="DH650" s="121" t="s">
        <v>153</v>
      </c>
      <c r="DI650" s="122" t="s">
        <v>153</v>
      </c>
      <c r="DJ650" s="123" t="s">
        <v>153</v>
      </c>
      <c r="DK650" s="124" t="s">
        <v>153</v>
      </c>
      <c r="DL650" s="125" t="s">
        <v>153</v>
      </c>
      <c r="DM650" s="126" t="s">
        <v>153</v>
      </c>
      <c r="DN650" s="127" t="s">
        <v>153</v>
      </c>
      <c r="DO650" s="128" t="s">
        <v>153</v>
      </c>
      <c r="DP650" s="129" t="s">
        <v>153</v>
      </c>
      <c r="DQ650" s="130" t="s">
        <v>153</v>
      </c>
      <c r="DR650" s="131" t="s">
        <v>153</v>
      </c>
      <c r="DS650" s="132" t="s">
        <v>153</v>
      </c>
      <c r="DT650" s="133" t="s">
        <v>153</v>
      </c>
      <c r="DU650" s="134" t="s">
        <v>153</v>
      </c>
      <c r="DV650" s="135" t="s">
        <v>153</v>
      </c>
      <c r="DW650" s="136" t="s">
        <v>153</v>
      </c>
      <c r="DX650" s="137" t="s">
        <v>153</v>
      </c>
      <c r="DY650" s="138" t="s">
        <v>153</v>
      </c>
      <c r="DZ650" s="139" t="s">
        <v>191</v>
      </c>
      <c r="EA650" s="140">
        <v>44385</v>
      </c>
      <c r="EB650" s="141">
        <v>7100</v>
      </c>
      <c r="EC650" s="142">
        <v>44322</v>
      </c>
      <c r="ED650" s="143" t="s">
        <v>188</v>
      </c>
      <c r="EE650" s="278" t="str">
        <f>HYPERLINK("https://my.pitchbook.com?c=188040-07", "View company online")</f>
        <v>View company online</v>
      </c>
    </row>
    <row r="651" spans="1:135" x14ac:dyDescent="0.45">
      <c r="A651" s="144" t="s">
        <v>13252</v>
      </c>
      <c r="B651" s="145" t="s">
        <v>13253</v>
      </c>
      <c r="C651" s="146" t="s">
        <v>153</v>
      </c>
      <c r="D651" s="147" t="s">
        <v>153</v>
      </c>
      <c r="E651" s="148" t="s">
        <v>13254</v>
      </c>
      <c r="F651" s="149" t="s">
        <v>153</v>
      </c>
      <c r="G651" s="150" t="s">
        <v>13255</v>
      </c>
      <c r="H651" s="151" t="s">
        <v>153</v>
      </c>
      <c r="I651" s="152" t="s">
        <v>13252</v>
      </c>
      <c r="J651" s="153" t="s">
        <v>13256</v>
      </c>
      <c r="K651" s="154" t="s">
        <v>559</v>
      </c>
      <c r="L651" s="155" t="s">
        <v>1345</v>
      </c>
      <c r="M651" s="156" t="s">
        <v>8571</v>
      </c>
      <c r="N651" s="157" t="s">
        <v>8572</v>
      </c>
      <c r="O651" s="158" t="s">
        <v>153</v>
      </c>
      <c r="P651" s="159" t="s">
        <v>13257</v>
      </c>
      <c r="Q651" s="160" t="s">
        <v>204</v>
      </c>
      <c r="R651" s="161">
        <v>600</v>
      </c>
      <c r="S651" s="162" t="s">
        <v>290</v>
      </c>
      <c r="T651" s="163" t="s">
        <v>205</v>
      </c>
      <c r="U651" s="164" t="s">
        <v>237</v>
      </c>
      <c r="V651" s="165" t="s">
        <v>153</v>
      </c>
      <c r="W651" s="166">
        <v>11</v>
      </c>
      <c r="X651" s="167" t="s">
        <v>13258</v>
      </c>
      <c r="Y651" s="168" t="s">
        <v>153</v>
      </c>
      <c r="Z651" s="169" t="s">
        <v>153</v>
      </c>
      <c r="AA651" s="170">
        <v>1988</v>
      </c>
      <c r="AB651" s="171" t="s">
        <v>153</v>
      </c>
      <c r="AC651" s="172" t="s">
        <v>153</v>
      </c>
      <c r="AD651" s="173" t="s">
        <v>153</v>
      </c>
      <c r="AE651" s="174" t="s">
        <v>153</v>
      </c>
      <c r="AF651" s="175" t="s">
        <v>153</v>
      </c>
      <c r="AG651" s="176" t="s">
        <v>153</v>
      </c>
      <c r="AH651" s="177" t="s">
        <v>153</v>
      </c>
      <c r="AI651" s="178" t="s">
        <v>153</v>
      </c>
      <c r="AJ651" s="179" t="s">
        <v>153</v>
      </c>
      <c r="AK651" s="180" t="s">
        <v>153</v>
      </c>
      <c r="AL651" s="181" t="s">
        <v>153</v>
      </c>
      <c r="AM651" s="182" t="s">
        <v>153</v>
      </c>
      <c r="AN651" s="183" t="s">
        <v>8772</v>
      </c>
      <c r="AO651" s="184" t="s">
        <v>153</v>
      </c>
      <c r="AP651" s="185" t="s">
        <v>153</v>
      </c>
      <c r="AQ651" s="186" t="s">
        <v>153</v>
      </c>
      <c r="AR651" s="187" t="s">
        <v>153</v>
      </c>
      <c r="AS651" s="188" t="s">
        <v>153</v>
      </c>
      <c r="AT651" s="189" t="s">
        <v>8576</v>
      </c>
      <c r="AU651" s="190" t="s">
        <v>13259</v>
      </c>
      <c r="AV651" s="191" t="s">
        <v>153</v>
      </c>
      <c r="AW651" s="192" t="s">
        <v>8579</v>
      </c>
      <c r="AX651" s="193" t="s">
        <v>2312</v>
      </c>
      <c r="AY651" s="194" t="s">
        <v>13260</v>
      </c>
      <c r="AZ651" s="195" t="s">
        <v>1358</v>
      </c>
      <c r="BA651" s="196" t="s">
        <v>153</v>
      </c>
      <c r="BB651" s="197" t="s">
        <v>153</v>
      </c>
      <c r="BC651" s="198" t="s">
        <v>153</v>
      </c>
      <c r="BD651" s="199" t="s">
        <v>216</v>
      </c>
      <c r="BE651" s="200" t="s">
        <v>217</v>
      </c>
      <c r="BF651" s="201" t="s">
        <v>13261</v>
      </c>
      <c r="BG651" s="202" t="s">
        <v>153</v>
      </c>
      <c r="BH651" s="203" t="s">
        <v>153</v>
      </c>
      <c r="BI651" s="204" t="s">
        <v>13262</v>
      </c>
      <c r="BJ651" s="205" t="s">
        <v>153</v>
      </c>
      <c r="BK651" s="206" t="s">
        <v>153</v>
      </c>
      <c r="BL651" s="207" t="s">
        <v>153</v>
      </c>
      <c r="BM651" s="208" t="s">
        <v>153</v>
      </c>
      <c r="BN651" s="209" t="s">
        <v>153</v>
      </c>
      <c r="BO651" s="210" t="s">
        <v>153</v>
      </c>
      <c r="BP651" s="211" t="s">
        <v>13263</v>
      </c>
      <c r="BQ651" s="212">
        <v>35285</v>
      </c>
      <c r="BR651" s="213" t="s">
        <v>153</v>
      </c>
      <c r="BS651" s="214" t="s">
        <v>153</v>
      </c>
      <c r="BT651" s="215" t="s">
        <v>153</v>
      </c>
      <c r="BU651" s="216" t="s">
        <v>153</v>
      </c>
      <c r="BV651" s="217" t="s">
        <v>251</v>
      </c>
      <c r="BW651" s="218" t="s">
        <v>153</v>
      </c>
      <c r="BX651" s="219" t="s">
        <v>153</v>
      </c>
      <c r="BY651" s="220" t="s">
        <v>252</v>
      </c>
      <c r="BZ651" s="221" t="s">
        <v>153</v>
      </c>
      <c r="CA651" s="222" t="s">
        <v>190</v>
      </c>
      <c r="CB651" s="223">
        <v>40438</v>
      </c>
      <c r="CC651" s="224">
        <v>7100</v>
      </c>
      <c r="CD651" s="225" t="s">
        <v>186</v>
      </c>
      <c r="CE651" s="226">
        <v>7100</v>
      </c>
      <c r="CF651" s="227" t="s">
        <v>186</v>
      </c>
      <c r="CG651" s="228" t="s">
        <v>226</v>
      </c>
      <c r="CH651" s="229" t="s">
        <v>930</v>
      </c>
      <c r="CI651" s="230" t="s">
        <v>153</v>
      </c>
      <c r="CJ651" s="231" t="s">
        <v>225</v>
      </c>
      <c r="CK651" s="232">
        <v>40438</v>
      </c>
      <c r="CL651" s="233" t="s">
        <v>153</v>
      </c>
      <c r="CM651" s="234" t="s">
        <v>153</v>
      </c>
      <c r="CN651" s="235" t="s">
        <v>190</v>
      </c>
      <c r="CO651" s="236" t="s">
        <v>153</v>
      </c>
      <c r="CP651" s="237" t="s">
        <v>153</v>
      </c>
      <c r="CQ651" s="238" t="s">
        <v>153</v>
      </c>
      <c r="CR651" s="239" t="s">
        <v>153</v>
      </c>
      <c r="CS651" s="240" t="s">
        <v>153</v>
      </c>
      <c r="CT651" s="241" t="s">
        <v>153</v>
      </c>
      <c r="CU651" s="242" t="s">
        <v>153</v>
      </c>
      <c r="CV651" s="243" t="s">
        <v>153</v>
      </c>
      <c r="CW651" s="244" t="s">
        <v>153</v>
      </c>
      <c r="CX651" s="245" t="s">
        <v>153</v>
      </c>
      <c r="CY651" s="246" t="s">
        <v>153</v>
      </c>
      <c r="CZ651" s="247" t="s">
        <v>153</v>
      </c>
      <c r="DA651" s="248" t="s">
        <v>153</v>
      </c>
      <c r="DB651" s="249" t="s">
        <v>153</v>
      </c>
      <c r="DC651" s="250" t="s">
        <v>153</v>
      </c>
      <c r="DD651" s="251" t="s">
        <v>153</v>
      </c>
      <c r="DE651" s="252" t="s">
        <v>153</v>
      </c>
      <c r="DF651" s="253" t="s">
        <v>153</v>
      </c>
      <c r="DG651" s="254" t="s">
        <v>153</v>
      </c>
      <c r="DH651" s="255" t="s">
        <v>153</v>
      </c>
      <c r="DI651" s="256" t="s">
        <v>153</v>
      </c>
      <c r="DJ651" s="257" t="s">
        <v>153</v>
      </c>
      <c r="DK651" s="258" t="s">
        <v>153</v>
      </c>
      <c r="DL651" s="259" t="s">
        <v>153</v>
      </c>
      <c r="DM651" s="260" t="s">
        <v>153</v>
      </c>
      <c r="DN651" s="261" t="s">
        <v>153</v>
      </c>
      <c r="DO651" s="262" t="s">
        <v>153</v>
      </c>
      <c r="DP651" s="263" t="s">
        <v>153</v>
      </c>
      <c r="DQ651" s="264" t="s">
        <v>153</v>
      </c>
      <c r="DR651" s="265" t="s">
        <v>153</v>
      </c>
      <c r="DS651" s="266" t="s">
        <v>153</v>
      </c>
      <c r="DT651" s="267" t="s">
        <v>153</v>
      </c>
      <c r="DU651" s="268" t="s">
        <v>153</v>
      </c>
      <c r="DV651" s="269" t="s">
        <v>153</v>
      </c>
      <c r="DW651" s="270" t="s">
        <v>153</v>
      </c>
      <c r="DX651" s="271" t="s">
        <v>153</v>
      </c>
      <c r="DY651" s="272" t="s">
        <v>153</v>
      </c>
      <c r="DZ651" s="273" t="s">
        <v>191</v>
      </c>
      <c r="EA651" s="274">
        <v>44368</v>
      </c>
      <c r="EB651" s="275">
        <v>7100</v>
      </c>
      <c r="EC651" s="276">
        <v>40438</v>
      </c>
      <c r="ED651" s="277" t="s">
        <v>226</v>
      </c>
      <c r="EE651" s="279" t="str">
        <f>HYPERLINK("https://my.pitchbook.com?c=151690-51", "View company online")</f>
        <v>View company online</v>
      </c>
    </row>
    <row r="652" spans="1:135" x14ac:dyDescent="0.45">
      <c r="A652" s="10" t="s">
        <v>13264</v>
      </c>
      <c r="B652" s="11" t="s">
        <v>13265</v>
      </c>
      <c r="C652" s="12" t="s">
        <v>153</v>
      </c>
      <c r="D652" s="13" t="s">
        <v>153</v>
      </c>
      <c r="E652" s="14" t="s">
        <v>153</v>
      </c>
      <c r="F652" s="15" t="s">
        <v>13266</v>
      </c>
      <c r="G652" s="16" t="s">
        <v>13267</v>
      </c>
      <c r="H652" s="17" t="s">
        <v>13268</v>
      </c>
      <c r="I652" s="18" t="s">
        <v>13264</v>
      </c>
      <c r="J652" s="19" t="s">
        <v>13269</v>
      </c>
      <c r="K652" s="20" t="s">
        <v>882</v>
      </c>
      <c r="L652" s="21" t="s">
        <v>1231</v>
      </c>
      <c r="M652" s="22" t="s">
        <v>9555</v>
      </c>
      <c r="N652" s="23" t="s">
        <v>13270</v>
      </c>
      <c r="O652" s="24" t="s">
        <v>365</v>
      </c>
      <c r="P652" s="25" t="s">
        <v>13271</v>
      </c>
      <c r="Q652" s="26" t="s">
        <v>367</v>
      </c>
      <c r="R652" s="27" t="s">
        <v>153</v>
      </c>
      <c r="S652" s="28" t="s">
        <v>290</v>
      </c>
      <c r="T652" s="29" t="s">
        <v>291</v>
      </c>
      <c r="U652" s="30" t="s">
        <v>565</v>
      </c>
      <c r="V652" s="31" t="s">
        <v>13272</v>
      </c>
      <c r="W652" s="32">
        <v>93072</v>
      </c>
      <c r="X652" s="33" t="s">
        <v>13273</v>
      </c>
      <c r="Y652" s="34" t="s">
        <v>13274</v>
      </c>
      <c r="Z652" s="35" t="s">
        <v>13275</v>
      </c>
      <c r="AA652" s="36">
        <v>1927</v>
      </c>
      <c r="AB652" s="37" t="s">
        <v>153</v>
      </c>
      <c r="AC652" s="38" t="s">
        <v>508</v>
      </c>
      <c r="AD652" s="39" t="s">
        <v>1795</v>
      </c>
      <c r="AE652" s="40">
        <v>41748.879999999997</v>
      </c>
      <c r="AF652" s="41">
        <v>10263.719999999999</v>
      </c>
      <c r="AG652" s="42">
        <v>3805.58</v>
      </c>
      <c r="AH652" s="43">
        <v>58269.93</v>
      </c>
      <c r="AI652" s="44">
        <v>7328.06</v>
      </c>
      <c r="AJ652" s="45">
        <v>5120.67</v>
      </c>
      <c r="AK652" s="46">
        <v>59959.16</v>
      </c>
      <c r="AL652" s="47">
        <v>8993.7800000000007</v>
      </c>
      <c r="AM652" s="48">
        <v>-2.82</v>
      </c>
      <c r="AN652" s="49" t="s">
        <v>299</v>
      </c>
      <c r="AO652" s="50" t="s">
        <v>13276</v>
      </c>
      <c r="AP652" s="51" t="s">
        <v>13277</v>
      </c>
      <c r="AQ652" s="52" t="s">
        <v>13278</v>
      </c>
      <c r="AR652" s="53" t="s">
        <v>153</v>
      </c>
      <c r="AS652" s="54" t="s">
        <v>13279</v>
      </c>
      <c r="AT652" s="55" t="s">
        <v>13280</v>
      </c>
      <c r="AU652" s="56" t="s">
        <v>153</v>
      </c>
      <c r="AV652" s="57" t="s">
        <v>153</v>
      </c>
      <c r="AW652" s="58" t="s">
        <v>13281</v>
      </c>
      <c r="AX652" s="59" t="s">
        <v>153</v>
      </c>
      <c r="AY652" s="60" t="s">
        <v>13282</v>
      </c>
      <c r="AZ652" s="61" t="s">
        <v>8753</v>
      </c>
      <c r="BA652" s="62" t="s">
        <v>13279</v>
      </c>
      <c r="BB652" s="63" t="s">
        <v>153</v>
      </c>
      <c r="BC652" s="64" t="s">
        <v>153</v>
      </c>
      <c r="BD652" s="65" t="s">
        <v>180</v>
      </c>
      <c r="BE652" s="66" t="s">
        <v>2051</v>
      </c>
      <c r="BF652" s="67" t="s">
        <v>13283</v>
      </c>
      <c r="BG652" s="68" t="s">
        <v>13284</v>
      </c>
      <c r="BH652" s="69">
        <v>1</v>
      </c>
      <c r="BI652" s="70" t="s">
        <v>153</v>
      </c>
      <c r="BJ652" s="71" t="s">
        <v>13285</v>
      </c>
      <c r="BK652" s="72" t="s">
        <v>153</v>
      </c>
      <c r="BL652" s="73" t="s">
        <v>13286</v>
      </c>
      <c r="BM652" s="74" t="s">
        <v>13287</v>
      </c>
      <c r="BN652" s="75" t="s">
        <v>153</v>
      </c>
      <c r="BO652" s="76" t="s">
        <v>13288</v>
      </c>
      <c r="BP652" s="77" t="s">
        <v>13289</v>
      </c>
      <c r="BQ652" s="78">
        <v>12785</v>
      </c>
      <c r="BR652" s="79" t="s">
        <v>153</v>
      </c>
      <c r="BS652" s="80" t="s">
        <v>153</v>
      </c>
      <c r="BT652" s="81" t="s">
        <v>153</v>
      </c>
      <c r="BU652" s="82" t="s">
        <v>153</v>
      </c>
      <c r="BV652" s="83" t="s">
        <v>251</v>
      </c>
      <c r="BW652" s="84" t="s">
        <v>153</v>
      </c>
      <c r="BX652" s="85" t="s">
        <v>153</v>
      </c>
      <c r="BY652" s="86" t="s">
        <v>252</v>
      </c>
      <c r="BZ652" s="87" t="s">
        <v>153</v>
      </c>
      <c r="CA652" s="88" t="s">
        <v>190</v>
      </c>
      <c r="CB652" s="89">
        <v>43126</v>
      </c>
      <c r="CC652" s="90">
        <v>7079.18</v>
      </c>
      <c r="CD652" s="91" t="s">
        <v>187</v>
      </c>
      <c r="CE652" s="92">
        <v>47508.61</v>
      </c>
      <c r="CF652" s="93" t="s">
        <v>187</v>
      </c>
      <c r="CG652" s="94" t="s">
        <v>906</v>
      </c>
      <c r="CH652" s="95" t="s">
        <v>153</v>
      </c>
      <c r="CI652" s="96" t="s">
        <v>153</v>
      </c>
      <c r="CJ652" s="97" t="s">
        <v>225</v>
      </c>
      <c r="CK652" s="98">
        <v>43126</v>
      </c>
      <c r="CL652" s="99" t="s">
        <v>153</v>
      </c>
      <c r="CM652" s="100" t="s">
        <v>153</v>
      </c>
      <c r="CN652" s="101" t="s">
        <v>190</v>
      </c>
      <c r="CO652" s="102">
        <v>0.55000000000000004</v>
      </c>
      <c r="CP652" s="103">
        <v>94</v>
      </c>
      <c r="CQ652" s="104">
        <v>7.0000000000000007E-2</v>
      </c>
      <c r="CR652" s="105">
        <v>13.74</v>
      </c>
      <c r="CS652" s="106">
        <v>0.86</v>
      </c>
      <c r="CT652" s="107">
        <v>95</v>
      </c>
      <c r="CU652" s="108">
        <v>0.42</v>
      </c>
      <c r="CV652" s="109">
        <v>95</v>
      </c>
      <c r="CW652" s="110">
        <v>0.83</v>
      </c>
      <c r="CX652" s="111">
        <v>81</v>
      </c>
      <c r="CY652" s="112">
        <v>0.88</v>
      </c>
      <c r="CZ652" s="113">
        <v>97</v>
      </c>
      <c r="DA652" s="114">
        <v>0.42</v>
      </c>
      <c r="DB652" s="115">
        <v>95</v>
      </c>
      <c r="DC652" s="116">
        <v>733.06</v>
      </c>
      <c r="DD652" s="117">
        <v>100</v>
      </c>
      <c r="DE652" s="118">
        <v>1.03</v>
      </c>
      <c r="DF652" s="119">
        <v>0.14000000000000001</v>
      </c>
      <c r="DG652" s="120">
        <v>221.44</v>
      </c>
      <c r="DH652" s="121">
        <v>100</v>
      </c>
      <c r="DI652" s="122">
        <v>34.82</v>
      </c>
      <c r="DJ652" s="123">
        <v>95</v>
      </c>
      <c r="DK652" s="124">
        <v>99.5</v>
      </c>
      <c r="DL652" s="125">
        <v>97</v>
      </c>
      <c r="DM652" s="126">
        <v>343.38</v>
      </c>
      <c r="DN652" s="127">
        <v>100</v>
      </c>
      <c r="DO652" s="128">
        <v>34.82</v>
      </c>
      <c r="DP652" s="129">
        <v>95</v>
      </c>
      <c r="DQ652" s="130">
        <v>58942</v>
      </c>
      <c r="DR652" s="131">
        <v>213</v>
      </c>
      <c r="DS652" s="132">
        <v>0.36</v>
      </c>
      <c r="DT652" s="133">
        <v>5444</v>
      </c>
      <c r="DU652" s="134">
        <v>130</v>
      </c>
      <c r="DV652" s="135">
        <v>2.4500000000000002</v>
      </c>
      <c r="DW652" s="136">
        <v>10913</v>
      </c>
      <c r="DX652" s="137">
        <v>54</v>
      </c>
      <c r="DY652" s="138">
        <v>0.5</v>
      </c>
      <c r="DZ652" s="139" t="s">
        <v>191</v>
      </c>
      <c r="EA652" s="140">
        <v>44383</v>
      </c>
      <c r="EB652" s="141">
        <v>47508.61</v>
      </c>
      <c r="EC652" s="142">
        <v>43126</v>
      </c>
      <c r="ED652" s="143" t="s">
        <v>906</v>
      </c>
      <c r="EE652" s="278" t="str">
        <f>HYPERLINK("https://my.pitchbook.com?c=11357-65", "View company online")</f>
        <v>View company online</v>
      </c>
    </row>
    <row r="653" spans="1:135" x14ac:dyDescent="0.45">
      <c r="A653" s="144" t="s">
        <v>13290</v>
      </c>
      <c r="B653" s="145" t="s">
        <v>13291</v>
      </c>
      <c r="C653" s="146" t="s">
        <v>153</v>
      </c>
      <c r="D653" s="147" t="s">
        <v>153</v>
      </c>
      <c r="E653" s="148" t="s">
        <v>153</v>
      </c>
      <c r="F653" s="149" t="s">
        <v>153</v>
      </c>
      <c r="G653" s="150" t="s">
        <v>153</v>
      </c>
      <c r="H653" s="151" t="s">
        <v>153</v>
      </c>
      <c r="I653" s="152" t="s">
        <v>13290</v>
      </c>
      <c r="J653" s="153" t="s">
        <v>13292</v>
      </c>
      <c r="K653" s="154" t="s">
        <v>882</v>
      </c>
      <c r="L653" s="155" t="s">
        <v>2888</v>
      </c>
      <c r="M653" s="156" t="s">
        <v>2889</v>
      </c>
      <c r="N653" s="157" t="s">
        <v>13293</v>
      </c>
      <c r="O653" s="158" t="s">
        <v>153</v>
      </c>
      <c r="P653" s="159" t="s">
        <v>13294</v>
      </c>
      <c r="Q653" s="160" t="s">
        <v>204</v>
      </c>
      <c r="R653" s="161" t="s">
        <v>153</v>
      </c>
      <c r="S653" s="162" t="s">
        <v>153</v>
      </c>
      <c r="T653" s="163" t="s">
        <v>205</v>
      </c>
      <c r="U653" s="164" t="s">
        <v>206</v>
      </c>
      <c r="V653" s="165" t="s">
        <v>153</v>
      </c>
      <c r="W653" s="166" t="s">
        <v>153</v>
      </c>
      <c r="X653" s="167" t="s">
        <v>153</v>
      </c>
      <c r="Y653" s="168" t="s">
        <v>153</v>
      </c>
      <c r="Z653" s="169" t="s">
        <v>153</v>
      </c>
      <c r="AA653" s="170" t="s">
        <v>153</v>
      </c>
      <c r="AB653" s="171" t="s">
        <v>153</v>
      </c>
      <c r="AC653" s="172" t="s">
        <v>153</v>
      </c>
      <c r="AD653" s="173" t="s">
        <v>153</v>
      </c>
      <c r="AE653" s="174" t="s">
        <v>153</v>
      </c>
      <c r="AF653" s="175" t="s">
        <v>153</v>
      </c>
      <c r="AG653" s="176" t="s">
        <v>153</v>
      </c>
      <c r="AH653" s="177" t="s">
        <v>153</v>
      </c>
      <c r="AI653" s="178" t="s">
        <v>153</v>
      </c>
      <c r="AJ653" s="179" t="s">
        <v>153</v>
      </c>
      <c r="AK653" s="180" t="s">
        <v>153</v>
      </c>
      <c r="AL653" s="181" t="s">
        <v>153</v>
      </c>
      <c r="AM653" s="182" t="s">
        <v>153</v>
      </c>
      <c r="AN653" s="183" t="s">
        <v>153</v>
      </c>
      <c r="AO653" s="184" t="s">
        <v>153</v>
      </c>
      <c r="AP653" s="185" t="s">
        <v>153</v>
      </c>
      <c r="AQ653" s="186" t="s">
        <v>153</v>
      </c>
      <c r="AR653" s="187" t="s">
        <v>153</v>
      </c>
      <c r="AS653" s="188" t="s">
        <v>153</v>
      </c>
      <c r="AT653" s="189" t="s">
        <v>13295</v>
      </c>
      <c r="AU653" s="190" t="s">
        <v>153</v>
      </c>
      <c r="AV653" s="191" t="s">
        <v>153</v>
      </c>
      <c r="AW653" s="192" t="s">
        <v>13296</v>
      </c>
      <c r="AX653" s="193" t="s">
        <v>1862</v>
      </c>
      <c r="AY653" s="194" t="s">
        <v>13297</v>
      </c>
      <c r="AZ653" s="195" t="s">
        <v>215</v>
      </c>
      <c r="BA653" s="196" t="s">
        <v>153</v>
      </c>
      <c r="BB653" s="197" t="s">
        <v>153</v>
      </c>
      <c r="BC653" s="198" t="s">
        <v>153</v>
      </c>
      <c r="BD653" s="199" t="s">
        <v>216</v>
      </c>
      <c r="BE653" s="200" t="s">
        <v>217</v>
      </c>
      <c r="BF653" s="201" t="s">
        <v>13298</v>
      </c>
      <c r="BG653" s="202" t="s">
        <v>153</v>
      </c>
      <c r="BH653" s="203" t="s">
        <v>153</v>
      </c>
      <c r="BI653" s="204" t="s">
        <v>2124</v>
      </c>
      <c r="BJ653" s="205" t="s">
        <v>2353</v>
      </c>
      <c r="BK653" s="206" t="s">
        <v>153</v>
      </c>
      <c r="BL653" s="207" t="s">
        <v>153</v>
      </c>
      <c r="BM653" s="208" t="s">
        <v>13299</v>
      </c>
      <c r="BN653" s="209" t="s">
        <v>153</v>
      </c>
      <c r="BO653" s="210" t="s">
        <v>153</v>
      </c>
      <c r="BP653" s="211" t="s">
        <v>153</v>
      </c>
      <c r="BQ653" s="212">
        <v>42167</v>
      </c>
      <c r="BR653" s="213">
        <v>7056</v>
      </c>
      <c r="BS653" s="214" t="s">
        <v>186</v>
      </c>
      <c r="BT653" s="215">
        <v>7056</v>
      </c>
      <c r="BU653" s="216" t="s">
        <v>186</v>
      </c>
      <c r="BV653" s="217" t="s">
        <v>1524</v>
      </c>
      <c r="BW653" s="218" t="s">
        <v>1525</v>
      </c>
      <c r="BX653" s="219" t="s">
        <v>1526</v>
      </c>
      <c r="BY653" s="220" t="s">
        <v>225</v>
      </c>
      <c r="BZ653" s="221" t="s">
        <v>153</v>
      </c>
      <c r="CA653" s="222" t="s">
        <v>190</v>
      </c>
      <c r="CB653" s="223">
        <v>42167</v>
      </c>
      <c r="CC653" s="224">
        <v>7056</v>
      </c>
      <c r="CD653" s="225" t="s">
        <v>186</v>
      </c>
      <c r="CE653" s="226">
        <v>7056</v>
      </c>
      <c r="CF653" s="227" t="s">
        <v>186</v>
      </c>
      <c r="CG653" s="228" t="s">
        <v>1524</v>
      </c>
      <c r="CH653" s="229" t="s">
        <v>1525</v>
      </c>
      <c r="CI653" s="230" t="s">
        <v>1526</v>
      </c>
      <c r="CJ653" s="231" t="s">
        <v>225</v>
      </c>
      <c r="CK653" s="232">
        <v>42167</v>
      </c>
      <c r="CL653" s="233" t="s">
        <v>153</v>
      </c>
      <c r="CM653" s="234" t="s">
        <v>153</v>
      </c>
      <c r="CN653" s="235" t="s">
        <v>190</v>
      </c>
      <c r="CO653" s="236" t="s">
        <v>153</v>
      </c>
      <c r="CP653" s="237" t="s">
        <v>153</v>
      </c>
      <c r="CQ653" s="238" t="s">
        <v>153</v>
      </c>
      <c r="CR653" s="239" t="s">
        <v>153</v>
      </c>
      <c r="CS653" s="240" t="s">
        <v>153</v>
      </c>
      <c r="CT653" s="241" t="s">
        <v>153</v>
      </c>
      <c r="CU653" s="242" t="s">
        <v>153</v>
      </c>
      <c r="CV653" s="243" t="s">
        <v>153</v>
      </c>
      <c r="CW653" s="244" t="s">
        <v>153</v>
      </c>
      <c r="CX653" s="245" t="s">
        <v>153</v>
      </c>
      <c r="CY653" s="246" t="s">
        <v>153</v>
      </c>
      <c r="CZ653" s="247" t="s">
        <v>153</v>
      </c>
      <c r="DA653" s="248" t="s">
        <v>153</v>
      </c>
      <c r="DB653" s="249" t="s">
        <v>153</v>
      </c>
      <c r="DC653" s="250" t="s">
        <v>153</v>
      </c>
      <c r="DD653" s="251" t="s">
        <v>153</v>
      </c>
      <c r="DE653" s="252" t="s">
        <v>153</v>
      </c>
      <c r="DF653" s="253" t="s">
        <v>153</v>
      </c>
      <c r="DG653" s="254" t="s">
        <v>153</v>
      </c>
      <c r="DH653" s="255" t="s">
        <v>153</v>
      </c>
      <c r="DI653" s="256" t="s">
        <v>153</v>
      </c>
      <c r="DJ653" s="257" t="s">
        <v>153</v>
      </c>
      <c r="DK653" s="258" t="s">
        <v>153</v>
      </c>
      <c r="DL653" s="259" t="s">
        <v>153</v>
      </c>
      <c r="DM653" s="260" t="s">
        <v>153</v>
      </c>
      <c r="DN653" s="261" t="s">
        <v>153</v>
      </c>
      <c r="DO653" s="262" t="s">
        <v>153</v>
      </c>
      <c r="DP653" s="263" t="s">
        <v>153</v>
      </c>
      <c r="DQ653" s="264" t="s">
        <v>153</v>
      </c>
      <c r="DR653" s="265" t="s">
        <v>153</v>
      </c>
      <c r="DS653" s="266" t="s">
        <v>153</v>
      </c>
      <c r="DT653" s="267" t="s">
        <v>153</v>
      </c>
      <c r="DU653" s="268" t="s">
        <v>153</v>
      </c>
      <c r="DV653" s="269" t="s">
        <v>153</v>
      </c>
      <c r="DW653" s="270" t="s">
        <v>153</v>
      </c>
      <c r="DX653" s="271" t="s">
        <v>153</v>
      </c>
      <c r="DY653" s="272" t="s">
        <v>153</v>
      </c>
      <c r="DZ653" s="273" t="s">
        <v>191</v>
      </c>
      <c r="EA653" s="274">
        <v>44341</v>
      </c>
      <c r="EB653" s="275">
        <v>7056</v>
      </c>
      <c r="EC653" s="276">
        <v>42167</v>
      </c>
      <c r="ED653" s="277" t="s">
        <v>1524</v>
      </c>
      <c r="EE653" s="279" t="str">
        <f>HYPERLINK("https://my.pitchbook.com?c=64864-09", "View company online")</f>
        <v>View company online</v>
      </c>
    </row>
    <row r="654" spans="1:135" x14ac:dyDescent="0.45">
      <c r="A654" s="10" t="s">
        <v>13300</v>
      </c>
      <c r="B654" s="11" t="s">
        <v>13301</v>
      </c>
      <c r="C654" s="12" t="s">
        <v>153</v>
      </c>
      <c r="D654" s="13" t="s">
        <v>153</v>
      </c>
      <c r="E654" s="14" t="s">
        <v>153</v>
      </c>
      <c r="F654" s="15" t="s">
        <v>153</v>
      </c>
      <c r="G654" s="16" t="s">
        <v>153</v>
      </c>
      <c r="H654" s="17" t="s">
        <v>153</v>
      </c>
      <c r="I654" s="18" t="s">
        <v>13300</v>
      </c>
      <c r="J654" s="19" t="s">
        <v>13302</v>
      </c>
      <c r="K654" s="20" t="s">
        <v>257</v>
      </c>
      <c r="L654" s="21" t="s">
        <v>258</v>
      </c>
      <c r="M654" s="22" t="s">
        <v>6646</v>
      </c>
      <c r="N654" s="23" t="s">
        <v>13303</v>
      </c>
      <c r="O654" s="24" t="s">
        <v>12887</v>
      </c>
      <c r="P654" s="25" t="s">
        <v>13304</v>
      </c>
      <c r="Q654" s="26" t="s">
        <v>204</v>
      </c>
      <c r="R654" s="27" t="s">
        <v>153</v>
      </c>
      <c r="S654" s="28" t="s">
        <v>163</v>
      </c>
      <c r="T654" s="29" t="s">
        <v>205</v>
      </c>
      <c r="U654" s="30" t="s">
        <v>206</v>
      </c>
      <c r="V654" s="31" t="s">
        <v>153</v>
      </c>
      <c r="W654" s="32" t="s">
        <v>153</v>
      </c>
      <c r="X654" s="33" t="s">
        <v>153</v>
      </c>
      <c r="Y654" s="34" t="s">
        <v>153</v>
      </c>
      <c r="Z654" s="35" t="s">
        <v>153</v>
      </c>
      <c r="AA654" s="36" t="s">
        <v>153</v>
      </c>
      <c r="AB654" s="37" t="s">
        <v>153</v>
      </c>
      <c r="AC654" s="38" t="s">
        <v>153</v>
      </c>
      <c r="AD654" s="39" t="s">
        <v>153</v>
      </c>
      <c r="AE654" s="40" t="s">
        <v>153</v>
      </c>
      <c r="AF654" s="41" t="s">
        <v>153</v>
      </c>
      <c r="AG654" s="42" t="s">
        <v>153</v>
      </c>
      <c r="AH654" s="43" t="s">
        <v>153</v>
      </c>
      <c r="AI654" s="44" t="s">
        <v>153</v>
      </c>
      <c r="AJ654" s="45" t="s">
        <v>153</v>
      </c>
      <c r="AK654" s="46" t="s">
        <v>153</v>
      </c>
      <c r="AL654" s="47" t="s">
        <v>153</v>
      </c>
      <c r="AM654" s="48" t="s">
        <v>153</v>
      </c>
      <c r="AN654" s="49" t="s">
        <v>153</v>
      </c>
      <c r="AO654" s="50" t="s">
        <v>13305</v>
      </c>
      <c r="AP654" s="51" t="s">
        <v>13306</v>
      </c>
      <c r="AQ654" s="52" t="s">
        <v>13307</v>
      </c>
      <c r="AR654" s="53" t="s">
        <v>13308</v>
      </c>
      <c r="AS654" s="54" t="s">
        <v>153</v>
      </c>
      <c r="AT654" s="55" t="s">
        <v>5856</v>
      </c>
      <c r="AU654" s="56" t="s">
        <v>13309</v>
      </c>
      <c r="AV654" s="57" t="s">
        <v>153</v>
      </c>
      <c r="AW654" s="58" t="s">
        <v>5859</v>
      </c>
      <c r="AX654" s="59" t="s">
        <v>153</v>
      </c>
      <c r="AY654" s="60" t="s">
        <v>13310</v>
      </c>
      <c r="AZ654" s="61" t="s">
        <v>1426</v>
      </c>
      <c r="BA654" s="62" t="s">
        <v>153</v>
      </c>
      <c r="BB654" s="63" t="s">
        <v>153</v>
      </c>
      <c r="BC654" s="64" t="s">
        <v>153</v>
      </c>
      <c r="BD654" s="65" t="s">
        <v>180</v>
      </c>
      <c r="BE654" s="66" t="s">
        <v>181</v>
      </c>
      <c r="BF654" s="67" t="s">
        <v>13311</v>
      </c>
      <c r="BG654" s="68" t="s">
        <v>153</v>
      </c>
      <c r="BH654" s="69" t="s">
        <v>153</v>
      </c>
      <c r="BI654" s="70" t="s">
        <v>4729</v>
      </c>
      <c r="BJ654" s="71" t="s">
        <v>4728</v>
      </c>
      <c r="BK654" s="72" t="s">
        <v>153</v>
      </c>
      <c r="BL654" s="73" t="s">
        <v>153</v>
      </c>
      <c r="BM654" s="74" t="s">
        <v>13312</v>
      </c>
      <c r="BN654" s="75" t="s">
        <v>153</v>
      </c>
      <c r="BO654" s="76" t="s">
        <v>153</v>
      </c>
      <c r="BP654" s="77" t="s">
        <v>153</v>
      </c>
      <c r="BQ654" s="78">
        <v>42065</v>
      </c>
      <c r="BR654" s="79">
        <v>7050</v>
      </c>
      <c r="BS654" s="80" t="s">
        <v>187</v>
      </c>
      <c r="BT654" s="81">
        <v>7050</v>
      </c>
      <c r="BU654" s="82" t="s">
        <v>187</v>
      </c>
      <c r="BV654" s="83" t="s">
        <v>226</v>
      </c>
      <c r="BW654" s="84" t="s">
        <v>729</v>
      </c>
      <c r="BX654" s="85" t="s">
        <v>153</v>
      </c>
      <c r="BY654" s="86" t="s">
        <v>225</v>
      </c>
      <c r="BZ654" s="87" t="s">
        <v>153</v>
      </c>
      <c r="CA654" s="88" t="s">
        <v>190</v>
      </c>
      <c r="CB654" s="89">
        <v>42065</v>
      </c>
      <c r="CC654" s="90">
        <v>7050</v>
      </c>
      <c r="CD654" s="91" t="s">
        <v>187</v>
      </c>
      <c r="CE654" s="92">
        <v>7050</v>
      </c>
      <c r="CF654" s="93" t="s">
        <v>187</v>
      </c>
      <c r="CG654" s="94" t="s">
        <v>226</v>
      </c>
      <c r="CH654" s="95" t="s">
        <v>729</v>
      </c>
      <c r="CI654" s="96" t="s">
        <v>153</v>
      </c>
      <c r="CJ654" s="97" t="s">
        <v>225</v>
      </c>
      <c r="CK654" s="98">
        <v>42065</v>
      </c>
      <c r="CL654" s="99" t="s">
        <v>153</v>
      </c>
      <c r="CM654" s="100" t="s">
        <v>153</v>
      </c>
      <c r="CN654" s="101" t="s">
        <v>190</v>
      </c>
      <c r="CO654" s="102" t="s">
        <v>153</v>
      </c>
      <c r="CP654" s="103" t="s">
        <v>153</v>
      </c>
      <c r="CQ654" s="104" t="s">
        <v>153</v>
      </c>
      <c r="CR654" s="105" t="s">
        <v>153</v>
      </c>
      <c r="CS654" s="106" t="s">
        <v>153</v>
      </c>
      <c r="CT654" s="107" t="s">
        <v>153</v>
      </c>
      <c r="CU654" s="108" t="s">
        <v>153</v>
      </c>
      <c r="CV654" s="109" t="s">
        <v>153</v>
      </c>
      <c r="CW654" s="110" t="s">
        <v>153</v>
      </c>
      <c r="CX654" s="111" t="s">
        <v>153</v>
      </c>
      <c r="CY654" s="112" t="s">
        <v>153</v>
      </c>
      <c r="CZ654" s="113" t="s">
        <v>153</v>
      </c>
      <c r="DA654" s="114" t="s">
        <v>153</v>
      </c>
      <c r="DB654" s="115" t="s">
        <v>153</v>
      </c>
      <c r="DC654" s="116" t="s">
        <v>153</v>
      </c>
      <c r="DD654" s="117" t="s">
        <v>153</v>
      </c>
      <c r="DE654" s="118" t="s">
        <v>153</v>
      </c>
      <c r="DF654" s="119" t="s">
        <v>153</v>
      </c>
      <c r="DG654" s="120" t="s">
        <v>153</v>
      </c>
      <c r="DH654" s="121" t="s">
        <v>153</v>
      </c>
      <c r="DI654" s="122" t="s">
        <v>153</v>
      </c>
      <c r="DJ654" s="123" t="s">
        <v>153</v>
      </c>
      <c r="DK654" s="124" t="s">
        <v>153</v>
      </c>
      <c r="DL654" s="125" t="s">
        <v>153</v>
      </c>
      <c r="DM654" s="126" t="s">
        <v>153</v>
      </c>
      <c r="DN654" s="127" t="s">
        <v>153</v>
      </c>
      <c r="DO654" s="128" t="s">
        <v>153</v>
      </c>
      <c r="DP654" s="129" t="s">
        <v>153</v>
      </c>
      <c r="DQ654" s="130" t="s">
        <v>153</v>
      </c>
      <c r="DR654" s="131" t="s">
        <v>153</v>
      </c>
      <c r="DS654" s="132" t="s">
        <v>153</v>
      </c>
      <c r="DT654" s="133" t="s">
        <v>153</v>
      </c>
      <c r="DU654" s="134" t="s">
        <v>153</v>
      </c>
      <c r="DV654" s="135" t="s">
        <v>153</v>
      </c>
      <c r="DW654" s="136" t="s">
        <v>153</v>
      </c>
      <c r="DX654" s="137" t="s">
        <v>153</v>
      </c>
      <c r="DY654" s="138" t="s">
        <v>153</v>
      </c>
      <c r="DZ654" s="139" t="s">
        <v>191</v>
      </c>
      <c r="EA654" s="140">
        <v>44147</v>
      </c>
      <c r="EB654" s="141">
        <v>7050</v>
      </c>
      <c r="EC654" s="142">
        <v>42065</v>
      </c>
      <c r="ED654" s="143" t="s">
        <v>226</v>
      </c>
      <c r="EE654" s="278" t="str">
        <f>HYPERLINK("https://my.pitchbook.com?c=63220-87", "View company online")</f>
        <v>View company online</v>
      </c>
    </row>
    <row r="655" spans="1:135" x14ac:dyDescent="0.45">
      <c r="A655" s="144" t="s">
        <v>13313</v>
      </c>
      <c r="B655" s="145" t="s">
        <v>13314</v>
      </c>
      <c r="C655" s="146" t="s">
        <v>153</v>
      </c>
      <c r="D655" s="147" t="s">
        <v>153</v>
      </c>
      <c r="E655" s="148" t="s">
        <v>13315</v>
      </c>
      <c r="F655" s="149" t="s">
        <v>13316</v>
      </c>
      <c r="G655" s="150" t="s">
        <v>13317</v>
      </c>
      <c r="H655" s="151" t="s">
        <v>13318</v>
      </c>
      <c r="I655" s="152" t="s">
        <v>13313</v>
      </c>
      <c r="J655" s="153" t="s">
        <v>13319</v>
      </c>
      <c r="K655" s="154" t="s">
        <v>559</v>
      </c>
      <c r="L655" s="155" t="s">
        <v>560</v>
      </c>
      <c r="M655" s="156" t="s">
        <v>13320</v>
      </c>
      <c r="N655" s="157" t="s">
        <v>13321</v>
      </c>
      <c r="O655" s="158" t="s">
        <v>261</v>
      </c>
      <c r="P655" s="159" t="s">
        <v>13322</v>
      </c>
      <c r="Q655" s="160" t="s">
        <v>204</v>
      </c>
      <c r="R655" s="161" t="s">
        <v>153</v>
      </c>
      <c r="S655" s="162" t="s">
        <v>290</v>
      </c>
      <c r="T655" s="163" t="s">
        <v>205</v>
      </c>
      <c r="U655" s="164" t="s">
        <v>237</v>
      </c>
      <c r="V655" s="165" t="s">
        <v>13323</v>
      </c>
      <c r="W655" s="166">
        <v>5400</v>
      </c>
      <c r="X655" s="167" t="s">
        <v>13324</v>
      </c>
      <c r="Y655" s="168" t="s">
        <v>153</v>
      </c>
      <c r="Z655" s="169" t="s">
        <v>153</v>
      </c>
      <c r="AA655" s="170">
        <v>1933</v>
      </c>
      <c r="AB655" s="171" t="s">
        <v>153</v>
      </c>
      <c r="AC655" s="172" t="s">
        <v>153</v>
      </c>
      <c r="AD655" s="173" t="s">
        <v>153</v>
      </c>
      <c r="AE655" s="174" t="s">
        <v>153</v>
      </c>
      <c r="AF655" s="175" t="s">
        <v>153</v>
      </c>
      <c r="AG655" s="176" t="s">
        <v>153</v>
      </c>
      <c r="AH655" s="177" t="s">
        <v>153</v>
      </c>
      <c r="AI655" s="178" t="s">
        <v>153</v>
      </c>
      <c r="AJ655" s="179" t="s">
        <v>153</v>
      </c>
      <c r="AK655" s="180" t="s">
        <v>153</v>
      </c>
      <c r="AL655" s="181" t="s">
        <v>153</v>
      </c>
      <c r="AM655" s="182" t="s">
        <v>153</v>
      </c>
      <c r="AN655" s="183" t="s">
        <v>648</v>
      </c>
      <c r="AO655" s="184" t="s">
        <v>153</v>
      </c>
      <c r="AP655" s="185" t="s">
        <v>153</v>
      </c>
      <c r="AQ655" s="186" t="s">
        <v>153</v>
      </c>
      <c r="AR655" s="187" t="s">
        <v>153</v>
      </c>
      <c r="AS655" s="188" t="s">
        <v>153</v>
      </c>
      <c r="AT655" s="189" t="s">
        <v>13325</v>
      </c>
      <c r="AU655" s="190" t="s">
        <v>13326</v>
      </c>
      <c r="AV655" s="191" t="s">
        <v>153</v>
      </c>
      <c r="AW655" s="192" t="s">
        <v>13327</v>
      </c>
      <c r="AX655" s="193" t="s">
        <v>153</v>
      </c>
      <c r="AY655" s="194" t="s">
        <v>13328</v>
      </c>
      <c r="AZ655" s="195" t="s">
        <v>5123</v>
      </c>
      <c r="BA655" s="196" t="s">
        <v>153</v>
      </c>
      <c r="BB655" s="197" t="s">
        <v>153</v>
      </c>
      <c r="BC655" s="198" t="s">
        <v>153</v>
      </c>
      <c r="BD655" s="199" t="s">
        <v>248</v>
      </c>
      <c r="BE655" s="200" t="s">
        <v>248</v>
      </c>
      <c r="BF655" s="201" t="s">
        <v>13329</v>
      </c>
      <c r="BG655" s="202" t="s">
        <v>153</v>
      </c>
      <c r="BH655" s="203" t="s">
        <v>153</v>
      </c>
      <c r="BI655" s="204" t="s">
        <v>4838</v>
      </c>
      <c r="BJ655" s="205" t="s">
        <v>13330</v>
      </c>
      <c r="BK655" s="206" t="s">
        <v>153</v>
      </c>
      <c r="BL655" s="207" t="s">
        <v>153</v>
      </c>
      <c r="BM655" s="208" t="s">
        <v>153</v>
      </c>
      <c r="BN655" s="209" t="s">
        <v>153</v>
      </c>
      <c r="BO655" s="210" t="s">
        <v>13331</v>
      </c>
      <c r="BP655" s="211" t="s">
        <v>13332</v>
      </c>
      <c r="BQ655" s="212">
        <v>18994</v>
      </c>
      <c r="BR655" s="213" t="s">
        <v>153</v>
      </c>
      <c r="BS655" s="214" t="s">
        <v>153</v>
      </c>
      <c r="BT655" s="215" t="s">
        <v>153</v>
      </c>
      <c r="BU655" s="216" t="s">
        <v>153</v>
      </c>
      <c r="BV655" s="217" t="s">
        <v>226</v>
      </c>
      <c r="BW655" s="218" t="s">
        <v>153</v>
      </c>
      <c r="BX655" s="219" t="s">
        <v>153</v>
      </c>
      <c r="BY655" s="220" t="s">
        <v>225</v>
      </c>
      <c r="BZ655" s="221" t="s">
        <v>153</v>
      </c>
      <c r="CA655" s="222" t="s">
        <v>190</v>
      </c>
      <c r="CB655" s="223">
        <v>43377</v>
      </c>
      <c r="CC655" s="224">
        <v>7030</v>
      </c>
      <c r="CD655" s="225" t="s">
        <v>186</v>
      </c>
      <c r="CE655" s="226">
        <v>7030</v>
      </c>
      <c r="CF655" s="227" t="s">
        <v>187</v>
      </c>
      <c r="CG655" s="228" t="s">
        <v>226</v>
      </c>
      <c r="CH655" s="229" t="s">
        <v>729</v>
      </c>
      <c r="CI655" s="230" t="s">
        <v>153</v>
      </c>
      <c r="CJ655" s="231" t="s">
        <v>225</v>
      </c>
      <c r="CK655" s="232">
        <v>43377</v>
      </c>
      <c r="CL655" s="233" t="s">
        <v>153</v>
      </c>
      <c r="CM655" s="234" t="s">
        <v>153</v>
      </c>
      <c r="CN655" s="235" t="s">
        <v>190</v>
      </c>
      <c r="CO655" s="236" t="s">
        <v>153</v>
      </c>
      <c r="CP655" s="237" t="s">
        <v>153</v>
      </c>
      <c r="CQ655" s="238" t="s">
        <v>153</v>
      </c>
      <c r="CR655" s="239" t="s">
        <v>153</v>
      </c>
      <c r="CS655" s="240" t="s">
        <v>153</v>
      </c>
      <c r="CT655" s="241" t="s">
        <v>153</v>
      </c>
      <c r="CU655" s="242" t="s">
        <v>153</v>
      </c>
      <c r="CV655" s="243" t="s">
        <v>153</v>
      </c>
      <c r="CW655" s="244" t="s">
        <v>153</v>
      </c>
      <c r="CX655" s="245" t="s">
        <v>153</v>
      </c>
      <c r="CY655" s="246" t="s">
        <v>153</v>
      </c>
      <c r="CZ655" s="247" t="s">
        <v>153</v>
      </c>
      <c r="DA655" s="248" t="s">
        <v>153</v>
      </c>
      <c r="DB655" s="249" t="s">
        <v>153</v>
      </c>
      <c r="DC655" s="250" t="s">
        <v>153</v>
      </c>
      <c r="DD655" s="251" t="s">
        <v>153</v>
      </c>
      <c r="DE655" s="252" t="s">
        <v>153</v>
      </c>
      <c r="DF655" s="253" t="s">
        <v>153</v>
      </c>
      <c r="DG655" s="254" t="s">
        <v>153</v>
      </c>
      <c r="DH655" s="255" t="s">
        <v>153</v>
      </c>
      <c r="DI655" s="256" t="s">
        <v>153</v>
      </c>
      <c r="DJ655" s="257" t="s">
        <v>153</v>
      </c>
      <c r="DK655" s="258" t="s">
        <v>153</v>
      </c>
      <c r="DL655" s="259" t="s">
        <v>153</v>
      </c>
      <c r="DM655" s="260" t="s">
        <v>153</v>
      </c>
      <c r="DN655" s="261" t="s">
        <v>153</v>
      </c>
      <c r="DO655" s="262" t="s">
        <v>153</v>
      </c>
      <c r="DP655" s="263" t="s">
        <v>153</v>
      </c>
      <c r="DQ655" s="264" t="s">
        <v>153</v>
      </c>
      <c r="DR655" s="265" t="s">
        <v>153</v>
      </c>
      <c r="DS655" s="266" t="s">
        <v>153</v>
      </c>
      <c r="DT655" s="267" t="s">
        <v>153</v>
      </c>
      <c r="DU655" s="268" t="s">
        <v>153</v>
      </c>
      <c r="DV655" s="269" t="s">
        <v>153</v>
      </c>
      <c r="DW655" s="270" t="s">
        <v>153</v>
      </c>
      <c r="DX655" s="271" t="s">
        <v>153</v>
      </c>
      <c r="DY655" s="272" t="s">
        <v>153</v>
      </c>
      <c r="DZ655" s="273" t="s">
        <v>191</v>
      </c>
      <c r="EA655" s="274">
        <v>44287</v>
      </c>
      <c r="EB655" s="275">
        <v>7030</v>
      </c>
      <c r="EC655" s="276">
        <v>43377</v>
      </c>
      <c r="ED655" s="277" t="s">
        <v>226</v>
      </c>
      <c r="EE655" s="279" t="str">
        <f>HYPERLINK("https://my.pitchbook.com?c=59358-25", "View company online")</f>
        <v>View company online</v>
      </c>
    </row>
    <row r="656" spans="1:135" x14ac:dyDescent="0.45">
      <c r="A656" s="10" t="s">
        <v>13333</v>
      </c>
      <c r="B656" s="11" t="s">
        <v>13334</v>
      </c>
      <c r="C656" s="12" t="s">
        <v>153</v>
      </c>
      <c r="D656" s="13" t="s">
        <v>153</v>
      </c>
      <c r="E656" s="14" t="s">
        <v>13335</v>
      </c>
      <c r="F656" s="15" t="s">
        <v>153</v>
      </c>
      <c r="G656" s="16" t="s">
        <v>13336</v>
      </c>
      <c r="H656" s="17" t="s">
        <v>13337</v>
      </c>
      <c r="I656" s="18" t="s">
        <v>13333</v>
      </c>
      <c r="J656" s="19" t="s">
        <v>13338</v>
      </c>
      <c r="K656" s="20" t="s">
        <v>882</v>
      </c>
      <c r="L656" s="21" t="s">
        <v>883</v>
      </c>
      <c r="M656" s="22" t="s">
        <v>7704</v>
      </c>
      <c r="N656" s="23" t="s">
        <v>13339</v>
      </c>
      <c r="O656" s="24" t="s">
        <v>13340</v>
      </c>
      <c r="P656" s="25" t="s">
        <v>13341</v>
      </c>
      <c r="Q656" s="26" t="s">
        <v>289</v>
      </c>
      <c r="R656" s="27">
        <v>100</v>
      </c>
      <c r="S656" s="28" t="s">
        <v>368</v>
      </c>
      <c r="T656" s="29" t="s">
        <v>291</v>
      </c>
      <c r="U656" s="30" t="s">
        <v>5485</v>
      </c>
      <c r="V656" s="31" t="s">
        <v>13342</v>
      </c>
      <c r="W656" s="32">
        <v>2190</v>
      </c>
      <c r="X656" s="33" t="s">
        <v>13343</v>
      </c>
      <c r="Y656" s="34" t="s">
        <v>295</v>
      </c>
      <c r="Z656" s="35" t="s">
        <v>13344</v>
      </c>
      <c r="AA656" s="36">
        <v>1966</v>
      </c>
      <c r="AB656" s="37" t="s">
        <v>153</v>
      </c>
      <c r="AC656" s="38" t="s">
        <v>153</v>
      </c>
      <c r="AD656" s="39" t="s">
        <v>153</v>
      </c>
      <c r="AE656" s="40">
        <v>1315.12</v>
      </c>
      <c r="AF656" s="41">
        <v>468.53</v>
      </c>
      <c r="AG656" s="42">
        <v>-159.09</v>
      </c>
      <c r="AH656" s="43">
        <v>6179.64</v>
      </c>
      <c r="AI656" s="44">
        <v>-92.44</v>
      </c>
      <c r="AJ656" s="45">
        <v>-162.58000000000001</v>
      </c>
      <c r="AK656" s="46">
        <v>6373.26</v>
      </c>
      <c r="AL656" s="47">
        <v>142.86000000000001</v>
      </c>
      <c r="AM656" s="48">
        <v>2.06</v>
      </c>
      <c r="AN656" s="49" t="s">
        <v>299</v>
      </c>
      <c r="AO656" s="50" t="s">
        <v>13345</v>
      </c>
      <c r="AP656" s="51" t="s">
        <v>13346</v>
      </c>
      <c r="AQ656" s="52" t="s">
        <v>3268</v>
      </c>
      <c r="AR656" s="53" t="s">
        <v>13347</v>
      </c>
      <c r="AS656" s="54" t="s">
        <v>13348</v>
      </c>
      <c r="AT656" s="55" t="s">
        <v>2033</v>
      </c>
      <c r="AU656" s="56" t="s">
        <v>13349</v>
      </c>
      <c r="AV656" s="57" t="s">
        <v>153</v>
      </c>
      <c r="AW656" s="58" t="s">
        <v>2036</v>
      </c>
      <c r="AX656" s="59" t="s">
        <v>308</v>
      </c>
      <c r="AY656" s="60" t="s">
        <v>2037</v>
      </c>
      <c r="AZ656" s="61" t="s">
        <v>215</v>
      </c>
      <c r="BA656" s="62" t="s">
        <v>13348</v>
      </c>
      <c r="BB656" s="63" t="s">
        <v>153</v>
      </c>
      <c r="BC656" s="64" t="s">
        <v>13350</v>
      </c>
      <c r="BD656" s="65" t="s">
        <v>216</v>
      </c>
      <c r="BE656" s="66" t="s">
        <v>217</v>
      </c>
      <c r="BF656" s="67" t="s">
        <v>13351</v>
      </c>
      <c r="BG656" s="68" t="s">
        <v>153</v>
      </c>
      <c r="BH656" s="69" t="s">
        <v>153</v>
      </c>
      <c r="BI656" s="70" t="s">
        <v>153</v>
      </c>
      <c r="BJ656" s="71" t="s">
        <v>13352</v>
      </c>
      <c r="BK656" s="72" t="s">
        <v>13353</v>
      </c>
      <c r="BL656" s="73" t="s">
        <v>153</v>
      </c>
      <c r="BM656" s="74" t="s">
        <v>13354</v>
      </c>
      <c r="BN656" s="75" t="s">
        <v>13355</v>
      </c>
      <c r="BO656" s="76" t="s">
        <v>13356</v>
      </c>
      <c r="BP656" s="77" t="s">
        <v>13357</v>
      </c>
      <c r="BQ656" s="78" t="s">
        <v>153</v>
      </c>
      <c r="BR656" s="79" t="s">
        <v>153</v>
      </c>
      <c r="BS656" s="80" t="s">
        <v>153</v>
      </c>
      <c r="BT656" s="81" t="s">
        <v>153</v>
      </c>
      <c r="BU656" s="82" t="s">
        <v>153</v>
      </c>
      <c r="BV656" s="83" t="s">
        <v>471</v>
      </c>
      <c r="BW656" s="84" t="s">
        <v>153</v>
      </c>
      <c r="BX656" s="85" t="s">
        <v>153</v>
      </c>
      <c r="BY656" s="86" t="s">
        <v>472</v>
      </c>
      <c r="BZ656" s="87" t="s">
        <v>153</v>
      </c>
      <c r="CA656" s="88" t="s">
        <v>190</v>
      </c>
      <c r="CB656" s="89">
        <v>44280</v>
      </c>
      <c r="CC656" s="90">
        <v>7010</v>
      </c>
      <c r="CD656" s="91" t="s">
        <v>187</v>
      </c>
      <c r="CE656" s="92">
        <v>7010</v>
      </c>
      <c r="CF656" s="93" t="s">
        <v>187</v>
      </c>
      <c r="CG656" s="94" t="s">
        <v>226</v>
      </c>
      <c r="CH656" s="95" t="s">
        <v>153</v>
      </c>
      <c r="CI656" s="96" t="s">
        <v>153</v>
      </c>
      <c r="CJ656" s="97" t="s">
        <v>225</v>
      </c>
      <c r="CK656" s="98">
        <v>44280</v>
      </c>
      <c r="CL656" s="99" t="s">
        <v>153</v>
      </c>
      <c r="CM656" s="100" t="s">
        <v>153</v>
      </c>
      <c r="CN656" s="101" t="s">
        <v>1278</v>
      </c>
      <c r="CO656" s="102">
        <v>-1.5</v>
      </c>
      <c r="CP656" s="103">
        <v>2</v>
      </c>
      <c r="CQ656" s="104">
        <v>-0.01</v>
      </c>
      <c r="CR656" s="105">
        <v>-0.38</v>
      </c>
      <c r="CS656" s="106">
        <v>-0.92</v>
      </c>
      <c r="CT656" s="107">
        <v>4</v>
      </c>
      <c r="CU656" s="108">
        <v>0.16</v>
      </c>
      <c r="CV656" s="109">
        <v>89</v>
      </c>
      <c r="CW656" s="110">
        <v>-2.4300000000000002</v>
      </c>
      <c r="CX656" s="111">
        <v>11</v>
      </c>
      <c r="CY656" s="112">
        <v>0.59</v>
      </c>
      <c r="CZ656" s="113">
        <v>95</v>
      </c>
      <c r="DA656" s="114">
        <v>0.16</v>
      </c>
      <c r="DB656" s="115">
        <v>89</v>
      </c>
      <c r="DC656" s="116">
        <v>64.83</v>
      </c>
      <c r="DD656" s="117">
        <v>99</v>
      </c>
      <c r="DE656" s="118">
        <v>0.2</v>
      </c>
      <c r="DF656" s="119">
        <v>0.31</v>
      </c>
      <c r="DG656" s="120">
        <v>128.18</v>
      </c>
      <c r="DH656" s="121">
        <v>100</v>
      </c>
      <c r="DI656" s="122">
        <v>7.11</v>
      </c>
      <c r="DJ656" s="123">
        <v>83</v>
      </c>
      <c r="DK656" s="124">
        <v>33.909999999999997</v>
      </c>
      <c r="DL656" s="125">
        <v>93</v>
      </c>
      <c r="DM656" s="126">
        <v>222.44</v>
      </c>
      <c r="DN656" s="127">
        <v>100</v>
      </c>
      <c r="DO656" s="128">
        <v>7.11</v>
      </c>
      <c r="DP656" s="129">
        <v>83</v>
      </c>
      <c r="DQ656" s="130">
        <v>20172</v>
      </c>
      <c r="DR656" s="131">
        <v>-222</v>
      </c>
      <c r="DS656" s="132">
        <v>-1.0900000000000001</v>
      </c>
      <c r="DT656" s="133">
        <v>3551</v>
      </c>
      <c r="DU656" s="134">
        <v>18</v>
      </c>
      <c r="DV656" s="135">
        <v>0.51</v>
      </c>
      <c r="DW656" s="136">
        <v>2231</v>
      </c>
      <c r="DX656" s="137">
        <v>11</v>
      </c>
      <c r="DY656" s="138">
        <v>0.5</v>
      </c>
      <c r="DZ656" s="139" t="s">
        <v>191</v>
      </c>
      <c r="EA656" s="140">
        <v>44380</v>
      </c>
      <c r="EB656" s="141">
        <v>7010</v>
      </c>
      <c r="EC656" s="142">
        <v>44280</v>
      </c>
      <c r="ED656" s="143" t="s">
        <v>226</v>
      </c>
      <c r="EE656" s="278" t="str">
        <f>HYPERLINK("https://my.pitchbook.com?c=41289-49", "View company online")</f>
        <v>View company online</v>
      </c>
    </row>
    <row r="657" spans="1:135" x14ac:dyDescent="0.45">
      <c r="A657" s="144" t="s">
        <v>13358</v>
      </c>
      <c r="B657" s="145" t="s">
        <v>13359</v>
      </c>
      <c r="C657" s="146" t="s">
        <v>153</v>
      </c>
      <c r="D657" s="147" t="s">
        <v>153</v>
      </c>
      <c r="E657" s="148" t="s">
        <v>153</v>
      </c>
      <c r="F657" s="149" t="s">
        <v>153</v>
      </c>
      <c r="G657" s="150" t="s">
        <v>13360</v>
      </c>
      <c r="H657" s="151" t="s">
        <v>153</v>
      </c>
      <c r="I657" s="152" t="s">
        <v>13358</v>
      </c>
      <c r="J657" s="153" t="s">
        <v>13361</v>
      </c>
      <c r="K657" s="154" t="s">
        <v>559</v>
      </c>
      <c r="L657" s="155" t="s">
        <v>1345</v>
      </c>
      <c r="M657" s="156" t="s">
        <v>2470</v>
      </c>
      <c r="N657" s="157" t="s">
        <v>3703</v>
      </c>
      <c r="O657" s="158" t="s">
        <v>153</v>
      </c>
      <c r="P657" s="159" t="s">
        <v>13362</v>
      </c>
      <c r="Q657" s="160" t="s">
        <v>204</v>
      </c>
      <c r="R657" s="161" t="s">
        <v>153</v>
      </c>
      <c r="S657" s="162" t="s">
        <v>290</v>
      </c>
      <c r="T657" s="163" t="s">
        <v>205</v>
      </c>
      <c r="U657" s="164" t="s">
        <v>237</v>
      </c>
      <c r="V657" s="165" t="s">
        <v>13363</v>
      </c>
      <c r="W657" s="166">
        <v>3066</v>
      </c>
      <c r="X657" s="167" t="s">
        <v>13364</v>
      </c>
      <c r="Y657" s="168" t="s">
        <v>153</v>
      </c>
      <c r="Z657" s="169" t="s">
        <v>153</v>
      </c>
      <c r="AA657" s="170" t="s">
        <v>153</v>
      </c>
      <c r="AB657" s="171" t="s">
        <v>153</v>
      </c>
      <c r="AC657" s="172" t="s">
        <v>153</v>
      </c>
      <c r="AD657" s="173" t="s">
        <v>153</v>
      </c>
      <c r="AE657" s="174" t="s">
        <v>153</v>
      </c>
      <c r="AF657" s="175" t="s">
        <v>153</v>
      </c>
      <c r="AG657" s="176" t="s">
        <v>153</v>
      </c>
      <c r="AH657" s="177" t="s">
        <v>153</v>
      </c>
      <c r="AI657" s="178" t="s">
        <v>153</v>
      </c>
      <c r="AJ657" s="179" t="s">
        <v>153</v>
      </c>
      <c r="AK657" s="180" t="s">
        <v>153</v>
      </c>
      <c r="AL657" s="181" t="s">
        <v>153</v>
      </c>
      <c r="AM657" s="182" t="s">
        <v>153</v>
      </c>
      <c r="AN657" s="183" t="s">
        <v>7002</v>
      </c>
      <c r="AO657" s="184" t="s">
        <v>153</v>
      </c>
      <c r="AP657" s="185" t="s">
        <v>153</v>
      </c>
      <c r="AQ657" s="186" t="s">
        <v>153</v>
      </c>
      <c r="AR657" s="187" t="s">
        <v>153</v>
      </c>
      <c r="AS657" s="188" t="s">
        <v>153</v>
      </c>
      <c r="AT657" s="189" t="s">
        <v>5517</v>
      </c>
      <c r="AU657" s="190" t="s">
        <v>13365</v>
      </c>
      <c r="AV657" s="191" t="s">
        <v>153</v>
      </c>
      <c r="AW657" s="192" t="s">
        <v>5519</v>
      </c>
      <c r="AX657" s="193" t="s">
        <v>5520</v>
      </c>
      <c r="AY657" s="194" t="s">
        <v>6370</v>
      </c>
      <c r="AZ657" s="195" t="s">
        <v>2546</v>
      </c>
      <c r="BA657" s="196" t="s">
        <v>13366</v>
      </c>
      <c r="BB657" s="197" t="s">
        <v>153</v>
      </c>
      <c r="BC657" s="198" t="s">
        <v>153</v>
      </c>
      <c r="BD657" s="199" t="s">
        <v>2547</v>
      </c>
      <c r="BE657" s="200" t="s">
        <v>2547</v>
      </c>
      <c r="BF657" s="201" t="s">
        <v>13367</v>
      </c>
      <c r="BG657" s="202" t="s">
        <v>153</v>
      </c>
      <c r="BH657" s="203" t="s">
        <v>153</v>
      </c>
      <c r="BI657" s="204" t="s">
        <v>7960</v>
      </c>
      <c r="BJ657" s="205" t="s">
        <v>13368</v>
      </c>
      <c r="BK657" s="206" t="s">
        <v>153</v>
      </c>
      <c r="BL657" s="207" t="s">
        <v>153</v>
      </c>
      <c r="BM657" s="208" t="s">
        <v>13369</v>
      </c>
      <c r="BN657" s="209" t="s">
        <v>153</v>
      </c>
      <c r="BO657" s="210" t="s">
        <v>153</v>
      </c>
      <c r="BP657" s="211" t="s">
        <v>355</v>
      </c>
      <c r="BQ657" s="212">
        <v>37594</v>
      </c>
      <c r="BR657" s="213" t="s">
        <v>153</v>
      </c>
      <c r="BS657" s="214" t="s">
        <v>153</v>
      </c>
      <c r="BT657" s="215" t="s">
        <v>153</v>
      </c>
      <c r="BU657" s="216" t="s">
        <v>153</v>
      </c>
      <c r="BV657" s="217" t="s">
        <v>251</v>
      </c>
      <c r="BW657" s="218" t="s">
        <v>153</v>
      </c>
      <c r="BX657" s="219" t="s">
        <v>153</v>
      </c>
      <c r="BY657" s="220" t="s">
        <v>252</v>
      </c>
      <c r="BZ657" s="221" t="s">
        <v>153</v>
      </c>
      <c r="CA657" s="222" t="s">
        <v>190</v>
      </c>
      <c r="CB657" s="223">
        <v>38506</v>
      </c>
      <c r="CC657" s="224">
        <v>7009.84</v>
      </c>
      <c r="CD657" s="225" t="s">
        <v>186</v>
      </c>
      <c r="CE657" s="226">
        <v>7009.84</v>
      </c>
      <c r="CF657" s="227" t="s">
        <v>186</v>
      </c>
      <c r="CG657" s="228" t="s">
        <v>226</v>
      </c>
      <c r="CH657" s="229" t="s">
        <v>153</v>
      </c>
      <c r="CI657" s="230" t="s">
        <v>153</v>
      </c>
      <c r="CJ657" s="231" t="s">
        <v>225</v>
      </c>
      <c r="CK657" s="232">
        <v>38506</v>
      </c>
      <c r="CL657" s="233" t="s">
        <v>153</v>
      </c>
      <c r="CM657" s="234" t="s">
        <v>153</v>
      </c>
      <c r="CN657" s="235" t="s">
        <v>190</v>
      </c>
      <c r="CO657" s="236" t="s">
        <v>153</v>
      </c>
      <c r="CP657" s="237" t="s">
        <v>153</v>
      </c>
      <c r="CQ657" s="238" t="s">
        <v>153</v>
      </c>
      <c r="CR657" s="239" t="s">
        <v>153</v>
      </c>
      <c r="CS657" s="240" t="s">
        <v>153</v>
      </c>
      <c r="CT657" s="241" t="s">
        <v>153</v>
      </c>
      <c r="CU657" s="242" t="s">
        <v>153</v>
      </c>
      <c r="CV657" s="243" t="s">
        <v>153</v>
      </c>
      <c r="CW657" s="244" t="s">
        <v>153</v>
      </c>
      <c r="CX657" s="245" t="s">
        <v>153</v>
      </c>
      <c r="CY657" s="246" t="s">
        <v>153</v>
      </c>
      <c r="CZ657" s="247" t="s">
        <v>153</v>
      </c>
      <c r="DA657" s="248" t="s">
        <v>153</v>
      </c>
      <c r="DB657" s="249" t="s">
        <v>153</v>
      </c>
      <c r="DC657" s="250" t="s">
        <v>153</v>
      </c>
      <c r="DD657" s="251" t="s">
        <v>153</v>
      </c>
      <c r="DE657" s="252" t="s">
        <v>153</v>
      </c>
      <c r="DF657" s="253" t="s">
        <v>153</v>
      </c>
      <c r="DG657" s="254" t="s">
        <v>153</v>
      </c>
      <c r="DH657" s="255" t="s">
        <v>153</v>
      </c>
      <c r="DI657" s="256" t="s">
        <v>153</v>
      </c>
      <c r="DJ657" s="257" t="s">
        <v>153</v>
      </c>
      <c r="DK657" s="258" t="s">
        <v>153</v>
      </c>
      <c r="DL657" s="259" t="s">
        <v>153</v>
      </c>
      <c r="DM657" s="260" t="s">
        <v>153</v>
      </c>
      <c r="DN657" s="261" t="s">
        <v>153</v>
      </c>
      <c r="DO657" s="262" t="s">
        <v>153</v>
      </c>
      <c r="DP657" s="263" t="s">
        <v>153</v>
      </c>
      <c r="DQ657" s="264" t="s">
        <v>153</v>
      </c>
      <c r="DR657" s="265" t="s">
        <v>153</v>
      </c>
      <c r="DS657" s="266" t="s">
        <v>153</v>
      </c>
      <c r="DT657" s="267" t="s">
        <v>153</v>
      </c>
      <c r="DU657" s="268" t="s">
        <v>153</v>
      </c>
      <c r="DV657" s="269" t="s">
        <v>153</v>
      </c>
      <c r="DW657" s="270" t="s">
        <v>153</v>
      </c>
      <c r="DX657" s="271" t="s">
        <v>153</v>
      </c>
      <c r="DY657" s="272" t="s">
        <v>153</v>
      </c>
      <c r="DZ657" s="273" t="s">
        <v>191</v>
      </c>
      <c r="EA657" s="274">
        <v>44217</v>
      </c>
      <c r="EB657" s="275">
        <v>7009.84</v>
      </c>
      <c r="EC657" s="276">
        <v>38506</v>
      </c>
      <c r="ED657" s="277" t="s">
        <v>226</v>
      </c>
      <c r="EE657" s="279" t="str">
        <f>HYPERLINK("https://my.pitchbook.com?c=151598-80", "View company online")</f>
        <v>View company online</v>
      </c>
    </row>
    <row r="658" spans="1:135" x14ac:dyDescent="0.45">
      <c r="A658" s="10" t="s">
        <v>13370</v>
      </c>
      <c r="B658" s="11" t="s">
        <v>13371</v>
      </c>
      <c r="C658" s="12" t="s">
        <v>153</v>
      </c>
      <c r="D658" s="13" t="s">
        <v>153</v>
      </c>
      <c r="E658" s="14" t="s">
        <v>153</v>
      </c>
      <c r="F658" s="15" t="s">
        <v>13372</v>
      </c>
      <c r="G658" s="16" t="s">
        <v>153</v>
      </c>
      <c r="H658" s="17" t="s">
        <v>153</v>
      </c>
      <c r="I658" s="18" t="s">
        <v>13370</v>
      </c>
      <c r="J658" s="19" t="s">
        <v>13373</v>
      </c>
      <c r="K658" s="20" t="s">
        <v>257</v>
      </c>
      <c r="L658" s="21" t="s">
        <v>258</v>
      </c>
      <c r="M658" s="22" t="s">
        <v>259</v>
      </c>
      <c r="N658" s="23" t="s">
        <v>260</v>
      </c>
      <c r="O658" s="24" t="s">
        <v>261</v>
      </c>
      <c r="P658" s="25" t="s">
        <v>13374</v>
      </c>
      <c r="Q658" s="26" t="s">
        <v>204</v>
      </c>
      <c r="R658" s="27" t="s">
        <v>153</v>
      </c>
      <c r="S658" s="28" t="s">
        <v>163</v>
      </c>
      <c r="T658" s="29" t="s">
        <v>205</v>
      </c>
      <c r="U658" s="30" t="s">
        <v>206</v>
      </c>
      <c r="V658" s="31" t="s">
        <v>153</v>
      </c>
      <c r="W658" s="32">
        <v>5000</v>
      </c>
      <c r="X658" s="33" t="s">
        <v>13375</v>
      </c>
      <c r="Y658" s="34" t="s">
        <v>153</v>
      </c>
      <c r="Z658" s="35" t="s">
        <v>153</v>
      </c>
      <c r="AA658" s="36" t="s">
        <v>153</v>
      </c>
      <c r="AB658" s="37" t="s">
        <v>153</v>
      </c>
      <c r="AC658" s="38" t="s">
        <v>153</v>
      </c>
      <c r="AD658" s="39" t="s">
        <v>153</v>
      </c>
      <c r="AE658" s="40" t="s">
        <v>153</v>
      </c>
      <c r="AF658" s="41" t="s">
        <v>153</v>
      </c>
      <c r="AG658" s="42" t="s">
        <v>153</v>
      </c>
      <c r="AH658" s="43" t="s">
        <v>153</v>
      </c>
      <c r="AI658" s="44" t="s">
        <v>153</v>
      </c>
      <c r="AJ658" s="45" t="s">
        <v>153</v>
      </c>
      <c r="AK658" s="46" t="s">
        <v>153</v>
      </c>
      <c r="AL658" s="47" t="s">
        <v>153</v>
      </c>
      <c r="AM658" s="48" t="s">
        <v>153</v>
      </c>
      <c r="AN658" s="49" t="s">
        <v>153</v>
      </c>
      <c r="AO658" s="50" t="s">
        <v>13376</v>
      </c>
      <c r="AP658" s="51" t="s">
        <v>13377</v>
      </c>
      <c r="AQ658" s="52" t="s">
        <v>13378</v>
      </c>
      <c r="AR658" s="53" t="s">
        <v>153</v>
      </c>
      <c r="AS658" s="54" t="s">
        <v>153</v>
      </c>
      <c r="AT658" s="55" t="s">
        <v>13379</v>
      </c>
      <c r="AU658" s="56" t="s">
        <v>13380</v>
      </c>
      <c r="AV658" s="57" t="s">
        <v>153</v>
      </c>
      <c r="AW658" s="58" t="s">
        <v>13381</v>
      </c>
      <c r="AX658" s="59" t="s">
        <v>153</v>
      </c>
      <c r="AY658" s="60" t="s">
        <v>13382</v>
      </c>
      <c r="AZ658" s="61" t="s">
        <v>352</v>
      </c>
      <c r="BA658" s="62" t="s">
        <v>153</v>
      </c>
      <c r="BB658" s="63" t="s">
        <v>153</v>
      </c>
      <c r="BC658" s="64" t="s">
        <v>153</v>
      </c>
      <c r="BD658" s="65" t="s">
        <v>180</v>
      </c>
      <c r="BE658" s="66" t="s">
        <v>181</v>
      </c>
      <c r="BF658" s="67" t="s">
        <v>13383</v>
      </c>
      <c r="BG658" s="68" t="s">
        <v>153</v>
      </c>
      <c r="BH658" s="69" t="s">
        <v>153</v>
      </c>
      <c r="BI658" s="70" t="s">
        <v>6916</v>
      </c>
      <c r="BJ658" s="71" t="s">
        <v>3080</v>
      </c>
      <c r="BK658" s="72" t="s">
        <v>153</v>
      </c>
      <c r="BL658" s="73" t="s">
        <v>153</v>
      </c>
      <c r="BM658" s="74" t="s">
        <v>3082</v>
      </c>
      <c r="BN658" s="75" t="s">
        <v>153</v>
      </c>
      <c r="BO658" s="76" t="s">
        <v>153</v>
      </c>
      <c r="BP658" s="77" t="s">
        <v>153</v>
      </c>
      <c r="BQ658" s="78">
        <v>39357</v>
      </c>
      <c r="BR658" s="79">
        <v>7001</v>
      </c>
      <c r="BS658" s="80" t="s">
        <v>186</v>
      </c>
      <c r="BT658" s="81">
        <v>7001</v>
      </c>
      <c r="BU658" s="82" t="s">
        <v>186</v>
      </c>
      <c r="BV658" s="83" t="s">
        <v>226</v>
      </c>
      <c r="BW658" s="84" t="s">
        <v>729</v>
      </c>
      <c r="BX658" s="85" t="s">
        <v>153</v>
      </c>
      <c r="BY658" s="86" t="s">
        <v>225</v>
      </c>
      <c r="BZ658" s="87" t="s">
        <v>153</v>
      </c>
      <c r="CA658" s="88" t="s">
        <v>190</v>
      </c>
      <c r="CB658" s="89">
        <v>39357</v>
      </c>
      <c r="CC658" s="90">
        <v>7001</v>
      </c>
      <c r="CD658" s="91" t="s">
        <v>186</v>
      </c>
      <c r="CE658" s="92">
        <v>7001</v>
      </c>
      <c r="CF658" s="93" t="s">
        <v>186</v>
      </c>
      <c r="CG658" s="94" t="s">
        <v>226</v>
      </c>
      <c r="CH658" s="95" t="s">
        <v>729</v>
      </c>
      <c r="CI658" s="96" t="s">
        <v>153</v>
      </c>
      <c r="CJ658" s="97" t="s">
        <v>225</v>
      </c>
      <c r="CK658" s="98">
        <v>39357</v>
      </c>
      <c r="CL658" s="99" t="s">
        <v>153</v>
      </c>
      <c r="CM658" s="100" t="s">
        <v>153</v>
      </c>
      <c r="CN658" s="101" t="s">
        <v>190</v>
      </c>
      <c r="CO658" s="102" t="s">
        <v>153</v>
      </c>
      <c r="CP658" s="103" t="s">
        <v>153</v>
      </c>
      <c r="CQ658" s="104" t="s">
        <v>153</v>
      </c>
      <c r="CR658" s="105" t="s">
        <v>153</v>
      </c>
      <c r="CS658" s="106" t="s">
        <v>153</v>
      </c>
      <c r="CT658" s="107" t="s">
        <v>153</v>
      </c>
      <c r="CU658" s="108" t="s">
        <v>153</v>
      </c>
      <c r="CV658" s="109" t="s">
        <v>153</v>
      </c>
      <c r="CW658" s="110" t="s">
        <v>153</v>
      </c>
      <c r="CX658" s="111" t="s">
        <v>153</v>
      </c>
      <c r="CY658" s="112" t="s">
        <v>153</v>
      </c>
      <c r="CZ658" s="113" t="s">
        <v>153</v>
      </c>
      <c r="DA658" s="114" t="s">
        <v>153</v>
      </c>
      <c r="DB658" s="115" t="s">
        <v>153</v>
      </c>
      <c r="DC658" s="116" t="s">
        <v>153</v>
      </c>
      <c r="DD658" s="117" t="s">
        <v>153</v>
      </c>
      <c r="DE658" s="118" t="s">
        <v>153</v>
      </c>
      <c r="DF658" s="119" t="s">
        <v>153</v>
      </c>
      <c r="DG658" s="120" t="s">
        <v>153</v>
      </c>
      <c r="DH658" s="121" t="s">
        <v>153</v>
      </c>
      <c r="DI658" s="122" t="s">
        <v>153</v>
      </c>
      <c r="DJ658" s="123" t="s">
        <v>153</v>
      </c>
      <c r="DK658" s="124" t="s">
        <v>153</v>
      </c>
      <c r="DL658" s="125" t="s">
        <v>153</v>
      </c>
      <c r="DM658" s="126" t="s">
        <v>153</v>
      </c>
      <c r="DN658" s="127" t="s">
        <v>153</v>
      </c>
      <c r="DO658" s="128" t="s">
        <v>153</v>
      </c>
      <c r="DP658" s="129" t="s">
        <v>153</v>
      </c>
      <c r="DQ658" s="130" t="s">
        <v>153</v>
      </c>
      <c r="DR658" s="131" t="s">
        <v>153</v>
      </c>
      <c r="DS658" s="132" t="s">
        <v>153</v>
      </c>
      <c r="DT658" s="133" t="s">
        <v>153</v>
      </c>
      <c r="DU658" s="134" t="s">
        <v>153</v>
      </c>
      <c r="DV658" s="135" t="s">
        <v>153</v>
      </c>
      <c r="DW658" s="136" t="s">
        <v>153</v>
      </c>
      <c r="DX658" s="137" t="s">
        <v>153</v>
      </c>
      <c r="DY658" s="138" t="s">
        <v>153</v>
      </c>
      <c r="DZ658" s="139" t="s">
        <v>191</v>
      </c>
      <c r="EA658" s="140">
        <v>44301</v>
      </c>
      <c r="EB658" s="141">
        <v>7001</v>
      </c>
      <c r="EC658" s="142">
        <v>39357</v>
      </c>
      <c r="ED658" s="143" t="s">
        <v>226</v>
      </c>
      <c r="EE658" s="278" t="str">
        <f>HYPERLINK("https://my.pitchbook.com?c=100061-38", "View company online")</f>
        <v>View company online</v>
      </c>
    </row>
    <row r="659" spans="1:135" x14ac:dyDescent="0.45">
      <c r="A659" s="144" t="s">
        <v>13384</v>
      </c>
      <c r="B659" s="145" t="s">
        <v>13385</v>
      </c>
      <c r="C659" s="146" t="s">
        <v>153</v>
      </c>
      <c r="D659" s="147" t="s">
        <v>153</v>
      </c>
      <c r="E659" s="148" t="s">
        <v>153</v>
      </c>
      <c r="F659" s="149" t="s">
        <v>153</v>
      </c>
      <c r="G659" s="150" t="s">
        <v>13386</v>
      </c>
      <c r="H659" s="151" t="s">
        <v>153</v>
      </c>
      <c r="I659" s="152" t="s">
        <v>13384</v>
      </c>
      <c r="J659" s="153" t="s">
        <v>13387</v>
      </c>
      <c r="K659" s="154" t="s">
        <v>792</v>
      </c>
      <c r="L659" s="155" t="s">
        <v>3864</v>
      </c>
      <c r="M659" s="156" t="s">
        <v>11494</v>
      </c>
      <c r="N659" s="157" t="s">
        <v>13388</v>
      </c>
      <c r="O659" s="158" t="s">
        <v>1119</v>
      </c>
      <c r="P659" s="159" t="s">
        <v>13389</v>
      </c>
      <c r="Q659" s="160" t="s">
        <v>204</v>
      </c>
      <c r="R659" s="161" t="s">
        <v>153</v>
      </c>
      <c r="S659" s="162" t="s">
        <v>163</v>
      </c>
      <c r="T659" s="163" t="s">
        <v>205</v>
      </c>
      <c r="U659" s="164" t="s">
        <v>206</v>
      </c>
      <c r="V659" s="165" t="s">
        <v>153</v>
      </c>
      <c r="W659" s="166" t="s">
        <v>153</v>
      </c>
      <c r="X659" s="167" t="s">
        <v>153</v>
      </c>
      <c r="Y659" s="168" t="s">
        <v>153</v>
      </c>
      <c r="Z659" s="169" t="s">
        <v>153</v>
      </c>
      <c r="AA659" s="170" t="s">
        <v>153</v>
      </c>
      <c r="AB659" s="171" t="s">
        <v>153</v>
      </c>
      <c r="AC659" s="172" t="s">
        <v>153</v>
      </c>
      <c r="AD659" s="173" t="s">
        <v>153</v>
      </c>
      <c r="AE659" s="174" t="s">
        <v>153</v>
      </c>
      <c r="AF659" s="175" t="s">
        <v>153</v>
      </c>
      <c r="AG659" s="176" t="s">
        <v>153</v>
      </c>
      <c r="AH659" s="177" t="s">
        <v>153</v>
      </c>
      <c r="AI659" s="178" t="s">
        <v>153</v>
      </c>
      <c r="AJ659" s="179" t="s">
        <v>153</v>
      </c>
      <c r="AK659" s="180" t="s">
        <v>153</v>
      </c>
      <c r="AL659" s="181" t="s">
        <v>153</v>
      </c>
      <c r="AM659" s="182" t="s">
        <v>153</v>
      </c>
      <c r="AN659" s="183" t="s">
        <v>153</v>
      </c>
      <c r="AO659" s="184" t="s">
        <v>153</v>
      </c>
      <c r="AP659" s="185" t="s">
        <v>153</v>
      </c>
      <c r="AQ659" s="186" t="s">
        <v>153</v>
      </c>
      <c r="AR659" s="187" t="s">
        <v>153</v>
      </c>
      <c r="AS659" s="188" t="s">
        <v>153</v>
      </c>
      <c r="AT659" s="189" t="s">
        <v>13390</v>
      </c>
      <c r="AU659" s="190" t="s">
        <v>13391</v>
      </c>
      <c r="AV659" s="191" t="s">
        <v>153</v>
      </c>
      <c r="AW659" s="192" t="s">
        <v>13392</v>
      </c>
      <c r="AX659" s="193" t="s">
        <v>13393</v>
      </c>
      <c r="AY659" s="194" t="s">
        <v>13394</v>
      </c>
      <c r="AZ659" s="195" t="s">
        <v>215</v>
      </c>
      <c r="BA659" s="196" t="s">
        <v>153</v>
      </c>
      <c r="BB659" s="197" t="s">
        <v>153</v>
      </c>
      <c r="BC659" s="198" t="s">
        <v>153</v>
      </c>
      <c r="BD659" s="199" t="s">
        <v>216</v>
      </c>
      <c r="BE659" s="200" t="s">
        <v>217</v>
      </c>
      <c r="BF659" s="201" t="s">
        <v>13395</v>
      </c>
      <c r="BG659" s="202" t="s">
        <v>153</v>
      </c>
      <c r="BH659" s="203" t="s">
        <v>153</v>
      </c>
      <c r="BI659" s="204" t="s">
        <v>13396</v>
      </c>
      <c r="BJ659" s="205" t="s">
        <v>1095</v>
      </c>
      <c r="BK659" s="206" t="s">
        <v>153</v>
      </c>
      <c r="BL659" s="207" t="s">
        <v>153</v>
      </c>
      <c r="BM659" s="208" t="s">
        <v>9641</v>
      </c>
      <c r="BN659" s="209" t="s">
        <v>153</v>
      </c>
      <c r="BO659" s="210" t="s">
        <v>153</v>
      </c>
      <c r="BP659" s="211" t="s">
        <v>153</v>
      </c>
      <c r="BQ659" s="212">
        <v>37257</v>
      </c>
      <c r="BR659" s="213">
        <v>7000</v>
      </c>
      <c r="BS659" s="214" t="s">
        <v>186</v>
      </c>
      <c r="BT659" s="215">
        <v>7000</v>
      </c>
      <c r="BU659" s="216" t="s">
        <v>186</v>
      </c>
      <c r="BV659" s="217" t="s">
        <v>226</v>
      </c>
      <c r="BW659" s="218" t="s">
        <v>729</v>
      </c>
      <c r="BX659" s="219" t="s">
        <v>153</v>
      </c>
      <c r="BY659" s="220" t="s">
        <v>225</v>
      </c>
      <c r="BZ659" s="221" t="s">
        <v>153</v>
      </c>
      <c r="CA659" s="222" t="s">
        <v>190</v>
      </c>
      <c r="CB659" s="223">
        <v>37257</v>
      </c>
      <c r="CC659" s="224">
        <v>7000</v>
      </c>
      <c r="CD659" s="225" t="s">
        <v>186</v>
      </c>
      <c r="CE659" s="226">
        <v>7000</v>
      </c>
      <c r="CF659" s="227" t="s">
        <v>186</v>
      </c>
      <c r="CG659" s="228" t="s">
        <v>226</v>
      </c>
      <c r="CH659" s="229" t="s">
        <v>729</v>
      </c>
      <c r="CI659" s="230" t="s">
        <v>153</v>
      </c>
      <c r="CJ659" s="231" t="s">
        <v>225</v>
      </c>
      <c r="CK659" s="232">
        <v>37257</v>
      </c>
      <c r="CL659" s="233" t="s">
        <v>153</v>
      </c>
      <c r="CM659" s="234" t="s">
        <v>153</v>
      </c>
      <c r="CN659" s="235" t="s">
        <v>190</v>
      </c>
      <c r="CO659" s="236" t="s">
        <v>153</v>
      </c>
      <c r="CP659" s="237" t="s">
        <v>153</v>
      </c>
      <c r="CQ659" s="238" t="s">
        <v>153</v>
      </c>
      <c r="CR659" s="239" t="s">
        <v>153</v>
      </c>
      <c r="CS659" s="240" t="s">
        <v>153</v>
      </c>
      <c r="CT659" s="241" t="s">
        <v>153</v>
      </c>
      <c r="CU659" s="242" t="s">
        <v>153</v>
      </c>
      <c r="CV659" s="243" t="s">
        <v>153</v>
      </c>
      <c r="CW659" s="244" t="s">
        <v>153</v>
      </c>
      <c r="CX659" s="245" t="s">
        <v>153</v>
      </c>
      <c r="CY659" s="246" t="s">
        <v>153</v>
      </c>
      <c r="CZ659" s="247" t="s">
        <v>153</v>
      </c>
      <c r="DA659" s="248" t="s">
        <v>153</v>
      </c>
      <c r="DB659" s="249" t="s">
        <v>153</v>
      </c>
      <c r="DC659" s="250" t="s">
        <v>153</v>
      </c>
      <c r="DD659" s="251" t="s">
        <v>153</v>
      </c>
      <c r="DE659" s="252" t="s">
        <v>153</v>
      </c>
      <c r="DF659" s="253" t="s">
        <v>153</v>
      </c>
      <c r="DG659" s="254" t="s">
        <v>153</v>
      </c>
      <c r="DH659" s="255" t="s">
        <v>153</v>
      </c>
      <c r="DI659" s="256" t="s">
        <v>153</v>
      </c>
      <c r="DJ659" s="257" t="s">
        <v>153</v>
      </c>
      <c r="DK659" s="258" t="s">
        <v>153</v>
      </c>
      <c r="DL659" s="259" t="s">
        <v>153</v>
      </c>
      <c r="DM659" s="260" t="s">
        <v>153</v>
      </c>
      <c r="DN659" s="261" t="s">
        <v>153</v>
      </c>
      <c r="DO659" s="262" t="s">
        <v>153</v>
      </c>
      <c r="DP659" s="263" t="s">
        <v>153</v>
      </c>
      <c r="DQ659" s="264" t="s">
        <v>153</v>
      </c>
      <c r="DR659" s="265" t="s">
        <v>153</v>
      </c>
      <c r="DS659" s="266" t="s">
        <v>153</v>
      </c>
      <c r="DT659" s="267" t="s">
        <v>153</v>
      </c>
      <c r="DU659" s="268" t="s">
        <v>153</v>
      </c>
      <c r="DV659" s="269" t="s">
        <v>153</v>
      </c>
      <c r="DW659" s="270" t="s">
        <v>153</v>
      </c>
      <c r="DX659" s="271" t="s">
        <v>153</v>
      </c>
      <c r="DY659" s="272" t="s">
        <v>153</v>
      </c>
      <c r="DZ659" s="273" t="s">
        <v>191</v>
      </c>
      <c r="EA659" s="274">
        <v>44147</v>
      </c>
      <c r="EB659" s="275">
        <v>7000</v>
      </c>
      <c r="EC659" s="276">
        <v>37257</v>
      </c>
      <c r="ED659" s="277" t="s">
        <v>226</v>
      </c>
      <c r="EE659" s="279" t="str">
        <f>HYPERLINK("https://my.pitchbook.com?c=154302-85", "View company online")</f>
        <v>View company online</v>
      </c>
    </row>
    <row r="660" spans="1:135" x14ac:dyDescent="0.45">
      <c r="A660" s="10" t="s">
        <v>13397</v>
      </c>
      <c r="B660" s="11" t="s">
        <v>13398</v>
      </c>
      <c r="C660" s="12" t="s">
        <v>153</v>
      </c>
      <c r="D660" s="13" t="s">
        <v>153</v>
      </c>
      <c r="E660" s="14" t="s">
        <v>153</v>
      </c>
      <c r="F660" s="15" t="s">
        <v>13399</v>
      </c>
      <c r="G660" s="16" t="s">
        <v>13400</v>
      </c>
      <c r="H660" s="17" t="s">
        <v>13401</v>
      </c>
      <c r="I660" s="18" t="s">
        <v>13397</v>
      </c>
      <c r="J660" s="19" t="s">
        <v>13402</v>
      </c>
      <c r="K660" s="20" t="s">
        <v>792</v>
      </c>
      <c r="L660" s="21" t="s">
        <v>793</v>
      </c>
      <c r="M660" s="22" t="s">
        <v>1117</v>
      </c>
      <c r="N660" s="23" t="s">
        <v>13403</v>
      </c>
      <c r="O660" s="24" t="s">
        <v>796</v>
      </c>
      <c r="P660" s="25" t="s">
        <v>13404</v>
      </c>
      <c r="Q660" s="26" t="s">
        <v>367</v>
      </c>
      <c r="R660" s="27">
        <v>2454.85</v>
      </c>
      <c r="S660" s="28" t="s">
        <v>368</v>
      </c>
      <c r="T660" s="29" t="s">
        <v>291</v>
      </c>
      <c r="U660" s="30" t="s">
        <v>565</v>
      </c>
      <c r="V660" s="31" t="s">
        <v>13405</v>
      </c>
      <c r="W660" s="32">
        <v>1519</v>
      </c>
      <c r="X660" s="33" t="s">
        <v>13406</v>
      </c>
      <c r="Y660" s="34" t="s">
        <v>13407</v>
      </c>
      <c r="Z660" s="35" t="s">
        <v>13408</v>
      </c>
      <c r="AA660" s="36">
        <v>1983</v>
      </c>
      <c r="AB660" s="37" t="s">
        <v>153</v>
      </c>
      <c r="AC660" s="38" t="s">
        <v>428</v>
      </c>
      <c r="AD660" s="39" t="s">
        <v>1264</v>
      </c>
      <c r="AE660" s="40">
        <v>9739</v>
      </c>
      <c r="AF660" s="41">
        <v>3981</v>
      </c>
      <c r="AG660" s="42">
        <v>-67</v>
      </c>
      <c r="AH660" s="43">
        <v>50695.63</v>
      </c>
      <c r="AI660" s="44">
        <v>2869</v>
      </c>
      <c r="AJ660" s="45">
        <v>1934</v>
      </c>
      <c r="AK660" s="46">
        <v>21269.25</v>
      </c>
      <c r="AL660" s="47">
        <v>30139</v>
      </c>
      <c r="AM660" s="48">
        <v>-4.3099999999999996</v>
      </c>
      <c r="AN660" s="49" t="s">
        <v>376</v>
      </c>
      <c r="AO660" s="50" t="s">
        <v>13409</v>
      </c>
      <c r="AP660" s="51" t="s">
        <v>13410</v>
      </c>
      <c r="AQ660" s="52" t="s">
        <v>13411</v>
      </c>
      <c r="AR660" s="53" t="s">
        <v>13412</v>
      </c>
      <c r="AS660" s="54" t="s">
        <v>13413</v>
      </c>
      <c r="AT660" s="55" t="s">
        <v>1124</v>
      </c>
      <c r="AU660" s="56" t="s">
        <v>13414</v>
      </c>
      <c r="AV660" s="57" t="s">
        <v>13415</v>
      </c>
      <c r="AW660" s="58" t="s">
        <v>1127</v>
      </c>
      <c r="AX660" s="59" t="s">
        <v>1128</v>
      </c>
      <c r="AY660" s="60" t="s">
        <v>1129</v>
      </c>
      <c r="AZ660" s="61" t="s">
        <v>215</v>
      </c>
      <c r="BA660" s="62" t="s">
        <v>13416</v>
      </c>
      <c r="BB660" s="63" t="s">
        <v>13417</v>
      </c>
      <c r="BC660" s="64" t="s">
        <v>13418</v>
      </c>
      <c r="BD660" s="65" t="s">
        <v>216</v>
      </c>
      <c r="BE660" s="66" t="s">
        <v>217</v>
      </c>
      <c r="BF660" s="67" t="s">
        <v>13419</v>
      </c>
      <c r="BG660" s="68" t="s">
        <v>13420</v>
      </c>
      <c r="BH660" s="69">
        <v>4</v>
      </c>
      <c r="BI660" s="70" t="s">
        <v>153</v>
      </c>
      <c r="BJ660" s="71" t="s">
        <v>13421</v>
      </c>
      <c r="BK660" s="72" t="s">
        <v>153</v>
      </c>
      <c r="BL660" s="73" t="s">
        <v>13422</v>
      </c>
      <c r="BM660" s="74" t="s">
        <v>13423</v>
      </c>
      <c r="BN660" s="75" t="s">
        <v>153</v>
      </c>
      <c r="BO660" s="76" t="s">
        <v>153</v>
      </c>
      <c r="BP660" s="77" t="s">
        <v>13424</v>
      </c>
      <c r="BQ660" s="78">
        <v>35249</v>
      </c>
      <c r="BR660" s="79" t="s">
        <v>153</v>
      </c>
      <c r="BS660" s="80" t="s">
        <v>153</v>
      </c>
      <c r="BT660" s="81" t="s">
        <v>153</v>
      </c>
      <c r="BU660" s="82" t="s">
        <v>153</v>
      </c>
      <c r="BV660" s="83" t="s">
        <v>251</v>
      </c>
      <c r="BW660" s="84" t="s">
        <v>153</v>
      </c>
      <c r="BX660" s="85" t="s">
        <v>153</v>
      </c>
      <c r="BY660" s="86" t="s">
        <v>252</v>
      </c>
      <c r="BZ660" s="87" t="s">
        <v>153</v>
      </c>
      <c r="CA660" s="88" t="s">
        <v>190</v>
      </c>
      <c r="CB660" s="89">
        <v>44098</v>
      </c>
      <c r="CC660" s="90">
        <v>7000</v>
      </c>
      <c r="CD660" s="91" t="s">
        <v>186</v>
      </c>
      <c r="CE660" s="92">
        <v>18571</v>
      </c>
      <c r="CF660" s="93" t="s">
        <v>187</v>
      </c>
      <c r="CG660" s="94" t="s">
        <v>906</v>
      </c>
      <c r="CH660" s="95" t="s">
        <v>153</v>
      </c>
      <c r="CI660" s="96" t="s">
        <v>153</v>
      </c>
      <c r="CJ660" s="97" t="s">
        <v>165</v>
      </c>
      <c r="CK660" s="98">
        <v>44098</v>
      </c>
      <c r="CL660" s="99" t="s">
        <v>153</v>
      </c>
      <c r="CM660" s="100" t="s">
        <v>153</v>
      </c>
      <c r="CN660" s="101" t="s">
        <v>190</v>
      </c>
      <c r="CO660" s="102">
        <v>0.34</v>
      </c>
      <c r="CP660" s="103">
        <v>92</v>
      </c>
      <c r="CQ660" s="104">
        <v>-0.01</v>
      </c>
      <c r="CR660" s="105">
        <v>-2.0299999999999998</v>
      </c>
      <c r="CS660" s="106">
        <v>0.39</v>
      </c>
      <c r="CT660" s="107">
        <v>92</v>
      </c>
      <c r="CU660" s="108">
        <v>0.3</v>
      </c>
      <c r="CV660" s="109">
        <v>94</v>
      </c>
      <c r="CW660" s="110">
        <v>0.82</v>
      </c>
      <c r="CX660" s="111">
        <v>81</v>
      </c>
      <c r="CY660" s="112">
        <v>-0.04</v>
      </c>
      <c r="CZ660" s="113">
        <v>5</v>
      </c>
      <c r="DA660" s="114">
        <v>0.3</v>
      </c>
      <c r="DB660" s="115">
        <v>94</v>
      </c>
      <c r="DC660" s="116">
        <v>21.17</v>
      </c>
      <c r="DD660" s="117">
        <v>96</v>
      </c>
      <c r="DE660" s="118">
        <v>0.09</v>
      </c>
      <c r="DF660" s="119">
        <v>0.41</v>
      </c>
      <c r="DG660" s="120">
        <v>30.57</v>
      </c>
      <c r="DH660" s="121">
        <v>97</v>
      </c>
      <c r="DI660" s="122">
        <v>11.78</v>
      </c>
      <c r="DJ660" s="123">
        <v>88</v>
      </c>
      <c r="DK660" s="124">
        <v>5.95</v>
      </c>
      <c r="DL660" s="125">
        <v>80</v>
      </c>
      <c r="DM660" s="126">
        <v>55.19</v>
      </c>
      <c r="DN660" s="127">
        <v>98</v>
      </c>
      <c r="DO660" s="128">
        <v>11.78</v>
      </c>
      <c r="DP660" s="129">
        <v>88</v>
      </c>
      <c r="DQ660" s="130">
        <v>3580</v>
      </c>
      <c r="DR660" s="131">
        <v>-186</v>
      </c>
      <c r="DS660" s="132">
        <v>-4.9400000000000004</v>
      </c>
      <c r="DT660" s="133">
        <v>882</v>
      </c>
      <c r="DU660" s="134">
        <v>4</v>
      </c>
      <c r="DV660" s="135">
        <v>0.46</v>
      </c>
      <c r="DW660" s="136">
        <v>3698</v>
      </c>
      <c r="DX660" s="137">
        <v>7</v>
      </c>
      <c r="DY660" s="138">
        <v>0.19</v>
      </c>
      <c r="DZ660" s="139" t="s">
        <v>191</v>
      </c>
      <c r="EA660" s="140">
        <v>44400</v>
      </c>
      <c r="EB660" s="141">
        <v>18571</v>
      </c>
      <c r="EC660" s="142">
        <v>44098</v>
      </c>
      <c r="ED660" s="143" t="s">
        <v>906</v>
      </c>
      <c r="EE660" s="278" t="str">
        <f>HYPERLINK("https://my.pitchbook.com?c=40730-41", "View company online")</f>
        <v>View company online</v>
      </c>
    </row>
    <row r="661" spans="1:135" x14ac:dyDescent="0.45">
      <c r="A661" s="144" t="s">
        <v>13425</v>
      </c>
      <c r="B661" s="145" t="s">
        <v>13426</v>
      </c>
      <c r="C661" s="146" t="s">
        <v>153</v>
      </c>
      <c r="D661" s="147" t="s">
        <v>153</v>
      </c>
      <c r="E661" s="148" t="s">
        <v>13427</v>
      </c>
      <c r="F661" s="149" t="s">
        <v>13428</v>
      </c>
      <c r="G661" s="150" t="s">
        <v>13429</v>
      </c>
      <c r="H661" s="151" t="s">
        <v>153</v>
      </c>
      <c r="I661" s="152" t="s">
        <v>13425</v>
      </c>
      <c r="J661" s="153" t="s">
        <v>13430</v>
      </c>
      <c r="K661" s="154" t="s">
        <v>232</v>
      </c>
      <c r="L661" s="155" t="s">
        <v>362</v>
      </c>
      <c r="M661" s="156" t="s">
        <v>362</v>
      </c>
      <c r="N661" s="157" t="s">
        <v>1102</v>
      </c>
      <c r="O661" s="158" t="s">
        <v>1167</v>
      </c>
      <c r="P661" s="159" t="s">
        <v>13431</v>
      </c>
      <c r="Q661" s="160" t="s">
        <v>204</v>
      </c>
      <c r="R661" s="161" t="s">
        <v>153</v>
      </c>
      <c r="S661" s="162" t="s">
        <v>290</v>
      </c>
      <c r="T661" s="163" t="s">
        <v>205</v>
      </c>
      <c r="U661" s="164" t="s">
        <v>237</v>
      </c>
      <c r="V661" s="165" t="s">
        <v>13432</v>
      </c>
      <c r="W661" s="166">
        <v>2640</v>
      </c>
      <c r="X661" s="167" t="s">
        <v>13433</v>
      </c>
      <c r="Y661" s="168" t="s">
        <v>153</v>
      </c>
      <c r="Z661" s="169" t="s">
        <v>153</v>
      </c>
      <c r="AA661" s="170">
        <v>1970</v>
      </c>
      <c r="AB661" s="171" t="s">
        <v>153</v>
      </c>
      <c r="AC661" s="172" t="s">
        <v>153</v>
      </c>
      <c r="AD661" s="173" t="s">
        <v>153</v>
      </c>
      <c r="AE661" s="174" t="s">
        <v>153</v>
      </c>
      <c r="AF661" s="175" t="s">
        <v>153</v>
      </c>
      <c r="AG661" s="176" t="s">
        <v>153</v>
      </c>
      <c r="AH661" s="177" t="s">
        <v>153</v>
      </c>
      <c r="AI661" s="178" t="s">
        <v>153</v>
      </c>
      <c r="AJ661" s="179" t="s">
        <v>153</v>
      </c>
      <c r="AK661" s="180" t="s">
        <v>153</v>
      </c>
      <c r="AL661" s="181" t="s">
        <v>153</v>
      </c>
      <c r="AM661" s="182" t="s">
        <v>153</v>
      </c>
      <c r="AN661" s="183" t="s">
        <v>798</v>
      </c>
      <c r="AO661" s="184" t="s">
        <v>153</v>
      </c>
      <c r="AP661" s="185" t="s">
        <v>153</v>
      </c>
      <c r="AQ661" s="186" t="s">
        <v>153</v>
      </c>
      <c r="AR661" s="187" t="s">
        <v>153</v>
      </c>
      <c r="AS661" s="188" t="s">
        <v>153</v>
      </c>
      <c r="AT661" s="189" t="s">
        <v>13434</v>
      </c>
      <c r="AU661" s="190" t="s">
        <v>13435</v>
      </c>
      <c r="AV661" s="191" t="s">
        <v>13436</v>
      </c>
      <c r="AW661" s="192" t="s">
        <v>13437</v>
      </c>
      <c r="AX661" s="193" t="s">
        <v>5243</v>
      </c>
      <c r="AY661" s="194" t="s">
        <v>13438</v>
      </c>
      <c r="AZ661" s="195" t="s">
        <v>215</v>
      </c>
      <c r="BA661" s="196" t="s">
        <v>153</v>
      </c>
      <c r="BB661" s="197" t="s">
        <v>153</v>
      </c>
      <c r="BC661" s="198" t="s">
        <v>153</v>
      </c>
      <c r="BD661" s="199" t="s">
        <v>216</v>
      </c>
      <c r="BE661" s="200" t="s">
        <v>217</v>
      </c>
      <c r="BF661" s="201" t="s">
        <v>13439</v>
      </c>
      <c r="BG661" s="202" t="s">
        <v>153</v>
      </c>
      <c r="BH661" s="203" t="s">
        <v>153</v>
      </c>
      <c r="BI661" s="204" t="s">
        <v>1160</v>
      </c>
      <c r="BJ661" s="205" t="s">
        <v>153</v>
      </c>
      <c r="BK661" s="206" t="s">
        <v>153</v>
      </c>
      <c r="BL661" s="207" t="s">
        <v>153</v>
      </c>
      <c r="BM661" s="208" t="s">
        <v>153</v>
      </c>
      <c r="BN661" s="209" t="s">
        <v>153</v>
      </c>
      <c r="BO661" s="210" t="s">
        <v>153</v>
      </c>
      <c r="BP661" s="211" t="s">
        <v>13440</v>
      </c>
      <c r="BQ661" s="212">
        <v>30854</v>
      </c>
      <c r="BR661" s="213" t="s">
        <v>153</v>
      </c>
      <c r="BS661" s="214" t="s">
        <v>153</v>
      </c>
      <c r="BT661" s="215" t="s">
        <v>153</v>
      </c>
      <c r="BU661" s="216" t="s">
        <v>153</v>
      </c>
      <c r="BV661" s="217" t="s">
        <v>251</v>
      </c>
      <c r="BW661" s="218" t="s">
        <v>153</v>
      </c>
      <c r="BX661" s="219" t="s">
        <v>153</v>
      </c>
      <c r="BY661" s="220" t="s">
        <v>252</v>
      </c>
      <c r="BZ661" s="221" t="s">
        <v>153</v>
      </c>
      <c r="CA661" s="222" t="s">
        <v>190</v>
      </c>
      <c r="CB661" s="223">
        <v>38018</v>
      </c>
      <c r="CC661" s="224">
        <v>7000</v>
      </c>
      <c r="CD661" s="225" t="s">
        <v>186</v>
      </c>
      <c r="CE661" s="226">
        <v>7000</v>
      </c>
      <c r="CF661" s="227" t="s">
        <v>186</v>
      </c>
      <c r="CG661" s="228" t="s">
        <v>226</v>
      </c>
      <c r="CH661" s="229" t="s">
        <v>153</v>
      </c>
      <c r="CI661" s="230" t="s">
        <v>153</v>
      </c>
      <c r="CJ661" s="231" t="s">
        <v>225</v>
      </c>
      <c r="CK661" s="232">
        <v>38018</v>
      </c>
      <c r="CL661" s="233" t="s">
        <v>153</v>
      </c>
      <c r="CM661" s="234" t="s">
        <v>153</v>
      </c>
      <c r="CN661" s="235" t="s">
        <v>190</v>
      </c>
      <c r="CO661" s="236" t="s">
        <v>153</v>
      </c>
      <c r="CP661" s="237" t="s">
        <v>153</v>
      </c>
      <c r="CQ661" s="238" t="s">
        <v>153</v>
      </c>
      <c r="CR661" s="239" t="s">
        <v>153</v>
      </c>
      <c r="CS661" s="240" t="s">
        <v>153</v>
      </c>
      <c r="CT661" s="241" t="s">
        <v>153</v>
      </c>
      <c r="CU661" s="242" t="s">
        <v>153</v>
      </c>
      <c r="CV661" s="243" t="s">
        <v>153</v>
      </c>
      <c r="CW661" s="244" t="s">
        <v>153</v>
      </c>
      <c r="CX661" s="245" t="s">
        <v>153</v>
      </c>
      <c r="CY661" s="246" t="s">
        <v>153</v>
      </c>
      <c r="CZ661" s="247" t="s">
        <v>153</v>
      </c>
      <c r="DA661" s="248" t="s">
        <v>153</v>
      </c>
      <c r="DB661" s="249" t="s">
        <v>153</v>
      </c>
      <c r="DC661" s="250" t="s">
        <v>153</v>
      </c>
      <c r="DD661" s="251" t="s">
        <v>153</v>
      </c>
      <c r="DE661" s="252" t="s">
        <v>153</v>
      </c>
      <c r="DF661" s="253" t="s">
        <v>153</v>
      </c>
      <c r="DG661" s="254" t="s">
        <v>153</v>
      </c>
      <c r="DH661" s="255" t="s">
        <v>153</v>
      </c>
      <c r="DI661" s="256" t="s">
        <v>153</v>
      </c>
      <c r="DJ661" s="257" t="s">
        <v>153</v>
      </c>
      <c r="DK661" s="258" t="s">
        <v>153</v>
      </c>
      <c r="DL661" s="259" t="s">
        <v>153</v>
      </c>
      <c r="DM661" s="260" t="s">
        <v>153</v>
      </c>
      <c r="DN661" s="261" t="s">
        <v>153</v>
      </c>
      <c r="DO661" s="262" t="s">
        <v>153</v>
      </c>
      <c r="DP661" s="263" t="s">
        <v>153</v>
      </c>
      <c r="DQ661" s="264" t="s">
        <v>153</v>
      </c>
      <c r="DR661" s="265" t="s">
        <v>153</v>
      </c>
      <c r="DS661" s="266" t="s">
        <v>153</v>
      </c>
      <c r="DT661" s="267" t="s">
        <v>153</v>
      </c>
      <c r="DU661" s="268" t="s">
        <v>153</v>
      </c>
      <c r="DV661" s="269" t="s">
        <v>153</v>
      </c>
      <c r="DW661" s="270" t="s">
        <v>153</v>
      </c>
      <c r="DX661" s="271" t="s">
        <v>153</v>
      </c>
      <c r="DY661" s="272" t="s">
        <v>153</v>
      </c>
      <c r="DZ661" s="273" t="s">
        <v>191</v>
      </c>
      <c r="EA661" s="274">
        <v>43940</v>
      </c>
      <c r="EB661" s="275">
        <v>7000</v>
      </c>
      <c r="EC661" s="276">
        <v>38018</v>
      </c>
      <c r="ED661" s="277" t="s">
        <v>226</v>
      </c>
      <c r="EE661" s="279" t="str">
        <f>HYPERLINK("https://my.pitchbook.com?c=90269-20", "View company online")</f>
        <v>View company online</v>
      </c>
    </row>
    <row r="662" spans="1:135" x14ac:dyDescent="0.45">
      <c r="A662" s="10" t="s">
        <v>13441</v>
      </c>
      <c r="B662" s="11" t="s">
        <v>13442</v>
      </c>
      <c r="C662" s="12" t="s">
        <v>153</v>
      </c>
      <c r="D662" s="13" t="s">
        <v>153</v>
      </c>
      <c r="E662" s="14" t="s">
        <v>13443</v>
      </c>
      <c r="F662" s="15" t="s">
        <v>153</v>
      </c>
      <c r="G662" s="16" t="s">
        <v>13444</v>
      </c>
      <c r="H662" s="17" t="s">
        <v>153</v>
      </c>
      <c r="I662" s="18" t="s">
        <v>13441</v>
      </c>
      <c r="J662" s="19" t="s">
        <v>13445</v>
      </c>
      <c r="K662" s="20" t="s">
        <v>257</v>
      </c>
      <c r="L662" s="21" t="s">
        <v>478</v>
      </c>
      <c r="M662" s="22" t="s">
        <v>1819</v>
      </c>
      <c r="N662" s="23" t="s">
        <v>13446</v>
      </c>
      <c r="O662" s="24" t="s">
        <v>596</v>
      </c>
      <c r="P662" s="25" t="s">
        <v>13447</v>
      </c>
      <c r="Q662" s="26" t="s">
        <v>564</v>
      </c>
      <c r="R662" s="27">
        <v>795.82</v>
      </c>
      <c r="S662" s="28" t="s">
        <v>163</v>
      </c>
      <c r="T662" s="29" t="s">
        <v>205</v>
      </c>
      <c r="U662" s="30" t="s">
        <v>1791</v>
      </c>
      <c r="V662" s="31" t="s">
        <v>153</v>
      </c>
      <c r="W662" s="32">
        <v>6400</v>
      </c>
      <c r="X662" s="33" t="s">
        <v>13448</v>
      </c>
      <c r="Y662" s="34" t="s">
        <v>153</v>
      </c>
      <c r="Z662" s="35" t="s">
        <v>153</v>
      </c>
      <c r="AA662" s="36">
        <v>1994</v>
      </c>
      <c r="AB662" s="37" t="s">
        <v>153</v>
      </c>
      <c r="AC662" s="38" t="s">
        <v>153</v>
      </c>
      <c r="AD662" s="39" t="s">
        <v>153</v>
      </c>
      <c r="AE662" s="40" t="s">
        <v>153</v>
      </c>
      <c r="AF662" s="41" t="s">
        <v>153</v>
      </c>
      <c r="AG662" s="42" t="s">
        <v>153</v>
      </c>
      <c r="AH662" s="43" t="s">
        <v>153</v>
      </c>
      <c r="AI662" s="44" t="s">
        <v>153</v>
      </c>
      <c r="AJ662" s="45" t="s">
        <v>153</v>
      </c>
      <c r="AK662" s="46" t="s">
        <v>153</v>
      </c>
      <c r="AL662" s="47" t="s">
        <v>153</v>
      </c>
      <c r="AM662" s="48" t="s">
        <v>153</v>
      </c>
      <c r="AN662" s="49" t="s">
        <v>1352</v>
      </c>
      <c r="AO662" s="50" t="s">
        <v>13449</v>
      </c>
      <c r="AP662" s="51" t="s">
        <v>13450</v>
      </c>
      <c r="AQ662" s="52" t="s">
        <v>2909</v>
      </c>
      <c r="AR662" s="53" t="s">
        <v>13451</v>
      </c>
      <c r="AS662" s="54" t="s">
        <v>153</v>
      </c>
      <c r="AT662" s="55" t="s">
        <v>13452</v>
      </c>
      <c r="AU662" s="56" t="s">
        <v>13453</v>
      </c>
      <c r="AV662" s="57" t="s">
        <v>153</v>
      </c>
      <c r="AW662" s="58" t="s">
        <v>13454</v>
      </c>
      <c r="AX662" s="59" t="s">
        <v>783</v>
      </c>
      <c r="AY662" s="60" t="s">
        <v>1954</v>
      </c>
      <c r="AZ662" s="61" t="s">
        <v>215</v>
      </c>
      <c r="BA662" s="62" t="s">
        <v>153</v>
      </c>
      <c r="BB662" s="63" t="s">
        <v>153</v>
      </c>
      <c r="BC662" s="64" t="s">
        <v>153</v>
      </c>
      <c r="BD662" s="65" t="s">
        <v>216</v>
      </c>
      <c r="BE662" s="66" t="s">
        <v>217</v>
      </c>
      <c r="BF662" s="67" t="s">
        <v>13455</v>
      </c>
      <c r="BG662" s="68" t="s">
        <v>153</v>
      </c>
      <c r="BH662" s="69" t="s">
        <v>153</v>
      </c>
      <c r="BI662" s="70" t="s">
        <v>4553</v>
      </c>
      <c r="BJ662" s="71" t="s">
        <v>13456</v>
      </c>
      <c r="BK662" s="72" t="s">
        <v>153</v>
      </c>
      <c r="BL662" s="73" t="s">
        <v>153</v>
      </c>
      <c r="BM662" s="74" t="s">
        <v>13457</v>
      </c>
      <c r="BN662" s="75" t="s">
        <v>153</v>
      </c>
      <c r="BO662" s="76" t="s">
        <v>153</v>
      </c>
      <c r="BP662" s="77" t="s">
        <v>13458</v>
      </c>
      <c r="BQ662" s="78">
        <v>34611</v>
      </c>
      <c r="BR662" s="79">
        <v>448</v>
      </c>
      <c r="BS662" s="80" t="s">
        <v>186</v>
      </c>
      <c r="BT662" s="81">
        <v>448</v>
      </c>
      <c r="BU662" s="82" t="s">
        <v>187</v>
      </c>
      <c r="BV662" s="83" t="s">
        <v>188</v>
      </c>
      <c r="BW662" s="84" t="s">
        <v>729</v>
      </c>
      <c r="BX662" s="85" t="s">
        <v>153</v>
      </c>
      <c r="BY662" s="86" t="s">
        <v>165</v>
      </c>
      <c r="BZ662" s="87" t="s">
        <v>1607</v>
      </c>
      <c r="CA662" s="88" t="s">
        <v>190</v>
      </c>
      <c r="CB662" s="89">
        <v>39393</v>
      </c>
      <c r="CC662" s="90">
        <v>7000</v>
      </c>
      <c r="CD662" s="91" t="s">
        <v>186</v>
      </c>
      <c r="CE662" s="92">
        <v>7000</v>
      </c>
      <c r="CF662" s="93" t="s">
        <v>187</v>
      </c>
      <c r="CG662" s="94" t="s">
        <v>226</v>
      </c>
      <c r="CH662" s="95" t="s">
        <v>930</v>
      </c>
      <c r="CI662" s="96" t="s">
        <v>153</v>
      </c>
      <c r="CJ662" s="97" t="s">
        <v>225</v>
      </c>
      <c r="CK662" s="98">
        <v>39393</v>
      </c>
      <c r="CL662" s="99" t="s">
        <v>153</v>
      </c>
      <c r="CM662" s="100" t="s">
        <v>153</v>
      </c>
      <c r="CN662" s="101" t="s">
        <v>190</v>
      </c>
      <c r="CO662" s="102" t="s">
        <v>153</v>
      </c>
      <c r="CP662" s="103" t="s">
        <v>153</v>
      </c>
      <c r="CQ662" s="104" t="s">
        <v>153</v>
      </c>
      <c r="CR662" s="105" t="s">
        <v>153</v>
      </c>
      <c r="CS662" s="106" t="s">
        <v>153</v>
      </c>
      <c r="CT662" s="107" t="s">
        <v>153</v>
      </c>
      <c r="CU662" s="108" t="s">
        <v>153</v>
      </c>
      <c r="CV662" s="109" t="s">
        <v>153</v>
      </c>
      <c r="CW662" s="110" t="s">
        <v>153</v>
      </c>
      <c r="CX662" s="111" t="s">
        <v>153</v>
      </c>
      <c r="CY662" s="112" t="s">
        <v>153</v>
      </c>
      <c r="CZ662" s="113" t="s">
        <v>153</v>
      </c>
      <c r="DA662" s="114" t="s">
        <v>153</v>
      </c>
      <c r="DB662" s="115" t="s">
        <v>153</v>
      </c>
      <c r="DC662" s="116" t="s">
        <v>153</v>
      </c>
      <c r="DD662" s="117" t="s">
        <v>153</v>
      </c>
      <c r="DE662" s="118" t="s">
        <v>153</v>
      </c>
      <c r="DF662" s="119" t="s">
        <v>153</v>
      </c>
      <c r="DG662" s="120" t="s">
        <v>153</v>
      </c>
      <c r="DH662" s="121" t="s">
        <v>153</v>
      </c>
      <c r="DI662" s="122" t="s">
        <v>153</v>
      </c>
      <c r="DJ662" s="123" t="s">
        <v>153</v>
      </c>
      <c r="DK662" s="124" t="s">
        <v>153</v>
      </c>
      <c r="DL662" s="125" t="s">
        <v>153</v>
      </c>
      <c r="DM662" s="126" t="s">
        <v>153</v>
      </c>
      <c r="DN662" s="127" t="s">
        <v>153</v>
      </c>
      <c r="DO662" s="128" t="s">
        <v>153</v>
      </c>
      <c r="DP662" s="129" t="s">
        <v>153</v>
      </c>
      <c r="DQ662" s="130" t="s">
        <v>153</v>
      </c>
      <c r="DR662" s="131" t="s">
        <v>153</v>
      </c>
      <c r="DS662" s="132" t="s">
        <v>153</v>
      </c>
      <c r="DT662" s="133" t="s">
        <v>153</v>
      </c>
      <c r="DU662" s="134" t="s">
        <v>153</v>
      </c>
      <c r="DV662" s="135" t="s">
        <v>153</v>
      </c>
      <c r="DW662" s="136" t="s">
        <v>153</v>
      </c>
      <c r="DX662" s="137" t="s">
        <v>153</v>
      </c>
      <c r="DY662" s="138" t="s">
        <v>153</v>
      </c>
      <c r="DZ662" s="139" t="s">
        <v>191</v>
      </c>
      <c r="EA662" s="140">
        <v>44217</v>
      </c>
      <c r="EB662" s="141">
        <v>7000</v>
      </c>
      <c r="EC662" s="142">
        <v>39393</v>
      </c>
      <c r="ED662" s="143" t="s">
        <v>226</v>
      </c>
      <c r="EE662" s="278" t="str">
        <f>HYPERLINK("https://my.pitchbook.com?c=41547-88", "View company online")</f>
        <v>View company online</v>
      </c>
    </row>
    <row r="663" spans="1:135" x14ac:dyDescent="0.45">
      <c r="A663" s="144" t="s">
        <v>13459</v>
      </c>
      <c r="B663" s="145" t="s">
        <v>13460</v>
      </c>
      <c r="C663" s="146" t="s">
        <v>153</v>
      </c>
      <c r="D663" s="147" t="s">
        <v>153</v>
      </c>
      <c r="E663" s="148" t="s">
        <v>13461</v>
      </c>
      <c r="F663" s="149" t="s">
        <v>153</v>
      </c>
      <c r="G663" s="150" t="s">
        <v>13462</v>
      </c>
      <c r="H663" s="151" t="s">
        <v>153</v>
      </c>
      <c r="I663" s="152" t="s">
        <v>13459</v>
      </c>
      <c r="J663" s="153" t="s">
        <v>13463</v>
      </c>
      <c r="K663" s="154" t="s">
        <v>198</v>
      </c>
      <c r="L663" s="155" t="s">
        <v>984</v>
      </c>
      <c r="M663" s="156" t="s">
        <v>985</v>
      </c>
      <c r="N663" s="157" t="s">
        <v>13464</v>
      </c>
      <c r="O663" s="158" t="s">
        <v>399</v>
      </c>
      <c r="P663" s="159" t="s">
        <v>13465</v>
      </c>
      <c r="Q663" s="160" t="s">
        <v>289</v>
      </c>
      <c r="R663" s="161">
        <v>81.62</v>
      </c>
      <c r="S663" s="162" t="s">
        <v>163</v>
      </c>
      <c r="T663" s="163" t="s">
        <v>205</v>
      </c>
      <c r="U663" s="164" t="s">
        <v>941</v>
      </c>
      <c r="V663" s="165" t="s">
        <v>153</v>
      </c>
      <c r="W663" s="166" t="s">
        <v>153</v>
      </c>
      <c r="X663" s="167" t="s">
        <v>153</v>
      </c>
      <c r="Y663" s="168" t="s">
        <v>153</v>
      </c>
      <c r="Z663" s="169" t="s">
        <v>153</v>
      </c>
      <c r="AA663" s="170">
        <v>1993</v>
      </c>
      <c r="AB663" s="171" t="s">
        <v>153</v>
      </c>
      <c r="AC663" s="172" t="s">
        <v>153</v>
      </c>
      <c r="AD663" s="173" t="s">
        <v>153</v>
      </c>
      <c r="AE663" s="174" t="s">
        <v>153</v>
      </c>
      <c r="AF663" s="175" t="s">
        <v>153</v>
      </c>
      <c r="AG663" s="176" t="s">
        <v>153</v>
      </c>
      <c r="AH663" s="177" t="s">
        <v>153</v>
      </c>
      <c r="AI663" s="178" t="s">
        <v>153</v>
      </c>
      <c r="AJ663" s="179" t="s">
        <v>153</v>
      </c>
      <c r="AK663" s="180" t="s">
        <v>153</v>
      </c>
      <c r="AL663" s="181" t="s">
        <v>153</v>
      </c>
      <c r="AM663" s="182" t="s">
        <v>153</v>
      </c>
      <c r="AN663" s="183" t="s">
        <v>13466</v>
      </c>
      <c r="AO663" s="184" t="s">
        <v>13467</v>
      </c>
      <c r="AP663" s="185" t="s">
        <v>13468</v>
      </c>
      <c r="AQ663" s="186" t="s">
        <v>5090</v>
      </c>
      <c r="AR663" s="187" t="s">
        <v>13469</v>
      </c>
      <c r="AS663" s="188" t="s">
        <v>153</v>
      </c>
      <c r="AT663" s="189" t="s">
        <v>13470</v>
      </c>
      <c r="AU663" s="190" t="s">
        <v>13471</v>
      </c>
      <c r="AV663" s="191" t="s">
        <v>153</v>
      </c>
      <c r="AW663" s="192" t="s">
        <v>13472</v>
      </c>
      <c r="AX663" s="193" t="s">
        <v>308</v>
      </c>
      <c r="AY663" s="194" t="s">
        <v>13473</v>
      </c>
      <c r="AZ663" s="195" t="s">
        <v>215</v>
      </c>
      <c r="BA663" s="196" t="s">
        <v>153</v>
      </c>
      <c r="BB663" s="197" t="s">
        <v>153</v>
      </c>
      <c r="BC663" s="198" t="s">
        <v>153</v>
      </c>
      <c r="BD663" s="199" t="s">
        <v>216</v>
      </c>
      <c r="BE663" s="200" t="s">
        <v>217</v>
      </c>
      <c r="BF663" s="201" t="s">
        <v>13474</v>
      </c>
      <c r="BG663" s="202" t="s">
        <v>153</v>
      </c>
      <c r="BH663" s="203" t="s">
        <v>153</v>
      </c>
      <c r="BI663" s="204" t="s">
        <v>13475</v>
      </c>
      <c r="BJ663" s="205" t="s">
        <v>13476</v>
      </c>
      <c r="BK663" s="206" t="s">
        <v>153</v>
      </c>
      <c r="BL663" s="207" t="s">
        <v>153</v>
      </c>
      <c r="BM663" s="208" t="s">
        <v>13477</v>
      </c>
      <c r="BN663" s="209" t="s">
        <v>153</v>
      </c>
      <c r="BO663" s="210" t="s">
        <v>153</v>
      </c>
      <c r="BP663" s="211" t="s">
        <v>13478</v>
      </c>
      <c r="BQ663" s="212" t="s">
        <v>153</v>
      </c>
      <c r="BR663" s="213">
        <v>0.02</v>
      </c>
      <c r="BS663" s="214" t="s">
        <v>186</v>
      </c>
      <c r="BT663" s="215" t="s">
        <v>153</v>
      </c>
      <c r="BU663" s="216" t="s">
        <v>153</v>
      </c>
      <c r="BV663" s="217" t="s">
        <v>13479</v>
      </c>
      <c r="BW663" s="218" t="s">
        <v>153</v>
      </c>
      <c r="BX663" s="219" t="s">
        <v>153</v>
      </c>
      <c r="BY663" s="220" t="s">
        <v>318</v>
      </c>
      <c r="BZ663" s="221" t="s">
        <v>153</v>
      </c>
      <c r="CA663" s="222" t="s">
        <v>190</v>
      </c>
      <c r="CB663" s="223">
        <v>36308</v>
      </c>
      <c r="CC663" s="224">
        <v>7000</v>
      </c>
      <c r="CD663" s="225" t="s">
        <v>186</v>
      </c>
      <c r="CE663" s="226">
        <v>7000</v>
      </c>
      <c r="CF663" s="227" t="s">
        <v>186</v>
      </c>
      <c r="CG663" s="228" t="s">
        <v>226</v>
      </c>
      <c r="CH663" s="229" t="s">
        <v>153</v>
      </c>
      <c r="CI663" s="230" t="s">
        <v>153</v>
      </c>
      <c r="CJ663" s="231" t="s">
        <v>225</v>
      </c>
      <c r="CK663" s="232">
        <v>36308</v>
      </c>
      <c r="CL663" s="233" t="s">
        <v>153</v>
      </c>
      <c r="CM663" s="234" t="s">
        <v>153</v>
      </c>
      <c r="CN663" s="235" t="s">
        <v>190</v>
      </c>
      <c r="CO663" s="236" t="s">
        <v>153</v>
      </c>
      <c r="CP663" s="237" t="s">
        <v>153</v>
      </c>
      <c r="CQ663" s="238" t="s">
        <v>153</v>
      </c>
      <c r="CR663" s="239" t="s">
        <v>153</v>
      </c>
      <c r="CS663" s="240" t="s">
        <v>153</v>
      </c>
      <c r="CT663" s="241" t="s">
        <v>153</v>
      </c>
      <c r="CU663" s="242" t="s">
        <v>153</v>
      </c>
      <c r="CV663" s="243" t="s">
        <v>153</v>
      </c>
      <c r="CW663" s="244" t="s">
        <v>153</v>
      </c>
      <c r="CX663" s="245" t="s">
        <v>153</v>
      </c>
      <c r="CY663" s="246" t="s">
        <v>153</v>
      </c>
      <c r="CZ663" s="247" t="s">
        <v>153</v>
      </c>
      <c r="DA663" s="248" t="s">
        <v>153</v>
      </c>
      <c r="DB663" s="249" t="s">
        <v>153</v>
      </c>
      <c r="DC663" s="250" t="s">
        <v>153</v>
      </c>
      <c r="DD663" s="251" t="s">
        <v>153</v>
      </c>
      <c r="DE663" s="252" t="s">
        <v>153</v>
      </c>
      <c r="DF663" s="253" t="s">
        <v>153</v>
      </c>
      <c r="DG663" s="254" t="s">
        <v>153</v>
      </c>
      <c r="DH663" s="255" t="s">
        <v>153</v>
      </c>
      <c r="DI663" s="256" t="s">
        <v>153</v>
      </c>
      <c r="DJ663" s="257" t="s">
        <v>153</v>
      </c>
      <c r="DK663" s="258" t="s">
        <v>153</v>
      </c>
      <c r="DL663" s="259" t="s">
        <v>153</v>
      </c>
      <c r="DM663" s="260" t="s">
        <v>153</v>
      </c>
      <c r="DN663" s="261" t="s">
        <v>153</v>
      </c>
      <c r="DO663" s="262" t="s">
        <v>153</v>
      </c>
      <c r="DP663" s="263" t="s">
        <v>153</v>
      </c>
      <c r="DQ663" s="264" t="s">
        <v>153</v>
      </c>
      <c r="DR663" s="265" t="s">
        <v>153</v>
      </c>
      <c r="DS663" s="266" t="s">
        <v>153</v>
      </c>
      <c r="DT663" s="267" t="s">
        <v>153</v>
      </c>
      <c r="DU663" s="268" t="s">
        <v>153</v>
      </c>
      <c r="DV663" s="269" t="s">
        <v>153</v>
      </c>
      <c r="DW663" s="270" t="s">
        <v>153</v>
      </c>
      <c r="DX663" s="271" t="s">
        <v>153</v>
      </c>
      <c r="DY663" s="272" t="s">
        <v>153</v>
      </c>
      <c r="DZ663" s="273" t="s">
        <v>191</v>
      </c>
      <c r="EA663" s="274">
        <v>44186</v>
      </c>
      <c r="EB663" s="275">
        <v>7000</v>
      </c>
      <c r="EC663" s="276">
        <v>36308</v>
      </c>
      <c r="ED663" s="277" t="s">
        <v>226</v>
      </c>
      <c r="EE663" s="279" t="str">
        <f>HYPERLINK("https://my.pitchbook.com?c=54327-88", "View company online")</f>
        <v>View company online</v>
      </c>
    </row>
    <row r="664" spans="1:135" x14ac:dyDescent="0.45">
      <c r="A664" s="10" t="s">
        <v>13480</v>
      </c>
      <c r="B664" s="11" t="s">
        <v>13481</v>
      </c>
      <c r="C664" s="12" t="s">
        <v>153</v>
      </c>
      <c r="D664" s="13" t="s">
        <v>153</v>
      </c>
      <c r="E664" s="14" t="s">
        <v>153</v>
      </c>
      <c r="F664" s="15" t="s">
        <v>13482</v>
      </c>
      <c r="G664" s="16" t="s">
        <v>153</v>
      </c>
      <c r="H664" s="17" t="s">
        <v>153</v>
      </c>
      <c r="I664" s="18" t="s">
        <v>13480</v>
      </c>
      <c r="J664" s="19" t="s">
        <v>13483</v>
      </c>
      <c r="K664" s="20" t="s">
        <v>559</v>
      </c>
      <c r="L664" s="21" t="s">
        <v>1345</v>
      </c>
      <c r="M664" s="22" t="s">
        <v>2470</v>
      </c>
      <c r="N664" s="23" t="s">
        <v>3703</v>
      </c>
      <c r="O664" s="24" t="s">
        <v>153</v>
      </c>
      <c r="P664" s="25" t="s">
        <v>13484</v>
      </c>
      <c r="Q664" s="26" t="s">
        <v>204</v>
      </c>
      <c r="R664" s="27" t="s">
        <v>153</v>
      </c>
      <c r="S664" s="28" t="s">
        <v>163</v>
      </c>
      <c r="T664" s="29" t="s">
        <v>205</v>
      </c>
      <c r="U664" s="30" t="s">
        <v>206</v>
      </c>
      <c r="V664" s="31" t="s">
        <v>153</v>
      </c>
      <c r="W664" s="32" t="s">
        <v>153</v>
      </c>
      <c r="X664" s="33" t="s">
        <v>153</v>
      </c>
      <c r="Y664" s="34" t="s">
        <v>153</v>
      </c>
      <c r="Z664" s="35" t="s">
        <v>153</v>
      </c>
      <c r="AA664" s="36" t="s">
        <v>153</v>
      </c>
      <c r="AB664" s="37" t="s">
        <v>153</v>
      </c>
      <c r="AC664" s="38" t="s">
        <v>153</v>
      </c>
      <c r="AD664" s="39" t="s">
        <v>153</v>
      </c>
      <c r="AE664" s="40" t="s">
        <v>153</v>
      </c>
      <c r="AF664" s="41" t="s">
        <v>153</v>
      </c>
      <c r="AG664" s="42" t="s">
        <v>153</v>
      </c>
      <c r="AH664" s="43" t="s">
        <v>153</v>
      </c>
      <c r="AI664" s="44" t="s">
        <v>153</v>
      </c>
      <c r="AJ664" s="45" t="s">
        <v>153</v>
      </c>
      <c r="AK664" s="46" t="s">
        <v>153</v>
      </c>
      <c r="AL664" s="47" t="s">
        <v>153</v>
      </c>
      <c r="AM664" s="48" t="s">
        <v>153</v>
      </c>
      <c r="AN664" s="49" t="s">
        <v>153</v>
      </c>
      <c r="AO664" s="50" t="s">
        <v>153</v>
      </c>
      <c r="AP664" s="51" t="s">
        <v>153</v>
      </c>
      <c r="AQ664" s="52" t="s">
        <v>153</v>
      </c>
      <c r="AR664" s="53" t="s">
        <v>153</v>
      </c>
      <c r="AS664" s="54" t="s">
        <v>153</v>
      </c>
      <c r="AT664" s="55" t="s">
        <v>13485</v>
      </c>
      <c r="AU664" s="56" t="s">
        <v>153</v>
      </c>
      <c r="AV664" s="57" t="s">
        <v>153</v>
      </c>
      <c r="AW664" s="58" t="s">
        <v>13486</v>
      </c>
      <c r="AX664" s="59" t="s">
        <v>153</v>
      </c>
      <c r="AY664" s="60" t="s">
        <v>153</v>
      </c>
      <c r="AZ664" s="61" t="s">
        <v>13487</v>
      </c>
      <c r="BA664" s="62" t="s">
        <v>153</v>
      </c>
      <c r="BB664" s="63" t="s">
        <v>153</v>
      </c>
      <c r="BC664" s="64" t="s">
        <v>153</v>
      </c>
      <c r="BD664" s="65" t="s">
        <v>216</v>
      </c>
      <c r="BE664" s="66" t="s">
        <v>3004</v>
      </c>
      <c r="BF664" s="67" t="s">
        <v>13488</v>
      </c>
      <c r="BG664" s="68" t="s">
        <v>153</v>
      </c>
      <c r="BH664" s="69" t="s">
        <v>153</v>
      </c>
      <c r="BI664" s="70" t="s">
        <v>13489</v>
      </c>
      <c r="BJ664" s="71" t="s">
        <v>2194</v>
      </c>
      <c r="BK664" s="72" t="s">
        <v>13490</v>
      </c>
      <c r="BL664" s="73" t="s">
        <v>153</v>
      </c>
      <c r="BM664" s="74" t="s">
        <v>13491</v>
      </c>
      <c r="BN664" s="75" t="s">
        <v>13492</v>
      </c>
      <c r="BO664" s="76" t="s">
        <v>153</v>
      </c>
      <c r="BP664" s="77" t="s">
        <v>13493</v>
      </c>
      <c r="BQ664" s="78">
        <v>41852</v>
      </c>
      <c r="BR664" s="79">
        <v>7000</v>
      </c>
      <c r="BS664" s="80" t="s">
        <v>186</v>
      </c>
      <c r="BT664" s="81">
        <v>7000</v>
      </c>
      <c r="BU664" s="82" t="s">
        <v>186</v>
      </c>
      <c r="BV664" s="83" t="s">
        <v>226</v>
      </c>
      <c r="BW664" s="84" t="s">
        <v>729</v>
      </c>
      <c r="BX664" s="85" t="s">
        <v>153</v>
      </c>
      <c r="BY664" s="86" t="s">
        <v>225</v>
      </c>
      <c r="BZ664" s="87" t="s">
        <v>1432</v>
      </c>
      <c r="CA664" s="88" t="s">
        <v>190</v>
      </c>
      <c r="CB664" s="89">
        <v>41852</v>
      </c>
      <c r="CC664" s="90">
        <v>7000</v>
      </c>
      <c r="CD664" s="91" t="s">
        <v>186</v>
      </c>
      <c r="CE664" s="92">
        <v>7000</v>
      </c>
      <c r="CF664" s="93" t="s">
        <v>186</v>
      </c>
      <c r="CG664" s="94" t="s">
        <v>226</v>
      </c>
      <c r="CH664" s="95" t="s">
        <v>729</v>
      </c>
      <c r="CI664" s="96" t="s">
        <v>153</v>
      </c>
      <c r="CJ664" s="97" t="s">
        <v>225</v>
      </c>
      <c r="CK664" s="98">
        <v>41852</v>
      </c>
      <c r="CL664" s="99" t="s">
        <v>153</v>
      </c>
      <c r="CM664" s="100" t="s">
        <v>1432</v>
      </c>
      <c r="CN664" s="101" t="s">
        <v>190</v>
      </c>
      <c r="CO664" s="102" t="s">
        <v>153</v>
      </c>
      <c r="CP664" s="103" t="s">
        <v>153</v>
      </c>
      <c r="CQ664" s="104" t="s">
        <v>153</v>
      </c>
      <c r="CR664" s="105" t="s">
        <v>153</v>
      </c>
      <c r="CS664" s="106" t="s">
        <v>153</v>
      </c>
      <c r="CT664" s="107" t="s">
        <v>153</v>
      </c>
      <c r="CU664" s="108" t="s">
        <v>153</v>
      </c>
      <c r="CV664" s="109" t="s">
        <v>153</v>
      </c>
      <c r="CW664" s="110" t="s">
        <v>153</v>
      </c>
      <c r="CX664" s="111" t="s">
        <v>153</v>
      </c>
      <c r="CY664" s="112" t="s">
        <v>153</v>
      </c>
      <c r="CZ664" s="113" t="s">
        <v>153</v>
      </c>
      <c r="DA664" s="114" t="s">
        <v>153</v>
      </c>
      <c r="DB664" s="115" t="s">
        <v>153</v>
      </c>
      <c r="DC664" s="116" t="s">
        <v>153</v>
      </c>
      <c r="DD664" s="117" t="s">
        <v>153</v>
      </c>
      <c r="DE664" s="118" t="s">
        <v>153</v>
      </c>
      <c r="DF664" s="119" t="s">
        <v>153</v>
      </c>
      <c r="DG664" s="120" t="s">
        <v>153</v>
      </c>
      <c r="DH664" s="121" t="s">
        <v>153</v>
      </c>
      <c r="DI664" s="122" t="s">
        <v>153</v>
      </c>
      <c r="DJ664" s="123" t="s">
        <v>153</v>
      </c>
      <c r="DK664" s="124" t="s">
        <v>153</v>
      </c>
      <c r="DL664" s="125" t="s">
        <v>153</v>
      </c>
      <c r="DM664" s="126" t="s">
        <v>153</v>
      </c>
      <c r="DN664" s="127" t="s">
        <v>153</v>
      </c>
      <c r="DO664" s="128" t="s">
        <v>153</v>
      </c>
      <c r="DP664" s="129" t="s">
        <v>153</v>
      </c>
      <c r="DQ664" s="130" t="s">
        <v>153</v>
      </c>
      <c r="DR664" s="131" t="s">
        <v>153</v>
      </c>
      <c r="DS664" s="132" t="s">
        <v>153</v>
      </c>
      <c r="DT664" s="133" t="s">
        <v>153</v>
      </c>
      <c r="DU664" s="134" t="s">
        <v>153</v>
      </c>
      <c r="DV664" s="135" t="s">
        <v>153</v>
      </c>
      <c r="DW664" s="136" t="s">
        <v>153</v>
      </c>
      <c r="DX664" s="137" t="s">
        <v>153</v>
      </c>
      <c r="DY664" s="138" t="s">
        <v>153</v>
      </c>
      <c r="DZ664" s="139" t="s">
        <v>191</v>
      </c>
      <c r="EA664" s="140">
        <v>44147</v>
      </c>
      <c r="EB664" s="141">
        <v>7000</v>
      </c>
      <c r="EC664" s="142">
        <v>41852</v>
      </c>
      <c r="ED664" s="143" t="s">
        <v>226</v>
      </c>
      <c r="EE664" s="278" t="str">
        <f>HYPERLINK("https://my.pitchbook.com?c=57302-11", "View company online")</f>
        <v>View company online</v>
      </c>
    </row>
    <row r="665" spans="1:135" x14ac:dyDescent="0.45">
      <c r="A665" s="144" t="s">
        <v>13494</v>
      </c>
      <c r="B665" s="145" t="s">
        <v>13495</v>
      </c>
      <c r="C665" s="146" t="s">
        <v>153</v>
      </c>
      <c r="D665" s="147" t="s">
        <v>153</v>
      </c>
      <c r="E665" s="148" t="s">
        <v>153</v>
      </c>
      <c r="F665" s="149" t="s">
        <v>13496</v>
      </c>
      <c r="G665" s="150" t="s">
        <v>13497</v>
      </c>
      <c r="H665" s="151" t="s">
        <v>153</v>
      </c>
      <c r="I665" s="152" t="s">
        <v>13494</v>
      </c>
      <c r="J665" s="153" t="s">
        <v>13498</v>
      </c>
      <c r="K665" s="154" t="s">
        <v>257</v>
      </c>
      <c r="L665" s="155" t="s">
        <v>258</v>
      </c>
      <c r="M665" s="156" t="s">
        <v>448</v>
      </c>
      <c r="N665" s="157" t="s">
        <v>5082</v>
      </c>
      <c r="O665" s="158" t="s">
        <v>450</v>
      </c>
      <c r="P665" s="159" t="s">
        <v>13499</v>
      </c>
      <c r="Q665" s="160" t="s">
        <v>289</v>
      </c>
      <c r="R665" s="161">
        <v>112.5</v>
      </c>
      <c r="S665" s="162" t="s">
        <v>163</v>
      </c>
      <c r="T665" s="163" t="s">
        <v>205</v>
      </c>
      <c r="U665" s="164" t="s">
        <v>12662</v>
      </c>
      <c r="V665" s="165" t="s">
        <v>13500</v>
      </c>
      <c r="W665" s="166" t="s">
        <v>153</v>
      </c>
      <c r="X665" s="167" t="s">
        <v>153</v>
      </c>
      <c r="Y665" s="168" t="s">
        <v>153</v>
      </c>
      <c r="Z665" s="169" t="s">
        <v>153</v>
      </c>
      <c r="AA665" s="170">
        <v>2016</v>
      </c>
      <c r="AB665" s="171" t="s">
        <v>153</v>
      </c>
      <c r="AC665" s="172" t="s">
        <v>153</v>
      </c>
      <c r="AD665" s="173" t="s">
        <v>153</v>
      </c>
      <c r="AE665" s="174" t="s">
        <v>153</v>
      </c>
      <c r="AF665" s="175" t="s">
        <v>153</v>
      </c>
      <c r="AG665" s="176" t="s">
        <v>153</v>
      </c>
      <c r="AH665" s="177" t="s">
        <v>153</v>
      </c>
      <c r="AI665" s="178" t="s">
        <v>153</v>
      </c>
      <c r="AJ665" s="179" t="s">
        <v>153</v>
      </c>
      <c r="AK665" s="180" t="s">
        <v>153</v>
      </c>
      <c r="AL665" s="181" t="s">
        <v>153</v>
      </c>
      <c r="AM665" s="182" t="s">
        <v>153</v>
      </c>
      <c r="AN665" s="183" t="s">
        <v>153</v>
      </c>
      <c r="AO665" s="184" t="s">
        <v>13501</v>
      </c>
      <c r="AP665" s="185" t="s">
        <v>13502</v>
      </c>
      <c r="AQ665" s="186" t="s">
        <v>13503</v>
      </c>
      <c r="AR665" s="187" t="s">
        <v>153</v>
      </c>
      <c r="AS665" s="188" t="s">
        <v>13504</v>
      </c>
      <c r="AT665" s="189" t="s">
        <v>5540</v>
      </c>
      <c r="AU665" s="190" t="s">
        <v>13505</v>
      </c>
      <c r="AV665" s="191" t="s">
        <v>13506</v>
      </c>
      <c r="AW665" s="192" t="s">
        <v>5542</v>
      </c>
      <c r="AX665" s="193" t="s">
        <v>308</v>
      </c>
      <c r="AY665" s="194" t="s">
        <v>6591</v>
      </c>
      <c r="AZ665" s="195" t="s">
        <v>215</v>
      </c>
      <c r="BA665" s="196" t="s">
        <v>153</v>
      </c>
      <c r="BB665" s="197" t="s">
        <v>153</v>
      </c>
      <c r="BC665" s="198" t="s">
        <v>153</v>
      </c>
      <c r="BD665" s="199" t="s">
        <v>216</v>
      </c>
      <c r="BE665" s="200" t="s">
        <v>217</v>
      </c>
      <c r="BF665" s="201" t="s">
        <v>13507</v>
      </c>
      <c r="BG665" s="202" t="s">
        <v>153</v>
      </c>
      <c r="BH665" s="203" t="s">
        <v>153</v>
      </c>
      <c r="BI665" s="204" t="s">
        <v>444</v>
      </c>
      <c r="BJ665" s="205" t="s">
        <v>13508</v>
      </c>
      <c r="BK665" s="206" t="s">
        <v>153</v>
      </c>
      <c r="BL665" s="207" t="s">
        <v>153</v>
      </c>
      <c r="BM665" s="208" t="s">
        <v>13509</v>
      </c>
      <c r="BN665" s="209" t="s">
        <v>153</v>
      </c>
      <c r="BO665" s="210" t="s">
        <v>153</v>
      </c>
      <c r="BP665" s="211" t="s">
        <v>13510</v>
      </c>
      <c r="BQ665" s="212">
        <v>43021</v>
      </c>
      <c r="BR665" s="213">
        <v>22.5</v>
      </c>
      <c r="BS665" s="214" t="s">
        <v>186</v>
      </c>
      <c r="BT665" s="215">
        <v>62.5</v>
      </c>
      <c r="BU665" s="216" t="s">
        <v>186</v>
      </c>
      <c r="BV665" s="217" t="s">
        <v>471</v>
      </c>
      <c r="BW665" s="218" t="s">
        <v>1811</v>
      </c>
      <c r="BX665" s="219" t="s">
        <v>153</v>
      </c>
      <c r="BY665" s="220" t="s">
        <v>472</v>
      </c>
      <c r="BZ665" s="221" t="s">
        <v>153</v>
      </c>
      <c r="CA665" s="222" t="s">
        <v>190</v>
      </c>
      <c r="CB665" s="223">
        <v>43143</v>
      </c>
      <c r="CC665" s="224">
        <v>7000</v>
      </c>
      <c r="CD665" s="225" t="s">
        <v>187</v>
      </c>
      <c r="CE665" s="226">
        <v>7000</v>
      </c>
      <c r="CF665" s="227" t="s">
        <v>187</v>
      </c>
      <c r="CG665" s="228" t="s">
        <v>226</v>
      </c>
      <c r="CH665" s="229" t="s">
        <v>153</v>
      </c>
      <c r="CI665" s="230" t="s">
        <v>153</v>
      </c>
      <c r="CJ665" s="231" t="s">
        <v>225</v>
      </c>
      <c r="CK665" s="232">
        <v>43143</v>
      </c>
      <c r="CL665" s="233" t="s">
        <v>153</v>
      </c>
      <c r="CM665" s="234" t="s">
        <v>153</v>
      </c>
      <c r="CN665" s="235" t="s">
        <v>190</v>
      </c>
      <c r="CO665" s="236" t="s">
        <v>153</v>
      </c>
      <c r="CP665" s="237" t="s">
        <v>153</v>
      </c>
      <c r="CQ665" s="238" t="s">
        <v>153</v>
      </c>
      <c r="CR665" s="239" t="s">
        <v>153</v>
      </c>
      <c r="CS665" s="240" t="s">
        <v>153</v>
      </c>
      <c r="CT665" s="241" t="s">
        <v>153</v>
      </c>
      <c r="CU665" s="242" t="s">
        <v>153</v>
      </c>
      <c r="CV665" s="243" t="s">
        <v>153</v>
      </c>
      <c r="CW665" s="244" t="s">
        <v>153</v>
      </c>
      <c r="CX665" s="245" t="s">
        <v>153</v>
      </c>
      <c r="CY665" s="246" t="s">
        <v>153</v>
      </c>
      <c r="CZ665" s="247" t="s">
        <v>153</v>
      </c>
      <c r="DA665" s="248" t="s">
        <v>153</v>
      </c>
      <c r="DB665" s="249" t="s">
        <v>153</v>
      </c>
      <c r="DC665" s="250" t="s">
        <v>153</v>
      </c>
      <c r="DD665" s="251" t="s">
        <v>153</v>
      </c>
      <c r="DE665" s="252" t="s">
        <v>153</v>
      </c>
      <c r="DF665" s="253" t="s">
        <v>153</v>
      </c>
      <c r="DG665" s="254" t="s">
        <v>153</v>
      </c>
      <c r="DH665" s="255" t="s">
        <v>153</v>
      </c>
      <c r="DI665" s="256" t="s">
        <v>153</v>
      </c>
      <c r="DJ665" s="257" t="s">
        <v>153</v>
      </c>
      <c r="DK665" s="258" t="s">
        <v>153</v>
      </c>
      <c r="DL665" s="259" t="s">
        <v>153</v>
      </c>
      <c r="DM665" s="260" t="s">
        <v>153</v>
      </c>
      <c r="DN665" s="261" t="s">
        <v>153</v>
      </c>
      <c r="DO665" s="262" t="s">
        <v>153</v>
      </c>
      <c r="DP665" s="263" t="s">
        <v>153</v>
      </c>
      <c r="DQ665" s="264" t="s">
        <v>153</v>
      </c>
      <c r="DR665" s="265" t="s">
        <v>153</v>
      </c>
      <c r="DS665" s="266" t="s">
        <v>153</v>
      </c>
      <c r="DT665" s="267" t="s">
        <v>153</v>
      </c>
      <c r="DU665" s="268" t="s">
        <v>153</v>
      </c>
      <c r="DV665" s="269" t="s">
        <v>153</v>
      </c>
      <c r="DW665" s="270" t="s">
        <v>153</v>
      </c>
      <c r="DX665" s="271" t="s">
        <v>153</v>
      </c>
      <c r="DY665" s="272" t="s">
        <v>153</v>
      </c>
      <c r="DZ665" s="273" t="s">
        <v>191</v>
      </c>
      <c r="EA665" s="274">
        <v>44210</v>
      </c>
      <c r="EB665" s="275">
        <v>7000</v>
      </c>
      <c r="EC665" s="276">
        <v>43143</v>
      </c>
      <c r="ED665" s="277" t="s">
        <v>226</v>
      </c>
      <c r="EE665" s="279" t="str">
        <f>HYPERLINK("https://my.pitchbook.com?c=221447-89", "View company online")</f>
        <v>View company online</v>
      </c>
    </row>
    <row r="666" spans="1:135" x14ac:dyDescent="0.45">
      <c r="A666" s="10" t="s">
        <v>13511</v>
      </c>
      <c r="B666" s="11" t="s">
        <v>13512</v>
      </c>
      <c r="C666" s="12" t="s">
        <v>153</v>
      </c>
      <c r="D666" s="13" t="s">
        <v>153</v>
      </c>
      <c r="E666" s="14" t="s">
        <v>13513</v>
      </c>
      <c r="F666" s="15" t="s">
        <v>153</v>
      </c>
      <c r="G666" s="16" t="s">
        <v>13514</v>
      </c>
      <c r="H666" s="17" t="s">
        <v>13515</v>
      </c>
      <c r="I666" s="18" t="s">
        <v>13511</v>
      </c>
      <c r="J666" s="19" t="s">
        <v>13516</v>
      </c>
      <c r="K666" s="20" t="s">
        <v>157</v>
      </c>
      <c r="L666" s="21" t="s">
        <v>158</v>
      </c>
      <c r="M666" s="22" t="s">
        <v>3842</v>
      </c>
      <c r="N666" s="23" t="s">
        <v>13517</v>
      </c>
      <c r="O666" s="24" t="s">
        <v>13518</v>
      </c>
      <c r="P666" s="25" t="s">
        <v>13519</v>
      </c>
      <c r="Q666" s="26" t="s">
        <v>289</v>
      </c>
      <c r="R666" s="27">
        <v>20019.2</v>
      </c>
      <c r="S666" s="28" t="s">
        <v>290</v>
      </c>
      <c r="T666" s="29" t="s">
        <v>291</v>
      </c>
      <c r="U666" s="30" t="s">
        <v>482</v>
      </c>
      <c r="V666" s="31" t="s">
        <v>13520</v>
      </c>
      <c r="W666" s="32">
        <v>69205</v>
      </c>
      <c r="X666" s="33" t="s">
        <v>13521</v>
      </c>
      <c r="Y666" s="34" t="s">
        <v>1674</v>
      </c>
      <c r="Z666" s="35" t="s">
        <v>13522</v>
      </c>
      <c r="AA666" s="36">
        <v>2010</v>
      </c>
      <c r="AB666" s="37" t="s">
        <v>153</v>
      </c>
      <c r="AC666" s="38" t="s">
        <v>671</v>
      </c>
      <c r="AD666" s="39" t="s">
        <v>12289</v>
      </c>
      <c r="AE666" s="40">
        <v>16616.150000000001</v>
      </c>
      <c r="AF666" s="41">
        <v>4928.6499999999996</v>
      </c>
      <c r="AG666" s="42">
        <v>681.51</v>
      </c>
      <c r="AH666" s="43">
        <v>215592.7</v>
      </c>
      <c r="AI666" s="44">
        <v>1357.29</v>
      </c>
      <c r="AJ666" s="45">
        <v>605.46</v>
      </c>
      <c r="AK666" s="46">
        <v>215457.86</v>
      </c>
      <c r="AL666" s="47">
        <v>-5668.84</v>
      </c>
      <c r="AM666" s="48">
        <v>17.7</v>
      </c>
      <c r="AN666" s="49" t="s">
        <v>168</v>
      </c>
      <c r="AO666" s="50" t="s">
        <v>13523</v>
      </c>
      <c r="AP666" s="51" t="s">
        <v>13524</v>
      </c>
      <c r="AQ666" s="52" t="s">
        <v>6788</v>
      </c>
      <c r="AR666" s="53" t="s">
        <v>13525</v>
      </c>
      <c r="AS666" s="54" t="s">
        <v>13526</v>
      </c>
      <c r="AT666" s="55" t="s">
        <v>3972</v>
      </c>
      <c r="AU666" s="56" t="s">
        <v>13527</v>
      </c>
      <c r="AV666" s="57" t="s">
        <v>13528</v>
      </c>
      <c r="AW666" s="58" t="s">
        <v>3974</v>
      </c>
      <c r="AX666" s="59" t="s">
        <v>153</v>
      </c>
      <c r="AY666" s="60" t="s">
        <v>13529</v>
      </c>
      <c r="AZ666" s="61" t="s">
        <v>1519</v>
      </c>
      <c r="BA666" s="62" t="s">
        <v>13526</v>
      </c>
      <c r="BB666" s="63" t="s">
        <v>153</v>
      </c>
      <c r="BC666" s="64" t="s">
        <v>13530</v>
      </c>
      <c r="BD666" s="65" t="s">
        <v>1406</v>
      </c>
      <c r="BE666" s="66" t="s">
        <v>1407</v>
      </c>
      <c r="BF666" s="67" t="s">
        <v>13531</v>
      </c>
      <c r="BG666" s="68" t="s">
        <v>13532</v>
      </c>
      <c r="BH666" s="69">
        <v>8</v>
      </c>
      <c r="BI666" s="70" t="s">
        <v>153</v>
      </c>
      <c r="BJ666" s="71" t="s">
        <v>13533</v>
      </c>
      <c r="BK666" s="72" t="s">
        <v>153</v>
      </c>
      <c r="BL666" s="73" t="s">
        <v>13534</v>
      </c>
      <c r="BM666" s="74" t="s">
        <v>13535</v>
      </c>
      <c r="BN666" s="75" t="s">
        <v>153</v>
      </c>
      <c r="BO666" s="76" t="s">
        <v>13536</v>
      </c>
      <c r="BP666" s="77" t="s">
        <v>13537</v>
      </c>
      <c r="BQ666" s="78">
        <v>42285</v>
      </c>
      <c r="BR666" s="79" t="s">
        <v>153</v>
      </c>
      <c r="BS666" s="80" t="s">
        <v>153</v>
      </c>
      <c r="BT666" s="81" t="s">
        <v>153</v>
      </c>
      <c r="BU666" s="82" t="s">
        <v>153</v>
      </c>
      <c r="BV666" s="83" t="s">
        <v>589</v>
      </c>
      <c r="BW666" s="84" t="s">
        <v>153</v>
      </c>
      <c r="BX666" s="85" t="s">
        <v>153</v>
      </c>
      <c r="BY666" s="86" t="s">
        <v>472</v>
      </c>
      <c r="BZ666" s="87" t="s">
        <v>153</v>
      </c>
      <c r="CA666" s="88" t="s">
        <v>190</v>
      </c>
      <c r="CB666" s="89">
        <v>44305</v>
      </c>
      <c r="CC666" s="90">
        <v>7000</v>
      </c>
      <c r="CD666" s="91" t="s">
        <v>186</v>
      </c>
      <c r="CE666" s="92" t="s">
        <v>153</v>
      </c>
      <c r="CF666" s="93" t="s">
        <v>153</v>
      </c>
      <c r="CG666" s="94" t="s">
        <v>393</v>
      </c>
      <c r="CH666" s="95" t="s">
        <v>153</v>
      </c>
      <c r="CI666" s="96" t="s">
        <v>153</v>
      </c>
      <c r="CJ666" s="97" t="s">
        <v>225</v>
      </c>
      <c r="CK666" s="98">
        <v>44305</v>
      </c>
      <c r="CL666" s="99" t="s">
        <v>153</v>
      </c>
      <c r="CM666" s="100" t="s">
        <v>153</v>
      </c>
      <c r="CN666" s="101" t="s">
        <v>1278</v>
      </c>
      <c r="CO666" s="102">
        <v>-1.61</v>
      </c>
      <c r="CP666" s="103">
        <v>2</v>
      </c>
      <c r="CQ666" s="104">
        <v>0</v>
      </c>
      <c r="CR666" s="105">
        <v>0</v>
      </c>
      <c r="CS666" s="106">
        <v>-4.17</v>
      </c>
      <c r="CT666" s="107">
        <v>1</v>
      </c>
      <c r="CU666" s="108">
        <v>0.95</v>
      </c>
      <c r="CV666" s="109">
        <v>98</v>
      </c>
      <c r="CW666" s="110">
        <v>-4.17</v>
      </c>
      <c r="CX666" s="111">
        <v>6</v>
      </c>
      <c r="CY666" s="112" t="s">
        <v>153</v>
      </c>
      <c r="CZ666" s="113" t="s">
        <v>153</v>
      </c>
      <c r="DA666" s="114">
        <v>0.95</v>
      </c>
      <c r="DB666" s="115">
        <v>98</v>
      </c>
      <c r="DC666" s="116">
        <v>22.09</v>
      </c>
      <c r="DD666" s="117">
        <v>96</v>
      </c>
      <c r="DE666" s="118">
        <v>0.02</v>
      </c>
      <c r="DF666" s="119">
        <v>0.08</v>
      </c>
      <c r="DG666" s="120">
        <v>38.369999999999997</v>
      </c>
      <c r="DH666" s="121">
        <v>98</v>
      </c>
      <c r="DI666" s="122">
        <v>5.81</v>
      </c>
      <c r="DJ666" s="123">
        <v>80</v>
      </c>
      <c r="DK666" s="124">
        <v>38.369999999999997</v>
      </c>
      <c r="DL666" s="125">
        <v>94</v>
      </c>
      <c r="DM666" s="126" t="s">
        <v>153</v>
      </c>
      <c r="DN666" s="127" t="s">
        <v>153</v>
      </c>
      <c r="DO666" s="128">
        <v>5.81</v>
      </c>
      <c r="DP666" s="129">
        <v>80</v>
      </c>
      <c r="DQ666" s="130">
        <v>22992</v>
      </c>
      <c r="DR666" s="131">
        <v>-881</v>
      </c>
      <c r="DS666" s="132">
        <v>-3.69</v>
      </c>
      <c r="DT666" s="133" t="s">
        <v>153</v>
      </c>
      <c r="DU666" s="134" t="s">
        <v>153</v>
      </c>
      <c r="DV666" s="135" t="s">
        <v>153</v>
      </c>
      <c r="DW666" s="136">
        <v>1816</v>
      </c>
      <c r="DX666" s="137">
        <v>18</v>
      </c>
      <c r="DY666" s="138">
        <v>1</v>
      </c>
      <c r="DZ666" s="139" t="s">
        <v>191</v>
      </c>
      <c r="EA666" s="140">
        <v>44377</v>
      </c>
      <c r="EB666" s="141">
        <v>52800</v>
      </c>
      <c r="EC666" s="142">
        <v>43363</v>
      </c>
      <c r="ED666" s="143" t="s">
        <v>251</v>
      </c>
      <c r="EE666" s="278" t="str">
        <f>HYPERLINK("https://my.pitchbook.com?c=127257-58", "View company online")</f>
        <v>View company online</v>
      </c>
    </row>
    <row r="667" spans="1:135" x14ac:dyDescent="0.45">
      <c r="A667" s="144" t="s">
        <v>13538</v>
      </c>
      <c r="B667" s="145" t="s">
        <v>13539</v>
      </c>
      <c r="C667" s="146" t="s">
        <v>153</v>
      </c>
      <c r="D667" s="147" t="s">
        <v>153</v>
      </c>
      <c r="E667" s="148" t="s">
        <v>153</v>
      </c>
      <c r="F667" s="149" t="s">
        <v>153</v>
      </c>
      <c r="G667" s="150" t="s">
        <v>153</v>
      </c>
      <c r="H667" s="151" t="s">
        <v>153</v>
      </c>
      <c r="I667" s="152" t="s">
        <v>13538</v>
      </c>
      <c r="J667" s="153" t="s">
        <v>13540</v>
      </c>
      <c r="K667" s="154" t="s">
        <v>882</v>
      </c>
      <c r="L667" s="155" t="s">
        <v>2888</v>
      </c>
      <c r="M667" s="156" t="s">
        <v>2889</v>
      </c>
      <c r="N667" s="157" t="s">
        <v>3484</v>
      </c>
      <c r="O667" s="158" t="s">
        <v>153</v>
      </c>
      <c r="P667" s="159" t="s">
        <v>13541</v>
      </c>
      <c r="Q667" s="160" t="s">
        <v>204</v>
      </c>
      <c r="R667" s="161" t="s">
        <v>153</v>
      </c>
      <c r="S667" s="162" t="s">
        <v>153</v>
      </c>
      <c r="T667" s="163" t="s">
        <v>205</v>
      </c>
      <c r="U667" s="164" t="s">
        <v>206</v>
      </c>
      <c r="V667" s="165" t="s">
        <v>153</v>
      </c>
      <c r="W667" s="166" t="s">
        <v>153</v>
      </c>
      <c r="X667" s="167" t="s">
        <v>153</v>
      </c>
      <c r="Y667" s="168" t="s">
        <v>153</v>
      </c>
      <c r="Z667" s="169" t="s">
        <v>153</v>
      </c>
      <c r="AA667" s="170" t="s">
        <v>153</v>
      </c>
      <c r="AB667" s="171" t="s">
        <v>153</v>
      </c>
      <c r="AC667" s="172" t="s">
        <v>153</v>
      </c>
      <c r="AD667" s="173" t="s">
        <v>153</v>
      </c>
      <c r="AE667" s="174" t="s">
        <v>153</v>
      </c>
      <c r="AF667" s="175" t="s">
        <v>153</v>
      </c>
      <c r="AG667" s="176" t="s">
        <v>153</v>
      </c>
      <c r="AH667" s="177" t="s">
        <v>153</v>
      </c>
      <c r="AI667" s="178" t="s">
        <v>153</v>
      </c>
      <c r="AJ667" s="179" t="s">
        <v>153</v>
      </c>
      <c r="AK667" s="180" t="s">
        <v>153</v>
      </c>
      <c r="AL667" s="181" t="s">
        <v>153</v>
      </c>
      <c r="AM667" s="182" t="s">
        <v>153</v>
      </c>
      <c r="AN667" s="183" t="s">
        <v>153</v>
      </c>
      <c r="AO667" s="184" t="s">
        <v>153</v>
      </c>
      <c r="AP667" s="185" t="s">
        <v>153</v>
      </c>
      <c r="AQ667" s="186" t="s">
        <v>153</v>
      </c>
      <c r="AR667" s="187" t="s">
        <v>153</v>
      </c>
      <c r="AS667" s="188" t="s">
        <v>153</v>
      </c>
      <c r="AT667" s="189" t="s">
        <v>433</v>
      </c>
      <c r="AU667" s="190" t="s">
        <v>13542</v>
      </c>
      <c r="AV667" s="191" t="s">
        <v>153</v>
      </c>
      <c r="AW667" s="192" t="s">
        <v>436</v>
      </c>
      <c r="AX667" s="193" t="s">
        <v>436</v>
      </c>
      <c r="AY667" s="194" t="s">
        <v>13543</v>
      </c>
      <c r="AZ667" s="195" t="s">
        <v>215</v>
      </c>
      <c r="BA667" s="196" t="s">
        <v>153</v>
      </c>
      <c r="BB667" s="197" t="s">
        <v>153</v>
      </c>
      <c r="BC667" s="198" t="s">
        <v>153</v>
      </c>
      <c r="BD667" s="199" t="s">
        <v>216</v>
      </c>
      <c r="BE667" s="200" t="s">
        <v>217</v>
      </c>
      <c r="BF667" s="201" t="s">
        <v>13544</v>
      </c>
      <c r="BG667" s="202" t="s">
        <v>153</v>
      </c>
      <c r="BH667" s="203" t="s">
        <v>153</v>
      </c>
      <c r="BI667" s="204" t="s">
        <v>1971</v>
      </c>
      <c r="BJ667" s="205" t="s">
        <v>7292</v>
      </c>
      <c r="BK667" s="206" t="s">
        <v>153</v>
      </c>
      <c r="BL667" s="207" t="s">
        <v>153</v>
      </c>
      <c r="BM667" s="208" t="s">
        <v>13545</v>
      </c>
      <c r="BN667" s="209" t="s">
        <v>153</v>
      </c>
      <c r="BO667" s="210" t="s">
        <v>153</v>
      </c>
      <c r="BP667" s="211" t="s">
        <v>153</v>
      </c>
      <c r="BQ667" s="212">
        <v>41183</v>
      </c>
      <c r="BR667" s="213">
        <v>7000</v>
      </c>
      <c r="BS667" s="214" t="s">
        <v>186</v>
      </c>
      <c r="BT667" s="215">
        <v>7000</v>
      </c>
      <c r="BU667" s="216" t="s">
        <v>186</v>
      </c>
      <c r="BV667" s="217" t="s">
        <v>1524</v>
      </c>
      <c r="BW667" s="218" t="s">
        <v>1525</v>
      </c>
      <c r="BX667" s="219" t="s">
        <v>1526</v>
      </c>
      <c r="BY667" s="220" t="s">
        <v>225</v>
      </c>
      <c r="BZ667" s="221" t="s">
        <v>153</v>
      </c>
      <c r="CA667" s="222" t="s">
        <v>190</v>
      </c>
      <c r="CB667" s="223">
        <v>41183</v>
      </c>
      <c r="CC667" s="224">
        <v>7000</v>
      </c>
      <c r="CD667" s="225" t="s">
        <v>186</v>
      </c>
      <c r="CE667" s="226">
        <v>7000</v>
      </c>
      <c r="CF667" s="227" t="s">
        <v>186</v>
      </c>
      <c r="CG667" s="228" t="s">
        <v>1524</v>
      </c>
      <c r="CH667" s="229" t="s">
        <v>1525</v>
      </c>
      <c r="CI667" s="230" t="s">
        <v>1526</v>
      </c>
      <c r="CJ667" s="231" t="s">
        <v>225</v>
      </c>
      <c r="CK667" s="232">
        <v>41183</v>
      </c>
      <c r="CL667" s="233" t="s">
        <v>153</v>
      </c>
      <c r="CM667" s="234" t="s">
        <v>153</v>
      </c>
      <c r="CN667" s="235" t="s">
        <v>190</v>
      </c>
      <c r="CO667" s="236" t="s">
        <v>153</v>
      </c>
      <c r="CP667" s="237" t="s">
        <v>153</v>
      </c>
      <c r="CQ667" s="238" t="s">
        <v>153</v>
      </c>
      <c r="CR667" s="239" t="s">
        <v>153</v>
      </c>
      <c r="CS667" s="240" t="s">
        <v>153</v>
      </c>
      <c r="CT667" s="241" t="s">
        <v>153</v>
      </c>
      <c r="CU667" s="242" t="s">
        <v>153</v>
      </c>
      <c r="CV667" s="243" t="s">
        <v>153</v>
      </c>
      <c r="CW667" s="244" t="s">
        <v>153</v>
      </c>
      <c r="CX667" s="245" t="s">
        <v>153</v>
      </c>
      <c r="CY667" s="246" t="s">
        <v>153</v>
      </c>
      <c r="CZ667" s="247" t="s">
        <v>153</v>
      </c>
      <c r="DA667" s="248" t="s">
        <v>153</v>
      </c>
      <c r="DB667" s="249" t="s">
        <v>153</v>
      </c>
      <c r="DC667" s="250" t="s">
        <v>153</v>
      </c>
      <c r="DD667" s="251" t="s">
        <v>153</v>
      </c>
      <c r="DE667" s="252" t="s">
        <v>153</v>
      </c>
      <c r="DF667" s="253" t="s">
        <v>153</v>
      </c>
      <c r="DG667" s="254" t="s">
        <v>153</v>
      </c>
      <c r="DH667" s="255" t="s">
        <v>153</v>
      </c>
      <c r="DI667" s="256" t="s">
        <v>153</v>
      </c>
      <c r="DJ667" s="257" t="s">
        <v>153</v>
      </c>
      <c r="DK667" s="258" t="s">
        <v>153</v>
      </c>
      <c r="DL667" s="259" t="s">
        <v>153</v>
      </c>
      <c r="DM667" s="260" t="s">
        <v>153</v>
      </c>
      <c r="DN667" s="261" t="s">
        <v>153</v>
      </c>
      <c r="DO667" s="262" t="s">
        <v>153</v>
      </c>
      <c r="DP667" s="263" t="s">
        <v>153</v>
      </c>
      <c r="DQ667" s="264" t="s">
        <v>153</v>
      </c>
      <c r="DR667" s="265" t="s">
        <v>153</v>
      </c>
      <c r="DS667" s="266" t="s">
        <v>153</v>
      </c>
      <c r="DT667" s="267" t="s">
        <v>153</v>
      </c>
      <c r="DU667" s="268" t="s">
        <v>153</v>
      </c>
      <c r="DV667" s="269" t="s">
        <v>153</v>
      </c>
      <c r="DW667" s="270" t="s">
        <v>153</v>
      </c>
      <c r="DX667" s="271" t="s">
        <v>153</v>
      </c>
      <c r="DY667" s="272" t="s">
        <v>153</v>
      </c>
      <c r="DZ667" s="273" t="s">
        <v>191</v>
      </c>
      <c r="EA667" s="274">
        <v>44327</v>
      </c>
      <c r="EB667" s="275">
        <v>7000</v>
      </c>
      <c r="EC667" s="276">
        <v>41183</v>
      </c>
      <c r="ED667" s="277" t="s">
        <v>1524</v>
      </c>
      <c r="EE667" s="279" t="str">
        <f>HYPERLINK("https://my.pitchbook.com?c=154993-69", "View company online")</f>
        <v>View company online</v>
      </c>
    </row>
    <row r="668" spans="1:135" x14ac:dyDescent="0.45">
      <c r="A668" s="10" t="s">
        <v>13546</v>
      </c>
      <c r="B668" s="11" t="s">
        <v>13547</v>
      </c>
      <c r="C668" s="12" t="s">
        <v>153</v>
      </c>
      <c r="D668" s="13" t="s">
        <v>153</v>
      </c>
      <c r="E668" s="14" t="s">
        <v>153</v>
      </c>
      <c r="F668" s="15" t="s">
        <v>13548</v>
      </c>
      <c r="G668" s="16" t="s">
        <v>13549</v>
      </c>
      <c r="H668" s="17" t="s">
        <v>13550</v>
      </c>
      <c r="I668" s="18" t="s">
        <v>13546</v>
      </c>
      <c r="J668" s="19" t="s">
        <v>13551</v>
      </c>
      <c r="K668" s="20" t="s">
        <v>792</v>
      </c>
      <c r="L668" s="21" t="s">
        <v>793</v>
      </c>
      <c r="M668" s="22" t="s">
        <v>1211</v>
      </c>
      <c r="N668" s="23" t="s">
        <v>13552</v>
      </c>
      <c r="O668" s="24" t="s">
        <v>6807</v>
      </c>
      <c r="P668" s="25" t="s">
        <v>13553</v>
      </c>
      <c r="Q668" s="26" t="s">
        <v>204</v>
      </c>
      <c r="R668" s="27" t="s">
        <v>153</v>
      </c>
      <c r="S668" s="28" t="s">
        <v>290</v>
      </c>
      <c r="T668" s="29" t="s">
        <v>205</v>
      </c>
      <c r="U668" s="30" t="s">
        <v>237</v>
      </c>
      <c r="V668" s="31" t="s">
        <v>13554</v>
      </c>
      <c r="W668" s="32">
        <v>1634</v>
      </c>
      <c r="X668" s="33" t="s">
        <v>13555</v>
      </c>
      <c r="Y668" s="34" t="s">
        <v>153</v>
      </c>
      <c r="Z668" s="35" t="s">
        <v>153</v>
      </c>
      <c r="AA668" s="36">
        <v>2001</v>
      </c>
      <c r="AB668" s="37" t="s">
        <v>153</v>
      </c>
      <c r="AC668" s="38" t="s">
        <v>153</v>
      </c>
      <c r="AD668" s="39" t="s">
        <v>153</v>
      </c>
      <c r="AE668" s="40">
        <v>4737</v>
      </c>
      <c r="AF668" s="41">
        <v>1881</v>
      </c>
      <c r="AG668" s="42">
        <v>515</v>
      </c>
      <c r="AH668" s="43" t="s">
        <v>153</v>
      </c>
      <c r="AI668" s="44">
        <v>1502</v>
      </c>
      <c r="AJ668" s="45">
        <v>704</v>
      </c>
      <c r="AK668" s="46" t="s">
        <v>153</v>
      </c>
      <c r="AL668" s="47">
        <v>7043</v>
      </c>
      <c r="AM668" s="48">
        <v>-0.23</v>
      </c>
      <c r="AN668" s="49" t="s">
        <v>376</v>
      </c>
      <c r="AO668" s="50" t="s">
        <v>153</v>
      </c>
      <c r="AP668" s="51" t="s">
        <v>153</v>
      </c>
      <c r="AQ668" s="52" t="s">
        <v>153</v>
      </c>
      <c r="AR668" s="53" t="s">
        <v>153</v>
      </c>
      <c r="AS668" s="54" t="s">
        <v>153</v>
      </c>
      <c r="AT668" s="55" t="s">
        <v>13556</v>
      </c>
      <c r="AU668" s="56" t="s">
        <v>13557</v>
      </c>
      <c r="AV668" s="57" t="s">
        <v>153</v>
      </c>
      <c r="AW668" s="58" t="s">
        <v>4741</v>
      </c>
      <c r="AX668" s="59" t="s">
        <v>13558</v>
      </c>
      <c r="AY668" s="60" t="s">
        <v>13559</v>
      </c>
      <c r="AZ668" s="61" t="s">
        <v>215</v>
      </c>
      <c r="BA668" s="62" t="s">
        <v>153</v>
      </c>
      <c r="BB668" s="63" t="s">
        <v>153</v>
      </c>
      <c r="BC668" s="64" t="s">
        <v>153</v>
      </c>
      <c r="BD668" s="65" t="s">
        <v>216</v>
      </c>
      <c r="BE668" s="66" t="s">
        <v>217</v>
      </c>
      <c r="BF668" s="67" t="s">
        <v>13560</v>
      </c>
      <c r="BG668" s="68" t="s">
        <v>153</v>
      </c>
      <c r="BH668" s="69" t="s">
        <v>153</v>
      </c>
      <c r="BI668" s="70" t="s">
        <v>11586</v>
      </c>
      <c r="BJ668" s="71" t="s">
        <v>153</v>
      </c>
      <c r="BK668" s="72" t="s">
        <v>153</v>
      </c>
      <c r="BL668" s="73" t="s">
        <v>153</v>
      </c>
      <c r="BM668" s="74" t="s">
        <v>153</v>
      </c>
      <c r="BN668" s="75" t="s">
        <v>153</v>
      </c>
      <c r="BO668" s="76" t="s">
        <v>13561</v>
      </c>
      <c r="BP668" s="77" t="s">
        <v>13562</v>
      </c>
      <c r="BQ668" s="78">
        <v>42452</v>
      </c>
      <c r="BR668" s="79">
        <v>7000</v>
      </c>
      <c r="BS668" s="80" t="s">
        <v>187</v>
      </c>
      <c r="BT668" s="81">
        <v>7000</v>
      </c>
      <c r="BU668" s="82" t="s">
        <v>187</v>
      </c>
      <c r="BV668" s="83" t="s">
        <v>226</v>
      </c>
      <c r="BW668" s="84" t="s">
        <v>153</v>
      </c>
      <c r="BX668" s="85" t="s">
        <v>153</v>
      </c>
      <c r="BY668" s="86" t="s">
        <v>225</v>
      </c>
      <c r="BZ668" s="87" t="s">
        <v>153</v>
      </c>
      <c r="CA668" s="88" t="s">
        <v>190</v>
      </c>
      <c r="CB668" s="89">
        <v>42452</v>
      </c>
      <c r="CC668" s="90">
        <v>7000</v>
      </c>
      <c r="CD668" s="91" t="s">
        <v>187</v>
      </c>
      <c r="CE668" s="92">
        <v>7000</v>
      </c>
      <c r="CF668" s="93" t="s">
        <v>187</v>
      </c>
      <c r="CG668" s="94" t="s">
        <v>226</v>
      </c>
      <c r="CH668" s="95" t="s">
        <v>153</v>
      </c>
      <c r="CI668" s="96" t="s">
        <v>153</v>
      </c>
      <c r="CJ668" s="97" t="s">
        <v>225</v>
      </c>
      <c r="CK668" s="98">
        <v>42452</v>
      </c>
      <c r="CL668" s="99" t="s">
        <v>153</v>
      </c>
      <c r="CM668" s="100" t="s">
        <v>153</v>
      </c>
      <c r="CN668" s="101" t="s">
        <v>190</v>
      </c>
      <c r="CO668" s="102" t="s">
        <v>153</v>
      </c>
      <c r="CP668" s="103" t="s">
        <v>153</v>
      </c>
      <c r="CQ668" s="104" t="s">
        <v>153</v>
      </c>
      <c r="CR668" s="105" t="s">
        <v>153</v>
      </c>
      <c r="CS668" s="106" t="s">
        <v>153</v>
      </c>
      <c r="CT668" s="107" t="s">
        <v>153</v>
      </c>
      <c r="CU668" s="108" t="s">
        <v>153</v>
      </c>
      <c r="CV668" s="109" t="s">
        <v>153</v>
      </c>
      <c r="CW668" s="110" t="s">
        <v>153</v>
      </c>
      <c r="CX668" s="111" t="s">
        <v>153</v>
      </c>
      <c r="CY668" s="112" t="s">
        <v>153</v>
      </c>
      <c r="CZ668" s="113" t="s">
        <v>153</v>
      </c>
      <c r="DA668" s="114" t="s">
        <v>153</v>
      </c>
      <c r="DB668" s="115" t="s">
        <v>153</v>
      </c>
      <c r="DC668" s="116" t="s">
        <v>153</v>
      </c>
      <c r="DD668" s="117" t="s">
        <v>153</v>
      </c>
      <c r="DE668" s="118" t="s">
        <v>153</v>
      </c>
      <c r="DF668" s="119" t="s">
        <v>153</v>
      </c>
      <c r="DG668" s="120" t="s">
        <v>153</v>
      </c>
      <c r="DH668" s="121" t="s">
        <v>153</v>
      </c>
      <c r="DI668" s="122" t="s">
        <v>153</v>
      </c>
      <c r="DJ668" s="123" t="s">
        <v>153</v>
      </c>
      <c r="DK668" s="124" t="s">
        <v>153</v>
      </c>
      <c r="DL668" s="125" t="s">
        <v>153</v>
      </c>
      <c r="DM668" s="126" t="s">
        <v>153</v>
      </c>
      <c r="DN668" s="127" t="s">
        <v>153</v>
      </c>
      <c r="DO668" s="128" t="s">
        <v>153</v>
      </c>
      <c r="DP668" s="129" t="s">
        <v>153</v>
      </c>
      <c r="DQ668" s="130" t="s">
        <v>153</v>
      </c>
      <c r="DR668" s="131" t="s">
        <v>153</v>
      </c>
      <c r="DS668" s="132" t="s">
        <v>153</v>
      </c>
      <c r="DT668" s="133" t="s">
        <v>153</v>
      </c>
      <c r="DU668" s="134" t="s">
        <v>153</v>
      </c>
      <c r="DV668" s="135" t="s">
        <v>153</v>
      </c>
      <c r="DW668" s="136" t="s">
        <v>153</v>
      </c>
      <c r="DX668" s="137" t="s">
        <v>153</v>
      </c>
      <c r="DY668" s="138" t="s">
        <v>153</v>
      </c>
      <c r="DZ668" s="139" t="s">
        <v>191</v>
      </c>
      <c r="EA668" s="140">
        <v>44321</v>
      </c>
      <c r="EB668" s="141">
        <v>7000</v>
      </c>
      <c r="EC668" s="142">
        <v>42452</v>
      </c>
      <c r="ED668" s="143" t="s">
        <v>226</v>
      </c>
      <c r="EE668" s="278" t="str">
        <f>HYPERLINK("https://my.pitchbook.com?c=41742-64", "View company online")</f>
        <v>View company online</v>
      </c>
    </row>
    <row r="669" spans="1:135" x14ac:dyDescent="0.45">
      <c r="A669" s="144" t="s">
        <v>13563</v>
      </c>
      <c r="B669" s="145" t="s">
        <v>13564</v>
      </c>
      <c r="C669" s="146" t="s">
        <v>153</v>
      </c>
      <c r="D669" s="147" t="s">
        <v>153</v>
      </c>
      <c r="E669" s="148" t="s">
        <v>153</v>
      </c>
      <c r="F669" s="149" t="s">
        <v>13565</v>
      </c>
      <c r="G669" s="150" t="s">
        <v>153</v>
      </c>
      <c r="H669" s="151" t="s">
        <v>153</v>
      </c>
      <c r="I669" s="152" t="s">
        <v>13563</v>
      </c>
      <c r="J669" s="153" t="s">
        <v>13566</v>
      </c>
      <c r="K669" s="154" t="s">
        <v>792</v>
      </c>
      <c r="L669" s="155" t="s">
        <v>1516</v>
      </c>
      <c r="M669" s="156" t="s">
        <v>1516</v>
      </c>
      <c r="N669" s="157" t="s">
        <v>8124</v>
      </c>
      <c r="O669" s="158" t="s">
        <v>796</v>
      </c>
      <c r="P669" s="159" t="s">
        <v>13567</v>
      </c>
      <c r="Q669" s="160" t="s">
        <v>204</v>
      </c>
      <c r="R669" s="161" t="s">
        <v>153</v>
      </c>
      <c r="S669" s="162" t="s">
        <v>153</v>
      </c>
      <c r="T669" s="163" t="s">
        <v>205</v>
      </c>
      <c r="U669" s="164" t="s">
        <v>206</v>
      </c>
      <c r="V669" s="165" t="s">
        <v>153</v>
      </c>
      <c r="W669" s="166" t="s">
        <v>153</v>
      </c>
      <c r="X669" s="167" t="s">
        <v>153</v>
      </c>
      <c r="Y669" s="168" t="s">
        <v>153</v>
      </c>
      <c r="Z669" s="169" t="s">
        <v>153</v>
      </c>
      <c r="AA669" s="170" t="s">
        <v>153</v>
      </c>
      <c r="AB669" s="171" t="s">
        <v>153</v>
      </c>
      <c r="AC669" s="172" t="s">
        <v>153</v>
      </c>
      <c r="AD669" s="173" t="s">
        <v>153</v>
      </c>
      <c r="AE669" s="174" t="s">
        <v>153</v>
      </c>
      <c r="AF669" s="175" t="s">
        <v>153</v>
      </c>
      <c r="AG669" s="176" t="s">
        <v>153</v>
      </c>
      <c r="AH669" s="177" t="s">
        <v>153</v>
      </c>
      <c r="AI669" s="178" t="s">
        <v>153</v>
      </c>
      <c r="AJ669" s="179" t="s">
        <v>153</v>
      </c>
      <c r="AK669" s="180" t="s">
        <v>153</v>
      </c>
      <c r="AL669" s="181" t="s">
        <v>153</v>
      </c>
      <c r="AM669" s="182" t="s">
        <v>153</v>
      </c>
      <c r="AN669" s="183" t="s">
        <v>153</v>
      </c>
      <c r="AO669" s="184" t="s">
        <v>153</v>
      </c>
      <c r="AP669" s="185" t="s">
        <v>153</v>
      </c>
      <c r="AQ669" s="186" t="s">
        <v>153</v>
      </c>
      <c r="AR669" s="187" t="s">
        <v>153</v>
      </c>
      <c r="AS669" s="188" t="s">
        <v>153</v>
      </c>
      <c r="AT669" s="189" t="s">
        <v>13568</v>
      </c>
      <c r="AU669" s="190" t="s">
        <v>153</v>
      </c>
      <c r="AV669" s="191" t="s">
        <v>153</v>
      </c>
      <c r="AW669" s="192" t="s">
        <v>13569</v>
      </c>
      <c r="AX669" s="193" t="s">
        <v>13570</v>
      </c>
      <c r="AY669" s="194" t="s">
        <v>153</v>
      </c>
      <c r="AZ669" s="195" t="s">
        <v>13571</v>
      </c>
      <c r="BA669" s="196" t="s">
        <v>153</v>
      </c>
      <c r="BB669" s="197" t="s">
        <v>153</v>
      </c>
      <c r="BC669" s="198" t="s">
        <v>153</v>
      </c>
      <c r="BD669" s="199" t="s">
        <v>1406</v>
      </c>
      <c r="BE669" s="200" t="s">
        <v>7536</v>
      </c>
      <c r="BF669" s="201" t="s">
        <v>13572</v>
      </c>
      <c r="BG669" s="202" t="s">
        <v>13573</v>
      </c>
      <c r="BH669" s="203">
        <v>2</v>
      </c>
      <c r="BI669" s="204" t="s">
        <v>153</v>
      </c>
      <c r="BJ669" s="205" t="s">
        <v>153</v>
      </c>
      <c r="BK669" s="206" t="s">
        <v>153</v>
      </c>
      <c r="BL669" s="207" t="s">
        <v>13574</v>
      </c>
      <c r="BM669" s="208" t="s">
        <v>153</v>
      </c>
      <c r="BN669" s="209" t="s">
        <v>153</v>
      </c>
      <c r="BO669" s="210" t="s">
        <v>153</v>
      </c>
      <c r="BP669" s="211" t="s">
        <v>153</v>
      </c>
      <c r="BQ669" s="212">
        <v>43187</v>
      </c>
      <c r="BR669" s="213">
        <v>7000</v>
      </c>
      <c r="BS669" s="214" t="s">
        <v>186</v>
      </c>
      <c r="BT669" s="215">
        <v>14000</v>
      </c>
      <c r="BU669" s="216" t="s">
        <v>186</v>
      </c>
      <c r="BV669" s="217" t="s">
        <v>1524</v>
      </c>
      <c r="BW669" s="218" t="s">
        <v>1525</v>
      </c>
      <c r="BX669" s="219" t="s">
        <v>1526</v>
      </c>
      <c r="BY669" s="220" t="s">
        <v>225</v>
      </c>
      <c r="BZ669" s="221" t="s">
        <v>153</v>
      </c>
      <c r="CA669" s="222" t="s">
        <v>190</v>
      </c>
      <c r="CB669" s="223">
        <v>43187</v>
      </c>
      <c r="CC669" s="224">
        <v>7000</v>
      </c>
      <c r="CD669" s="225" t="s">
        <v>186</v>
      </c>
      <c r="CE669" s="226">
        <v>14000</v>
      </c>
      <c r="CF669" s="227" t="s">
        <v>186</v>
      </c>
      <c r="CG669" s="228" t="s">
        <v>1524</v>
      </c>
      <c r="CH669" s="229" t="s">
        <v>1525</v>
      </c>
      <c r="CI669" s="230" t="s">
        <v>1526</v>
      </c>
      <c r="CJ669" s="231" t="s">
        <v>225</v>
      </c>
      <c r="CK669" s="232">
        <v>43187</v>
      </c>
      <c r="CL669" s="233" t="s">
        <v>153</v>
      </c>
      <c r="CM669" s="234" t="s">
        <v>153</v>
      </c>
      <c r="CN669" s="235" t="s">
        <v>190</v>
      </c>
      <c r="CO669" s="236" t="s">
        <v>153</v>
      </c>
      <c r="CP669" s="237" t="s">
        <v>153</v>
      </c>
      <c r="CQ669" s="238" t="s">
        <v>153</v>
      </c>
      <c r="CR669" s="239" t="s">
        <v>153</v>
      </c>
      <c r="CS669" s="240" t="s">
        <v>153</v>
      </c>
      <c r="CT669" s="241" t="s">
        <v>153</v>
      </c>
      <c r="CU669" s="242" t="s">
        <v>153</v>
      </c>
      <c r="CV669" s="243" t="s">
        <v>153</v>
      </c>
      <c r="CW669" s="244" t="s">
        <v>153</v>
      </c>
      <c r="CX669" s="245" t="s">
        <v>153</v>
      </c>
      <c r="CY669" s="246" t="s">
        <v>153</v>
      </c>
      <c r="CZ669" s="247" t="s">
        <v>153</v>
      </c>
      <c r="DA669" s="248" t="s">
        <v>153</v>
      </c>
      <c r="DB669" s="249" t="s">
        <v>153</v>
      </c>
      <c r="DC669" s="250" t="s">
        <v>153</v>
      </c>
      <c r="DD669" s="251" t="s">
        <v>153</v>
      </c>
      <c r="DE669" s="252" t="s">
        <v>153</v>
      </c>
      <c r="DF669" s="253" t="s">
        <v>153</v>
      </c>
      <c r="DG669" s="254" t="s">
        <v>153</v>
      </c>
      <c r="DH669" s="255" t="s">
        <v>153</v>
      </c>
      <c r="DI669" s="256" t="s">
        <v>153</v>
      </c>
      <c r="DJ669" s="257" t="s">
        <v>153</v>
      </c>
      <c r="DK669" s="258" t="s">
        <v>153</v>
      </c>
      <c r="DL669" s="259" t="s">
        <v>153</v>
      </c>
      <c r="DM669" s="260" t="s">
        <v>153</v>
      </c>
      <c r="DN669" s="261" t="s">
        <v>153</v>
      </c>
      <c r="DO669" s="262" t="s">
        <v>153</v>
      </c>
      <c r="DP669" s="263" t="s">
        <v>153</v>
      </c>
      <c r="DQ669" s="264" t="s">
        <v>153</v>
      </c>
      <c r="DR669" s="265" t="s">
        <v>153</v>
      </c>
      <c r="DS669" s="266" t="s">
        <v>153</v>
      </c>
      <c r="DT669" s="267" t="s">
        <v>153</v>
      </c>
      <c r="DU669" s="268" t="s">
        <v>153</v>
      </c>
      <c r="DV669" s="269" t="s">
        <v>153</v>
      </c>
      <c r="DW669" s="270" t="s">
        <v>153</v>
      </c>
      <c r="DX669" s="271" t="s">
        <v>153</v>
      </c>
      <c r="DY669" s="272" t="s">
        <v>153</v>
      </c>
      <c r="DZ669" s="273" t="s">
        <v>191</v>
      </c>
      <c r="EA669" s="274">
        <v>43476</v>
      </c>
      <c r="EB669" s="275">
        <v>14000</v>
      </c>
      <c r="EC669" s="276">
        <v>43187</v>
      </c>
      <c r="ED669" s="277" t="s">
        <v>1524</v>
      </c>
      <c r="EE669" s="279" t="str">
        <f>HYPERLINK("https://my.pitchbook.com?c=170985-43", "View company online")</f>
        <v>View company online</v>
      </c>
    </row>
    <row r="670" spans="1:135" x14ac:dyDescent="0.45">
      <c r="A670" s="10" t="s">
        <v>13575</v>
      </c>
      <c r="B670" s="11" t="s">
        <v>13576</v>
      </c>
      <c r="C670" s="12" t="s">
        <v>153</v>
      </c>
      <c r="D670" s="13" t="s">
        <v>153</v>
      </c>
      <c r="E670" s="14" t="s">
        <v>153</v>
      </c>
      <c r="F670" s="15" t="s">
        <v>153</v>
      </c>
      <c r="G670" s="16" t="s">
        <v>153</v>
      </c>
      <c r="H670" s="17" t="s">
        <v>153</v>
      </c>
      <c r="I670" s="18" t="s">
        <v>13575</v>
      </c>
      <c r="J670" s="19" t="s">
        <v>13577</v>
      </c>
      <c r="K670" s="20" t="s">
        <v>882</v>
      </c>
      <c r="L670" s="21" t="s">
        <v>2888</v>
      </c>
      <c r="M670" s="22" t="s">
        <v>2889</v>
      </c>
      <c r="N670" s="23" t="s">
        <v>13578</v>
      </c>
      <c r="O670" s="24" t="s">
        <v>261</v>
      </c>
      <c r="P670" s="25" t="s">
        <v>13579</v>
      </c>
      <c r="Q670" s="26" t="s">
        <v>204</v>
      </c>
      <c r="R670" s="27" t="s">
        <v>153</v>
      </c>
      <c r="S670" s="28" t="s">
        <v>153</v>
      </c>
      <c r="T670" s="29" t="s">
        <v>205</v>
      </c>
      <c r="U670" s="30" t="s">
        <v>206</v>
      </c>
      <c r="V670" s="31" t="s">
        <v>153</v>
      </c>
      <c r="W670" s="32" t="s">
        <v>153</v>
      </c>
      <c r="X670" s="33" t="s">
        <v>153</v>
      </c>
      <c r="Y670" s="34" t="s">
        <v>153</v>
      </c>
      <c r="Z670" s="35" t="s">
        <v>153</v>
      </c>
      <c r="AA670" s="36" t="s">
        <v>153</v>
      </c>
      <c r="AB670" s="37" t="s">
        <v>153</v>
      </c>
      <c r="AC670" s="38" t="s">
        <v>153</v>
      </c>
      <c r="AD670" s="39" t="s">
        <v>153</v>
      </c>
      <c r="AE670" s="40" t="s">
        <v>153</v>
      </c>
      <c r="AF670" s="41" t="s">
        <v>153</v>
      </c>
      <c r="AG670" s="42" t="s">
        <v>153</v>
      </c>
      <c r="AH670" s="43" t="s">
        <v>153</v>
      </c>
      <c r="AI670" s="44" t="s">
        <v>153</v>
      </c>
      <c r="AJ670" s="45" t="s">
        <v>153</v>
      </c>
      <c r="AK670" s="46" t="s">
        <v>153</v>
      </c>
      <c r="AL670" s="47" t="s">
        <v>153</v>
      </c>
      <c r="AM670" s="48" t="s">
        <v>153</v>
      </c>
      <c r="AN670" s="49" t="s">
        <v>153</v>
      </c>
      <c r="AO670" s="50" t="s">
        <v>153</v>
      </c>
      <c r="AP670" s="51" t="s">
        <v>153</v>
      </c>
      <c r="AQ670" s="52" t="s">
        <v>153</v>
      </c>
      <c r="AR670" s="53" t="s">
        <v>153</v>
      </c>
      <c r="AS670" s="54" t="s">
        <v>153</v>
      </c>
      <c r="AT670" s="55" t="s">
        <v>13295</v>
      </c>
      <c r="AU670" s="56" t="s">
        <v>153</v>
      </c>
      <c r="AV670" s="57" t="s">
        <v>153</v>
      </c>
      <c r="AW670" s="58" t="s">
        <v>13296</v>
      </c>
      <c r="AX670" s="59" t="s">
        <v>1862</v>
      </c>
      <c r="AY670" s="60" t="s">
        <v>153</v>
      </c>
      <c r="AZ670" s="61" t="s">
        <v>215</v>
      </c>
      <c r="BA670" s="62" t="s">
        <v>153</v>
      </c>
      <c r="BB670" s="63" t="s">
        <v>153</v>
      </c>
      <c r="BC670" s="64" t="s">
        <v>153</v>
      </c>
      <c r="BD670" s="65" t="s">
        <v>216</v>
      </c>
      <c r="BE670" s="66" t="s">
        <v>217</v>
      </c>
      <c r="BF670" s="67" t="s">
        <v>13580</v>
      </c>
      <c r="BG670" s="68" t="s">
        <v>153</v>
      </c>
      <c r="BH670" s="69" t="s">
        <v>153</v>
      </c>
      <c r="BI670" s="70" t="s">
        <v>13581</v>
      </c>
      <c r="BJ670" s="71" t="s">
        <v>11728</v>
      </c>
      <c r="BK670" s="72" t="s">
        <v>153</v>
      </c>
      <c r="BL670" s="73" t="s">
        <v>153</v>
      </c>
      <c r="BM670" s="74" t="s">
        <v>11729</v>
      </c>
      <c r="BN670" s="75" t="s">
        <v>153</v>
      </c>
      <c r="BO670" s="76" t="s">
        <v>153</v>
      </c>
      <c r="BP670" s="77" t="s">
        <v>153</v>
      </c>
      <c r="BQ670" s="78">
        <v>42787</v>
      </c>
      <c r="BR670" s="79">
        <v>7000</v>
      </c>
      <c r="BS670" s="80" t="s">
        <v>153</v>
      </c>
      <c r="BT670" s="81">
        <v>7000</v>
      </c>
      <c r="BU670" s="82" t="s">
        <v>153</v>
      </c>
      <c r="BV670" s="83" t="s">
        <v>1524</v>
      </c>
      <c r="BW670" s="84" t="s">
        <v>1525</v>
      </c>
      <c r="BX670" s="85" t="s">
        <v>1526</v>
      </c>
      <c r="BY670" s="86" t="s">
        <v>225</v>
      </c>
      <c r="BZ670" s="87" t="s">
        <v>153</v>
      </c>
      <c r="CA670" s="88" t="s">
        <v>190</v>
      </c>
      <c r="CB670" s="89">
        <v>42787</v>
      </c>
      <c r="CC670" s="90">
        <v>7000</v>
      </c>
      <c r="CD670" s="91" t="s">
        <v>153</v>
      </c>
      <c r="CE670" s="92">
        <v>7000</v>
      </c>
      <c r="CF670" s="93" t="s">
        <v>153</v>
      </c>
      <c r="CG670" s="94" t="s">
        <v>1524</v>
      </c>
      <c r="CH670" s="95" t="s">
        <v>1525</v>
      </c>
      <c r="CI670" s="96" t="s">
        <v>1526</v>
      </c>
      <c r="CJ670" s="97" t="s">
        <v>225</v>
      </c>
      <c r="CK670" s="98">
        <v>42787</v>
      </c>
      <c r="CL670" s="99" t="s">
        <v>153</v>
      </c>
      <c r="CM670" s="100" t="s">
        <v>153</v>
      </c>
      <c r="CN670" s="101" t="s">
        <v>190</v>
      </c>
      <c r="CO670" s="102" t="s">
        <v>153</v>
      </c>
      <c r="CP670" s="103" t="s">
        <v>153</v>
      </c>
      <c r="CQ670" s="104" t="s">
        <v>153</v>
      </c>
      <c r="CR670" s="105" t="s">
        <v>153</v>
      </c>
      <c r="CS670" s="106" t="s">
        <v>153</v>
      </c>
      <c r="CT670" s="107" t="s">
        <v>153</v>
      </c>
      <c r="CU670" s="108" t="s">
        <v>153</v>
      </c>
      <c r="CV670" s="109" t="s">
        <v>153</v>
      </c>
      <c r="CW670" s="110" t="s">
        <v>153</v>
      </c>
      <c r="CX670" s="111" t="s">
        <v>153</v>
      </c>
      <c r="CY670" s="112" t="s">
        <v>153</v>
      </c>
      <c r="CZ670" s="113" t="s">
        <v>153</v>
      </c>
      <c r="DA670" s="114" t="s">
        <v>153</v>
      </c>
      <c r="DB670" s="115" t="s">
        <v>153</v>
      </c>
      <c r="DC670" s="116" t="s">
        <v>153</v>
      </c>
      <c r="DD670" s="117" t="s">
        <v>153</v>
      </c>
      <c r="DE670" s="118" t="s">
        <v>153</v>
      </c>
      <c r="DF670" s="119" t="s">
        <v>153</v>
      </c>
      <c r="DG670" s="120" t="s">
        <v>153</v>
      </c>
      <c r="DH670" s="121" t="s">
        <v>153</v>
      </c>
      <c r="DI670" s="122" t="s">
        <v>153</v>
      </c>
      <c r="DJ670" s="123" t="s">
        <v>153</v>
      </c>
      <c r="DK670" s="124" t="s">
        <v>153</v>
      </c>
      <c r="DL670" s="125" t="s">
        <v>153</v>
      </c>
      <c r="DM670" s="126" t="s">
        <v>153</v>
      </c>
      <c r="DN670" s="127" t="s">
        <v>153</v>
      </c>
      <c r="DO670" s="128" t="s">
        <v>153</v>
      </c>
      <c r="DP670" s="129" t="s">
        <v>153</v>
      </c>
      <c r="DQ670" s="130" t="s">
        <v>153</v>
      </c>
      <c r="DR670" s="131" t="s">
        <v>153</v>
      </c>
      <c r="DS670" s="132" t="s">
        <v>153</v>
      </c>
      <c r="DT670" s="133" t="s">
        <v>153</v>
      </c>
      <c r="DU670" s="134" t="s">
        <v>153</v>
      </c>
      <c r="DV670" s="135" t="s">
        <v>153</v>
      </c>
      <c r="DW670" s="136" t="s">
        <v>153</v>
      </c>
      <c r="DX670" s="137" t="s">
        <v>153</v>
      </c>
      <c r="DY670" s="138" t="s">
        <v>153</v>
      </c>
      <c r="DZ670" s="139" t="s">
        <v>191</v>
      </c>
      <c r="EA670" s="140">
        <v>44084</v>
      </c>
      <c r="EB670" s="141">
        <v>7000</v>
      </c>
      <c r="EC670" s="142">
        <v>42787</v>
      </c>
      <c r="ED670" s="143" t="s">
        <v>1524</v>
      </c>
      <c r="EE670" s="278" t="str">
        <f>HYPERLINK("https://my.pitchbook.com?c=222696-19", "View company online")</f>
        <v>View company online</v>
      </c>
    </row>
    <row r="671" spans="1:135" x14ac:dyDescent="0.45">
      <c r="A671" s="144" t="s">
        <v>13582</v>
      </c>
      <c r="B671" s="145" t="s">
        <v>13583</v>
      </c>
      <c r="C671" s="146" t="s">
        <v>153</v>
      </c>
      <c r="D671" s="147" t="s">
        <v>153</v>
      </c>
      <c r="E671" s="148" t="s">
        <v>153</v>
      </c>
      <c r="F671" s="149" t="s">
        <v>153</v>
      </c>
      <c r="G671" s="150" t="s">
        <v>13584</v>
      </c>
      <c r="H671" s="151" t="s">
        <v>153</v>
      </c>
      <c r="I671" s="152" t="s">
        <v>13582</v>
      </c>
      <c r="J671" s="153" t="s">
        <v>13585</v>
      </c>
      <c r="K671" s="154" t="s">
        <v>792</v>
      </c>
      <c r="L671" s="155" t="s">
        <v>793</v>
      </c>
      <c r="M671" s="156" t="s">
        <v>1211</v>
      </c>
      <c r="N671" s="157" t="s">
        <v>11220</v>
      </c>
      <c r="O671" s="158" t="s">
        <v>796</v>
      </c>
      <c r="P671" s="159" t="s">
        <v>13586</v>
      </c>
      <c r="Q671" s="160" t="s">
        <v>204</v>
      </c>
      <c r="R671" s="161" t="s">
        <v>153</v>
      </c>
      <c r="S671" s="162" t="s">
        <v>163</v>
      </c>
      <c r="T671" s="163" t="s">
        <v>205</v>
      </c>
      <c r="U671" s="164" t="s">
        <v>237</v>
      </c>
      <c r="V671" s="165" t="s">
        <v>13587</v>
      </c>
      <c r="W671" s="166">
        <v>25500</v>
      </c>
      <c r="X671" s="167" t="s">
        <v>13588</v>
      </c>
      <c r="Y671" s="168" t="s">
        <v>153</v>
      </c>
      <c r="Z671" s="169" t="s">
        <v>153</v>
      </c>
      <c r="AA671" s="170">
        <v>1955</v>
      </c>
      <c r="AB671" s="171" t="s">
        <v>153</v>
      </c>
      <c r="AC671" s="172" t="s">
        <v>153</v>
      </c>
      <c r="AD671" s="173" t="s">
        <v>153</v>
      </c>
      <c r="AE671" s="174" t="s">
        <v>153</v>
      </c>
      <c r="AF671" s="175" t="s">
        <v>153</v>
      </c>
      <c r="AG671" s="176" t="s">
        <v>153</v>
      </c>
      <c r="AH671" s="177" t="s">
        <v>153</v>
      </c>
      <c r="AI671" s="178" t="s">
        <v>153</v>
      </c>
      <c r="AJ671" s="179" t="s">
        <v>153</v>
      </c>
      <c r="AK671" s="180" t="s">
        <v>153</v>
      </c>
      <c r="AL671" s="181" t="s">
        <v>153</v>
      </c>
      <c r="AM671" s="182" t="s">
        <v>153</v>
      </c>
      <c r="AN671" s="183" t="s">
        <v>1217</v>
      </c>
      <c r="AO671" s="184" t="s">
        <v>13589</v>
      </c>
      <c r="AP671" s="185" t="s">
        <v>13590</v>
      </c>
      <c r="AQ671" s="186" t="s">
        <v>269</v>
      </c>
      <c r="AR671" s="187" t="s">
        <v>153</v>
      </c>
      <c r="AS671" s="188" t="s">
        <v>153</v>
      </c>
      <c r="AT671" s="189" t="s">
        <v>946</v>
      </c>
      <c r="AU671" s="190" t="s">
        <v>13591</v>
      </c>
      <c r="AV671" s="191" t="s">
        <v>153</v>
      </c>
      <c r="AW671" s="192" t="s">
        <v>948</v>
      </c>
      <c r="AX671" s="193" t="s">
        <v>213</v>
      </c>
      <c r="AY671" s="194" t="s">
        <v>7133</v>
      </c>
      <c r="AZ671" s="195" t="s">
        <v>215</v>
      </c>
      <c r="BA671" s="196" t="s">
        <v>153</v>
      </c>
      <c r="BB671" s="197" t="s">
        <v>153</v>
      </c>
      <c r="BC671" s="198" t="s">
        <v>153</v>
      </c>
      <c r="BD671" s="199" t="s">
        <v>216</v>
      </c>
      <c r="BE671" s="200" t="s">
        <v>217</v>
      </c>
      <c r="BF671" s="201" t="s">
        <v>13592</v>
      </c>
      <c r="BG671" s="202" t="s">
        <v>153</v>
      </c>
      <c r="BH671" s="203" t="s">
        <v>153</v>
      </c>
      <c r="BI671" s="204" t="s">
        <v>13396</v>
      </c>
      <c r="BJ671" s="205" t="s">
        <v>153</v>
      </c>
      <c r="BK671" s="206" t="s">
        <v>153</v>
      </c>
      <c r="BL671" s="207" t="s">
        <v>153</v>
      </c>
      <c r="BM671" s="208" t="s">
        <v>153</v>
      </c>
      <c r="BN671" s="209" t="s">
        <v>153</v>
      </c>
      <c r="BO671" s="210" t="s">
        <v>153</v>
      </c>
      <c r="BP671" s="211" t="s">
        <v>153</v>
      </c>
      <c r="BQ671" s="212">
        <v>29955</v>
      </c>
      <c r="BR671" s="213" t="s">
        <v>153</v>
      </c>
      <c r="BS671" s="214" t="s">
        <v>153</v>
      </c>
      <c r="BT671" s="215" t="s">
        <v>153</v>
      </c>
      <c r="BU671" s="216" t="s">
        <v>153</v>
      </c>
      <c r="BV671" s="217" t="s">
        <v>251</v>
      </c>
      <c r="BW671" s="218" t="s">
        <v>153</v>
      </c>
      <c r="BX671" s="219" t="s">
        <v>153</v>
      </c>
      <c r="BY671" s="220" t="s">
        <v>252</v>
      </c>
      <c r="BZ671" s="221" t="s">
        <v>153</v>
      </c>
      <c r="CA671" s="222" t="s">
        <v>190</v>
      </c>
      <c r="CB671" s="223">
        <v>37151</v>
      </c>
      <c r="CC671" s="224">
        <v>7000</v>
      </c>
      <c r="CD671" s="225" t="s">
        <v>186</v>
      </c>
      <c r="CE671" s="226">
        <v>7000</v>
      </c>
      <c r="CF671" s="227" t="s">
        <v>186</v>
      </c>
      <c r="CG671" s="228" t="s">
        <v>226</v>
      </c>
      <c r="CH671" s="229" t="s">
        <v>153</v>
      </c>
      <c r="CI671" s="230" t="s">
        <v>153</v>
      </c>
      <c r="CJ671" s="231" t="s">
        <v>225</v>
      </c>
      <c r="CK671" s="232">
        <v>37151</v>
      </c>
      <c r="CL671" s="233" t="s">
        <v>153</v>
      </c>
      <c r="CM671" s="234" t="s">
        <v>153</v>
      </c>
      <c r="CN671" s="235" t="s">
        <v>190</v>
      </c>
      <c r="CO671" s="236" t="s">
        <v>153</v>
      </c>
      <c r="CP671" s="237" t="s">
        <v>153</v>
      </c>
      <c r="CQ671" s="238" t="s">
        <v>153</v>
      </c>
      <c r="CR671" s="239" t="s">
        <v>153</v>
      </c>
      <c r="CS671" s="240" t="s">
        <v>153</v>
      </c>
      <c r="CT671" s="241" t="s">
        <v>153</v>
      </c>
      <c r="CU671" s="242" t="s">
        <v>153</v>
      </c>
      <c r="CV671" s="243" t="s">
        <v>153</v>
      </c>
      <c r="CW671" s="244" t="s">
        <v>153</v>
      </c>
      <c r="CX671" s="245" t="s">
        <v>153</v>
      </c>
      <c r="CY671" s="246" t="s">
        <v>153</v>
      </c>
      <c r="CZ671" s="247" t="s">
        <v>153</v>
      </c>
      <c r="DA671" s="248" t="s">
        <v>153</v>
      </c>
      <c r="DB671" s="249" t="s">
        <v>153</v>
      </c>
      <c r="DC671" s="250" t="s">
        <v>153</v>
      </c>
      <c r="DD671" s="251" t="s">
        <v>153</v>
      </c>
      <c r="DE671" s="252" t="s">
        <v>153</v>
      </c>
      <c r="DF671" s="253" t="s">
        <v>153</v>
      </c>
      <c r="DG671" s="254" t="s">
        <v>153</v>
      </c>
      <c r="DH671" s="255" t="s">
        <v>153</v>
      </c>
      <c r="DI671" s="256" t="s">
        <v>153</v>
      </c>
      <c r="DJ671" s="257" t="s">
        <v>153</v>
      </c>
      <c r="DK671" s="258" t="s">
        <v>153</v>
      </c>
      <c r="DL671" s="259" t="s">
        <v>153</v>
      </c>
      <c r="DM671" s="260" t="s">
        <v>153</v>
      </c>
      <c r="DN671" s="261" t="s">
        <v>153</v>
      </c>
      <c r="DO671" s="262" t="s">
        <v>153</v>
      </c>
      <c r="DP671" s="263" t="s">
        <v>153</v>
      </c>
      <c r="DQ671" s="264" t="s">
        <v>153</v>
      </c>
      <c r="DR671" s="265" t="s">
        <v>153</v>
      </c>
      <c r="DS671" s="266" t="s">
        <v>153</v>
      </c>
      <c r="DT671" s="267" t="s">
        <v>153</v>
      </c>
      <c r="DU671" s="268" t="s">
        <v>153</v>
      </c>
      <c r="DV671" s="269" t="s">
        <v>153</v>
      </c>
      <c r="DW671" s="270" t="s">
        <v>153</v>
      </c>
      <c r="DX671" s="271" t="s">
        <v>153</v>
      </c>
      <c r="DY671" s="272" t="s">
        <v>153</v>
      </c>
      <c r="DZ671" s="273" t="s">
        <v>191</v>
      </c>
      <c r="EA671" s="274">
        <v>44217</v>
      </c>
      <c r="EB671" s="275">
        <v>7000</v>
      </c>
      <c r="EC671" s="276">
        <v>37151</v>
      </c>
      <c r="ED671" s="277" t="s">
        <v>226</v>
      </c>
      <c r="EE671" s="279" t="str">
        <f>HYPERLINK("https://my.pitchbook.com?c=54692-56", "View company online")</f>
        <v>View company online</v>
      </c>
    </row>
    <row r="672" spans="1:135" x14ac:dyDescent="0.45">
      <c r="A672" s="10" t="s">
        <v>13593</v>
      </c>
      <c r="B672" s="11" t="s">
        <v>13594</v>
      </c>
      <c r="C672" s="12" t="s">
        <v>153</v>
      </c>
      <c r="D672" s="13" t="s">
        <v>153</v>
      </c>
      <c r="E672" s="14" t="s">
        <v>153</v>
      </c>
      <c r="F672" s="15" t="s">
        <v>13595</v>
      </c>
      <c r="G672" s="16" t="s">
        <v>13596</v>
      </c>
      <c r="H672" s="17" t="s">
        <v>13597</v>
      </c>
      <c r="I672" s="18" t="s">
        <v>13593</v>
      </c>
      <c r="J672" s="19" t="s">
        <v>13598</v>
      </c>
      <c r="K672" s="20" t="s">
        <v>882</v>
      </c>
      <c r="L672" s="21" t="s">
        <v>883</v>
      </c>
      <c r="M672" s="22" t="s">
        <v>884</v>
      </c>
      <c r="N672" s="23" t="s">
        <v>5317</v>
      </c>
      <c r="O672" s="24" t="s">
        <v>365</v>
      </c>
      <c r="P672" s="25" t="s">
        <v>13599</v>
      </c>
      <c r="Q672" s="26" t="s">
        <v>564</v>
      </c>
      <c r="R672" s="27" t="s">
        <v>153</v>
      </c>
      <c r="S672" s="28" t="s">
        <v>290</v>
      </c>
      <c r="T672" s="29" t="s">
        <v>164</v>
      </c>
      <c r="U672" s="30" t="s">
        <v>369</v>
      </c>
      <c r="V672" s="31" t="s">
        <v>13600</v>
      </c>
      <c r="W672" s="32">
        <v>7000</v>
      </c>
      <c r="X672" s="33" t="s">
        <v>13601</v>
      </c>
      <c r="Y672" s="34" t="s">
        <v>153</v>
      </c>
      <c r="Z672" s="35" t="s">
        <v>153</v>
      </c>
      <c r="AA672" s="36">
        <v>1901</v>
      </c>
      <c r="AB672" s="37" t="s">
        <v>13602</v>
      </c>
      <c r="AC672" s="38" t="s">
        <v>153</v>
      </c>
      <c r="AD672" s="39" t="s">
        <v>153</v>
      </c>
      <c r="AE672" s="40" t="s">
        <v>153</v>
      </c>
      <c r="AF672" s="41" t="s">
        <v>153</v>
      </c>
      <c r="AG672" s="42" t="s">
        <v>153</v>
      </c>
      <c r="AH672" s="43" t="s">
        <v>153</v>
      </c>
      <c r="AI672" s="44" t="s">
        <v>153</v>
      </c>
      <c r="AJ672" s="45" t="s">
        <v>153</v>
      </c>
      <c r="AK672" s="46" t="s">
        <v>153</v>
      </c>
      <c r="AL672" s="47" t="s">
        <v>153</v>
      </c>
      <c r="AM672" s="48" t="s">
        <v>153</v>
      </c>
      <c r="AN672" s="49" t="s">
        <v>1442</v>
      </c>
      <c r="AO672" s="50" t="s">
        <v>13603</v>
      </c>
      <c r="AP672" s="51" t="s">
        <v>13604</v>
      </c>
      <c r="AQ672" s="52" t="s">
        <v>1376</v>
      </c>
      <c r="AR672" s="53" t="s">
        <v>13605</v>
      </c>
      <c r="AS672" s="54" t="s">
        <v>13606</v>
      </c>
      <c r="AT672" s="55" t="s">
        <v>780</v>
      </c>
      <c r="AU672" s="56" t="s">
        <v>13607</v>
      </c>
      <c r="AV672" s="57" t="s">
        <v>153</v>
      </c>
      <c r="AW672" s="58" t="s">
        <v>782</v>
      </c>
      <c r="AX672" s="59" t="s">
        <v>783</v>
      </c>
      <c r="AY672" s="60" t="s">
        <v>13608</v>
      </c>
      <c r="AZ672" s="61" t="s">
        <v>215</v>
      </c>
      <c r="BA672" s="62" t="s">
        <v>13606</v>
      </c>
      <c r="BB672" s="63" t="s">
        <v>153</v>
      </c>
      <c r="BC672" s="64" t="s">
        <v>13609</v>
      </c>
      <c r="BD672" s="65" t="s">
        <v>216</v>
      </c>
      <c r="BE672" s="66" t="s">
        <v>217</v>
      </c>
      <c r="BF672" s="67" t="s">
        <v>13610</v>
      </c>
      <c r="BG672" s="68" t="s">
        <v>153</v>
      </c>
      <c r="BH672" s="69" t="s">
        <v>153</v>
      </c>
      <c r="BI672" s="70" t="s">
        <v>13602</v>
      </c>
      <c r="BJ672" s="71" t="s">
        <v>13611</v>
      </c>
      <c r="BK672" s="72" t="s">
        <v>153</v>
      </c>
      <c r="BL672" s="73" t="s">
        <v>153</v>
      </c>
      <c r="BM672" s="74" t="s">
        <v>13612</v>
      </c>
      <c r="BN672" s="75" t="s">
        <v>153</v>
      </c>
      <c r="BO672" s="76" t="s">
        <v>13613</v>
      </c>
      <c r="BP672" s="77" t="s">
        <v>13614</v>
      </c>
      <c r="BQ672" s="78">
        <v>11352</v>
      </c>
      <c r="BR672" s="79" t="s">
        <v>153</v>
      </c>
      <c r="BS672" s="80" t="s">
        <v>153</v>
      </c>
      <c r="BT672" s="81" t="s">
        <v>153</v>
      </c>
      <c r="BU672" s="82" t="s">
        <v>153</v>
      </c>
      <c r="BV672" s="83" t="s">
        <v>251</v>
      </c>
      <c r="BW672" s="84" t="s">
        <v>153</v>
      </c>
      <c r="BX672" s="85" t="s">
        <v>153</v>
      </c>
      <c r="BY672" s="86" t="s">
        <v>252</v>
      </c>
      <c r="BZ672" s="87" t="s">
        <v>153</v>
      </c>
      <c r="CA672" s="88" t="s">
        <v>190</v>
      </c>
      <c r="CB672" s="89">
        <v>43579</v>
      </c>
      <c r="CC672" s="90">
        <v>7000</v>
      </c>
      <c r="CD672" s="91" t="s">
        <v>186</v>
      </c>
      <c r="CE672" s="92">
        <v>7823.85</v>
      </c>
      <c r="CF672" s="93" t="s">
        <v>187</v>
      </c>
      <c r="CG672" s="94" t="s">
        <v>226</v>
      </c>
      <c r="CH672" s="95" t="s">
        <v>930</v>
      </c>
      <c r="CI672" s="96" t="s">
        <v>153</v>
      </c>
      <c r="CJ672" s="97" t="s">
        <v>225</v>
      </c>
      <c r="CK672" s="98">
        <v>43579</v>
      </c>
      <c r="CL672" s="99" t="s">
        <v>153</v>
      </c>
      <c r="CM672" s="100" t="s">
        <v>153</v>
      </c>
      <c r="CN672" s="101" t="s">
        <v>190</v>
      </c>
      <c r="CO672" s="102" t="s">
        <v>153</v>
      </c>
      <c r="CP672" s="103" t="s">
        <v>153</v>
      </c>
      <c r="CQ672" s="104" t="s">
        <v>153</v>
      </c>
      <c r="CR672" s="105" t="s">
        <v>153</v>
      </c>
      <c r="CS672" s="106" t="s">
        <v>153</v>
      </c>
      <c r="CT672" s="107" t="s">
        <v>153</v>
      </c>
      <c r="CU672" s="108" t="s">
        <v>153</v>
      </c>
      <c r="CV672" s="109" t="s">
        <v>153</v>
      </c>
      <c r="CW672" s="110" t="s">
        <v>153</v>
      </c>
      <c r="CX672" s="111" t="s">
        <v>153</v>
      </c>
      <c r="CY672" s="112" t="s">
        <v>153</v>
      </c>
      <c r="CZ672" s="113" t="s">
        <v>153</v>
      </c>
      <c r="DA672" s="114" t="s">
        <v>153</v>
      </c>
      <c r="DB672" s="115" t="s">
        <v>153</v>
      </c>
      <c r="DC672" s="116" t="s">
        <v>153</v>
      </c>
      <c r="DD672" s="117" t="s">
        <v>153</v>
      </c>
      <c r="DE672" s="118" t="s">
        <v>153</v>
      </c>
      <c r="DF672" s="119" t="s">
        <v>153</v>
      </c>
      <c r="DG672" s="120" t="s">
        <v>153</v>
      </c>
      <c r="DH672" s="121" t="s">
        <v>153</v>
      </c>
      <c r="DI672" s="122" t="s">
        <v>153</v>
      </c>
      <c r="DJ672" s="123" t="s">
        <v>153</v>
      </c>
      <c r="DK672" s="124" t="s">
        <v>153</v>
      </c>
      <c r="DL672" s="125" t="s">
        <v>153</v>
      </c>
      <c r="DM672" s="126" t="s">
        <v>153</v>
      </c>
      <c r="DN672" s="127" t="s">
        <v>153</v>
      </c>
      <c r="DO672" s="128" t="s">
        <v>153</v>
      </c>
      <c r="DP672" s="129" t="s">
        <v>153</v>
      </c>
      <c r="DQ672" s="130" t="s">
        <v>153</v>
      </c>
      <c r="DR672" s="131" t="s">
        <v>153</v>
      </c>
      <c r="DS672" s="132" t="s">
        <v>153</v>
      </c>
      <c r="DT672" s="133" t="s">
        <v>153</v>
      </c>
      <c r="DU672" s="134" t="s">
        <v>153</v>
      </c>
      <c r="DV672" s="135" t="s">
        <v>153</v>
      </c>
      <c r="DW672" s="136" t="s">
        <v>153</v>
      </c>
      <c r="DX672" s="137" t="s">
        <v>153</v>
      </c>
      <c r="DY672" s="138" t="s">
        <v>153</v>
      </c>
      <c r="DZ672" s="139" t="s">
        <v>191</v>
      </c>
      <c r="EA672" s="140">
        <v>44246</v>
      </c>
      <c r="EB672" s="141">
        <v>7823.85</v>
      </c>
      <c r="EC672" s="142">
        <v>43579</v>
      </c>
      <c r="ED672" s="143" t="s">
        <v>226</v>
      </c>
      <c r="EE672" s="278" t="str">
        <f>HYPERLINK("https://my.pitchbook.com?c=41254-93", "View company online")</f>
        <v>View company online</v>
      </c>
    </row>
    <row r="673" spans="1:135" x14ac:dyDescent="0.45">
      <c r="A673" s="144" t="s">
        <v>13615</v>
      </c>
      <c r="B673" s="145" t="s">
        <v>13616</v>
      </c>
      <c r="C673" s="146" t="s">
        <v>153</v>
      </c>
      <c r="D673" s="147" t="s">
        <v>153</v>
      </c>
      <c r="E673" s="148" t="s">
        <v>153</v>
      </c>
      <c r="F673" s="149" t="s">
        <v>13617</v>
      </c>
      <c r="G673" s="150" t="s">
        <v>13618</v>
      </c>
      <c r="H673" s="151" t="s">
        <v>13619</v>
      </c>
      <c r="I673" s="152" t="s">
        <v>13615</v>
      </c>
      <c r="J673" s="153" t="s">
        <v>13620</v>
      </c>
      <c r="K673" s="154" t="s">
        <v>559</v>
      </c>
      <c r="L673" s="155" t="s">
        <v>560</v>
      </c>
      <c r="M673" s="156" t="s">
        <v>3573</v>
      </c>
      <c r="N673" s="157" t="s">
        <v>3574</v>
      </c>
      <c r="O673" s="158" t="s">
        <v>153</v>
      </c>
      <c r="P673" s="159" t="s">
        <v>13621</v>
      </c>
      <c r="Q673" s="160" t="s">
        <v>367</v>
      </c>
      <c r="R673" s="161" t="s">
        <v>153</v>
      </c>
      <c r="S673" s="162" t="s">
        <v>368</v>
      </c>
      <c r="T673" s="163" t="s">
        <v>291</v>
      </c>
      <c r="U673" s="164" t="s">
        <v>369</v>
      </c>
      <c r="V673" s="165" t="s">
        <v>13622</v>
      </c>
      <c r="W673" s="166">
        <v>4000</v>
      </c>
      <c r="X673" s="167" t="s">
        <v>13623</v>
      </c>
      <c r="Y673" s="168" t="s">
        <v>372</v>
      </c>
      <c r="Z673" s="169" t="s">
        <v>13624</v>
      </c>
      <c r="AA673" s="170">
        <v>1853</v>
      </c>
      <c r="AB673" s="171" t="s">
        <v>153</v>
      </c>
      <c r="AC673" s="172" t="s">
        <v>428</v>
      </c>
      <c r="AD673" s="173" t="s">
        <v>508</v>
      </c>
      <c r="AE673" s="174">
        <v>1765</v>
      </c>
      <c r="AF673" s="175">
        <v>626.9</v>
      </c>
      <c r="AG673" s="176">
        <v>24.6</v>
      </c>
      <c r="AH673" s="177">
        <v>5687.12</v>
      </c>
      <c r="AI673" s="178">
        <v>131.6</v>
      </c>
      <c r="AJ673" s="179">
        <v>106.3</v>
      </c>
      <c r="AK673" s="180">
        <v>4614.57</v>
      </c>
      <c r="AL673" s="181">
        <v>1747.9</v>
      </c>
      <c r="AM673" s="182">
        <v>-7.6</v>
      </c>
      <c r="AN673" s="183" t="s">
        <v>376</v>
      </c>
      <c r="AO673" s="184" t="s">
        <v>13625</v>
      </c>
      <c r="AP673" s="185" t="s">
        <v>13626</v>
      </c>
      <c r="AQ673" s="186" t="s">
        <v>13627</v>
      </c>
      <c r="AR673" s="187" t="s">
        <v>13628</v>
      </c>
      <c r="AS673" s="188" t="s">
        <v>13629</v>
      </c>
      <c r="AT673" s="189" t="s">
        <v>6752</v>
      </c>
      <c r="AU673" s="190" t="s">
        <v>13630</v>
      </c>
      <c r="AV673" s="191" t="s">
        <v>153</v>
      </c>
      <c r="AW673" s="192" t="s">
        <v>6754</v>
      </c>
      <c r="AX673" s="193" t="s">
        <v>5957</v>
      </c>
      <c r="AY673" s="194" t="s">
        <v>13631</v>
      </c>
      <c r="AZ673" s="195" t="s">
        <v>215</v>
      </c>
      <c r="BA673" s="196" t="s">
        <v>13629</v>
      </c>
      <c r="BB673" s="197" t="s">
        <v>13632</v>
      </c>
      <c r="BC673" s="198" t="s">
        <v>13633</v>
      </c>
      <c r="BD673" s="199" t="s">
        <v>216</v>
      </c>
      <c r="BE673" s="200" t="s">
        <v>217</v>
      </c>
      <c r="BF673" s="201" t="s">
        <v>13634</v>
      </c>
      <c r="BG673" s="202" t="s">
        <v>13635</v>
      </c>
      <c r="BH673" s="203">
        <v>1</v>
      </c>
      <c r="BI673" s="204" t="s">
        <v>153</v>
      </c>
      <c r="BJ673" s="205" t="s">
        <v>153</v>
      </c>
      <c r="BK673" s="206" t="s">
        <v>13636</v>
      </c>
      <c r="BL673" s="207" t="s">
        <v>13637</v>
      </c>
      <c r="BM673" s="208" t="s">
        <v>153</v>
      </c>
      <c r="BN673" s="209" t="s">
        <v>13638</v>
      </c>
      <c r="BO673" s="210" t="s">
        <v>13639</v>
      </c>
      <c r="BP673" s="211" t="s">
        <v>13640</v>
      </c>
      <c r="BQ673" s="212">
        <v>19360</v>
      </c>
      <c r="BR673" s="213" t="s">
        <v>153</v>
      </c>
      <c r="BS673" s="214" t="s">
        <v>153</v>
      </c>
      <c r="BT673" s="215" t="s">
        <v>153</v>
      </c>
      <c r="BU673" s="216" t="s">
        <v>153</v>
      </c>
      <c r="BV673" s="217" t="s">
        <v>251</v>
      </c>
      <c r="BW673" s="218" t="s">
        <v>153</v>
      </c>
      <c r="BX673" s="219" t="s">
        <v>153</v>
      </c>
      <c r="BY673" s="220" t="s">
        <v>252</v>
      </c>
      <c r="BZ673" s="221" t="s">
        <v>153</v>
      </c>
      <c r="CA673" s="222" t="s">
        <v>190</v>
      </c>
      <c r="CB673" s="223">
        <v>44312</v>
      </c>
      <c r="CC673" s="224">
        <v>7000</v>
      </c>
      <c r="CD673" s="225" t="s">
        <v>186</v>
      </c>
      <c r="CE673" s="226">
        <v>7000</v>
      </c>
      <c r="CF673" s="227" t="s">
        <v>187</v>
      </c>
      <c r="CG673" s="228" t="s">
        <v>226</v>
      </c>
      <c r="CH673" s="229" t="s">
        <v>930</v>
      </c>
      <c r="CI673" s="230" t="s">
        <v>153</v>
      </c>
      <c r="CJ673" s="231" t="s">
        <v>225</v>
      </c>
      <c r="CK673" s="232">
        <v>44312</v>
      </c>
      <c r="CL673" s="233" t="s">
        <v>153</v>
      </c>
      <c r="CM673" s="234" t="s">
        <v>153</v>
      </c>
      <c r="CN673" s="235" t="s">
        <v>1278</v>
      </c>
      <c r="CO673" s="236">
        <v>0.15</v>
      </c>
      <c r="CP673" s="237">
        <v>90</v>
      </c>
      <c r="CQ673" s="238">
        <v>-0.02</v>
      </c>
      <c r="CR673" s="239">
        <v>-10.220000000000001</v>
      </c>
      <c r="CS673" s="240">
        <v>0.08</v>
      </c>
      <c r="CT673" s="241">
        <v>89</v>
      </c>
      <c r="CU673" s="242">
        <v>0.38</v>
      </c>
      <c r="CV673" s="243">
        <v>95</v>
      </c>
      <c r="CW673" s="244">
        <v>-0.36</v>
      </c>
      <c r="CX673" s="245">
        <v>19</v>
      </c>
      <c r="CY673" s="246">
        <v>0.52</v>
      </c>
      <c r="CZ673" s="247">
        <v>95</v>
      </c>
      <c r="DA673" s="248">
        <v>0.38</v>
      </c>
      <c r="DB673" s="249">
        <v>95</v>
      </c>
      <c r="DC673" s="250">
        <v>50.08</v>
      </c>
      <c r="DD673" s="251">
        <v>98</v>
      </c>
      <c r="DE673" s="252">
        <v>-0.09</v>
      </c>
      <c r="DF673" s="253">
        <v>-0.18</v>
      </c>
      <c r="DG673" s="254">
        <v>40.11</v>
      </c>
      <c r="DH673" s="255">
        <v>98</v>
      </c>
      <c r="DI673" s="256">
        <v>2.0099999999999998</v>
      </c>
      <c r="DJ673" s="257">
        <v>63</v>
      </c>
      <c r="DK673" s="258">
        <v>16.84</v>
      </c>
      <c r="DL673" s="259">
        <v>90</v>
      </c>
      <c r="DM673" s="260">
        <v>63.38</v>
      </c>
      <c r="DN673" s="261">
        <v>99</v>
      </c>
      <c r="DO673" s="262">
        <v>2.0099999999999998</v>
      </c>
      <c r="DP673" s="263">
        <v>63</v>
      </c>
      <c r="DQ673" s="264">
        <v>9874</v>
      </c>
      <c r="DR673" s="265">
        <v>413</v>
      </c>
      <c r="DS673" s="266">
        <v>4.37</v>
      </c>
      <c r="DT673" s="267">
        <v>1017</v>
      </c>
      <c r="DU673" s="268">
        <v>-4</v>
      </c>
      <c r="DV673" s="269">
        <v>-0.39</v>
      </c>
      <c r="DW673" s="270">
        <v>631</v>
      </c>
      <c r="DX673" s="271">
        <v>0</v>
      </c>
      <c r="DY673" s="272">
        <v>0</v>
      </c>
      <c r="DZ673" s="273" t="s">
        <v>191</v>
      </c>
      <c r="EA673" s="274">
        <v>44390</v>
      </c>
      <c r="EB673" s="275">
        <v>7000</v>
      </c>
      <c r="EC673" s="276">
        <v>44312</v>
      </c>
      <c r="ED673" s="277" t="s">
        <v>226</v>
      </c>
      <c r="EE673" s="279" t="str">
        <f>HYPERLINK("https://my.pitchbook.com?c=41388-85", "View company online")</f>
        <v>View company online</v>
      </c>
    </row>
    <row r="674" spans="1:135" x14ac:dyDescent="0.45">
      <c r="A674" s="10" t="s">
        <v>13641</v>
      </c>
      <c r="B674" s="11" t="s">
        <v>13642</v>
      </c>
      <c r="C674" s="12" t="s">
        <v>153</v>
      </c>
      <c r="D674" s="13" t="s">
        <v>153</v>
      </c>
      <c r="E674" s="14" t="s">
        <v>153</v>
      </c>
      <c r="F674" s="15" t="s">
        <v>13643</v>
      </c>
      <c r="G674" s="16" t="s">
        <v>13644</v>
      </c>
      <c r="H674" s="17" t="s">
        <v>153</v>
      </c>
      <c r="I674" s="18" t="s">
        <v>13641</v>
      </c>
      <c r="J674" s="19" t="s">
        <v>13645</v>
      </c>
      <c r="K674" s="20" t="s">
        <v>792</v>
      </c>
      <c r="L674" s="21" t="s">
        <v>793</v>
      </c>
      <c r="M674" s="22" t="s">
        <v>1534</v>
      </c>
      <c r="N674" s="23" t="s">
        <v>13646</v>
      </c>
      <c r="O674" s="24" t="s">
        <v>3141</v>
      </c>
      <c r="P674" s="25" t="s">
        <v>13647</v>
      </c>
      <c r="Q674" s="26" t="s">
        <v>204</v>
      </c>
      <c r="R674" s="27" t="s">
        <v>153</v>
      </c>
      <c r="S674" s="28" t="s">
        <v>163</v>
      </c>
      <c r="T674" s="29" t="s">
        <v>1392</v>
      </c>
      <c r="U674" s="30" t="s">
        <v>206</v>
      </c>
      <c r="V674" s="31" t="s">
        <v>13648</v>
      </c>
      <c r="W674" s="32" t="s">
        <v>153</v>
      </c>
      <c r="X674" s="33" t="s">
        <v>153</v>
      </c>
      <c r="Y674" s="34" t="s">
        <v>153</v>
      </c>
      <c r="Z674" s="35" t="s">
        <v>153</v>
      </c>
      <c r="AA674" s="36">
        <v>2005</v>
      </c>
      <c r="AB674" s="37" t="s">
        <v>153</v>
      </c>
      <c r="AC674" s="38" t="s">
        <v>153</v>
      </c>
      <c r="AD674" s="39" t="s">
        <v>153</v>
      </c>
      <c r="AE674" s="40" t="s">
        <v>153</v>
      </c>
      <c r="AF674" s="41" t="s">
        <v>153</v>
      </c>
      <c r="AG674" s="42" t="s">
        <v>153</v>
      </c>
      <c r="AH674" s="43" t="s">
        <v>153</v>
      </c>
      <c r="AI674" s="44" t="s">
        <v>153</v>
      </c>
      <c r="AJ674" s="45" t="s">
        <v>153</v>
      </c>
      <c r="AK674" s="46" t="s">
        <v>153</v>
      </c>
      <c r="AL674" s="47" t="s">
        <v>153</v>
      </c>
      <c r="AM674" s="48" t="s">
        <v>153</v>
      </c>
      <c r="AN674" s="49" t="s">
        <v>153</v>
      </c>
      <c r="AO674" s="50" t="s">
        <v>13649</v>
      </c>
      <c r="AP674" s="51" t="s">
        <v>13650</v>
      </c>
      <c r="AQ674" s="52" t="s">
        <v>13651</v>
      </c>
      <c r="AR674" s="53" t="s">
        <v>153</v>
      </c>
      <c r="AS674" s="54" t="s">
        <v>153</v>
      </c>
      <c r="AT674" s="55" t="s">
        <v>13652</v>
      </c>
      <c r="AU674" s="56" t="s">
        <v>13653</v>
      </c>
      <c r="AV674" s="57" t="s">
        <v>13654</v>
      </c>
      <c r="AW674" s="58" t="s">
        <v>13655</v>
      </c>
      <c r="AX674" s="59" t="s">
        <v>1687</v>
      </c>
      <c r="AY674" s="60" t="s">
        <v>13656</v>
      </c>
      <c r="AZ674" s="61" t="s">
        <v>1519</v>
      </c>
      <c r="BA674" s="62" t="s">
        <v>153</v>
      </c>
      <c r="BB674" s="63" t="s">
        <v>153</v>
      </c>
      <c r="BC674" s="64" t="s">
        <v>153</v>
      </c>
      <c r="BD674" s="65" t="s">
        <v>1406</v>
      </c>
      <c r="BE674" s="66" t="s">
        <v>1407</v>
      </c>
      <c r="BF674" s="67" t="s">
        <v>13657</v>
      </c>
      <c r="BG674" s="68" t="s">
        <v>13658</v>
      </c>
      <c r="BH674" s="69">
        <v>1</v>
      </c>
      <c r="BI674" s="70" t="s">
        <v>153</v>
      </c>
      <c r="BJ674" s="71" t="s">
        <v>153</v>
      </c>
      <c r="BK674" s="72" t="s">
        <v>153</v>
      </c>
      <c r="BL674" s="73" t="s">
        <v>13659</v>
      </c>
      <c r="BM674" s="74" t="s">
        <v>153</v>
      </c>
      <c r="BN674" s="75" t="s">
        <v>153</v>
      </c>
      <c r="BO674" s="76" t="s">
        <v>153</v>
      </c>
      <c r="BP674" s="77" t="s">
        <v>153</v>
      </c>
      <c r="BQ674" s="78">
        <v>43081</v>
      </c>
      <c r="BR674" s="79">
        <v>7000</v>
      </c>
      <c r="BS674" s="80" t="s">
        <v>186</v>
      </c>
      <c r="BT674" s="81">
        <v>41176.47</v>
      </c>
      <c r="BU674" s="82" t="s">
        <v>186</v>
      </c>
      <c r="BV674" s="83" t="s">
        <v>906</v>
      </c>
      <c r="BW674" s="84" t="s">
        <v>153</v>
      </c>
      <c r="BX674" s="85" t="s">
        <v>153</v>
      </c>
      <c r="BY674" s="86" t="s">
        <v>225</v>
      </c>
      <c r="BZ674" s="87" t="s">
        <v>153</v>
      </c>
      <c r="CA674" s="88" t="s">
        <v>190</v>
      </c>
      <c r="CB674" s="89">
        <v>43081</v>
      </c>
      <c r="CC674" s="90">
        <v>7000</v>
      </c>
      <c r="CD674" s="91" t="s">
        <v>186</v>
      </c>
      <c r="CE674" s="92">
        <v>41176.47</v>
      </c>
      <c r="CF674" s="93" t="s">
        <v>186</v>
      </c>
      <c r="CG674" s="94" t="s">
        <v>906</v>
      </c>
      <c r="CH674" s="95" t="s">
        <v>153</v>
      </c>
      <c r="CI674" s="96" t="s">
        <v>153</v>
      </c>
      <c r="CJ674" s="97" t="s">
        <v>225</v>
      </c>
      <c r="CK674" s="98">
        <v>43081</v>
      </c>
      <c r="CL674" s="99" t="s">
        <v>153</v>
      </c>
      <c r="CM674" s="100" t="s">
        <v>153</v>
      </c>
      <c r="CN674" s="101" t="s">
        <v>190</v>
      </c>
      <c r="CO674" s="102">
        <v>0</v>
      </c>
      <c r="CP674" s="103">
        <v>11</v>
      </c>
      <c r="CQ674" s="104">
        <v>0</v>
      </c>
      <c r="CR674" s="105">
        <v>0</v>
      </c>
      <c r="CS674" s="106">
        <v>0</v>
      </c>
      <c r="CT674" s="107">
        <v>8</v>
      </c>
      <c r="CU674" s="108" t="s">
        <v>153</v>
      </c>
      <c r="CV674" s="109" t="s">
        <v>153</v>
      </c>
      <c r="CW674" s="110" t="s">
        <v>153</v>
      </c>
      <c r="CX674" s="111" t="s">
        <v>153</v>
      </c>
      <c r="CY674" s="112">
        <v>0</v>
      </c>
      <c r="CZ674" s="113">
        <v>5</v>
      </c>
      <c r="DA674" s="114" t="s">
        <v>153</v>
      </c>
      <c r="DB674" s="115" t="s">
        <v>153</v>
      </c>
      <c r="DC674" s="116">
        <v>2.94</v>
      </c>
      <c r="DD674" s="117">
        <v>76</v>
      </c>
      <c r="DE674" s="118">
        <v>-0.06</v>
      </c>
      <c r="DF674" s="119">
        <v>-2.08</v>
      </c>
      <c r="DG674" s="120">
        <v>2.94</v>
      </c>
      <c r="DH674" s="121">
        <v>75</v>
      </c>
      <c r="DI674" s="122" t="s">
        <v>153</v>
      </c>
      <c r="DJ674" s="123" t="s">
        <v>153</v>
      </c>
      <c r="DK674" s="124" t="s">
        <v>153</v>
      </c>
      <c r="DL674" s="125" t="s">
        <v>153</v>
      </c>
      <c r="DM674" s="126">
        <v>2.94</v>
      </c>
      <c r="DN674" s="127">
        <v>74</v>
      </c>
      <c r="DO674" s="128" t="s">
        <v>153</v>
      </c>
      <c r="DP674" s="129" t="s">
        <v>153</v>
      </c>
      <c r="DQ674" s="130" t="s">
        <v>153</v>
      </c>
      <c r="DR674" s="131" t="s">
        <v>153</v>
      </c>
      <c r="DS674" s="132" t="s">
        <v>153</v>
      </c>
      <c r="DT674" s="133">
        <v>47</v>
      </c>
      <c r="DU674" s="134">
        <v>-1</v>
      </c>
      <c r="DV674" s="135">
        <v>-2.08</v>
      </c>
      <c r="DW674" s="136" t="s">
        <v>153</v>
      </c>
      <c r="DX674" s="137" t="s">
        <v>153</v>
      </c>
      <c r="DY674" s="138" t="s">
        <v>153</v>
      </c>
      <c r="DZ674" s="139" t="s">
        <v>191</v>
      </c>
      <c r="EA674" s="140">
        <v>43673</v>
      </c>
      <c r="EB674" s="141">
        <v>41176.47</v>
      </c>
      <c r="EC674" s="142">
        <v>43081</v>
      </c>
      <c r="ED674" s="143" t="s">
        <v>906</v>
      </c>
      <c r="EE674" s="278" t="str">
        <f>HYPERLINK("https://my.pitchbook.com?c=166996-72", "View company online")</f>
        <v>View company online</v>
      </c>
    </row>
    <row r="675" spans="1:135" x14ac:dyDescent="0.45">
      <c r="A675" s="144" t="s">
        <v>13660</v>
      </c>
      <c r="B675" s="145" t="s">
        <v>13661</v>
      </c>
      <c r="C675" s="146" t="s">
        <v>153</v>
      </c>
      <c r="D675" s="147" t="s">
        <v>153</v>
      </c>
      <c r="E675" s="148" t="s">
        <v>13662</v>
      </c>
      <c r="F675" s="149" t="s">
        <v>13663</v>
      </c>
      <c r="G675" s="150" t="s">
        <v>13664</v>
      </c>
      <c r="H675" s="151" t="s">
        <v>153</v>
      </c>
      <c r="I675" s="152" t="s">
        <v>13660</v>
      </c>
      <c r="J675" s="153" t="s">
        <v>13665</v>
      </c>
      <c r="K675" s="154" t="s">
        <v>232</v>
      </c>
      <c r="L675" s="155" t="s">
        <v>233</v>
      </c>
      <c r="M675" s="156" t="s">
        <v>3219</v>
      </c>
      <c r="N675" s="157" t="s">
        <v>13666</v>
      </c>
      <c r="O675" s="158" t="s">
        <v>153</v>
      </c>
      <c r="P675" s="159" t="s">
        <v>13667</v>
      </c>
      <c r="Q675" s="160" t="s">
        <v>204</v>
      </c>
      <c r="R675" s="161" t="s">
        <v>153</v>
      </c>
      <c r="S675" s="162" t="s">
        <v>163</v>
      </c>
      <c r="T675" s="163" t="s">
        <v>205</v>
      </c>
      <c r="U675" s="164" t="s">
        <v>237</v>
      </c>
      <c r="V675" s="165" t="s">
        <v>13668</v>
      </c>
      <c r="W675" s="166">
        <v>5440</v>
      </c>
      <c r="X675" s="167" t="s">
        <v>13669</v>
      </c>
      <c r="Y675" s="168" t="s">
        <v>153</v>
      </c>
      <c r="Z675" s="169" t="s">
        <v>153</v>
      </c>
      <c r="AA675" s="170">
        <v>1966</v>
      </c>
      <c r="AB675" s="171" t="s">
        <v>153</v>
      </c>
      <c r="AC675" s="172" t="s">
        <v>153</v>
      </c>
      <c r="AD675" s="173" t="s">
        <v>153</v>
      </c>
      <c r="AE675" s="174" t="s">
        <v>153</v>
      </c>
      <c r="AF675" s="175" t="s">
        <v>153</v>
      </c>
      <c r="AG675" s="176" t="s">
        <v>153</v>
      </c>
      <c r="AH675" s="177" t="s">
        <v>153</v>
      </c>
      <c r="AI675" s="178" t="s">
        <v>153</v>
      </c>
      <c r="AJ675" s="179" t="s">
        <v>153</v>
      </c>
      <c r="AK675" s="180" t="s">
        <v>153</v>
      </c>
      <c r="AL675" s="181" t="s">
        <v>153</v>
      </c>
      <c r="AM675" s="182" t="s">
        <v>153</v>
      </c>
      <c r="AN675" s="183" t="s">
        <v>696</v>
      </c>
      <c r="AO675" s="184" t="s">
        <v>13670</v>
      </c>
      <c r="AP675" s="185" t="s">
        <v>13671</v>
      </c>
      <c r="AQ675" s="186" t="s">
        <v>269</v>
      </c>
      <c r="AR675" s="187" t="s">
        <v>153</v>
      </c>
      <c r="AS675" s="188" t="s">
        <v>13672</v>
      </c>
      <c r="AT675" s="189" t="s">
        <v>13434</v>
      </c>
      <c r="AU675" s="190" t="s">
        <v>13673</v>
      </c>
      <c r="AV675" s="191" t="s">
        <v>13674</v>
      </c>
      <c r="AW675" s="192" t="s">
        <v>13437</v>
      </c>
      <c r="AX675" s="193" t="s">
        <v>5243</v>
      </c>
      <c r="AY675" s="194" t="s">
        <v>13675</v>
      </c>
      <c r="AZ675" s="195" t="s">
        <v>215</v>
      </c>
      <c r="BA675" s="196" t="s">
        <v>153</v>
      </c>
      <c r="BB675" s="197" t="s">
        <v>153</v>
      </c>
      <c r="BC675" s="198" t="s">
        <v>153</v>
      </c>
      <c r="BD675" s="199" t="s">
        <v>216</v>
      </c>
      <c r="BE675" s="200" t="s">
        <v>217</v>
      </c>
      <c r="BF675" s="201" t="s">
        <v>13676</v>
      </c>
      <c r="BG675" s="202" t="s">
        <v>153</v>
      </c>
      <c r="BH675" s="203" t="s">
        <v>153</v>
      </c>
      <c r="BI675" s="204" t="s">
        <v>1898</v>
      </c>
      <c r="BJ675" s="205" t="s">
        <v>153</v>
      </c>
      <c r="BK675" s="206" t="s">
        <v>153</v>
      </c>
      <c r="BL675" s="207" t="s">
        <v>153</v>
      </c>
      <c r="BM675" s="208" t="s">
        <v>153</v>
      </c>
      <c r="BN675" s="209" t="s">
        <v>153</v>
      </c>
      <c r="BO675" s="210" t="s">
        <v>1110</v>
      </c>
      <c r="BP675" s="211" t="s">
        <v>13677</v>
      </c>
      <c r="BQ675" s="212">
        <v>27443</v>
      </c>
      <c r="BR675" s="213" t="s">
        <v>153</v>
      </c>
      <c r="BS675" s="214" t="s">
        <v>153</v>
      </c>
      <c r="BT675" s="215" t="s">
        <v>153</v>
      </c>
      <c r="BU675" s="216" t="s">
        <v>153</v>
      </c>
      <c r="BV675" s="217" t="s">
        <v>251</v>
      </c>
      <c r="BW675" s="218" t="s">
        <v>153</v>
      </c>
      <c r="BX675" s="219" t="s">
        <v>153</v>
      </c>
      <c r="BY675" s="220" t="s">
        <v>252</v>
      </c>
      <c r="BZ675" s="221" t="s">
        <v>153</v>
      </c>
      <c r="CA675" s="222" t="s">
        <v>190</v>
      </c>
      <c r="CB675" s="223">
        <v>38261</v>
      </c>
      <c r="CC675" s="224">
        <v>6980</v>
      </c>
      <c r="CD675" s="225" t="s">
        <v>186</v>
      </c>
      <c r="CE675" s="226">
        <v>6980</v>
      </c>
      <c r="CF675" s="227" t="s">
        <v>186</v>
      </c>
      <c r="CG675" s="228" t="s">
        <v>226</v>
      </c>
      <c r="CH675" s="229" t="s">
        <v>153</v>
      </c>
      <c r="CI675" s="230" t="s">
        <v>153</v>
      </c>
      <c r="CJ675" s="231" t="s">
        <v>225</v>
      </c>
      <c r="CK675" s="232">
        <v>38261</v>
      </c>
      <c r="CL675" s="233" t="s">
        <v>153</v>
      </c>
      <c r="CM675" s="234" t="s">
        <v>153</v>
      </c>
      <c r="CN675" s="235" t="s">
        <v>190</v>
      </c>
      <c r="CO675" s="236" t="s">
        <v>153</v>
      </c>
      <c r="CP675" s="237" t="s">
        <v>153</v>
      </c>
      <c r="CQ675" s="238" t="s">
        <v>153</v>
      </c>
      <c r="CR675" s="239" t="s">
        <v>153</v>
      </c>
      <c r="CS675" s="240" t="s">
        <v>153</v>
      </c>
      <c r="CT675" s="241" t="s">
        <v>153</v>
      </c>
      <c r="CU675" s="242" t="s">
        <v>153</v>
      </c>
      <c r="CV675" s="243" t="s">
        <v>153</v>
      </c>
      <c r="CW675" s="244" t="s">
        <v>153</v>
      </c>
      <c r="CX675" s="245" t="s">
        <v>153</v>
      </c>
      <c r="CY675" s="246" t="s">
        <v>153</v>
      </c>
      <c r="CZ675" s="247" t="s">
        <v>153</v>
      </c>
      <c r="DA675" s="248" t="s">
        <v>153</v>
      </c>
      <c r="DB675" s="249" t="s">
        <v>153</v>
      </c>
      <c r="DC675" s="250" t="s">
        <v>153</v>
      </c>
      <c r="DD675" s="251" t="s">
        <v>153</v>
      </c>
      <c r="DE675" s="252" t="s">
        <v>153</v>
      </c>
      <c r="DF675" s="253" t="s">
        <v>153</v>
      </c>
      <c r="DG675" s="254" t="s">
        <v>153</v>
      </c>
      <c r="DH675" s="255" t="s">
        <v>153</v>
      </c>
      <c r="DI675" s="256" t="s">
        <v>153</v>
      </c>
      <c r="DJ675" s="257" t="s">
        <v>153</v>
      </c>
      <c r="DK675" s="258" t="s">
        <v>153</v>
      </c>
      <c r="DL675" s="259" t="s">
        <v>153</v>
      </c>
      <c r="DM675" s="260" t="s">
        <v>153</v>
      </c>
      <c r="DN675" s="261" t="s">
        <v>153</v>
      </c>
      <c r="DO675" s="262" t="s">
        <v>153</v>
      </c>
      <c r="DP675" s="263" t="s">
        <v>153</v>
      </c>
      <c r="DQ675" s="264" t="s">
        <v>153</v>
      </c>
      <c r="DR675" s="265" t="s">
        <v>153</v>
      </c>
      <c r="DS675" s="266" t="s">
        <v>153</v>
      </c>
      <c r="DT675" s="267" t="s">
        <v>153</v>
      </c>
      <c r="DU675" s="268" t="s">
        <v>153</v>
      </c>
      <c r="DV675" s="269" t="s">
        <v>153</v>
      </c>
      <c r="DW675" s="270" t="s">
        <v>153</v>
      </c>
      <c r="DX675" s="271" t="s">
        <v>153</v>
      </c>
      <c r="DY675" s="272" t="s">
        <v>153</v>
      </c>
      <c r="DZ675" s="273" t="s">
        <v>191</v>
      </c>
      <c r="EA675" s="274">
        <v>43940</v>
      </c>
      <c r="EB675" s="275">
        <v>6980</v>
      </c>
      <c r="EC675" s="276">
        <v>38261</v>
      </c>
      <c r="ED675" s="277" t="s">
        <v>226</v>
      </c>
      <c r="EE675" s="279" t="str">
        <f>HYPERLINK("https://my.pitchbook.com?c=63775-72", "View company online")</f>
        <v>View company online</v>
      </c>
    </row>
    <row r="676" spans="1:135" x14ac:dyDescent="0.45">
      <c r="A676" s="10" t="s">
        <v>13678</v>
      </c>
      <c r="B676" s="11" t="s">
        <v>13246</v>
      </c>
      <c r="C676" s="12" t="s">
        <v>153</v>
      </c>
      <c r="D676" s="13" t="s">
        <v>153</v>
      </c>
      <c r="E676" s="14" t="s">
        <v>13679</v>
      </c>
      <c r="F676" s="15" t="s">
        <v>153</v>
      </c>
      <c r="G676" s="16" t="s">
        <v>13680</v>
      </c>
      <c r="H676" s="17" t="s">
        <v>13681</v>
      </c>
      <c r="I676" s="18" t="s">
        <v>13678</v>
      </c>
      <c r="J676" s="19" t="s">
        <v>13682</v>
      </c>
      <c r="K676" s="20" t="s">
        <v>198</v>
      </c>
      <c r="L676" s="21" t="s">
        <v>1846</v>
      </c>
      <c r="M676" s="22" t="s">
        <v>1847</v>
      </c>
      <c r="N676" s="23" t="s">
        <v>13683</v>
      </c>
      <c r="O676" s="24" t="s">
        <v>13684</v>
      </c>
      <c r="P676" s="25" t="s">
        <v>13685</v>
      </c>
      <c r="Q676" s="26" t="s">
        <v>162</v>
      </c>
      <c r="R676" s="27">
        <v>53.58</v>
      </c>
      <c r="S676" s="28" t="s">
        <v>163</v>
      </c>
      <c r="T676" s="29" t="s">
        <v>1392</v>
      </c>
      <c r="U676" s="30" t="s">
        <v>5464</v>
      </c>
      <c r="V676" s="31" t="s">
        <v>13686</v>
      </c>
      <c r="W676" s="32">
        <v>24000</v>
      </c>
      <c r="X676" s="33" t="s">
        <v>13687</v>
      </c>
      <c r="Y676" s="34" t="s">
        <v>153</v>
      </c>
      <c r="Z676" s="35" t="s">
        <v>153</v>
      </c>
      <c r="AA676" s="36">
        <v>2017</v>
      </c>
      <c r="AB676" s="37" t="s">
        <v>153</v>
      </c>
      <c r="AC676" s="38" t="s">
        <v>537</v>
      </c>
      <c r="AD676" s="39" t="s">
        <v>537</v>
      </c>
      <c r="AE676" s="40">
        <v>7750</v>
      </c>
      <c r="AF676" s="41" t="s">
        <v>153</v>
      </c>
      <c r="AG676" s="42" t="s">
        <v>153</v>
      </c>
      <c r="AH676" s="43" t="s">
        <v>153</v>
      </c>
      <c r="AI676" s="44" t="s">
        <v>153</v>
      </c>
      <c r="AJ676" s="45" t="s">
        <v>153</v>
      </c>
      <c r="AK676" s="46" t="s">
        <v>153</v>
      </c>
      <c r="AL676" s="47" t="s">
        <v>153</v>
      </c>
      <c r="AM676" s="48">
        <v>675</v>
      </c>
      <c r="AN676" s="49" t="s">
        <v>1765</v>
      </c>
      <c r="AO676" s="50" t="s">
        <v>13688</v>
      </c>
      <c r="AP676" s="51" t="s">
        <v>13689</v>
      </c>
      <c r="AQ676" s="52" t="s">
        <v>2909</v>
      </c>
      <c r="AR676" s="53" t="s">
        <v>13690</v>
      </c>
      <c r="AS676" s="54" t="s">
        <v>13691</v>
      </c>
      <c r="AT676" s="55" t="s">
        <v>13692</v>
      </c>
      <c r="AU676" s="56" t="s">
        <v>13693</v>
      </c>
      <c r="AV676" s="57" t="s">
        <v>153</v>
      </c>
      <c r="AW676" s="58" t="s">
        <v>13694</v>
      </c>
      <c r="AX676" s="59" t="s">
        <v>2093</v>
      </c>
      <c r="AY676" s="60" t="s">
        <v>13695</v>
      </c>
      <c r="AZ676" s="61" t="s">
        <v>215</v>
      </c>
      <c r="BA676" s="62" t="s">
        <v>13691</v>
      </c>
      <c r="BB676" s="63" t="s">
        <v>153</v>
      </c>
      <c r="BC676" s="64" t="s">
        <v>153</v>
      </c>
      <c r="BD676" s="65" t="s">
        <v>216</v>
      </c>
      <c r="BE676" s="66" t="s">
        <v>217</v>
      </c>
      <c r="BF676" s="67" t="s">
        <v>13696</v>
      </c>
      <c r="BG676" s="68" t="s">
        <v>13248</v>
      </c>
      <c r="BH676" s="69">
        <v>1</v>
      </c>
      <c r="BI676" s="70" t="s">
        <v>153</v>
      </c>
      <c r="BJ676" s="71" t="s">
        <v>1628</v>
      </c>
      <c r="BK676" s="72" t="s">
        <v>153</v>
      </c>
      <c r="BL676" s="73" t="s">
        <v>13250</v>
      </c>
      <c r="BM676" s="74" t="s">
        <v>13697</v>
      </c>
      <c r="BN676" s="75" t="s">
        <v>153</v>
      </c>
      <c r="BO676" s="76" t="s">
        <v>13698</v>
      </c>
      <c r="BP676" s="77" t="s">
        <v>13699</v>
      </c>
      <c r="BQ676" s="78">
        <v>42853</v>
      </c>
      <c r="BR676" s="79">
        <v>690</v>
      </c>
      <c r="BS676" s="80" t="s">
        <v>186</v>
      </c>
      <c r="BT676" s="81">
        <v>690</v>
      </c>
      <c r="BU676" s="82" t="s">
        <v>186</v>
      </c>
      <c r="BV676" s="83" t="s">
        <v>188</v>
      </c>
      <c r="BW676" s="84" t="s">
        <v>729</v>
      </c>
      <c r="BX676" s="85" t="s">
        <v>153</v>
      </c>
      <c r="BY676" s="86" t="s">
        <v>165</v>
      </c>
      <c r="BZ676" s="87" t="s">
        <v>13700</v>
      </c>
      <c r="CA676" s="88" t="s">
        <v>190</v>
      </c>
      <c r="CB676" s="89">
        <v>44228</v>
      </c>
      <c r="CC676" s="90">
        <v>6975.92</v>
      </c>
      <c r="CD676" s="91" t="s">
        <v>186</v>
      </c>
      <c r="CE676" s="92" t="s">
        <v>153</v>
      </c>
      <c r="CF676" s="93" t="s">
        <v>153</v>
      </c>
      <c r="CG676" s="94" t="s">
        <v>13701</v>
      </c>
      <c r="CH676" s="95" t="s">
        <v>4289</v>
      </c>
      <c r="CI676" s="96" t="s">
        <v>153</v>
      </c>
      <c r="CJ676" s="97" t="s">
        <v>4290</v>
      </c>
      <c r="CK676" s="98">
        <v>44228</v>
      </c>
      <c r="CL676" s="99" t="s">
        <v>153</v>
      </c>
      <c r="CM676" s="100" t="s">
        <v>13702</v>
      </c>
      <c r="CN676" s="101" t="s">
        <v>190</v>
      </c>
      <c r="CO676" s="102">
        <v>1.38</v>
      </c>
      <c r="CP676" s="103">
        <v>97</v>
      </c>
      <c r="CQ676" s="104">
        <v>-0.31</v>
      </c>
      <c r="CR676" s="105">
        <v>-18.36</v>
      </c>
      <c r="CS676" s="106">
        <v>3.17</v>
      </c>
      <c r="CT676" s="107">
        <v>99</v>
      </c>
      <c r="CU676" s="108">
        <v>0.12</v>
      </c>
      <c r="CV676" s="109">
        <v>87</v>
      </c>
      <c r="CW676" s="110">
        <v>6.57</v>
      </c>
      <c r="CX676" s="111">
        <v>96</v>
      </c>
      <c r="CY676" s="112">
        <v>-0.24</v>
      </c>
      <c r="CZ676" s="113">
        <v>3</v>
      </c>
      <c r="DA676" s="114">
        <v>0.12</v>
      </c>
      <c r="DB676" s="115">
        <v>87</v>
      </c>
      <c r="DC676" s="116">
        <v>234.03</v>
      </c>
      <c r="DD676" s="117">
        <v>100</v>
      </c>
      <c r="DE676" s="118">
        <v>1.48</v>
      </c>
      <c r="DF676" s="119">
        <v>0.64</v>
      </c>
      <c r="DG676" s="120">
        <v>44.06</v>
      </c>
      <c r="DH676" s="121">
        <v>98</v>
      </c>
      <c r="DI676" s="122">
        <v>9.3800000000000008</v>
      </c>
      <c r="DJ676" s="123">
        <v>86</v>
      </c>
      <c r="DK676" s="124">
        <v>23.11</v>
      </c>
      <c r="DL676" s="125">
        <v>92</v>
      </c>
      <c r="DM676" s="126">
        <v>65</v>
      </c>
      <c r="DN676" s="127">
        <v>99</v>
      </c>
      <c r="DO676" s="128">
        <v>9.3800000000000008</v>
      </c>
      <c r="DP676" s="129">
        <v>86</v>
      </c>
      <c r="DQ676" s="130">
        <v>14130</v>
      </c>
      <c r="DR676" s="131">
        <v>-1552</v>
      </c>
      <c r="DS676" s="132">
        <v>-9.9</v>
      </c>
      <c r="DT676" s="133">
        <v>1042</v>
      </c>
      <c r="DU676" s="134">
        <v>-6</v>
      </c>
      <c r="DV676" s="135">
        <v>-0.56999999999999995</v>
      </c>
      <c r="DW676" s="136">
        <v>2944</v>
      </c>
      <c r="DX676" s="137">
        <v>2</v>
      </c>
      <c r="DY676" s="138">
        <v>7.0000000000000007E-2</v>
      </c>
      <c r="DZ676" s="139" t="s">
        <v>191</v>
      </c>
      <c r="EA676" s="140">
        <v>44393</v>
      </c>
      <c r="EB676" s="141">
        <v>690</v>
      </c>
      <c r="EC676" s="142">
        <v>42853</v>
      </c>
      <c r="ED676" s="143" t="s">
        <v>188</v>
      </c>
      <c r="EE676" s="278" t="str">
        <f>HYPERLINK("https://my.pitchbook.com?c=147355-84", "View company online")</f>
        <v>View company online</v>
      </c>
    </row>
    <row r="677" spans="1:135" x14ac:dyDescent="0.45">
      <c r="A677" s="144" t="s">
        <v>13703</v>
      </c>
      <c r="B677" s="145" t="s">
        <v>13704</v>
      </c>
      <c r="C677" s="146" t="s">
        <v>153</v>
      </c>
      <c r="D677" s="147" t="s">
        <v>153</v>
      </c>
      <c r="E677" s="148" t="s">
        <v>153</v>
      </c>
      <c r="F677" s="149" t="s">
        <v>153</v>
      </c>
      <c r="G677" s="150" t="s">
        <v>13705</v>
      </c>
      <c r="H677" s="151" t="s">
        <v>13706</v>
      </c>
      <c r="I677" s="152" t="s">
        <v>13703</v>
      </c>
      <c r="J677" s="153" t="s">
        <v>13707</v>
      </c>
      <c r="K677" s="154" t="s">
        <v>198</v>
      </c>
      <c r="L677" s="155" t="s">
        <v>1846</v>
      </c>
      <c r="M677" s="156" t="s">
        <v>6687</v>
      </c>
      <c r="N677" s="157" t="s">
        <v>10460</v>
      </c>
      <c r="O677" s="158" t="s">
        <v>399</v>
      </c>
      <c r="P677" s="159" t="s">
        <v>13708</v>
      </c>
      <c r="Q677" s="160" t="s">
        <v>564</v>
      </c>
      <c r="R677" s="161">
        <v>460.7</v>
      </c>
      <c r="S677" s="162" t="s">
        <v>290</v>
      </c>
      <c r="T677" s="163" t="s">
        <v>164</v>
      </c>
      <c r="U677" s="164" t="s">
        <v>292</v>
      </c>
      <c r="V677" s="165" t="s">
        <v>13709</v>
      </c>
      <c r="W677" s="166">
        <v>2800</v>
      </c>
      <c r="X677" s="167" t="s">
        <v>13710</v>
      </c>
      <c r="Y677" s="168" t="s">
        <v>153</v>
      </c>
      <c r="Z677" s="169" t="s">
        <v>153</v>
      </c>
      <c r="AA677" s="170">
        <v>1998</v>
      </c>
      <c r="AB677" s="171" t="s">
        <v>13711</v>
      </c>
      <c r="AC677" s="172" t="s">
        <v>153</v>
      </c>
      <c r="AD677" s="173" t="s">
        <v>428</v>
      </c>
      <c r="AE677" s="174" t="s">
        <v>153</v>
      </c>
      <c r="AF677" s="175" t="s">
        <v>153</v>
      </c>
      <c r="AG677" s="176" t="s">
        <v>153</v>
      </c>
      <c r="AH677" s="177" t="s">
        <v>153</v>
      </c>
      <c r="AI677" s="178" t="s">
        <v>153</v>
      </c>
      <c r="AJ677" s="179" t="s">
        <v>153</v>
      </c>
      <c r="AK677" s="180" t="s">
        <v>153</v>
      </c>
      <c r="AL677" s="181" t="s">
        <v>153</v>
      </c>
      <c r="AM677" s="182" t="s">
        <v>153</v>
      </c>
      <c r="AN677" s="183" t="s">
        <v>1908</v>
      </c>
      <c r="AO677" s="184" t="s">
        <v>13712</v>
      </c>
      <c r="AP677" s="185" t="s">
        <v>13713</v>
      </c>
      <c r="AQ677" s="186" t="s">
        <v>4199</v>
      </c>
      <c r="AR677" s="187" t="s">
        <v>153</v>
      </c>
      <c r="AS677" s="188" t="s">
        <v>13714</v>
      </c>
      <c r="AT677" s="189" t="s">
        <v>331</v>
      </c>
      <c r="AU677" s="190" t="s">
        <v>13715</v>
      </c>
      <c r="AV677" s="191" t="s">
        <v>153</v>
      </c>
      <c r="AW677" s="192" t="s">
        <v>333</v>
      </c>
      <c r="AX677" s="193" t="s">
        <v>153</v>
      </c>
      <c r="AY677" s="194" t="s">
        <v>13716</v>
      </c>
      <c r="AZ677" s="195" t="s">
        <v>335</v>
      </c>
      <c r="BA677" s="196" t="s">
        <v>13714</v>
      </c>
      <c r="BB677" s="197" t="s">
        <v>13717</v>
      </c>
      <c r="BC677" s="198" t="s">
        <v>13718</v>
      </c>
      <c r="BD677" s="199" t="s">
        <v>180</v>
      </c>
      <c r="BE677" s="200" t="s">
        <v>181</v>
      </c>
      <c r="BF677" s="201" t="s">
        <v>13719</v>
      </c>
      <c r="BG677" s="202" t="s">
        <v>13720</v>
      </c>
      <c r="BH677" s="203">
        <v>1</v>
      </c>
      <c r="BI677" s="204" t="s">
        <v>13711</v>
      </c>
      <c r="BJ677" s="205" t="s">
        <v>13721</v>
      </c>
      <c r="BK677" s="206" t="s">
        <v>13722</v>
      </c>
      <c r="BL677" s="207" t="s">
        <v>13723</v>
      </c>
      <c r="BM677" s="208" t="s">
        <v>13724</v>
      </c>
      <c r="BN677" s="209" t="s">
        <v>13725</v>
      </c>
      <c r="BO677" s="210" t="s">
        <v>5311</v>
      </c>
      <c r="BP677" s="211" t="s">
        <v>13726</v>
      </c>
      <c r="BQ677" s="212">
        <v>36526</v>
      </c>
      <c r="BR677" s="213">
        <v>70.81</v>
      </c>
      <c r="BS677" s="214" t="s">
        <v>186</v>
      </c>
      <c r="BT677" s="215" t="s">
        <v>153</v>
      </c>
      <c r="BU677" s="216" t="s">
        <v>153</v>
      </c>
      <c r="BV677" s="217" t="s">
        <v>709</v>
      </c>
      <c r="BW677" s="218" t="s">
        <v>153</v>
      </c>
      <c r="BX677" s="219" t="s">
        <v>153</v>
      </c>
      <c r="BY677" s="220" t="s">
        <v>165</v>
      </c>
      <c r="BZ677" s="221" t="s">
        <v>153</v>
      </c>
      <c r="CA677" s="222" t="s">
        <v>190</v>
      </c>
      <c r="CB677" s="223">
        <v>43902</v>
      </c>
      <c r="CC677" s="224">
        <v>6975.25</v>
      </c>
      <c r="CD677" s="225" t="s">
        <v>186</v>
      </c>
      <c r="CE677" s="226">
        <v>6975.25</v>
      </c>
      <c r="CF677" s="227" t="s">
        <v>187</v>
      </c>
      <c r="CG677" s="228" t="s">
        <v>226</v>
      </c>
      <c r="CH677" s="229" t="s">
        <v>153</v>
      </c>
      <c r="CI677" s="230" t="s">
        <v>153</v>
      </c>
      <c r="CJ677" s="231" t="s">
        <v>225</v>
      </c>
      <c r="CK677" s="232">
        <v>43902</v>
      </c>
      <c r="CL677" s="233" t="s">
        <v>153</v>
      </c>
      <c r="CM677" s="234" t="s">
        <v>153</v>
      </c>
      <c r="CN677" s="235" t="s">
        <v>190</v>
      </c>
      <c r="CO677" s="236" t="s">
        <v>153</v>
      </c>
      <c r="CP677" s="237" t="s">
        <v>153</v>
      </c>
      <c r="CQ677" s="238" t="s">
        <v>153</v>
      </c>
      <c r="CR677" s="239" t="s">
        <v>153</v>
      </c>
      <c r="CS677" s="240" t="s">
        <v>153</v>
      </c>
      <c r="CT677" s="241" t="s">
        <v>153</v>
      </c>
      <c r="CU677" s="242" t="s">
        <v>153</v>
      </c>
      <c r="CV677" s="243" t="s">
        <v>153</v>
      </c>
      <c r="CW677" s="244" t="s">
        <v>153</v>
      </c>
      <c r="CX677" s="245" t="s">
        <v>153</v>
      </c>
      <c r="CY677" s="246" t="s">
        <v>153</v>
      </c>
      <c r="CZ677" s="247" t="s">
        <v>153</v>
      </c>
      <c r="DA677" s="248" t="s">
        <v>153</v>
      </c>
      <c r="DB677" s="249" t="s">
        <v>153</v>
      </c>
      <c r="DC677" s="250" t="s">
        <v>153</v>
      </c>
      <c r="DD677" s="251" t="s">
        <v>153</v>
      </c>
      <c r="DE677" s="252" t="s">
        <v>153</v>
      </c>
      <c r="DF677" s="253" t="s">
        <v>153</v>
      </c>
      <c r="DG677" s="254" t="s">
        <v>153</v>
      </c>
      <c r="DH677" s="255" t="s">
        <v>153</v>
      </c>
      <c r="DI677" s="256" t="s">
        <v>153</v>
      </c>
      <c r="DJ677" s="257" t="s">
        <v>153</v>
      </c>
      <c r="DK677" s="258" t="s">
        <v>153</v>
      </c>
      <c r="DL677" s="259" t="s">
        <v>153</v>
      </c>
      <c r="DM677" s="260" t="s">
        <v>153</v>
      </c>
      <c r="DN677" s="261" t="s">
        <v>153</v>
      </c>
      <c r="DO677" s="262" t="s">
        <v>153</v>
      </c>
      <c r="DP677" s="263" t="s">
        <v>153</v>
      </c>
      <c r="DQ677" s="264" t="s">
        <v>153</v>
      </c>
      <c r="DR677" s="265" t="s">
        <v>153</v>
      </c>
      <c r="DS677" s="266" t="s">
        <v>153</v>
      </c>
      <c r="DT677" s="267" t="s">
        <v>153</v>
      </c>
      <c r="DU677" s="268" t="s">
        <v>153</v>
      </c>
      <c r="DV677" s="269" t="s">
        <v>153</v>
      </c>
      <c r="DW677" s="270" t="s">
        <v>153</v>
      </c>
      <c r="DX677" s="271" t="s">
        <v>153</v>
      </c>
      <c r="DY677" s="272" t="s">
        <v>153</v>
      </c>
      <c r="DZ677" s="273" t="s">
        <v>191</v>
      </c>
      <c r="EA677" s="274">
        <v>44217</v>
      </c>
      <c r="EB677" s="275">
        <v>6975.25</v>
      </c>
      <c r="EC677" s="276">
        <v>43902</v>
      </c>
      <c r="ED677" s="277" t="s">
        <v>226</v>
      </c>
      <c r="EE677" s="279" t="str">
        <f>HYPERLINK("https://my.pitchbook.com?c=10815-58", "View company online")</f>
        <v>View company online</v>
      </c>
    </row>
    <row r="678" spans="1:135" x14ac:dyDescent="0.45">
      <c r="A678" s="10" t="s">
        <v>13727</v>
      </c>
      <c r="B678" s="11" t="s">
        <v>13728</v>
      </c>
      <c r="C678" s="12" t="s">
        <v>153</v>
      </c>
      <c r="D678" s="13" t="s">
        <v>153</v>
      </c>
      <c r="E678" s="14" t="s">
        <v>13729</v>
      </c>
      <c r="F678" s="15" t="s">
        <v>153</v>
      </c>
      <c r="G678" s="16" t="s">
        <v>13730</v>
      </c>
      <c r="H678" s="17" t="s">
        <v>13731</v>
      </c>
      <c r="I678" s="18" t="s">
        <v>13727</v>
      </c>
      <c r="J678" s="19" t="s">
        <v>13732</v>
      </c>
      <c r="K678" s="20" t="s">
        <v>882</v>
      </c>
      <c r="L678" s="21" t="s">
        <v>1257</v>
      </c>
      <c r="M678" s="22" t="s">
        <v>3812</v>
      </c>
      <c r="N678" s="23" t="s">
        <v>13733</v>
      </c>
      <c r="O678" s="24" t="s">
        <v>1234</v>
      </c>
      <c r="P678" s="25" t="s">
        <v>13734</v>
      </c>
      <c r="Q678" s="26" t="s">
        <v>204</v>
      </c>
      <c r="R678" s="27">
        <v>1417.01</v>
      </c>
      <c r="S678" s="28" t="s">
        <v>290</v>
      </c>
      <c r="T678" s="29" t="s">
        <v>205</v>
      </c>
      <c r="U678" s="30" t="s">
        <v>292</v>
      </c>
      <c r="V678" s="31" t="s">
        <v>13735</v>
      </c>
      <c r="W678" s="32">
        <v>7545</v>
      </c>
      <c r="X678" s="33" t="s">
        <v>13736</v>
      </c>
      <c r="Y678" s="34" t="s">
        <v>153</v>
      </c>
      <c r="Z678" s="35" t="s">
        <v>153</v>
      </c>
      <c r="AA678" s="36">
        <v>1996</v>
      </c>
      <c r="AB678" s="37" t="s">
        <v>153</v>
      </c>
      <c r="AC678" s="38" t="s">
        <v>153</v>
      </c>
      <c r="AD678" s="39" t="s">
        <v>153</v>
      </c>
      <c r="AE678" s="40" t="s">
        <v>153</v>
      </c>
      <c r="AF678" s="41" t="s">
        <v>153</v>
      </c>
      <c r="AG678" s="42" t="s">
        <v>153</v>
      </c>
      <c r="AH678" s="43" t="s">
        <v>153</v>
      </c>
      <c r="AI678" s="44" t="s">
        <v>153</v>
      </c>
      <c r="AJ678" s="45" t="s">
        <v>153</v>
      </c>
      <c r="AK678" s="46" t="s">
        <v>153</v>
      </c>
      <c r="AL678" s="47" t="s">
        <v>153</v>
      </c>
      <c r="AM678" s="48" t="s">
        <v>153</v>
      </c>
      <c r="AN678" s="49" t="s">
        <v>2112</v>
      </c>
      <c r="AO678" s="50" t="s">
        <v>153</v>
      </c>
      <c r="AP678" s="51" t="s">
        <v>153</v>
      </c>
      <c r="AQ678" s="52" t="s">
        <v>153</v>
      </c>
      <c r="AR678" s="53" t="s">
        <v>153</v>
      </c>
      <c r="AS678" s="54" t="s">
        <v>153</v>
      </c>
      <c r="AT678" s="55" t="s">
        <v>5517</v>
      </c>
      <c r="AU678" s="56" t="s">
        <v>13737</v>
      </c>
      <c r="AV678" s="57" t="s">
        <v>13738</v>
      </c>
      <c r="AW678" s="58" t="s">
        <v>5519</v>
      </c>
      <c r="AX678" s="59" t="s">
        <v>5520</v>
      </c>
      <c r="AY678" s="60" t="s">
        <v>13739</v>
      </c>
      <c r="AZ678" s="61" t="s">
        <v>2546</v>
      </c>
      <c r="BA678" s="62" t="s">
        <v>153</v>
      </c>
      <c r="BB678" s="63" t="s">
        <v>153</v>
      </c>
      <c r="BC678" s="64" t="s">
        <v>153</v>
      </c>
      <c r="BD678" s="65" t="s">
        <v>2547</v>
      </c>
      <c r="BE678" s="66" t="s">
        <v>2547</v>
      </c>
      <c r="BF678" s="67" t="s">
        <v>13740</v>
      </c>
      <c r="BG678" s="68" t="s">
        <v>153</v>
      </c>
      <c r="BH678" s="69" t="s">
        <v>153</v>
      </c>
      <c r="BI678" s="70" t="s">
        <v>13741</v>
      </c>
      <c r="BJ678" s="71" t="s">
        <v>13742</v>
      </c>
      <c r="BK678" s="72" t="s">
        <v>13743</v>
      </c>
      <c r="BL678" s="73" t="s">
        <v>153</v>
      </c>
      <c r="BM678" s="74" t="s">
        <v>13744</v>
      </c>
      <c r="BN678" s="75" t="s">
        <v>13745</v>
      </c>
      <c r="BO678" s="76" t="s">
        <v>153</v>
      </c>
      <c r="BP678" s="77" t="s">
        <v>13746</v>
      </c>
      <c r="BQ678" s="78">
        <v>35431</v>
      </c>
      <c r="BR678" s="79" t="s">
        <v>153</v>
      </c>
      <c r="BS678" s="80" t="s">
        <v>153</v>
      </c>
      <c r="BT678" s="81" t="s">
        <v>153</v>
      </c>
      <c r="BU678" s="82" t="s">
        <v>153</v>
      </c>
      <c r="BV678" s="83" t="s">
        <v>226</v>
      </c>
      <c r="BW678" s="84" t="s">
        <v>153</v>
      </c>
      <c r="BX678" s="85" t="s">
        <v>153</v>
      </c>
      <c r="BY678" s="86" t="s">
        <v>225</v>
      </c>
      <c r="BZ678" s="87" t="s">
        <v>153</v>
      </c>
      <c r="CA678" s="88" t="s">
        <v>190</v>
      </c>
      <c r="CB678" s="89">
        <v>42601</v>
      </c>
      <c r="CC678" s="90">
        <v>6951.15</v>
      </c>
      <c r="CD678" s="91" t="s">
        <v>186</v>
      </c>
      <c r="CE678" s="92">
        <v>6951.15</v>
      </c>
      <c r="CF678" s="93" t="s">
        <v>186</v>
      </c>
      <c r="CG678" s="94" t="s">
        <v>226</v>
      </c>
      <c r="CH678" s="95" t="s">
        <v>153</v>
      </c>
      <c r="CI678" s="96" t="s">
        <v>153</v>
      </c>
      <c r="CJ678" s="97" t="s">
        <v>225</v>
      </c>
      <c r="CK678" s="98">
        <v>42601</v>
      </c>
      <c r="CL678" s="99" t="s">
        <v>153</v>
      </c>
      <c r="CM678" s="100" t="s">
        <v>1432</v>
      </c>
      <c r="CN678" s="101" t="s">
        <v>190</v>
      </c>
      <c r="CO678" s="102" t="s">
        <v>153</v>
      </c>
      <c r="CP678" s="103" t="s">
        <v>153</v>
      </c>
      <c r="CQ678" s="104" t="s">
        <v>153</v>
      </c>
      <c r="CR678" s="105" t="s">
        <v>153</v>
      </c>
      <c r="CS678" s="106" t="s">
        <v>153</v>
      </c>
      <c r="CT678" s="107" t="s">
        <v>153</v>
      </c>
      <c r="CU678" s="108" t="s">
        <v>153</v>
      </c>
      <c r="CV678" s="109" t="s">
        <v>153</v>
      </c>
      <c r="CW678" s="110" t="s">
        <v>153</v>
      </c>
      <c r="CX678" s="111" t="s">
        <v>153</v>
      </c>
      <c r="CY678" s="112" t="s">
        <v>153</v>
      </c>
      <c r="CZ678" s="113" t="s">
        <v>153</v>
      </c>
      <c r="DA678" s="114" t="s">
        <v>153</v>
      </c>
      <c r="DB678" s="115" t="s">
        <v>153</v>
      </c>
      <c r="DC678" s="116" t="s">
        <v>153</v>
      </c>
      <c r="DD678" s="117" t="s">
        <v>153</v>
      </c>
      <c r="DE678" s="118" t="s">
        <v>153</v>
      </c>
      <c r="DF678" s="119" t="s">
        <v>153</v>
      </c>
      <c r="DG678" s="120" t="s">
        <v>153</v>
      </c>
      <c r="DH678" s="121" t="s">
        <v>153</v>
      </c>
      <c r="DI678" s="122" t="s">
        <v>153</v>
      </c>
      <c r="DJ678" s="123" t="s">
        <v>153</v>
      </c>
      <c r="DK678" s="124" t="s">
        <v>153</v>
      </c>
      <c r="DL678" s="125" t="s">
        <v>153</v>
      </c>
      <c r="DM678" s="126" t="s">
        <v>153</v>
      </c>
      <c r="DN678" s="127" t="s">
        <v>153</v>
      </c>
      <c r="DO678" s="128" t="s">
        <v>153</v>
      </c>
      <c r="DP678" s="129" t="s">
        <v>153</v>
      </c>
      <c r="DQ678" s="130" t="s">
        <v>153</v>
      </c>
      <c r="DR678" s="131" t="s">
        <v>153</v>
      </c>
      <c r="DS678" s="132" t="s">
        <v>153</v>
      </c>
      <c r="DT678" s="133" t="s">
        <v>153</v>
      </c>
      <c r="DU678" s="134" t="s">
        <v>153</v>
      </c>
      <c r="DV678" s="135" t="s">
        <v>153</v>
      </c>
      <c r="DW678" s="136" t="s">
        <v>153</v>
      </c>
      <c r="DX678" s="137" t="s">
        <v>153</v>
      </c>
      <c r="DY678" s="138" t="s">
        <v>153</v>
      </c>
      <c r="DZ678" s="139" t="s">
        <v>191</v>
      </c>
      <c r="EA678" s="140">
        <v>44368</v>
      </c>
      <c r="EB678" s="141">
        <v>6951.15</v>
      </c>
      <c r="EC678" s="142">
        <v>42601</v>
      </c>
      <c r="ED678" s="143" t="s">
        <v>226</v>
      </c>
      <c r="EE678" s="278" t="str">
        <f>HYPERLINK("https://my.pitchbook.com?c=13325-86", "View company online")</f>
        <v>View company online</v>
      </c>
    </row>
    <row r="679" spans="1:135" x14ac:dyDescent="0.45">
      <c r="A679" s="144" t="s">
        <v>13747</v>
      </c>
      <c r="B679" s="145" t="s">
        <v>13748</v>
      </c>
      <c r="C679" s="146" t="s">
        <v>153</v>
      </c>
      <c r="D679" s="147" t="s">
        <v>153</v>
      </c>
      <c r="E679" s="148" t="s">
        <v>13749</v>
      </c>
      <c r="F679" s="149" t="s">
        <v>13750</v>
      </c>
      <c r="G679" s="150" t="s">
        <v>13751</v>
      </c>
      <c r="H679" s="151" t="s">
        <v>13752</v>
      </c>
      <c r="I679" s="152" t="s">
        <v>13747</v>
      </c>
      <c r="J679" s="153" t="s">
        <v>13753</v>
      </c>
      <c r="K679" s="154" t="s">
        <v>559</v>
      </c>
      <c r="L679" s="155" t="s">
        <v>3055</v>
      </c>
      <c r="M679" s="156" t="s">
        <v>3056</v>
      </c>
      <c r="N679" s="157" t="s">
        <v>3057</v>
      </c>
      <c r="O679" s="158" t="s">
        <v>261</v>
      </c>
      <c r="P679" s="159" t="s">
        <v>13754</v>
      </c>
      <c r="Q679" s="160" t="s">
        <v>204</v>
      </c>
      <c r="R679" s="161">
        <v>521.63</v>
      </c>
      <c r="S679" s="162" t="s">
        <v>290</v>
      </c>
      <c r="T679" s="163" t="s">
        <v>291</v>
      </c>
      <c r="U679" s="164" t="s">
        <v>237</v>
      </c>
      <c r="V679" s="165" t="s">
        <v>153</v>
      </c>
      <c r="W679" s="166">
        <v>27722</v>
      </c>
      <c r="X679" s="167" t="s">
        <v>13755</v>
      </c>
      <c r="Y679" s="168" t="s">
        <v>1644</v>
      </c>
      <c r="Z679" s="169" t="s">
        <v>13756</v>
      </c>
      <c r="AA679" s="170">
        <v>1969</v>
      </c>
      <c r="AB679" s="171" t="s">
        <v>153</v>
      </c>
      <c r="AC679" s="172" t="s">
        <v>428</v>
      </c>
      <c r="AD679" s="173" t="s">
        <v>508</v>
      </c>
      <c r="AE679" s="174">
        <v>6989.72</v>
      </c>
      <c r="AF679" s="175">
        <v>2646.31</v>
      </c>
      <c r="AG679" s="176">
        <v>472.95</v>
      </c>
      <c r="AH679" s="177">
        <v>13922.69</v>
      </c>
      <c r="AI679" s="178">
        <v>1180.1500000000001</v>
      </c>
      <c r="AJ679" s="179">
        <v>754.51</v>
      </c>
      <c r="AK679" s="180">
        <v>13622.33</v>
      </c>
      <c r="AL679" s="181">
        <v>1971.76</v>
      </c>
      <c r="AM679" s="182">
        <v>-12.73</v>
      </c>
      <c r="AN679" s="183" t="s">
        <v>168</v>
      </c>
      <c r="AO679" s="184" t="s">
        <v>13757</v>
      </c>
      <c r="AP679" s="185" t="s">
        <v>13758</v>
      </c>
      <c r="AQ679" s="186" t="s">
        <v>13759</v>
      </c>
      <c r="AR679" s="187" t="s">
        <v>13760</v>
      </c>
      <c r="AS679" s="188" t="s">
        <v>13761</v>
      </c>
      <c r="AT679" s="189" t="s">
        <v>13762</v>
      </c>
      <c r="AU679" s="190" t="s">
        <v>13763</v>
      </c>
      <c r="AV679" s="191" t="s">
        <v>153</v>
      </c>
      <c r="AW679" s="192" t="s">
        <v>13764</v>
      </c>
      <c r="AX679" s="193" t="s">
        <v>153</v>
      </c>
      <c r="AY679" s="194" t="s">
        <v>13765</v>
      </c>
      <c r="AZ679" s="195" t="s">
        <v>1426</v>
      </c>
      <c r="BA679" s="196" t="s">
        <v>13761</v>
      </c>
      <c r="BB679" s="197" t="s">
        <v>153</v>
      </c>
      <c r="BC679" s="198" t="s">
        <v>153</v>
      </c>
      <c r="BD679" s="199" t="s">
        <v>180</v>
      </c>
      <c r="BE679" s="200" t="s">
        <v>181</v>
      </c>
      <c r="BF679" s="201" t="s">
        <v>13766</v>
      </c>
      <c r="BG679" s="202" t="s">
        <v>13767</v>
      </c>
      <c r="BH679" s="203">
        <v>1</v>
      </c>
      <c r="BI679" s="204" t="s">
        <v>153</v>
      </c>
      <c r="BJ679" s="205" t="s">
        <v>153</v>
      </c>
      <c r="BK679" s="206" t="s">
        <v>153</v>
      </c>
      <c r="BL679" s="207" t="s">
        <v>153</v>
      </c>
      <c r="BM679" s="208" t="s">
        <v>153</v>
      </c>
      <c r="BN679" s="209" t="s">
        <v>153</v>
      </c>
      <c r="BO679" s="210" t="s">
        <v>13768</v>
      </c>
      <c r="BP679" s="211" t="s">
        <v>13769</v>
      </c>
      <c r="BQ679" s="212">
        <v>33434</v>
      </c>
      <c r="BR679" s="213" t="s">
        <v>153</v>
      </c>
      <c r="BS679" s="214" t="s">
        <v>153</v>
      </c>
      <c r="BT679" s="215" t="s">
        <v>153</v>
      </c>
      <c r="BU679" s="216" t="s">
        <v>153</v>
      </c>
      <c r="BV679" s="217" t="s">
        <v>251</v>
      </c>
      <c r="BW679" s="218" t="s">
        <v>153</v>
      </c>
      <c r="BX679" s="219" t="s">
        <v>153</v>
      </c>
      <c r="BY679" s="220" t="s">
        <v>252</v>
      </c>
      <c r="BZ679" s="221" t="s">
        <v>153</v>
      </c>
      <c r="CA679" s="222" t="s">
        <v>190</v>
      </c>
      <c r="CB679" s="223">
        <v>41443</v>
      </c>
      <c r="CC679" s="224">
        <v>6946.9</v>
      </c>
      <c r="CD679" s="225" t="s">
        <v>186</v>
      </c>
      <c r="CE679" s="226" t="s">
        <v>153</v>
      </c>
      <c r="CF679" s="227" t="s">
        <v>153</v>
      </c>
      <c r="CG679" s="228" t="s">
        <v>906</v>
      </c>
      <c r="CH679" s="229" t="s">
        <v>153</v>
      </c>
      <c r="CI679" s="230" t="s">
        <v>153</v>
      </c>
      <c r="CJ679" s="231" t="s">
        <v>225</v>
      </c>
      <c r="CK679" s="232">
        <v>41443</v>
      </c>
      <c r="CL679" s="233" t="s">
        <v>153</v>
      </c>
      <c r="CM679" s="234" t="s">
        <v>153</v>
      </c>
      <c r="CN679" s="235" t="s">
        <v>190</v>
      </c>
      <c r="CO679" s="236">
        <v>0.91</v>
      </c>
      <c r="CP679" s="237">
        <v>96</v>
      </c>
      <c r="CQ679" s="238">
        <v>-0.1</v>
      </c>
      <c r="CR679" s="239">
        <v>-10.01</v>
      </c>
      <c r="CS679" s="240">
        <v>0.91</v>
      </c>
      <c r="CT679" s="241">
        <v>95</v>
      </c>
      <c r="CU679" s="242" t="s">
        <v>153</v>
      </c>
      <c r="CV679" s="243" t="s">
        <v>153</v>
      </c>
      <c r="CW679" s="244">
        <v>0.67</v>
      </c>
      <c r="CX679" s="245">
        <v>80</v>
      </c>
      <c r="CY679" s="246">
        <v>1.1399999999999999</v>
      </c>
      <c r="CZ679" s="247">
        <v>98</v>
      </c>
      <c r="DA679" s="248" t="s">
        <v>153</v>
      </c>
      <c r="DB679" s="249" t="s">
        <v>153</v>
      </c>
      <c r="DC679" s="250">
        <v>37.76</v>
      </c>
      <c r="DD679" s="251">
        <v>98</v>
      </c>
      <c r="DE679" s="252">
        <v>0.31</v>
      </c>
      <c r="DF679" s="253">
        <v>0.83</v>
      </c>
      <c r="DG679" s="254">
        <v>37.76</v>
      </c>
      <c r="DH679" s="255">
        <v>98</v>
      </c>
      <c r="DI679" s="256" t="s">
        <v>153</v>
      </c>
      <c r="DJ679" s="257" t="s">
        <v>153</v>
      </c>
      <c r="DK679" s="258">
        <v>18.46</v>
      </c>
      <c r="DL679" s="259">
        <v>90</v>
      </c>
      <c r="DM679" s="260">
        <v>57.06</v>
      </c>
      <c r="DN679" s="261">
        <v>98</v>
      </c>
      <c r="DO679" s="262" t="s">
        <v>153</v>
      </c>
      <c r="DP679" s="263" t="s">
        <v>153</v>
      </c>
      <c r="DQ679" s="264">
        <v>10852</v>
      </c>
      <c r="DR679" s="265">
        <v>346</v>
      </c>
      <c r="DS679" s="266">
        <v>3.29</v>
      </c>
      <c r="DT679" s="267">
        <v>908</v>
      </c>
      <c r="DU679" s="268">
        <v>10</v>
      </c>
      <c r="DV679" s="269">
        <v>1.1100000000000001</v>
      </c>
      <c r="DW679" s="270" t="s">
        <v>153</v>
      </c>
      <c r="DX679" s="271" t="s">
        <v>153</v>
      </c>
      <c r="DY679" s="272" t="s">
        <v>153</v>
      </c>
      <c r="DZ679" s="273" t="s">
        <v>191</v>
      </c>
      <c r="EA679" s="274">
        <v>44391</v>
      </c>
      <c r="EB679" s="275" t="s">
        <v>153</v>
      </c>
      <c r="EC679" s="276" t="s">
        <v>153</v>
      </c>
      <c r="ED679" s="277" t="s">
        <v>153</v>
      </c>
      <c r="EE679" s="279" t="str">
        <f>HYPERLINK("https://my.pitchbook.com?c=41547-52", "View company online")</f>
        <v>View company online</v>
      </c>
    </row>
    <row r="680" spans="1:135" x14ac:dyDescent="0.45">
      <c r="A680" s="10" t="s">
        <v>13770</v>
      </c>
      <c r="B680" s="11" t="s">
        <v>13771</v>
      </c>
      <c r="C680" s="12" t="s">
        <v>153</v>
      </c>
      <c r="D680" s="13" t="s">
        <v>153</v>
      </c>
      <c r="E680" s="14" t="s">
        <v>153</v>
      </c>
      <c r="F680" s="15" t="s">
        <v>13772</v>
      </c>
      <c r="G680" s="16" t="s">
        <v>13773</v>
      </c>
      <c r="H680" s="17" t="s">
        <v>13774</v>
      </c>
      <c r="I680" s="18" t="s">
        <v>13770</v>
      </c>
      <c r="J680" s="19" t="s">
        <v>13775</v>
      </c>
      <c r="K680" s="20" t="s">
        <v>257</v>
      </c>
      <c r="L680" s="21" t="s">
        <v>258</v>
      </c>
      <c r="M680" s="22" t="s">
        <v>259</v>
      </c>
      <c r="N680" s="23" t="s">
        <v>13776</v>
      </c>
      <c r="O680" s="24" t="s">
        <v>450</v>
      </c>
      <c r="P680" s="25" t="s">
        <v>13777</v>
      </c>
      <c r="Q680" s="26" t="s">
        <v>289</v>
      </c>
      <c r="R680" s="27">
        <v>205.7</v>
      </c>
      <c r="S680" s="28" t="s">
        <v>163</v>
      </c>
      <c r="T680" s="29" t="s">
        <v>164</v>
      </c>
      <c r="U680" s="30" t="s">
        <v>452</v>
      </c>
      <c r="V680" s="31" t="s">
        <v>13778</v>
      </c>
      <c r="W680" s="32">
        <v>75</v>
      </c>
      <c r="X680" s="33" t="s">
        <v>13779</v>
      </c>
      <c r="Y680" s="34" t="s">
        <v>153</v>
      </c>
      <c r="Z680" s="35" t="s">
        <v>153</v>
      </c>
      <c r="AA680" s="36">
        <v>2013</v>
      </c>
      <c r="AB680" s="37" t="s">
        <v>2408</v>
      </c>
      <c r="AC680" s="38" t="s">
        <v>153</v>
      </c>
      <c r="AD680" s="39" t="s">
        <v>153</v>
      </c>
      <c r="AE680" s="40" t="s">
        <v>153</v>
      </c>
      <c r="AF680" s="41" t="s">
        <v>153</v>
      </c>
      <c r="AG680" s="42" t="s">
        <v>153</v>
      </c>
      <c r="AH680" s="43" t="s">
        <v>153</v>
      </c>
      <c r="AI680" s="44" t="s">
        <v>153</v>
      </c>
      <c r="AJ680" s="45" t="s">
        <v>153</v>
      </c>
      <c r="AK680" s="46" t="s">
        <v>153</v>
      </c>
      <c r="AL680" s="47" t="s">
        <v>153</v>
      </c>
      <c r="AM680" s="48" t="s">
        <v>153</v>
      </c>
      <c r="AN680" s="49" t="s">
        <v>538</v>
      </c>
      <c r="AO680" s="50" t="s">
        <v>13780</v>
      </c>
      <c r="AP680" s="51" t="s">
        <v>13781</v>
      </c>
      <c r="AQ680" s="52" t="s">
        <v>5014</v>
      </c>
      <c r="AR680" s="53" t="s">
        <v>153</v>
      </c>
      <c r="AS680" s="54" t="s">
        <v>13782</v>
      </c>
      <c r="AT680" s="55" t="s">
        <v>946</v>
      </c>
      <c r="AU680" s="56" t="s">
        <v>11857</v>
      </c>
      <c r="AV680" s="57" t="s">
        <v>7765</v>
      </c>
      <c r="AW680" s="58" t="s">
        <v>948</v>
      </c>
      <c r="AX680" s="59" t="s">
        <v>213</v>
      </c>
      <c r="AY680" s="60" t="s">
        <v>11463</v>
      </c>
      <c r="AZ680" s="61" t="s">
        <v>215</v>
      </c>
      <c r="BA680" s="62" t="s">
        <v>13783</v>
      </c>
      <c r="BB680" s="63" t="s">
        <v>153</v>
      </c>
      <c r="BC680" s="64" t="s">
        <v>13784</v>
      </c>
      <c r="BD680" s="65" t="s">
        <v>216</v>
      </c>
      <c r="BE680" s="66" t="s">
        <v>217</v>
      </c>
      <c r="BF680" s="67" t="s">
        <v>13785</v>
      </c>
      <c r="BG680" s="68" t="s">
        <v>153</v>
      </c>
      <c r="BH680" s="69" t="s">
        <v>153</v>
      </c>
      <c r="BI680" s="70" t="s">
        <v>2408</v>
      </c>
      <c r="BJ680" s="71" t="s">
        <v>13786</v>
      </c>
      <c r="BK680" s="72" t="s">
        <v>153</v>
      </c>
      <c r="BL680" s="73" t="s">
        <v>153</v>
      </c>
      <c r="BM680" s="74" t="s">
        <v>13787</v>
      </c>
      <c r="BN680" s="75" t="s">
        <v>153</v>
      </c>
      <c r="BO680" s="76" t="s">
        <v>13788</v>
      </c>
      <c r="BP680" s="77" t="s">
        <v>13789</v>
      </c>
      <c r="BQ680" s="78" t="s">
        <v>153</v>
      </c>
      <c r="BR680" s="79" t="s">
        <v>153</v>
      </c>
      <c r="BS680" s="80" t="s">
        <v>153</v>
      </c>
      <c r="BT680" s="81" t="s">
        <v>153</v>
      </c>
      <c r="BU680" s="82" t="s">
        <v>153</v>
      </c>
      <c r="BV680" s="83" t="s">
        <v>471</v>
      </c>
      <c r="BW680" s="84" t="s">
        <v>153</v>
      </c>
      <c r="BX680" s="85" t="s">
        <v>153</v>
      </c>
      <c r="BY680" s="86" t="s">
        <v>472</v>
      </c>
      <c r="BZ680" s="87" t="s">
        <v>153</v>
      </c>
      <c r="CA680" s="88" t="s">
        <v>190</v>
      </c>
      <c r="CB680" s="89">
        <v>43511</v>
      </c>
      <c r="CC680" s="90">
        <v>6920</v>
      </c>
      <c r="CD680" s="91" t="s">
        <v>186</v>
      </c>
      <c r="CE680" s="92">
        <v>6920</v>
      </c>
      <c r="CF680" s="93" t="s">
        <v>187</v>
      </c>
      <c r="CG680" s="94" t="s">
        <v>226</v>
      </c>
      <c r="CH680" s="95" t="s">
        <v>153</v>
      </c>
      <c r="CI680" s="96" t="s">
        <v>153</v>
      </c>
      <c r="CJ680" s="97" t="s">
        <v>225</v>
      </c>
      <c r="CK680" s="98">
        <v>43511</v>
      </c>
      <c r="CL680" s="99" t="s">
        <v>153</v>
      </c>
      <c r="CM680" s="100" t="s">
        <v>153</v>
      </c>
      <c r="CN680" s="101" t="s">
        <v>190</v>
      </c>
      <c r="CO680" s="102">
        <v>-0.16</v>
      </c>
      <c r="CP680" s="103">
        <v>7</v>
      </c>
      <c r="CQ680" s="104">
        <v>0</v>
      </c>
      <c r="CR680" s="105">
        <v>0</v>
      </c>
      <c r="CS680" s="106" t="s">
        <v>153</v>
      </c>
      <c r="CT680" s="107" t="s">
        <v>153</v>
      </c>
      <c r="CU680" s="108" t="s">
        <v>153</v>
      </c>
      <c r="CV680" s="109" t="s">
        <v>153</v>
      </c>
      <c r="CW680" s="110" t="s">
        <v>153</v>
      </c>
      <c r="CX680" s="111" t="s">
        <v>153</v>
      </c>
      <c r="CY680" s="112" t="s">
        <v>153</v>
      </c>
      <c r="CZ680" s="113" t="s">
        <v>153</v>
      </c>
      <c r="DA680" s="114" t="s">
        <v>153</v>
      </c>
      <c r="DB680" s="115" t="s">
        <v>153</v>
      </c>
      <c r="DC680" s="116">
        <v>2.0299999999999998</v>
      </c>
      <c r="DD680" s="117">
        <v>69</v>
      </c>
      <c r="DE680" s="118">
        <v>0</v>
      </c>
      <c r="DF680" s="119">
        <v>0</v>
      </c>
      <c r="DG680" s="120" t="s">
        <v>153</v>
      </c>
      <c r="DH680" s="121" t="s">
        <v>153</v>
      </c>
      <c r="DI680" s="122" t="s">
        <v>153</v>
      </c>
      <c r="DJ680" s="123" t="s">
        <v>153</v>
      </c>
      <c r="DK680" s="124" t="s">
        <v>153</v>
      </c>
      <c r="DL680" s="125" t="s">
        <v>153</v>
      </c>
      <c r="DM680" s="126" t="s">
        <v>153</v>
      </c>
      <c r="DN680" s="127" t="s">
        <v>153</v>
      </c>
      <c r="DO680" s="128" t="s">
        <v>153</v>
      </c>
      <c r="DP680" s="129" t="s">
        <v>153</v>
      </c>
      <c r="DQ680" s="130" t="s">
        <v>153</v>
      </c>
      <c r="DR680" s="131" t="s">
        <v>153</v>
      </c>
      <c r="DS680" s="132" t="s">
        <v>153</v>
      </c>
      <c r="DT680" s="133" t="s">
        <v>153</v>
      </c>
      <c r="DU680" s="134" t="s">
        <v>153</v>
      </c>
      <c r="DV680" s="135" t="s">
        <v>153</v>
      </c>
      <c r="DW680" s="136" t="s">
        <v>153</v>
      </c>
      <c r="DX680" s="137" t="s">
        <v>153</v>
      </c>
      <c r="DY680" s="138" t="s">
        <v>153</v>
      </c>
      <c r="DZ680" s="139" t="s">
        <v>191</v>
      </c>
      <c r="EA680" s="140">
        <v>44379</v>
      </c>
      <c r="EB680" s="141">
        <v>6920</v>
      </c>
      <c r="EC680" s="142">
        <v>43511</v>
      </c>
      <c r="ED680" s="143" t="s">
        <v>226</v>
      </c>
      <c r="EE680" s="278" t="str">
        <f>HYPERLINK("https://my.pitchbook.com?c=57878-11", "View company online")</f>
        <v>View company online</v>
      </c>
    </row>
    <row r="681" spans="1:135" x14ac:dyDescent="0.45">
      <c r="A681" s="144" t="s">
        <v>13790</v>
      </c>
      <c r="B681" s="145" t="s">
        <v>13791</v>
      </c>
      <c r="C681" s="146" t="s">
        <v>153</v>
      </c>
      <c r="D681" s="147" t="s">
        <v>153</v>
      </c>
      <c r="E681" s="148" t="s">
        <v>153</v>
      </c>
      <c r="F681" s="149" t="s">
        <v>153</v>
      </c>
      <c r="G681" s="150" t="s">
        <v>13792</v>
      </c>
      <c r="H681" s="151" t="s">
        <v>153</v>
      </c>
      <c r="I681" s="152" t="s">
        <v>13790</v>
      </c>
      <c r="J681" s="153" t="s">
        <v>13793</v>
      </c>
      <c r="K681" s="154" t="s">
        <v>198</v>
      </c>
      <c r="L681" s="155" t="s">
        <v>199</v>
      </c>
      <c r="M681" s="156" t="s">
        <v>344</v>
      </c>
      <c r="N681" s="157" t="s">
        <v>13794</v>
      </c>
      <c r="O681" s="158" t="s">
        <v>13795</v>
      </c>
      <c r="P681" s="159" t="s">
        <v>13796</v>
      </c>
      <c r="Q681" s="160" t="s">
        <v>204</v>
      </c>
      <c r="R681" s="161" t="s">
        <v>153</v>
      </c>
      <c r="S681" s="162" t="s">
        <v>290</v>
      </c>
      <c r="T681" s="163" t="s">
        <v>291</v>
      </c>
      <c r="U681" s="164" t="s">
        <v>237</v>
      </c>
      <c r="V681" s="165" t="s">
        <v>13797</v>
      </c>
      <c r="W681" s="166">
        <v>23300</v>
      </c>
      <c r="X681" s="167" t="s">
        <v>13798</v>
      </c>
      <c r="Y681" s="168" t="s">
        <v>1674</v>
      </c>
      <c r="Z681" s="169" t="s">
        <v>13799</v>
      </c>
      <c r="AA681" s="170">
        <v>2014</v>
      </c>
      <c r="AB681" s="171" t="s">
        <v>153</v>
      </c>
      <c r="AC681" s="172" t="s">
        <v>153</v>
      </c>
      <c r="AD681" s="173" t="s">
        <v>428</v>
      </c>
      <c r="AE681" s="174">
        <v>11738.83</v>
      </c>
      <c r="AF681" s="175">
        <v>10898.57</v>
      </c>
      <c r="AG681" s="176">
        <v>930.43</v>
      </c>
      <c r="AH681" s="177">
        <v>41561.160000000003</v>
      </c>
      <c r="AI681" s="178">
        <v>8662.3799999999992</v>
      </c>
      <c r="AJ681" s="179">
        <v>1784.73</v>
      </c>
      <c r="AK681" s="180">
        <v>23780.639999999999</v>
      </c>
      <c r="AL681" s="181">
        <v>16504.52</v>
      </c>
      <c r="AM681" s="182">
        <v>6.11</v>
      </c>
      <c r="AN681" s="183" t="s">
        <v>168</v>
      </c>
      <c r="AO681" s="184" t="s">
        <v>153</v>
      </c>
      <c r="AP681" s="185" t="s">
        <v>153</v>
      </c>
      <c r="AQ681" s="186" t="s">
        <v>153</v>
      </c>
      <c r="AR681" s="187" t="s">
        <v>153</v>
      </c>
      <c r="AS681" s="188" t="s">
        <v>153</v>
      </c>
      <c r="AT681" s="189" t="s">
        <v>3972</v>
      </c>
      <c r="AU681" s="190" t="s">
        <v>13800</v>
      </c>
      <c r="AV681" s="191" t="s">
        <v>13801</v>
      </c>
      <c r="AW681" s="192" t="s">
        <v>3974</v>
      </c>
      <c r="AX681" s="193" t="s">
        <v>153</v>
      </c>
      <c r="AY681" s="194" t="s">
        <v>153</v>
      </c>
      <c r="AZ681" s="195" t="s">
        <v>1519</v>
      </c>
      <c r="BA681" s="196" t="s">
        <v>153</v>
      </c>
      <c r="BB681" s="197" t="s">
        <v>153</v>
      </c>
      <c r="BC681" s="198" t="s">
        <v>153</v>
      </c>
      <c r="BD681" s="199" t="s">
        <v>1406</v>
      </c>
      <c r="BE681" s="200" t="s">
        <v>1407</v>
      </c>
      <c r="BF681" s="201" t="s">
        <v>13802</v>
      </c>
      <c r="BG681" s="202" t="s">
        <v>13803</v>
      </c>
      <c r="BH681" s="203">
        <v>11</v>
      </c>
      <c r="BI681" s="204" t="s">
        <v>153</v>
      </c>
      <c r="BJ681" s="205" t="s">
        <v>153</v>
      </c>
      <c r="BK681" s="206" t="s">
        <v>153</v>
      </c>
      <c r="BL681" s="207" t="s">
        <v>13804</v>
      </c>
      <c r="BM681" s="208" t="s">
        <v>153</v>
      </c>
      <c r="BN681" s="209" t="s">
        <v>153</v>
      </c>
      <c r="BO681" s="210" t="s">
        <v>153</v>
      </c>
      <c r="BP681" s="211" t="s">
        <v>13805</v>
      </c>
      <c r="BQ681" s="212">
        <v>42308</v>
      </c>
      <c r="BR681" s="213">
        <v>36</v>
      </c>
      <c r="BS681" s="214" t="s">
        <v>186</v>
      </c>
      <c r="BT681" s="215" t="s">
        <v>153</v>
      </c>
      <c r="BU681" s="216" t="s">
        <v>153</v>
      </c>
      <c r="BV681" s="217" t="s">
        <v>224</v>
      </c>
      <c r="BW681" s="218" t="s">
        <v>153</v>
      </c>
      <c r="BX681" s="219" t="s">
        <v>153</v>
      </c>
      <c r="BY681" s="220" t="s">
        <v>321</v>
      </c>
      <c r="BZ681" s="221" t="s">
        <v>153</v>
      </c>
      <c r="CA681" s="222" t="s">
        <v>190</v>
      </c>
      <c r="CB681" s="223">
        <v>43320</v>
      </c>
      <c r="CC681" s="224">
        <v>6917.55</v>
      </c>
      <c r="CD681" s="225" t="s">
        <v>186</v>
      </c>
      <c r="CE681" s="226" t="s">
        <v>153</v>
      </c>
      <c r="CF681" s="227" t="s">
        <v>153</v>
      </c>
      <c r="CG681" s="228" t="s">
        <v>251</v>
      </c>
      <c r="CH681" s="229" t="s">
        <v>393</v>
      </c>
      <c r="CI681" s="230" t="s">
        <v>153</v>
      </c>
      <c r="CJ681" s="231" t="s">
        <v>252</v>
      </c>
      <c r="CK681" s="232">
        <v>43320</v>
      </c>
      <c r="CL681" s="233" t="s">
        <v>153</v>
      </c>
      <c r="CM681" s="234" t="s">
        <v>153</v>
      </c>
      <c r="CN681" s="235" t="s">
        <v>190</v>
      </c>
      <c r="CO681" s="236">
        <v>3.34</v>
      </c>
      <c r="CP681" s="237">
        <v>99</v>
      </c>
      <c r="CQ681" s="238">
        <v>-0.13</v>
      </c>
      <c r="CR681" s="239">
        <v>-3.74</v>
      </c>
      <c r="CS681" s="240">
        <v>3.34</v>
      </c>
      <c r="CT681" s="241">
        <v>99</v>
      </c>
      <c r="CU681" s="242" t="s">
        <v>153</v>
      </c>
      <c r="CV681" s="243" t="s">
        <v>153</v>
      </c>
      <c r="CW681" s="244" t="s">
        <v>153</v>
      </c>
      <c r="CX681" s="245" t="s">
        <v>153</v>
      </c>
      <c r="CY681" s="246">
        <v>3.34</v>
      </c>
      <c r="CZ681" s="247">
        <v>100</v>
      </c>
      <c r="DA681" s="248" t="s">
        <v>153</v>
      </c>
      <c r="DB681" s="249" t="s">
        <v>153</v>
      </c>
      <c r="DC681" s="250">
        <v>19.75</v>
      </c>
      <c r="DD681" s="251">
        <v>96</v>
      </c>
      <c r="DE681" s="252">
        <v>-0.13</v>
      </c>
      <c r="DF681" s="253">
        <v>-0.63</v>
      </c>
      <c r="DG681" s="254">
        <v>19.75</v>
      </c>
      <c r="DH681" s="255">
        <v>95</v>
      </c>
      <c r="DI681" s="256" t="s">
        <v>153</v>
      </c>
      <c r="DJ681" s="257" t="s">
        <v>153</v>
      </c>
      <c r="DK681" s="258" t="s">
        <v>153</v>
      </c>
      <c r="DL681" s="259" t="s">
        <v>153</v>
      </c>
      <c r="DM681" s="260">
        <v>19.75</v>
      </c>
      <c r="DN681" s="261">
        <v>95</v>
      </c>
      <c r="DO681" s="262" t="s">
        <v>153</v>
      </c>
      <c r="DP681" s="263" t="s">
        <v>153</v>
      </c>
      <c r="DQ681" s="264" t="s">
        <v>153</v>
      </c>
      <c r="DR681" s="265" t="s">
        <v>153</v>
      </c>
      <c r="DS681" s="266" t="s">
        <v>153</v>
      </c>
      <c r="DT681" s="267">
        <v>316</v>
      </c>
      <c r="DU681" s="268">
        <v>-2</v>
      </c>
      <c r="DV681" s="269">
        <v>-0.63</v>
      </c>
      <c r="DW681" s="270" t="s">
        <v>153</v>
      </c>
      <c r="DX681" s="271" t="s">
        <v>153</v>
      </c>
      <c r="DY681" s="272" t="s">
        <v>153</v>
      </c>
      <c r="DZ681" s="273" t="s">
        <v>191</v>
      </c>
      <c r="EA681" s="274">
        <v>44180</v>
      </c>
      <c r="EB681" s="275" t="s">
        <v>153</v>
      </c>
      <c r="EC681" s="276" t="s">
        <v>153</v>
      </c>
      <c r="ED681" s="277" t="s">
        <v>153</v>
      </c>
      <c r="EE681" s="279" t="str">
        <f>HYPERLINK("https://my.pitchbook.com?c=181548-01", "View company online")</f>
        <v>View company online</v>
      </c>
    </row>
    <row r="682" spans="1:135" x14ac:dyDescent="0.45">
      <c r="A682" s="10" t="s">
        <v>13806</v>
      </c>
      <c r="B682" s="11" t="s">
        <v>13807</v>
      </c>
      <c r="C682" s="12" t="s">
        <v>153</v>
      </c>
      <c r="D682" s="13" t="s">
        <v>153</v>
      </c>
      <c r="E682" s="14" t="s">
        <v>13808</v>
      </c>
      <c r="F682" s="15" t="s">
        <v>13809</v>
      </c>
      <c r="G682" s="16" t="s">
        <v>13810</v>
      </c>
      <c r="H682" s="17" t="s">
        <v>153</v>
      </c>
      <c r="I682" s="18" t="s">
        <v>13806</v>
      </c>
      <c r="J682" s="19" t="s">
        <v>13811</v>
      </c>
      <c r="K682" s="20" t="s">
        <v>232</v>
      </c>
      <c r="L682" s="21" t="s">
        <v>362</v>
      </c>
      <c r="M682" s="22" t="s">
        <v>1978</v>
      </c>
      <c r="N682" s="23" t="s">
        <v>13812</v>
      </c>
      <c r="O682" s="24" t="s">
        <v>153</v>
      </c>
      <c r="P682" s="25" t="s">
        <v>13813</v>
      </c>
      <c r="Q682" s="26" t="s">
        <v>564</v>
      </c>
      <c r="R682" s="27">
        <v>139.5</v>
      </c>
      <c r="S682" s="28" t="s">
        <v>163</v>
      </c>
      <c r="T682" s="29" t="s">
        <v>205</v>
      </c>
      <c r="U682" s="30" t="s">
        <v>452</v>
      </c>
      <c r="V682" s="31" t="s">
        <v>153</v>
      </c>
      <c r="W682" s="32">
        <v>806</v>
      </c>
      <c r="X682" s="33" t="s">
        <v>13814</v>
      </c>
      <c r="Y682" s="34" t="s">
        <v>153</v>
      </c>
      <c r="Z682" s="35" t="s">
        <v>153</v>
      </c>
      <c r="AA682" s="36">
        <v>1998</v>
      </c>
      <c r="AB682" s="37" t="s">
        <v>153</v>
      </c>
      <c r="AC682" s="38" t="s">
        <v>153</v>
      </c>
      <c r="AD682" s="39" t="s">
        <v>153</v>
      </c>
      <c r="AE682" s="40" t="s">
        <v>153</v>
      </c>
      <c r="AF682" s="41" t="s">
        <v>153</v>
      </c>
      <c r="AG682" s="42" t="s">
        <v>153</v>
      </c>
      <c r="AH682" s="43" t="s">
        <v>153</v>
      </c>
      <c r="AI682" s="44" t="s">
        <v>153</v>
      </c>
      <c r="AJ682" s="45" t="s">
        <v>153</v>
      </c>
      <c r="AK682" s="46" t="s">
        <v>153</v>
      </c>
      <c r="AL682" s="47" t="s">
        <v>153</v>
      </c>
      <c r="AM682" s="48" t="s">
        <v>153</v>
      </c>
      <c r="AN682" s="49" t="s">
        <v>2064</v>
      </c>
      <c r="AO682" s="50" t="s">
        <v>153</v>
      </c>
      <c r="AP682" s="51" t="s">
        <v>153</v>
      </c>
      <c r="AQ682" s="52" t="s">
        <v>153</v>
      </c>
      <c r="AR682" s="53" t="s">
        <v>153</v>
      </c>
      <c r="AS682" s="54" t="s">
        <v>153</v>
      </c>
      <c r="AT682" s="55" t="s">
        <v>13815</v>
      </c>
      <c r="AU682" s="56" t="s">
        <v>13816</v>
      </c>
      <c r="AV682" s="57" t="s">
        <v>6060</v>
      </c>
      <c r="AW682" s="58" t="s">
        <v>13817</v>
      </c>
      <c r="AX682" s="59" t="s">
        <v>2093</v>
      </c>
      <c r="AY682" s="60" t="s">
        <v>153</v>
      </c>
      <c r="AZ682" s="61" t="s">
        <v>215</v>
      </c>
      <c r="BA682" s="62" t="s">
        <v>153</v>
      </c>
      <c r="BB682" s="63" t="s">
        <v>153</v>
      </c>
      <c r="BC682" s="64" t="s">
        <v>153</v>
      </c>
      <c r="BD682" s="65" t="s">
        <v>216</v>
      </c>
      <c r="BE682" s="66" t="s">
        <v>217</v>
      </c>
      <c r="BF682" s="67" t="s">
        <v>13818</v>
      </c>
      <c r="BG682" s="68" t="s">
        <v>153</v>
      </c>
      <c r="BH682" s="69" t="s">
        <v>153</v>
      </c>
      <c r="BI682" s="70" t="s">
        <v>13819</v>
      </c>
      <c r="BJ682" s="71" t="s">
        <v>13820</v>
      </c>
      <c r="BK682" s="72" t="s">
        <v>153</v>
      </c>
      <c r="BL682" s="73" t="s">
        <v>153</v>
      </c>
      <c r="BM682" s="74" t="s">
        <v>13821</v>
      </c>
      <c r="BN682" s="75" t="s">
        <v>153</v>
      </c>
      <c r="BO682" s="76" t="s">
        <v>13822</v>
      </c>
      <c r="BP682" s="77" t="s">
        <v>13823</v>
      </c>
      <c r="BQ682" s="78">
        <v>37361</v>
      </c>
      <c r="BR682" s="79">
        <v>46.75</v>
      </c>
      <c r="BS682" s="80" t="s">
        <v>186</v>
      </c>
      <c r="BT682" s="81">
        <v>46.75</v>
      </c>
      <c r="BU682" s="82" t="s">
        <v>186</v>
      </c>
      <c r="BV682" s="83" t="s">
        <v>188</v>
      </c>
      <c r="BW682" s="84" t="s">
        <v>13824</v>
      </c>
      <c r="BX682" s="85" t="s">
        <v>153</v>
      </c>
      <c r="BY682" s="86" t="s">
        <v>165</v>
      </c>
      <c r="BZ682" s="87" t="s">
        <v>153</v>
      </c>
      <c r="CA682" s="88" t="s">
        <v>190</v>
      </c>
      <c r="CB682" s="89">
        <v>42843</v>
      </c>
      <c r="CC682" s="90">
        <v>6900</v>
      </c>
      <c r="CD682" s="91" t="s">
        <v>186</v>
      </c>
      <c r="CE682" s="92">
        <v>6900</v>
      </c>
      <c r="CF682" s="93" t="s">
        <v>186</v>
      </c>
      <c r="CG682" s="94" t="s">
        <v>226</v>
      </c>
      <c r="CH682" s="95" t="s">
        <v>153</v>
      </c>
      <c r="CI682" s="96" t="s">
        <v>153</v>
      </c>
      <c r="CJ682" s="97" t="s">
        <v>225</v>
      </c>
      <c r="CK682" s="98">
        <v>42843</v>
      </c>
      <c r="CL682" s="99" t="s">
        <v>153</v>
      </c>
      <c r="CM682" s="100" t="s">
        <v>153</v>
      </c>
      <c r="CN682" s="101" t="s">
        <v>190</v>
      </c>
      <c r="CO682" s="102" t="s">
        <v>153</v>
      </c>
      <c r="CP682" s="103" t="s">
        <v>153</v>
      </c>
      <c r="CQ682" s="104" t="s">
        <v>153</v>
      </c>
      <c r="CR682" s="105" t="s">
        <v>153</v>
      </c>
      <c r="CS682" s="106" t="s">
        <v>153</v>
      </c>
      <c r="CT682" s="107" t="s">
        <v>153</v>
      </c>
      <c r="CU682" s="108" t="s">
        <v>153</v>
      </c>
      <c r="CV682" s="109" t="s">
        <v>153</v>
      </c>
      <c r="CW682" s="110" t="s">
        <v>153</v>
      </c>
      <c r="CX682" s="111" t="s">
        <v>153</v>
      </c>
      <c r="CY682" s="112" t="s">
        <v>153</v>
      </c>
      <c r="CZ682" s="113" t="s">
        <v>153</v>
      </c>
      <c r="DA682" s="114" t="s">
        <v>153</v>
      </c>
      <c r="DB682" s="115" t="s">
        <v>153</v>
      </c>
      <c r="DC682" s="116" t="s">
        <v>153</v>
      </c>
      <c r="DD682" s="117" t="s">
        <v>153</v>
      </c>
      <c r="DE682" s="118" t="s">
        <v>153</v>
      </c>
      <c r="DF682" s="119" t="s">
        <v>153</v>
      </c>
      <c r="DG682" s="120" t="s">
        <v>153</v>
      </c>
      <c r="DH682" s="121" t="s">
        <v>153</v>
      </c>
      <c r="DI682" s="122" t="s">
        <v>153</v>
      </c>
      <c r="DJ682" s="123" t="s">
        <v>153</v>
      </c>
      <c r="DK682" s="124" t="s">
        <v>153</v>
      </c>
      <c r="DL682" s="125" t="s">
        <v>153</v>
      </c>
      <c r="DM682" s="126" t="s">
        <v>153</v>
      </c>
      <c r="DN682" s="127" t="s">
        <v>153</v>
      </c>
      <c r="DO682" s="128" t="s">
        <v>153</v>
      </c>
      <c r="DP682" s="129" t="s">
        <v>153</v>
      </c>
      <c r="DQ682" s="130" t="s">
        <v>153</v>
      </c>
      <c r="DR682" s="131" t="s">
        <v>153</v>
      </c>
      <c r="DS682" s="132" t="s">
        <v>153</v>
      </c>
      <c r="DT682" s="133" t="s">
        <v>153</v>
      </c>
      <c r="DU682" s="134" t="s">
        <v>153</v>
      </c>
      <c r="DV682" s="135" t="s">
        <v>153</v>
      </c>
      <c r="DW682" s="136" t="s">
        <v>153</v>
      </c>
      <c r="DX682" s="137" t="s">
        <v>153</v>
      </c>
      <c r="DY682" s="138" t="s">
        <v>153</v>
      </c>
      <c r="DZ682" s="139" t="s">
        <v>191</v>
      </c>
      <c r="EA682" s="140">
        <v>44188</v>
      </c>
      <c r="EB682" s="141">
        <v>6900</v>
      </c>
      <c r="EC682" s="142">
        <v>42843</v>
      </c>
      <c r="ED682" s="143" t="s">
        <v>226</v>
      </c>
      <c r="EE682" s="278" t="str">
        <f>HYPERLINK("https://my.pitchbook.com?c=12103-21", "View company online")</f>
        <v>View company online</v>
      </c>
    </row>
    <row r="683" spans="1:135" x14ac:dyDescent="0.45">
      <c r="A683" s="144" t="s">
        <v>13825</v>
      </c>
      <c r="B683" s="145" t="s">
        <v>13826</v>
      </c>
      <c r="C683" s="146" t="s">
        <v>153</v>
      </c>
      <c r="D683" s="147" t="s">
        <v>153</v>
      </c>
      <c r="E683" s="148" t="s">
        <v>153</v>
      </c>
      <c r="F683" s="149" t="s">
        <v>153</v>
      </c>
      <c r="G683" s="150" t="s">
        <v>153</v>
      </c>
      <c r="H683" s="151" t="s">
        <v>153</v>
      </c>
      <c r="I683" s="152" t="s">
        <v>13825</v>
      </c>
      <c r="J683" s="153" t="s">
        <v>13827</v>
      </c>
      <c r="K683" s="154" t="s">
        <v>882</v>
      </c>
      <c r="L683" s="155" t="s">
        <v>2888</v>
      </c>
      <c r="M683" s="156" t="s">
        <v>2889</v>
      </c>
      <c r="N683" s="157" t="s">
        <v>13828</v>
      </c>
      <c r="O683" s="158" t="s">
        <v>153</v>
      </c>
      <c r="P683" s="159" t="s">
        <v>13829</v>
      </c>
      <c r="Q683" s="160" t="s">
        <v>204</v>
      </c>
      <c r="R683" s="161" t="s">
        <v>153</v>
      </c>
      <c r="S683" s="162" t="s">
        <v>153</v>
      </c>
      <c r="T683" s="163" t="s">
        <v>205</v>
      </c>
      <c r="U683" s="164" t="s">
        <v>206</v>
      </c>
      <c r="V683" s="165" t="s">
        <v>153</v>
      </c>
      <c r="W683" s="166" t="s">
        <v>153</v>
      </c>
      <c r="X683" s="167" t="s">
        <v>153</v>
      </c>
      <c r="Y683" s="168" t="s">
        <v>153</v>
      </c>
      <c r="Z683" s="169" t="s">
        <v>153</v>
      </c>
      <c r="AA683" s="170" t="s">
        <v>153</v>
      </c>
      <c r="AB683" s="171" t="s">
        <v>153</v>
      </c>
      <c r="AC683" s="172" t="s">
        <v>153</v>
      </c>
      <c r="AD683" s="173" t="s">
        <v>153</v>
      </c>
      <c r="AE683" s="174" t="s">
        <v>153</v>
      </c>
      <c r="AF683" s="175" t="s">
        <v>153</v>
      </c>
      <c r="AG683" s="176" t="s">
        <v>153</v>
      </c>
      <c r="AH683" s="177" t="s">
        <v>153</v>
      </c>
      <c r="AI683" s="178" t="s">
        <v>153</v>
      </c>
      <c r="AJ683" s="179" t="s">
        <v>153</v>
      </c>
      <c r="AK683" s="180" t="s">
        <v>153</v>
      </c>
      <c r="AL683" s="181" t="s">
        <v>153</v>
      </c>
      <c r="AM683" s="182" t="s">
        <v>153</v>
      </c>
      <c r="AN683" s="183" t="s">
        <v>153</v>
      </c>
      <c r="AO683" s="184" t="s">
        <v>153</v>
      </c>
      <c r="AP683" s="185" t="s">
        <v>153</v>
      </c>
      <c r="AQ683" s="186" t="s">
        <v>153</v>
      </c>
      <c r="AR683" s="187" t="s">
        <v>153</v>
      </c>
      <c r="AS683" s="188" t="s">
        <v>153</v>
      </c>
      <c r="AT683" s="189" t="s">
        <v>3708</v>
      </c>
      <c r="AU683" s="190" t="s">
        <v>153</v>
      </c>
      <c r="AV683" s="191" t="s">
        <v>153</v>
      </c>
      <c r="AW683" s="192" t="s">
        <v>3711</v>
      </c>
      <c r="AX683" s="193" t="s">
        <v>3712</v>
      </c>
      <c r="AY683" s="194" t="s">
        <v>153</v>
      </c>
      <c r="AZ683" s="195" t="s">
        <v>1358</v>
      </c>
      <c r="BA683" s="196" t="s">
        <v>153</v>
      </c>
      <c r="BB683" s="197" t="s">
        <v>153</v>
      </c>
      <c r="BC683" s="198" t="s">
        <v>153</v>
      </c>
      <c r="BD683" s="199" t="s">
        <v>216</v>
      </c>
      <c r="BE683" s="200" t="s">
        <v>217</v>
      </c>
      <c r="BF683" s="201" t="s">
        <v>13830</v>
      </c>
      <c r="BG683" s="202" t="s">
        <v>153</v>
      </c>
      <c r="BH683" s="203" t="s">
        <v>153</v>
      </c>
      <c r="BI683" s="204" t="s">
        <v>13831</v>
      </c>
      <c r="BJ683" s="205" t="s">
        <v>4717</v>
      </c>
      <c r="BK683" s="206" t="s">
        <v>153</v>
      </c>
      <c r="BL683" s="207" t="s">
        <v>153</v>
      </c>
      <c r="BM683" s="208" t="s">
        <v>4718</v>
      </c>
      <c r="BN683" s="209" t="s">
        <v>153</v>
      </c>
      <c r="BO683" s="210" t="s">
        <v>153</v>
      </c>
      <c r="BP683" s="211" t="s">
        <v>153</v>
      </c>
      <c r="BQ683" s="212">
        <v>41453</v>
      </c>
      <c r="BR683" s="213">
        <v>6900</v>
      </c>
      <c r="BS683" s="214" t="s">
        <v>186</v>
      </c>
      <c r="BT683" s="215">
        <v>6900</v>
      </c>
      <c r="BU683" s="216" t="s">
        <v>186</v>
      </c>
      <c r="BV683" s="217" t="s">
        <v>1524</v>
      </c>
      <c r="BW683" s="218" t="s">
        <v>1525</v>
      </c>
      <c r="BX683" s="219" t="s">
        <v>1526</v>
      </c>
      <c r="BY683" s="220" t="s">
        <v>225</v>
      </c>
      <c r="BZ683" s="221" t="s">
        <v>153</v>
      </c>
      <c r="CA683" s="222" t="s">
        <v>190</v>
      </c>
      <c r="CB683" s="223">
        <v>41453</v>
      </c>
      <c r="CC683" s="224">
        <v>6900</v>
      </c>
      <c r="CD683" s="225" t="s">
        <v>186</v>
      </c>
      <c r="CE683" s="226">
        <v>6900</v>
      </c>
      <c r="CF683" s="227" t="s">
        <v>186</v>
      </c>
      <c r="CG683" s="228" t="s">
        <v>1524</v>
      </c>
      <c r="CH683" s="229" t="s">
        <v>1525</v>
      </c>
      <c r="CI683" s="230" t="s">
        <v>1526</v>
      </c>
      <c r="CJ683" s="231" t="s">
        <v>225</v>
      </c>
      <c r="CK683" s="232">
        <v>41453</v>
      </c>
      <c r="CL683" s="233" t="s">
        <v>153</v>
      </c>
      <c r="CM683" s="234" t="s">
        <v>153</v>
      </c>
      <c r="CN683" s="235" t="s">
        <v>190</v>
      </c>
      <c r="CO683" s="236" t="s">
        <v>153</v>
      </c>
      <c r="CP683" s="237" t="s">
        <v>153</v>
      </c>
      <c r="CQ683" s="238" t="s">
        <v>153</v>
      </c>
      <c r="CR683" s="239" t="s">
        <v>153</v>
      </c>
      <c r="CS683" s="240" t="s">
        <v>153</v>
      </c>
      <c r="CT683" s="241" t="s">
        <v>153</v>
      </c>
      <c r="CU683" s="242" t="s">
        <v>153</v>
      </c>
      <c r="CV683" s="243" t="s">
        <v>153</v>
      </c>
      <c r="CW683" s="244" t="s">
        <v>153</v>
      </c>
      <c r="CX683" s="245" t="s">
        <v>153</v>
      </c>
      <c r="CY683" s="246" t="s">
        <v>153</v>
      </c>
      <c r="CZ683" s="247" t="s">
        <v>153</v>
      </c>
      <c r="DA683" s="248" t="s">
        <v>153</v>
      </c>
      <c r="DB683" s="249" t="s">
        <v>153</v>
      </c>
      <c r="DC683" s="250" t="s">
        <v>153</v>
      </c>
      <c r="DD683" s="251" t="s">
        <v>153</v>
      </c>
      <c r="DE683" s="252" t="s">
        <v>153</v>
      </c>
      <c r="DF683" s="253" t="s">
        <v>153</v>
      </c>
      <c r="DG683" s="254" t="s">
        <v>153</v>
      </c>
      <c r="DH683" s="255" t="s">
        <v>153</v>
      </c>
      <c r="DI683" s="256" t="s">
        <v>153</v>
      </c>
      <c r="DJ683" s="257" t="s">
        <v>153</v>
      </c>
      <c r="DK683" s="258" t="s">
        <v>153</v>
      </c>
      <c r="DL683" s="259" t="s">
        <v>153</v>
      </c>
      <c r="DM683" s="260" t="s">
        <v>153</v>
      </c>
      <c r="DN683" s="261" t="s">
        <v>153</v>
      </c>
      <c r="DO683" s="262" t="s">
        <v>153</v>
      </c>
      <c r="DP683" s="263" t="s">
        <v>153</v>
      </c>
      <c r="DQ683" s="264" t="s">
        <v>153</v>
      </c>
      <c r="DR683" s="265" t="s">
        <v>153</v>
      </c>
      <c r="DS683" s="266" t="s">
        <v>153</v>
      </c>
      <c r="DT683" s="267" t="s">
        <v>153</v>
      </c>
      <c r="DU683" s="268" t="s">
        <v>153</v>
      </c>
      <c r="DV683" s="269" t="s">
        <v>153</v>
      </c>
      <c r="DW683" s="270" t="s">
        <v>153</v>
      </c>
      <c r="DX683" s="271" t="s">
        <v>153</v>
      </c>
      <c r="DY683" s="272" t="s">
        <v>153</v>
      </c>
      <c r="DZ683" s="273" t="s">
        <v>191</v>
      </c>
      <c r="EA683" s="274">
        <v>44147</v>
      </c>
      <c r="EB683" s="275">
        <v>6900</v>
      </c>
      <c r="EC683" s="276">
        <v>41453</v>
      </c>
      <c r="ED683" s="277" t="s">
        <v>1524</v>
      </c>
      <c r="EE683" s="279" t="str">
        <f>HYPERLINK("https://my.pitchbook.com?c=63865-36", "View company online")</f>
        <v>View company online</v>
      </c>
    </row>
    <row r="684" spans="1:135" x14ac:dyDescent="0.45">
      <c r="A684" s="10" t="s">
        <v>13832</v>
      </c>
      <c r="B684" s="11" t="s">
        <v>13833</v>
      </c>
      <c r="C684" s="12" t="s">
        <v>153</v>
      </c>
      <c r="D684" s="13" t="s">
        <v>153</v>
      </c>
      <c r="E684" s="14" t="s">
        <v>153</v>
      </c>
      <c r="F684" s="15" t="s">
        <v>153</v>
      </c>
      <c r="G684" s="16" t="s">
        <v>13834</v>
      </c>
      <c r="H684" s="17" t="s">
        <v>153</v>
      </c>
      <c r="I684" s="18" t="s">
        <v>13832</v>
      </c>
      <c r="J684" s="19" t="s">
        <v>13835</v>
      </c>
      <c r="K684" s="20" t="s">
        <v>257</v>
      </c>
      <c r="L684" s="21" t="s">
        <v>258</v>
      </c>
      <c r="M684" s="22" t="s">
        <v>259</v>
      </c>
      <c r="N684" s="23" t="s">
        <v>260</v>
      </c>
      <c r="O684" s="24" t="s">
        <v>153</v>
      </c>
      <c r="P684" s="25" t="s">
        <v>13836</v>
      </c>
      <c r="Q684" s="26" t="s">
        <v>204</v>
      </c>
      <c r="R684" s="27" t="s">
        <v>153</v>
      </c>
      <c r="S684" s="28" t="s">
        <v>163</v>
      </c>
      <c r="T684" s="29" t="s">
        <v>205</v>
      </c>
      <c r="U684" s="30" t="s">
        <v>206</v>
      </c>
      <c r="V684" s="31" t="s">
        <v>153</v>
      </c>
      <c r="W684" s="32">
        <v>10700</v>
      </c>
      <c r="X684" s="33" t="s">
        <v>13837</v>
      </c>
      <c r="Y684" s="34" t="s">
        <v>153</v>
      </c>
      <c r="Z684" s="35" t="s">
        <v>153</v>
      </c>
      <c r="AA684" s="36" t="s">
        <v>153</v>
      </c>
      <c r="AB684" s="37" t="s">
        <v>153</v>
      </c>
      <c r="AC684" s="38" t="s">
        <v>153</v>
      </c>
      <c r="AD684" s="39" t="s">
        <v>153</v>
      </c>
      <c r="AE684" s="40" t="s">
        <v>153</v>
      </c>
      <c r="AF684" s="41" t="s">
        <v>153</v>
      </c>
      <c r="AG684" s="42" t="s">
        <v>153</v>
      </c>
      <c r="AH684" s="43" t="s">
        <v>153</v>
      </c>
      <c r="AI684" s="44" t="s">
        <v>153</v>
      </c>
      <c r="AJ684" s="45" t="s">
        <v>153</v>
      </c>
      <c r="AK684" s="46" t="s">
        <v>153</v>
      </c>
      <c r="AL684" s="47" t="s">
        <v>153</v>
      </c>
      <c r="AM684" s="48" t="s">
        <v>153</v>
      </c>
      <c r="AN684" s="49" t="s">
        <v>1373</v>
      </c>
      <c r="AO684" s="50" t="s">
        <v>13838</v>
      </c>
      <c r="AP684" s="51" t="s">
        <v>13839</v>
      </c>
      <c r="AQ684" s="52" t="s">
        <v>512</v>
      </c>
      <c r="AR684" s="53" t="s">
        <v>153</v>
      </c>
      <c r="AS684" s="54" t="s">
        <v>13840</v>
      </c>
      <c r="AT684" s="55" t="s">
        <v>13841</v>
      </c>
      <c r="AU684" s="56" t="s">
        <v>13842</v>
      </c>
      <c r="AV684" s="57" t="s">
        <v>153</v>
      </c>
      <c r="AW684" s="58" t="s">
        <v>13843</v>
      </c>
      <c r="AX684" s="59" t="s">
        <v>273</v>
      </c>
      <c r="AY684" s="60" t="s">
        <v>13844</v>
      </c>
      <c r="AZ684" s="61" t="s">
        <v>215</v>
      </c>
      <c r="BA684" s="62" t="s">
        <v>13840</v>
      </c>
      <c r="BB684" s="63" t="s">
        <v>153</v>
      </c>
      <c r="BC684" s="64" t="s">
        <v>153</v>
      </c>
      <c r="BD684" s="65" t="s">
        <v>216</v>
      </c>
      <c r="BE684" s="66" t="s">
        <v>217</v>
      </c>
      <c r="BF684" s="67" t="s">
        <v>13845</v>
      </c>
      <c r="BG684" s="68" t="s">
        <v>153</v>
      </c>
      <c r="BH684" s="69" t="s">
        <v>153</v>
      </c>
      <c r="BI684" s="70" t="s">
        <v>593</v>
      </c>
      <c r="BJ684" s="71" t="s">
        <v>9257</v>
      </c>
      <c r="BK684" s="72" t="s">
        <v>153</v>
      </c>
      <c r="BL684" s="73" t="s">
        <v>153</v>
      </c>
      <c r="BM684" s="74" t="s">
        <v>9894</v>
      </c>
      <c r="BN684" s="75" t="s">
        <v>153</v>
      </c>
      <c r="BO684" s="76" t="s">
        <v>153</v>
      </c>
      <c r="BP684" s="77" t="s">
        <v>153</v>
      </c>
      <c r="BQ684" s="78">
        <v>36892</v>
      </c>
      <c r="BR684" s="79">
        <v>6900</v>
      </c>
      <c r="BS684" s="80" t="s">
        <v>186</v>
      </c>
      <c r="BT684" s="81">
        <v>6900</v>
      </c>
      <c r="BU684" s="82" t="s">
        <v>186</v>
      </c>
      <c r="BV684" s="83" t="s">
        <v>226</v>
      </c>
      <c r="BW684" s="84" t="s">
        <v>729</v>
      </c>
      <c r="BX684" s="85" t="s">
        <v>153</v>
      </c>
      <c r="BY684" s="86" t="s">
        <v>225</v>
      </c>
      <c r="BZ684" s="87" t="s">
        <v>153</v>
      </c>
      <c r="CA684" s="88" t="s">
        <v>190</v>
      </c>
      <c r="CB684" s="89">
        <v>36892</v>
      </c>
      <c r="CC684" s="90">
        <v>6900</v>
      </c>
      <c r="CD684" s="91" t="s">
        <v>186</v>
      </c>
      <c r="CE684" s="92">
        <v>6900</v>
      </c>
      <c r="CF684" s="93" t="s">
        <v>186</v>
      </c>
      <c r="CG684" s="94" t="s">
        <v>226</v>
      </c>
      <c r="CH684" s="95" t="s">
        <v>729</v>
      </c>
      <c r="CI684" s="96" t="s">
        <v>153</v>
      </c>
      <c r="CJ684" s="97" t="s">
        <v>225</v>
      </c>
      <c r="CK684" s="98">
        <v>36892</v>
      </c>
      <c r="CL684" s="99" t="s">
        <v>153</v>
      </c>
      <c r="CM684" s="100" t="s">
        <v>153</v>
      </c>
      <c r="CN684" s="101" t="s">
        <v>190</v>
      </c>
      <c r="CO684" s="102" t="s">
        <v>153</v>
      </c>
      <c r="CP684" s="103" t="s">
        <v>153</v>
      </c>
      <c r="CQ684" s="104" t="s">
        <v>153</v>
      </c>
      <c r="CR684" s="105" t="s">
        <v>153</v>
      </c>
      <c r="CS684" s="106" t="s">
        <v>153</v>
      </c>
      <c r="CT684" s="107" t="s">
        <v>153</v>
      </c>
      <c r="CU684" s="108" t="s">
        <v>153</v>
      </c>
      <c r="CV684" s="109" t="s">
        <v>153</v>
      </c>
      <c r="CW684" s="110" t="s">
        <v>153</v>
      </c>
      <c r="CX684" s="111" t="s">
        <v>153</v>
      </c>
      <c r="CY684" s="112" t="s">
        <v>153</v>
      </c>
      <c r="CZ684" s="113" t="s">
        <v>153</v>
      </c>
      <c r="DA684" s="114" t="s">
        <v>153</v>
      </c>
      <c r="DB684" s="115" t="s">
        <v>153</v>
      </c>
      <c r="DC684" s="116" t="s">
        <v>153</v>
      </c>
      <c r="DD684" s="117" t="s">
        <v>153</v>
      </c>
      <c r="DE684" s="118" t="s">
        <v>153</v>
      </c>
      <c r="DF684" s="119" t="s">
        <v>153</v>
      </c>
      <c r="DG684" s="120" t="s">
        <v>153</v>
      </c>
      <c r="DH684" s="121" t="s">
        <v>153</v>
      </c>
      <c r="DI684" s="122" t="s">
        <v>153</v>
      </c>
      <c r="DJ684" s="123" t="s">
        <v>153</v>
      </c>
      <c r="DK684" s="124" t="s">
        <v>153</v>
      </c>
      <c r="DL684" s="125" t="s">
        <v>153</v>
      </c>
      <c r="DM684" s="126" t="s">
        <v>153</v>
      </c>
      <c r="DN684" s="127" t="s">
        <v>153</v>
      </c>
      <c r="DO684" s="128" t="s">
        <v>153</v>
      </c>
      <c r="DP684" s="129" t="s">
        <v>153</v>
      </c>
      <c r="DQ684" s="130" t="s">
        <v>153</v>
      </c>
      <c r="DR684" s="131" t="s">
        <v>153</v>
      </c>
      <c r="DS684" s="132" t="s">
        <v>153</v>
      </c>
      <c r="DT684" s="133" t="s">
        <v>153</v>
      </c>
      <c r="DU684" s="134" t="s">
        <v>153</v>
      </c>
      <c r="DV684" s="135" t="s">
        <v>153</v>
      </c>
      <c r="DW684" s="136" t="s">
        <v>153</v>
      </c>
      <c r="DX684" s="137" t="s">
        <v>153</v>
      </c>
      <c r="DY684" s="138" t="s">
        <v>153</v>
      </c>
      <c r="DZ684" s="139" t="s">
        <v>191</v>
      </c>
      <c r="EA684" s="140">
        <v>43940</v>
      </c>
      <c r="EB684" s="141">
        <v>6900</v>
      </c>
      <c r="EC684" s="142">
        <v>36892</v>
      </c>
      <c r="ED684" s="143" t="s">
        <v>226</v>
      </c>
      <c r="EE684" s="278" t="str">
        <f>HYPERLINK("https://my.pitchbook.com?c=168435-01", "View company online")</f>
        <v>View company online</v>
      </c>
    </row>
    <row r="685" spans="1:135" x14ac:dyDescent="0.45">
      <c r="A685" s="144" t="s">
        <v>13846</v>
      </c>
      <c r="B685" s="145" t="s">
        <v>13847</v>
      </c>
      <c r="C685" s="146" t="s">
        <v>153</v>
      </c>
      <c r="D685" s="147" t="s">
        <v>153</v>
      </c>
      <c r="E685" s="148" t="s">
        <v>153</v>
      </c>
      <c r="F685" s="149" t="s">
        <v>153</v>
      </c>
      <c r="G685" s="150" t="s">
        <v>13848</v>
      </c>
      <c r="H685" s="151" t="s">
        <v>153</v>
      </c>
      <c r="I685" s="152" t="s">
        <v>13846</v>
      </c>
      <c r="J685" s="153" t="s">
        <v>13849</v>
      </c>
      <c r="K685" s="154" t="s">
        <v>792</v>
      </c>
      <c r="L685" s="155" t="s">
        <v>841</v>
      </c>
      <c r="M685" s="156" t="s">
        <v>913</v>
      </c>
      <c r="N685" s="157" t="s">
        <v>10376</v>
      </c>
      <c r="O685" s="158" t="s">
        <v>796</v>
      </c>
      <c r="P685" s="159" t="s">
        <v>13850</v>
      </c>
      <c r="Q685" s="160" t="s">
        <v>162</v>
      </c>
      <c r="R685" s="161">
        <v>6900</v>
      </c>
      <c r="S685" s="162" t="s">
        <v>163</v>
      </c>
      <c r="T685" s="163" t="s">
        <v>1392</v>
      </c>
      <c r="U685" s="164" t="s">
        <v>565</v>
      </c>
      <c r="V685" s="165" t="s">
        <v>13851</v>
      </c>
      <c r="W685" s="166">
        <v>2</v>
      </c>
      <c r="X685" s="167" t="s">
        <v>13852</v>
      </c>
      <c r="Y685" s="168" t="s">
        <v>153</v>
      </c>
      <c r="Z685" s="169" t="s">
        <v>153</v>
      </c>
      <c r="AA685" s="170">
        <v>2013</v>
      </c>
      <c r="AB685" s="171" t="s">
        <v>153</v>
      </c>
      <c r="AC685" s="172" t="s">
        <v>153</v>
      </c>
      <c r="AD685" s="173" t="s">
        <v>153</v>
      </c>
      <c r="AE685" s="174">
        <v>3000</v>
      </c>
      <c r="AF685" s="175" t="s">
        <v>153</v>
      </c>
      <c r="AG685" s="176" t="s">
        <v>153</v>
      </c>
      <c r="AH685" s="177" t="s">
        <v>153</v>
      </c>
      <c r="AI685" s="178" t="s">
        <v>153</v>
      </c>
      <c r="AJ685" s="179" t="s">
        <v>153</v>
      </c>
      <c r="AK685" s="180" t="s">
        <v>153</v>
      </c>
      <c r="AL685" s="181" t="s">
        <v>153</v>
      </c>
      <c r="AM685" s="182" t="s">
        <v>153</v>
      </c>
      <c r="AN685" s="183" t="s">
        <v>168</v>
      </c>
      <c r="AO685" s="184" t="s">
        <v>13853</v>
      </c>
      <c r="AP685" s="185" t="s">
        <v>13854</v>
      </c>
      <c r="AQ685" s="186" t="s">
        <v>171</v>
      </c>
      <c r="AR685" s="187" t="s">
        <v>13855</v>
      </c>
      <c r="AS685" s="188" t="s">
        <v>13856</v>
      </c>
      <c r="AT685" s="189" t="s">
        <v>7530</v>
      </c>
      <c r="AU685" s="190" t="s">
        <v>13857</v>
      </c>
      <c r="AV685" s="191" t="s">
        <v>13858</v>
      </c>
      <c r="AW685" s="192" t="s">
        <v>7533</v>
      </c>
      <c r="AX685" s="193" t="s">
        <v>153</v>
      </c>
      <c r="AY685" s="194" t="s">
        <v>13859</v>
      </c>
      <c r="AZ685" s="195" t="s">
        <v>7533</v>
      </c>
      <c r="BA685" s="196" t="s">
        <v>13856</v>
      </c>
      <c r="BB685" s="197" t="s">
        <v>13860</v>
      </c>
      <c r="BC685" s="198" t="s">
        <v>13861</v>
      </c>
      <c r="BD685" s="199" t="s">
        <v>1406</v>
      </c>
      <c r="BE685" s="200" t="s">
        <v>7536</v>
      </c>
      <c r="BF685" s="201" t="s">
        <v>13862</v>
      </c>
      <c r="BG685" s="202" t="s">
        <v>13863</v>
      </c>
      <c r="BH685" s="203">
        <v>2</v>
      </c>
      <c r="BI685" s="204" t="s">
        <v>153</v>
      </c>
      <c r="BJ685" s="205" t="s">
        <v>153</v>
      </c>
      <c r="BK685" s="206" t="s">
        <v>153</v>
      </c>
      <c r="BL685" s="207" t="s">
        <v>13864</v>
      </c>
      <c r="BM685" s="208" t="s">
        <v>153</v>
      </c>
      <c r="BN685" s="209" t="s">
        <v>153</v>
      </c>
      <c r="BO685" s="210" t="s">
        <v>13865</v>
      </c>
      <c r="BP685" s="211" t="s">
        <v>153</v>
      </c>
      <c r="BQ685" s="212">
        <v>41365</v>
      </c>
      <c r="BR685" s="213">
        <v>6900</v>
      </c>
      <c r="BS685" s="214" t="s">
        <v>186</v>
      </c>
      <c r="BT685" s="215" t="s">
        <v>153</v>
      </c>
      <c r="BU685" s="216" t="s">
        <v>153</v>
      </c>
      <c r="BV685" s="217" t="s">
        <v>589</v>
      </c>
      <c r="BW685" s="218" t="s">
        <v>153</v>
      </c>
      <c r="BX685" s="219" t="s">
        <v>153</v>
      </c>
      <c r="BY685" s="220" t="s">
        <v>165</v>
      </c>
      <c r="BZ685" s="221" t="s">
        <v>153</v>
      </c>
      <c r="CA685" s="222" t="s">
        <v>190</v>
      </c>
      <c r="CB685" s="223">
        <v>41365</v>
      </c>
      <c r="CC685" s="224">
        <v>6900</v>
      </c>
      <c r="CD685" s="225" t="s">
        <v>186</v>
      </c>
      <c r="CE685" s="226" t="s">
        <v>153</v>
      </c>
      <c r="CF685" s="227" t="s">
        <v>153</v>
      </c>
      <c r="CG685" s="228" t="s">
        <v>589</v>
      </c>
      <c r="CH685" s="229" t="s">
        <v>153</v>
      </c>
      <c r="CI685" s="230" t="s">
        <v>153</v>
      </c>
      <c r="CJ685" s="231" t="s">
        <v>165</v>
      </c>
      <c r="CK685" s="232">
        <v>41365</v>
      </c>
      <c r="CL685" s="233" t="s">
        <v>153</v>
      </c>
      <c r="CM685" s="234" t="s">
        <v>153</v>
      </c>
      <c r="CN685" s="235" t="s">
        <v>190</v>
      </c>
      <c r="CO685" s="236">
        <v>0.13</v>
      </c>
      <c r="CP685" s="237">
        <v>89</v>
      </c>
      <c r="CQ685" s="238">
        <v>0.13</v>
      </c>
      <c r="CR685" s="239">
        <v>0</v>
      </c>
      <c r="CS685" s="240">
        <v>0.13</v>
      </c>
      <c r="CT685" s="241">
        <v>90</v>
      </c>
      <c r="CU685" s="242" t="s">
        <v>153</v>
      </c>
      <c r="CV685" s="243" t="s">
        <v>153</v>
      </c>
      <c r="CW685" s="244" t="s">
        <v>153</v>
      </c>
      <c r="CX685" s="245" t="s">
        <v>153</v>
      </c>
      <c r="CY685" s="246">
        <v>0.13</v>
      </c>
      <c r="CZ685" s="247">
        <v>91</v>
      </c>
      <c r="DA685" s="248" t="s">
        <v>153</v>
      </c>
      <c r="DB685" s="249" t="s">
        <v>153</v>
      </c>
      <c r="DC685" s="250">
        <v>6.38</v>
      </c>
      <c r="DD685" s="251">
        <v>88</v>
      </c>
      <c r="DE685" s="252">
        <v>0.06</v>
      </c>
      <c r="DF685" s="253">
        <v>0.99</v>
      </c>
      <c r="DG685" s="254">
        <v>6.38</v>
      </c>
      <c r="DH685" s="255">
        <v>87</v>
      </c>
      <c r="DI685" s="256" t="s">
        <v>153</v>
      </c>
      <c r="DJ685" s="257" t="s">
        <v>153</v>
      </c>
      <c r="DK685" s="258" t="s">
        <v>153</v>
      </c>
      <c r="DL685" s="259" t="s">
        <v>153</v>
      </c>
      <c r="DM685" s="260">
        <v>6.38</v>
      </c>
      <c r="DN685" s="261">
        <v>85</v>
      </c>
      <c r="DO685" s="262" t="s">
        <v>153</v>
      </c>
      <c r="DP685" s="263" t="s">
        <v>153</v>
      </c>
      <c r="DQ685" s="264" t="s">
        <v>153</v>
      </c>
      <c r="DR685" s="265" t="s">
        <v>153</v>
      </c>
      <c r="DS685" s="266" t="s">
        <v>153</v>
      </c>
      <c r="DT685" s="267">
        <v>101</v>
      </c>
      <c r="DU685" s="268">
        <v>1</v>
      </c>
      <c r="DV685" s="269">
        <v>1</v>
      </c>
      <c r="DW685" s="270" t="s">
        <v>153</v>
      </c>
      <c r="DX685" s="271" t="s">
        <v>153</v>
      </c>
      <c r="DY685" s="272" t="s">
        <v>153</v>
      </c>
      <c r="DZ685" s="273" t="s">
        <v>191</v>
      </c>
      <c r="EA685" s="274">
        <v>44147</v>
      </c>
      <c r="EB685" s="275" t="s">
        <v>153</v>
      </c>
      <c r="EC685" s="276" t="s">
        <v>153</v>
      </c>
      <c r="ED685" s="277" t="s">
        <v>153</v>
      </c>
      <c r="EE685" s="279" t="str">
        <f>HYPERLINK("https://my.pitchbook.com?c=60328-72", "View company online")</f>
        <v>View company online</v>
      </c>
    </row>
    <row r="686" spans="1:135" x14ac:dyDescent="0.45">
      <c r="A686" s="10" t="s">
        <v>13866</v>
      </c>
      <c r="B686" s="11" t="s">
        <v>13867</v>
      </c>
      <c r="C686" s="12" t="s">
        <v>153</v>
      </c>
      <c r="D686" s="13" t="s">
        <v>153</v>
      </c>
      <c r="E686" s="14" t="s">
        <v>153</v>
      </c>
      <c r="F686" s="15" t="s">
        <v>13868</v>
      </c>
      <c r="G686" s="16" t="s">
        <v>153</v>
      </c>
      <c r="H686" s="17" t="s">
        <v>153</v>
      </c>
      <c r="I686" s="18" t="s">
        <v>13866</v>
      </c>
      <c r="J686" s="19" t="s">
        <v>13869</v>
      </c>
      <c r="K686" s="20" t="s">
        <v>882</v>
      </c>
      <c r="L686" s="21" t="s">
        <v>2888</v>
      </c>
      <c r="M686" s="22" t="s">
        <v>2889</v>
      </c>
      <c r="N686" s="23" t="s">
        <v>2890</v>
      </c>
      <c r="O686" s="24" t="s">
        <v>153</v>
      </c>
      <c r="P686" s="25" t="s">
        <v>13870</v>
      </c>
      <c r="Q686" s="26" t="s">
        <v>204</v>
      </c>
      <c r="R686" s="27" t="s">
        <v>153</v>
      </c>
      <c r="S686" s="28" t="s">
        <v>153</v>
      </c>
      <c r="T686" s="29" t="s">
        <v>205</v>
      </c>
      <c r="U686" s="30" t="s">
        <v>206</v>
      </c>
      <c r="V686" s="31" t="s">
        <v>153</v>
      </c>
      <c r="W686" s="32" t="s">
        <v>153</v>
      </c>
      <c r="X686" s="33" t="s">
        <v>153</v>
      </c>
      <c r="Y686" s="34" t="s">
        <v>153</v>
      </c>
      <c r="Z686" s="35" t="s">
        <v>153</v>
      </c>
      <c r="AA686" s="36" t="s">
        <v>153</v>
      </c>
      <c r="AB686" s="37" t="s">
        <v>153</v>
      </c>
      <c r="AC686" s="38" t="s">
        <v>153</v>
      </c>
      <c r="AD686" s="39" t="s">
        <v>153</v>
      </c>
      <c r="AE686" s="40" t="s">
        <v>153</v>
      </c>
      <c r="AF686" s="41" t="s">
        <v>153</v>
      </c>
      <c r="AG686" s="42" t="s">
        <v>153</v>
      </c>
      <c r="AH686" s="43" t="s">
        <v>153</v>
      </c>
      <c r="AI686" s="44" t="s">
        <v>153</v>
      </c>
      <c r="AJ686" s="45" t="s">
        <v>153</v>
      </c>
      <c r="AK686" s="46" t="s">
        <v>153</v>
      </c>
      <c r="AL686" s="47" t="s">
        <v>153</v>
      </c>
      <c r="AM686" s="48" t="s">
        <v>153</v>
      </c>
      <c r="AN686" s="49" t="s">
        <v>153</v>
      </c>
      <c r="AO686" s="50" t="s">
        <v>153</v>
      </c>
      <c r="AP686" s="51" t="s">
        <v>153</v>
      </c>
      <c r="AQ686" s="52" t="s">
        <v>153</v>
      </c>
      <c r="AR686" s="53" t="s">
        <v>153</v>
      </c>
      <c r="AS686" s="54" t="s">
        <v>153</v>
      </c>
      <c r="AT686" s="55" t="s">
        <v>1379</v>
      </c>
      <c r="AU686" s="56" t="s">
        <v>153</v>
      </c>
      <c r="AV686" s="57" t="s">
        <v>153</v>
      </c>
      <c r="AW686" s="58" t="s">
        <v>1380</v>
      </c>
      <c r="AX686" s="59" t="s">
        <v>308</v>
      </c>
      <c r="AY686" s="60" t="s">
        <v>153</v>
      </c>
      <c r="AZ686" s="61" t="s">
        <v>215</v>
      </c>
      <c r="BA686" s="62" t="s">
        <v>153</v>
      </c>
      <c r="BB686" s="63" t="s">
        <v>153</v>
      </c>
      <c r="BC686" s="64" t="s">
        <v>153</v>
      </c>
      <c r="BD686" s="65" t="s">
        <v>216</v>
      </c>
      <c r="BE686" s="66" t="s">
        <v>217</v>
      </c>
      <c r="BF686" s="67" t="s">
        <v>13871</v>
      </c>
      <c r="BG686" s="68" t="s">
        <v>153</v>
      </c>
      <c r="BH686" s="69" t="s">
        <v>153</v>
      </c>
      <c r="BI686" s="70" t="s">
        <v>13872</v>
      </c>
      <c r="BJ686" s="71" t="s">
        <v>13873</v>
      </c>
      <c r="BK686" s="72" t="s">
        <v>153</v>
      </c>
      <c r="BL686" s="73" t="s">
        <v>153</v>
      </c>
      <c r="BM686" s="74" t="s">
        <v>13874</v>
      </c>
      <c r="BN686" s="75" t="s">
        <v>153</v>
      </c>
      <c r="BO686" s="76" t="s">
        <v>153</v>
      </c>
      <c r="BP686" s="77" t="s">
        <v>153</v>
      </c>
      <c r="BQ686" s="78">
        <v>43283</v>
      </c>
      <c r="BR686" s="79">
        <v>6900</v>
      </c>
      <c r="BS686" s="80" t="s">
        <v>187</v>
      </c>
      <c r="BT686" s="81">
        <v>6900</v>
      </c>
      <c r="BU686" s="82" t="s">
        <v>187</v>
      </c>
      <c r="BV686" s="83" t="s">
        <v>1524</v>
      </c>
      <c r="BW686" s="84" t="s">
        <v>1525</v>
      </c>
      <c r="BX686" s="85" t="s">
        <v>1526</v>
      </c>
      <c r="BY686" s="86" t="s">
        <v>225</v>
      </c>
      <c r="BZ686" s="87" t="s">
        <v>153</v>
      </c>
      <c r="CA686" s="88" t="s">
        <v>190</v>
      </c>
      <c r="CB686" s="89">
        <v>43283</v>
      </c>
      <c r="CC686" s="90">
        <v>6900</v>
      </c>
      <c r="CD686" s="91" t="s">
        <v>187</v>
      </c>
      <c r="CE686" s="92">
        <v>6900</v>
      </c>
      <c r="CF686" s="93" t="s">
        <v>187</v>
      </c>
      <c r="CG686" s="94" t="s">
        <v>1524</v>
      </c>
      <c r="CH686" s="95" t="s">
        <v>1525</v>
      </c>
      <c r="CI686" s="96" t="s">
        <v>1526</v>
      </c>
      <c r="CJ686" s="97" t="s">
        <v>225</v>
      </c>
      <c r="CK686" s="98">
        <v>43283</v>
      </c>
      <c r="CL686" s="99" t="s">
        <v>153</v>
      </c>
      <c r="CM686" s="100" t="s">
        <v>153</v>
      </c>
      <c r="CN686" s="101" t="s">
        <v>190</v>
      </c>
      <c r="CO686" s="102" t="s">
        <v>153</v>
      </c>
      <c r="CP686" s="103" t="s">
        <v>153</v>
      </c>
      <c r="CQ686" s="104" t="s">
        <v>153</v>
      </c>
      <c r="CR686" s="105" t="s">
        <v>153</v>
      </c>
      <c r="CS686" s="106" t="s">
        <v>153</v>
      </c>
      <c r="CT686" s="107" t="s">
        <v>153</v>
      </c>
      <c r="CU686" s="108" t="s">
        <v>153</v>
      </c>
      <c r="CV686" s="109" t="s">
        <v>153</v>
      </c>
      <c r="CW686" s="110" t="s">
        <v>153</v>
      </c>
      <c r="CX686" s="111" t="s">
        <v>153</v>
      </c>
      <c r="CY686" s="112" t="s">
        <v>153</v>
      </c>
      <c r="CZ686" s="113" t="s">
        <v>153</v>
      </c>
      <c r="DA686" s="114" t="s">
        <v>153</v>
      </c>
      <c r="DB686" s="115" t="s">
        <v>153</v>
      </c>
      <c r="DC686" s="116" t="s">
        <v>153</v>
      </c>
      <c r="DD686" s="117" t="s">
        <v>153</v>
      </c>
      <c r="DE686" s="118" t="s">
        <v>153</v>
      </c>
      <c r="DF686" s="119" t="s">
        <v>153</v>
      </c>
      <c r="DG686" s="120" t="s">
        <v>153</v>
      </c>
      <c r="DH686" s="121" t="s">
        <v>153</v>
      </c>
      <c r="DI686" s="122" t="s">
        <v>153</v>
      </c>
      <c r="DJ686" s="123" t="s">
        <v>153</v>
      </c>
      <c r="DK686" s="124" t="s">
        <v>153</v>
      </c>
      <c r="DL686" s="125" t="s">
        <v>153</v>
      </c>
      <c r="DM686" s="126" t="s">
        <v>153</v>
      </c>
      <c r="DN686" s="127" t="s">
        <v>153</v>
      </c>
      <c r="DO686" s="128" t="s">
        <v>153</v>
      </c>
      <c r="DP686" s="129" t="s">
        <v>153</v>
      </c>
      <c r="DQ686" s="130" t="s">
        <v>153</v>
      </c>
      <c r="DR686" s="131" t="s">
        <v>153</v>
      </c>
      <c r="DS686" s="132" t="s">
        <v>153</v>
      </c>
      <c r="DT686" s="133" t="s">
        <v>153</v>
      </c>
      <c r="DU686" s="134" t="s">
        <v>153</v>
      </c>
      <c r="DV686" s="135" t="s">
        <v>153</v>
      </c>
      <c r="DW686" s="136" t="s">
        <v>153</v>
      </c>
      <c r="DX686" s="137" t="s">
        <v>153</v>
      </c>
      <c r="DY686" s="138" t="s">
        <v>153</v>
      </c>
      <c r="DZ686" s="139" t="s">
        <v>191</v>
      </c>
      <c r="EA686" s="140">
        <v>44286</v>
      </c>
      <c r="EB686" s="141">
        <v>6900</v>
      </c>
      <c r="EC686" s="142">
        <v>43283</v>
      </c>
      <c r="ED686" s="143" t="s">
        <v>1524</v>
      </c>
      <c r="EE686" s="278" t="str">
        <f>HYPERLINK("https://my.pitchbook.com?c=222305-05", "View company online")</f>
        <v>View company online</v>
      </c>
    </row>
    <row r="687" spans="1:135" x14ac:dyDescent="0.45">
      <c r="A687" s="144" t="s">
        <v>13875</v>
      </c>
      <c r="B687" s="145" t="s">
        <v>13876</v>
      </c>
      <c r="C687" s="146" t="s">
        <v>153</v>
      </c>
      <c r="D687" s="147" t="s">
        <v>153</v>
      </c>
      <c r="E687" s="148" t="s">
        <v>153</v>
      </c>
      <c r="F687" s="149" t="s">
        <v>13877</v>
      </c>
      <c r="G687" s="150" t="s">
        <v>13878</v>
      </c>
      <c r="H687" s="151" t="s">
        <v>153</v>
      </c>
      <c r="I687" s="152" t="s">
        <v>13875</v>
      </c>
      <c r="J687" s="153" t="s">
        <v>13879</v>
      </c>
      <c r="K687" s="154" t="s">
        <v>198</v>
      </c>
      <c r="L687" s="155" t="s">
        <v>199</v>
      </c>
      <c r="M687" s="156" t="s">
        <v>1389</v>
      </c>
      <c r="N687" s="157" t="s">
        <v>1390</v>
      </c>
      <c r="O687" s="158" t="s">
        <v>1592</v>
      </c>
      <c r="P687" s="159" t="s">
        <v>13880</v>
      </c>
      <c r="Q687" s="160" t="s">
        <v>204</v>
      </c>
      <c r="R687" s="161" t="s">
        <v>153</v>
      </c>
      <c r="S687" s="162" t="s">
        <v>163</v>
      </c>
      <c r="T687" s="163" t="s">
        <v>205</v>
      </c>
      <c r="U687" s="164" t="s">
        <v>237</v>
      </c>
      <c r="V687" s="165" t="s">
        <v>153</v>
      </c>
      <c r="W687" s="166">
        <v>9784</v>
      </c>
      <c r="X687" s="167" t="s">
        <v>13881</v>
      </c>
      <c r="Y687" s="168" t="s">
        <v>153</v>
      </c>
      <c r="Z687" s="169" t="s">
        <v>153</v>
      </c>
      <c r="AA687" s="170">
        <v>1951</v>
      </c>
      <c r="AB687" s="171" t="s">
        <v>153</v>
      </c>
      <c r="AC687" s="172" t="s">
        <v>153</v>
      </c>
      <c r="AD687" s="173" t="s">
        <v>153</v>
      </c>
      <c r="AE687" s="174" t="s">
        <v>153</v>
      </c>
      <c r="AF687" s="175" t="s">
        <v>153</v>
      </c>
      <c r="AG687" s="176" t="s">
        <v>153</v>
      </c>
      <c r="AH687" s="177" t="s">
        <v>153</v>
      </c>
      <c r="AI687" s="178" t="s">
        <v>153</v>
      </c>
      <c r="AJ687" s="179" t="s">
        <v>153</v>
      </c>
      <c r="AK687" s="180" t="s">
        <v>153</v>
      </c>
      <c r="AL687" s="181" t="s">
        <v>153</v>
      </c>
      <c r="AM687" s="182" t="s">
        <v>153</v>
      </c>
      <c r="AN687" s="183" t="s">
        <v>2458</v>
      </c>
      <c r="AO687" s="184" t="s">
        <v>153</v>
      </c>
      <c r="AP687" s="185" t="s">
        <v>153</v>
      </c>
      <c r="AQ687" s="186" t="s">
        <v>153</v>
      </c>
      <c r="AR687" s="187" t="s">
        <v>153</v>
      </c>
      <c r="AS687" s="188" t="s">
        <v>153</v>
      </c>
      <c r="AT687" s="189" t="s">
        <v>13882</v>
      </c>
      <c r="AU687" s="190" t="s">
        <v>13883</v>
      </c>
      <c r="AV687" s="191" t="s">
        <v>153</v>
      </c>
      <c r="AW687" s="192" t="s">
        <v>13884</v>
      </c>
      <c r="AX687" s="193" t="s">
        <v>408</v>
      </c>
      <c r="AY687" s="194" t="s">
        <v>13885</v>
      </c>
      <c r="AZ687" s="195" t="s">
        <v>215</v>
      </c>
      <c r="BA687" s="196" t="s">
        <v>153</v>
      </c>
      <c r="BB687" s="197" t="s">
        <v>153</v>
      </c>
      <c r="BC687" s="198" t="s">
        <v>153</v>
      </c>
      <c r="BD687" s="199" t="s">
        <v>216</v>
      </c>
      <c r="BE687" s="200" t="s">
        <v>217</v>
      </c>
      <c r="BF687" s="201" t="s">
        <v>13886</v>
      </c>
      <c r="BG687" s="202" t="s">
        <v>153</v>
      </c>
      <c r="BH687" s="203" t="s">
        <v>153</v>
      </c>
      <c r="BI687" s="204" t="s">
        <v>13887</v>
      </c>
      <c r="BJ687" s="205" t="s">
        <v>153</v>
      </c>
      <c r="BK687" s="206" t="s">
        <v>153</v>
      </c>
      <c r="BL687" s="207" t="s">
        <v>153</v>
      </c>
      <c r="BM687" s="208" t="s">
        <v>153</v>
      </c>
      <c r="BN687" s="209" t="s">
        <v>153</v>
      </c>
      <c r="BO687" s="210" t="s">
        <v>13888</v>
      </c>
      <c r="BP687" s="211" t="s">
        <v>13889</v>
      </c>
      <c r="BQ687" s="212">
        <v>21760</v>
      </c>
      <c r="BR687" s="213" t="s">
        <v>153</v>
      </c>
      <c r="BS687" s="214" t="s">
        <v>153</v>
      </c>
      <c r="BT687" s="215" t="s">
        <v>153</v>
      </c>
      <c r="BU687" s="216" t="s">
        <v>153</v>
      </c>
      <c r="BV687" s="217" t="s">
        <v>251</v>
      </c>
      <c r="BW687" s="218" t="s">
        <v>153</v>
      </c>
      <c r="BX687" s="219" t="s">
        <v>153</v>
      </c>
      <c r="BY687" s="220" t="s">
        <v>252</v>
      </c>
      <c r="BZ687" s="221" t="s">
        <v>153</v>
      </c>
      <c r="CA687" s="222" t="s">
        <v>190</v>
      </c>
      <c r="CB687" s="223">
        <v>38775</v>
      </c>
      <c r="CC687" s="224">
        <v>6900</v>
      </c>
      <c r="CD687" s="225" t="s">
        <v>186</v>
      </c>
      <c r="CE687" s="226">
        <v>6900</v>
      </c>
      <c r="CF687" s="227" t="s">
        <v>186</v>
      </c>
      <c r="CG687" s="228" t="s">
        <v>226</v>
      </c>
      <c r="CH687" s="229" t="s">
        <v>153</v>
      </c>
      <c r="CI687" s="230" t="s">
        <v>153</v>
      </c>
      <c r="CJ687" s="231" t="s">
        <v>225</v>
      </c>
      <c r="CK687" s="232">
        <v>38775</v>
      </c>
      <c r="CL687" s="233" t="s">
        <v>153</v>
      </c>
      <c r="CM687" s="234" t="s">
        <v>153</v>
      </c>
      <c r="CN687" s="235" t="s">
        <v>190</v>
      </c>
      <c r="CO687" s="236" t="s">
        <v>153</v>
      </c>
      <c r="CP687" s="237" t="s">
        <v>153</v>
      </c>
      <c r="CQ687" s="238" t="s">
        <v>153</v>
      </c>
      <c r="CR687" s="239" t="s">
        <v>153</v>
      </c>
      <c r="CS687" s="240" t="s">
        <v>153</v>
      </c>
      <c r="CT687" s="241" t="s">
        <v>153</v>
      </c>
      <c r="CU687" s="242" t="s">
        <v>153</v>
      </c>
      <c r="CV687" s="243" t="s">
        <v>153</v>
      </c>
      <c r="CW687" s="244" t="s">
        <v>153</v>
      </c>
      <c r="CX687" s="245" t="s">
        <v>153</v>
      </c>
      <c r="CY687" s="246" t="s">
        <v>153</v>
      </c>
      <c r="CZ687" s="247" t="s">
        <v>153</v>
      </c>
      <c r="DA687" s="248" t="s">
        <v>153</v>
      </c>
      <c r="DB687" s="249" t="s">
        <v>153</v>
      </c>
      <c r="DC687" s="250" t="s">
        <v>153</v>
      </c>
      <c r="DD687" s="251" t="s">
        <v>153</v>
      </c>
      <c r="DE687" s="252" t="s">
        <v>153</v>
      </c>
      <c r="DF687" s="253" t="s">
        <v>153</v>
      </c>
      <c r="DG687" s="254" t="s">
        <v>153</v>
      </c>
      <c r="DH687" s="255" t="s">
        <v>153</v>
      </c>
      <c r="DI687" s="256" t="s">
        <v>153</v>
      </c>
      <c r="DJ687" s="257" t="s">
        <v>153</v>
      </c>
      <c r="DK687" s="258" t="s">
        <v>153</v>
      </c>
      <c r="DL687" s="259" t="s">
        <v>153</v>
      </c>
      <c r="DM687" s="260" t="s">
        <v>153</v>
      </c>
      <c r="DN687" s="261" t="s">
        <v>153</v>
      </c>
      <c r="DO687" s="262" t="s">
        <v>153</v>
      </c>
      <c r="DP687" s="263" t="s">
        <v>153</v>
      </c>
      <c r="DQ687" s="264" t="s">
        <v>153</v>
      </c>
      <c r="DR687" s="265" t="s">
        <v>153</v>
      </c>
      <c r="DS687" s="266" t="s">
        <v>153</v>
      </c>
      <c r="DT687" s="267" t="s">
        <v>153</v>
      </c>
      <c r="DU687" s="268" t="s">
        <v>153</v>
      </c>
      <c r="DV687" s="269" t="s">
        <v>153</v>
      </c>
      <c r="DW687" s="270" t="s">
        <v>153</v>
      </c>
      <c r="DX687" s="271" t="s">
        <v>153</v>
      </c>
      <c r="DY687" s="272" t="s">
        <v>153</v>
      </c>
      <c r="DZ687" s="273" t="s">
        <v>191</v>
      </c>
      <c r="EA687" s="274">
        <v>44217</v>
      </c>
      <c r="EB687" s="275">
        <v>6900</v>
      </c>
      <c r="EC687" s="276">
        <v>38775</v>
      </c>
      <c r="ED687" s="277" t="s">
        <v>226</v>
      </c>
      <c r="EE687" s="279" t="str">
        <f>HYPERLINK("https://my.pitchbook.com?c=41092-93", "View company online")</f>
        <v>View company online</v>
      </c>
    </row>
    <row r="688" spans="1:135" x14ac:dyDescent="0.45">
      <c r="A688" s="10" t="s">
        <v>13890</v>
      </c>
      <c r="B688" s="11" t="s">
        <v>13891</v>
      </c>
      <c r="C688" s="12" t="s">
        <v>153</v>
      </c>
      <c r="D688" s="13" t="s">
        <v>153</v>
      </c>
      <c r="E688" s="14" t="s">
        <v>13892</v>
      </c>
      <c r="F688" s="15" t="s">
        <v>13893</v>
      </c>
      <c r="G688" s="16" t="s">
        <v>13894</v>
      </c>
      <c r="H688" s="17" t="s">
        <v>13895</v>
      </c>
      <c r="I688" s="18" t="s">
        <v>13890</v>
      </c>
      <c r="J688" s="19" t="s">
        <v>13896</v>
      </c>
      <c r="K688" s="20" t="s">
        <v>198</v>
      </c>
      <c r="L688" s="21" t="s">
        <v>199</v>
      </c>
      <c r="M688" s="22" t="s">
        <v>344</v>
      </c>
      <c r="N688" s="23" t="s">
        <v>345</v>
      </c>
      <c r="O688" s="24" t="s">
        <v>153</v>
      </c>
      <c r="P688" s="25" t="s">
        <v>13897</v>
      </c>
      <c r="Q688" s="26" t="s">
        <v>1487</v>
      </c>
      <c r="R688" s="27" t="s">
        <v>153</v>
      </c>
      <c r="S688" s="28" t="s">
        <v>163</v>
      </c>
      <c r="T688" s="29" t="s">
        <v>1488</v>
      </c>
      <c r="U688" s="30" t="s">
        <v>887</v>
      </c>
      <c r="V688" s="31" t="s">
        <v>13898</v>
      </c>
      <c r="W688" s="32">
        <v>850</v>
      </c>
      <c r="X688" s="33" t="s">
        <v>13899</v>
      </c>
      <c r="Y688" s="34" t="s">
        <v>153</v>
      </c>
      <c r="Z688" s="35" t="s">
        <v>153</v>
      </c>
      <c r="AA688" s="36">
        <v>1996</v>
      </c>
      <c r="AB688" s="37" t="s">
        <v>153</v>
      </c>
      <c r="AC688" s="38" t="s">
        <v>153</v>
      </c>
      <c r="AD688" s="39" t="s">
        <v>570</v>
      </c>
      <c r="AE688" s="40" t="s">
        <v>153</v>
      </c>
      <c r="AF688" s="41" t="s">
        <v>153</v>
      </c>
      <c r="AG688" s="42" t="s">
        <v>153</v>
      </c>
      <c r="AH688" s="43" t="s">
        <v>153</v>
      </c>
      <c r="AI688" s="44">
        <v>858</v>
      </c>
      <c r="AJ688" s="45" t="s">
        <v>153</v>
      </c>
      <c r="AK688" s="46" t="s">
        <v>153</v>
      </c>
      <c r="AL688" s="47" t="s">
        <v>153</v>
      </c>
      <c r="AM688" s="48" t="s">
        <v>153</v>
      </c>
      <c r="AN688" s="49" t="s">
        <v>168</v>
      </c>
      <c r="AO688" s="50" t="s">
        <v>13900</v>
      </c>
      <c r="AP688" s="51" t="s">
        <v>13901</v>
      </c>
      <c r="AQ688" s="52" t="s">
        <v>13902</v>
      </c>
      <c r="AR688" s="53" t="s">
        <v>13903</v>
      </c>
      <c r="AS688" s="54" t="s">
        <v>13904</v>
      </c>
      <c r="AT688" s="55" t="s">
        <v>12484</v>
      </c>
      <c r="AU688" s="56" t="s">
        <v>13905</v>
      </c>
      <c r="AV688" s="57" t="s">
        <v>13906</v>
      </c>
      <c r="AW688" s="58" t="s">
        <v>12486</v>
      </c>
      <c r="AX688" s="59" t="s">
        <v>4177</v>
      </c>
      <c r="AY688" s="60" t="s">
        <v>13907</v>
      </c>
      <c r="AZ688" s="61" t="s">
        <v>215</v>
      </c>
      <c r="BA688" s="62" t="s">
        <v>13904</v>
      </c>
      <c r="BB688" s="63" t="s">
        <v>153</v>
      </c>
      <c r="BC688" s="64" t="s">
        <v>153</v>
      </c>
      <c r="BD688" s="65" t="s">
        <v>216</v>
      </c>
      <c r="BE688" s="66" t="s">
        <v>217</v>
      </c>
      <c r="BF688" s="67" t="s">
        <v>13908</v>
      </c>
      <c r="BG688" s="68" t="s">
        <v>4120</v>
      </c>
      <c r="BH688" s="69">
        <v>1</v>
      </c>
      <c r="BI688" s="70" t="s">
        <v>153</v>
      </c>
      <c r="BJ688" s="71" t="s">
        <v>153</v>
      </c>
      <c r="BK688" s="72" t="s">
        <v>219</v>
      </c>
      <c r="BL688" s="73" t="s">
        <v>153</v>
      </c>
      <c r="BM688" s="74" t="s">
        <v>153</v>
      </c>
      <c r="BN688" s="75" t="s">
        <v>13909</v>
      </c>
      <c r="BO688" s="76" t="s">
        <v>153</v>
      </c>
      <c r="BP688" s="77" t="s">
        <v>153</v>
      </c>
      <c r="BQ688" s="78">
        <v>44088</v>
      </c>
      <c r="BR688" s="79">
        <v>6900</v>
      </c>
      <c r="BS688" s="80" t="s">
        <v>186</v>
      </c>
      <c r="BT688" s="81">
        <v>6900</v>
      </c>
      <c r="BU688" s="82" t="s">
        <v>187</v>
      </c>
      <c r="BV688" s="83" t="s">
        <v>226</v>
      </c>
      <c r="BW688" s="84" t="s">
        <v>729</v>
      </c>
      <c r="BX688" s="85" t="s">
        <v>153</v>
      </c>
      <c r="BY688" s="86" t="s">
        <v>225</v>
      </c>
      <c r="BZ688" s="87" t="s">
        <v>153</v>
      </c>
      <c r="CA688" s="88" t="s">
        <v>1278</v>
      </c>
      <c r="CB688" s="89">
        <v>44088</v>
      </c>
      <c r="CC688" s="90">
        <v>6900</v>
      </c>
      <c r="CD688" s="91" t="s">
        <v>186</v>
      </c>
      <c r="CE688" s="92">
        <v>6900</v>
      </c>
      <c r="CF688" s="93" t="s">
        <v>187</v>
      </c>
      <c r="CG688" s="94" t="s">
        <v>226</v>
      </c>
      <c r="CH688" s="95" t="s">
        <v>729</v>
      </c>
      <c r="CI688" s="96" t="s">
        <v>153</v>
      </c>
      <c r="CJ688" s="97" t="s">
        <v>225</v>
      </c>
      <c r="CK688" s="98">
        <v>44088</v>
      </c>
      <c r="CL688" s="99" t="s">
        <v>153</v>
      </c>
      <c r="CM688" s="100" t="s">
        <v>153</v>
      </c>
      <c r="CN688" s="101" t="s">
        <v>1278</v>
      </c>
      <c r="CO688" s="102" t="s">
        <v>153</v>
      </c>
      <c r="CP688" s="103" t="s">
        <v>153</v>
      </c>
      <c r="CQ688" s="104" t="s">
        <v>153</v>
      </c>
      <c r="CR688" s="105" t="s">
        <v>153</v>
      </c>
      <c r="CS688" s="106" t="s">
        <v>153</v>
      </c>
      <c r="CT688" s="107" t="s">
        <v>153</v>
      </c>
      <c r="CU688" s="108" t="s">
        <v>153</v>
      </c>
      <c r="CV688" s="109" t="s">
        <v>153</v>
      </c>
      <c r="CW688" s="110" t="s">
        <v>153</v>
      </c>
      <c r="CX688" s="111" t="s">
        <v>153</v>
      </c>
      <c r="CY688" s="112" t="s">
        <v>153</v>
      </c>
      <c r="CZ688" s="113" t="s">
        <v>153</v>
      </c>
      <c r="DA688" s="114" t="s">
        <v>153</v>
      </c>
      <c r="DB688" s="115" t="s">
        <v>153</v>
      </c>
      <c r="DC688" s="116" t="s">
        <v>153</v>
      </c>
      <c r="DD688" s="117" t="s">
        <v>153</v>
      </c>
      <c r="DE688" s="118" t="s">
        <v>153</v>
      </c>
      <c r="DF688" s="119" t="s">
        <v>153</v>
      </c>
      <c r="DG688" s="120" t="s">
        <v>153</v>
      </c>
      <c r="DH688" s="121" t="s">
        <v>153</v>
      </c>
      <c r="DI688" s="122" t="s">
        <v>153</v>
      </c>
      <c r="DJ688" s="123" t="s">
        <v>153</v>
      </c>
      <c r="DK688" s="124" t="s">
        <v>153</v>
      </c>
      <c r="DL688" s="125" t="s">
        <v>153</v>
      </c>
      <c r="DM688" s="126" t="s">
        <v>153</v>
      </c>
      <c r="DN688" s="127" t="s">
        <v>153</v>
      </c>
      <c r="DO688" s="128" t="s">
        <v>153</v>
      </c>
      <c r="DP688" s="129" t="s">
        <v>153</v>
      </c>
      <c r="DQ688" s="130" t="s">
        <v>153</v>
      </c>
      <c r="DR688" s="131" t="s">
        <v>153</v>
      </c>
      <c r="DS688" s="132" t="s">
        <v>153</v>
      </c>
      <c r="DT688" s="133" t="s">
        <v>153</v>
      </c>
      <c r="DU688" s="134" t="s">
        <v>153</v>
      </c>
      <c r="DV688" s="135" t="s">
        <v>153</v>
      </c>
      <c r="DW688" s="136" t="s">
        <v>153</v>
      </c>
      <c r="DX688" s="137" t="s">
        <v>153</v>
      </c>
      <c r="DY688" s="138" t="s">
        <v>153</v>
      </c>
      <c r="DZ688" s="139" t="s">
        <v>191</v>
      </c>
      <c r="EA688" s="140">
        <v>44386</v>
      </c>
      <c r="EB688" s="141">
        <v>6900</v>
      </c>
      <c r="EC688" s="142">
        <v>44088</v>
      </c>
      <c r="ED688" s="143" t="s">
        <v>226</v>
      </c>
      <c r="EE688" s="278" t="str">
        <f>HYPERLINK("https://my.pitchbook.com?c=95256-37", "View company online")</f>
        <v>View company online</v>
      </c>
    </row>
    <row r="689" spans="1:135" x14ac:dyDescent="0.45">
      <c r="A689" s="144" t="s">
        <v>13910</v>
      </c>
      <c r="B689" s="145" t="s">
        <v>13911</v>
      </c>
      <c r="C689" s="146" t="s">
        <v>153</v>
      </c>
      <c r="D689" s="147" t="s">
        <v>153</v>
      </c>
      <c r="E689" s="148" t="s">
        <v>13912</v>
      </c>
      <c r="F689" s="149" t="s">
        <v>153</v>
      </c>
      <c r="G689" s="150" t="s">
        <v>13913</v>
      </c>
      <c r="H689" s="151" t="s">
        <v>153</v>
      </c>
      <c r="I689" s="152" t="s">
        <v>13910</v>
      </c>
      <c r="J689" s="153" t="s">
        <v>13914</v>
      </c>
      <c r="K689" s="154" t="s">
        <v>792</v>
      </c>
      <c r="L689" s="155" t="s">
        <v>793</v>
      </c>
      <c r="M689" s="156" t="s">
        <v>1211</v>
      </c>
      <c r="N689" s="157" t="s">
        <v>13915</v>
      </c>
      <c r="O689" s="158" t="s">
        <v>1088</v>
      </c>
      <c r="P689" s="159" t="s">
        <v>13916</v>
      </c>
      <c r="Q689" s="160" t="s">
        <v>204</v>
      </c>
      <c r="R689" s="161">
        <v>6899.43</v>
      </c>
      <c r="S689" s="162" t="s">
        <v>163</v>
      </c>
      <c r="T689" s="163" t="s">
        <v>1392</v>
      </c>
      <c r="U689" s="164" t="s">
        <v>237</v>
      </c>
      <c r="V689" s="165" t="s">
        <v>13917</v>
      </c>
      <c r="W689" s="166">
        <v>3500</v>
      </c>
      <c r="X689" s="167" t="s">
        <v>13918</v>
      </c>
      <c r="Y689" s="168" t="s">
        <v>153</v>
      </c>
      <c r="Z689" s="169" t="s">
        <v>153</v>
      </c>
      <c r="AA689" s="170">
        <v>1911</v>
      </c>
      <c r="AB689" s="171" t="s">
        <v>153</v>
      </c>
      <c r="AC689" s="172" t="s">
        <v>153</v>
      </c>
      <c r="AD689" s="173" t="s">
        <v>153</v>
      </c>
      <c r="AE689" s="174" t="s">
        <v>153</v>
      </c>
      <c r="AF689" s="175" t="s">
        <v>153</v>
      </c>
      <c r="AG689" s="176" t="s">
        <v>153</v>
      </c>
      <c r="AH689" s="177" t="s">
        <v>153</v>
      </c>
      <c r="AI689" s="178" t="s">
        <v>153</v>
      </c>
      <c r="AJ689" s="179" t="s">
        <v>153</v>
      </c>
      <c r="AK689" s="180" t="s">
        <v>153</v>
      </c>
      <c r="AL689" s="181" t="s">
        <v>153</v>
      </c>
      <c r="AM689" s="182" t="s">
        <v>153</v>
      </c>
      <c r="AN689" s="183" t="s">
        <v>2438</v>
      </c>
      <c r="AO689" s="184" t="s">
        <v>13919</v>
      </c>
      <c r="AP689" s="185" t="s">
        <v>13920</v>
      </c>
      <c r="AQ689" s="186" t="s">
        <v>13921</v>
      </c>
      <c r="AR689" s="187" t="s">
        <v>153</v>
      </c>
      <c r="AS689" s="188" t="s">
        <v>13922</v>
      </c>
      <c r="AT689" s="189" t="s">
        <v>3419</v>
      </c>
      <c r="AU689" s="190" t="s">
        <v>13923</v>
      </c>
      <c r="AV689" s="191" t="s">
        <v>153</v>
      </c>
      <c r="AW689" s="192" t="s">
        <v>3422</v>
      </c>
      <c r="AX689" s="193" t="s">
        <v>3423</v>
      </c>
      <c r="AY689" s="194" t="s">
        <v>13924</v>
      </c>
      <c r="AZ689" s="195" t="s">
        <v>1358</v>
      </c>
      <c r="BA689" s="196" t="s">
        <v>13922</v>
      </c>
      <c r="BB689" s="197" t="s">
        <v>153</v>
      </c>
      <c r="BC689" s="198" t="s">
        <v>13925</v>
      </c>
      <c r="BD689" s="199" t="s">
        <v>216</v>
      </c>
      <c r="BE689" s="200" t="s">
        <v>217</v>
      </c>
      <c r="BF689" s="201" t="s">
        <v>13926</v>
      </c>
      <c r="BG689" s="202" t="s">
        <v>153</v>
      </c>
      <c r="BH689" s="203" t="s">
        <v>153</v>
      </c>
      <c r="BI689" s="204" t="s">
        <v>925</v>
      </c>
      <c r="BJ689" s="205" t="s">
        <v>153</v>
      </c>
      <c r="BK689" s="206" t="s">
        <v>153</v>
      </c>
      <c r="BL689" s="207" t="s">
        <v>153</v>
      </c>
      <c r="BM689" s="208" t="s">
        <v>153</v>
      </c>
      <c r="BN689" s="209" t="s">
        <v>153</v>
      </c>
      <c r="BO689" s="210" t="s">
        <v>13927</v>
      </c>
      <c r="BP689" s="211" t="s">
        <v>13928</v>
      </c>
      <c r="BQ689" s="212">
        <v>22951</v>
      </c>
      <c r="BR689" s="213" t="s">
        <v>153</v>
      </c>
      <c r="BS689" s="214" t="s">
        <v>153</v>
      </c>
      <c r="BT689" s="215" t="s">
        <v>153</v>
      </c>
      <c r="BU689" s="216" t="s">
        <v>153</v>
      </c>
      <c r="BV689" s="217" t="s">
        <v>251</v>
      </c>
      <c r="BW689" s="218" t="s">
        <v>153</v>
      </c>
      <c r="BX689" s="219" t="s">
        <v>153</v>
      </c>
      <c r="BY689" s="220" t="s">
        <v>252</v>
      </c>
      <c r="BZ689" s="221" t="s">
        <v>153</v>
      </c>
      <c r="CA689" s="222" t="s">
        <v>190</v>
      </c>
      <c r="CB689" s="223">
        <v>38991</v>
      </c>
      <c r="CC689" s="224">
        <v>6899.43</v>
      </c>
      <c r="CD689" s="225" t="s">
        <v>186</v>
      </c>
      <c r="CE689" s="226" t="s">
        <v>153</v>
      </c>
      <c r="CF689" s="227" t="s">
        <v>153</v>
      </c>
      <c r="CG689" s="228" t="s">
        <v>393</v>
      </c>
      <c r="CH689" s="229" t="s">
        <v>153</v>
      </c>
      <c r="CI689" s="230" t="s">
        <v>153</v>
      </c>
      <c r="CJ689" s="231" t="s">
        <v>153</v>
      </c>
      <c r="CK689" s="232">
        <v>38991</v>
      </c>
      <c r="CL689" s="233" t="s">
        <v>153</v>
      </c>
      <c r="CM689" s="234" t="s">
        <v>153</v>
      </c>
      <c r="CN689" s="235" t="s">
        <v>190</v>
      </c>
      <c r="CO689" s="236">
        <v>0.17</v>
      </c>
      <c r="CP689" s="237">
        <v>90</v>
      </c>
      <c r="CQ689" s="238">
        <v>-0.02</v>
      </c>
      <c r="CR689" s="239">
        <v>-11.57</v>
      </c>
      <c r="CS689" s="240">
        <v>0.41</v>
      </c>
      <c r="CT689" s="241">
        <v>92</v>
      </c>
      <c r="CU689" s="242">
        <v>-0.08</v>
      </c>
      <c r="CV689" s="243">
        <v>24</v>
      </c>
      <c r="CW689" s="244">
        <v>0.69</v>
      </c>
      <c r="CX689" s="245">
        <v>80</v>
      </c>
      <c r="CY689" s="246">
        <v>0.14000000000000001</v>
      </c>
      <c r="CZ689" s="247">
        <v>91</v>
      </c>
      <c r="DA689" s="248">
        <v>-0.08</v>
      </c>
      <c r="DB689" s="249">
        <v>24</v>
      </c>
      <c r="DC689" s="250">
        <v>116.57</v>
      </c>
      <c r="DD689" s="251">
        <v>100</v>
      </c>
      <c r="DE689" s="252">
        <v>0.3</v>
      </c>
      <c r="DF689" s="253">
        <v>0.26</v>
      </c>
      <c r="DG689" s="254">
        <v>101.79</v>
      </c>
      <c r="DH689" s="255">
        <v>99</v>
      </c>
      <c r="DI689" s="256">
        <v>131.34</v>
      </c>
      <c r="DJ689" s="257">
        <v>98</v>
      </c>
      <c r="DK689" s="258">
        <v>36.64</v>
      </c>
      <c r="DL689" s="259">
        <v>94</v>
      </c>
      <c r="DM689" s="260">
        <v>166.94</v>
      </c>
      <c r="DN689" s="261">
        <v>100</v>
      </c>
      <c r="DO689" s="262">
        <v>131.34</v>
      </c>
      <c r="DP689" s="263">
        <v>98</v>
      </c>
      <c r="DQ689" s="264">
        <v>21588</v>
      </c>
      <c r="DR689" s="265">
        <v>509</v>
      </c>
      <c r="DS689" s="266">
        <v>2.41</v>
      </c>
      <c r="DT689" s="267">
        <v>2673</v>
      </c>
      <c r="DU689" s="268">
        <v>-7</v>
      </c>
      <c r="DV689" s="269">
        <v>-0.26</v>
      </c>
      <c r="DW689" s="270">
        <v>41246</v>
      </c>
      <c r="DX689" s="271">
        <v>-9</v>
      </c>
      <c r="DY689" s="272">
        <v>-0.02</v>
      </c>
      <c r="DZ689" s="273" t="s">
        <v>191</v>
      </c>
      <c r="EA689" s="274">
        <v>44402</v>
      </c>
      <c r="EB689" s="275" t="s">
        <v>153</v>
      </c>
      <c r="EC689" s="276" t="s">
        <v>153</v>
      </c>
      <c r="ED689" s="277" t="s">
        <v>153</v>
      </c>
      <c r="EE689" s="279" t="str">
        <f>HYPERLINK("https://my.pitchbook.com?c=65679-31", "View company online")</f>
        <v>View company online</v>
      </c>
    </row>
    <row r="690" spans="1:135" x14ac:dyDescent="0.45">
      <c r="A690" s="10" t="s">
        <v>13929</v>
      </c>
      <c r="B690" s="11" t="s">
        <v>13930</v>
      </c>
      <c r="C690" s="12" t="s">
        <v>153</v>
      </c>
      <c r="D690" s="13" t="s">
        <v>153</v>
      </c>
      <c r="E690" s="14" t="s">
        <v>153</v>
      </c>
      <c r="F690" s="15" t="s">
        <v>13931</v>
      </c>
      <c r="G690" s="16" t="s">
        <v>13932</v>
      </c>
      <c r="H690" s="17" t="s">
        <v>13933</v>
      </c>
      <c r="I690" s="18" t="s">
        <v>13929</v>
      </c>
      <c r="J690" s="19" t="s">
        <v>13934</v>
      </c>
      <c r="K690" s="20" t="s">
        <v>232</v>
      </c>
      <c r="L690" s="21" t="s">
        <v>2162</v>
      </c>
      <c r="M690" s="22" t="s">
        <v>4087</v>
      </c>
      <c r="N690" s="23" t="s">
        <v>13935</v>
      </c>
      <c r="O690" s="24" t="s">
        <v>153</v>
      </c>
      <c r="P690" s="25" t="s">
        <v>13936</v>
      </c>
      <c r="Q690" s="26" t="s">
        <v>367</v>
      </c>
      <c r="R690" s="27" t="s">
        <v>153</v>
      </c>
      <c r="S690" s="28" t="s">
        <v>290</v>
      </c>
      <c r="T690" s="29" t="s">
        <v>291</v>
      </c>
      <c r="U690" s="30" t="s">
        <v>369</v>
      </c>
      <c r="V690" s="31" t="s">
        <v>13937</v>
      </c>
      <c r="W690" s="32">
        <v>5156</v>
      </c>
      <c r="X690" s="33" t="s">
        <v>13938</v>
      </c>
      <c r="Y690" s="34" t="s">
        <v>1734</v>
      </c>
      <c r="Z690" s="35" t="s">
        <v>13931</v>
      </c>
      <c r="AA690" s="36">
        <v>1959</v>
      </c>
      <c r="AB690" s="37" t="s">
        <v>13939</v>
      </c>
      <c r="AC690" s="38" t="s">
        <v>428</v>
      </c>
      <c r="AD690" s="39" t="s">
        <v>570</v>
      </c>
      <c r="AE690" s="40">
        <v>38743.93</v>
      </c>
      <c r="AF690" s="41" t="s">
        <v>153</v>
      </c>
      <c r="AG690" s="42">
        <v>1538.88</v>
      </c>
      <c r="AH690" s="43">
        <v>19022.419999999998</v>
      </c>
      <c r="AI690" s="44">
        <v>3036.96</v>
      </c>
      <c r="AJ690" s="45">
        <v>2921.14</v>
      </c>
      <c r="AK690" s="46">
        <v>11942.74</v>
      </c>
      <c r="AL690" s="47">
        <v>6405.05</v>
      </c>
      <c r="AM690" s="48">
        <v>-28.05</v>
      </c>
      <c r="AN690" s="49" t="s">
        <v>168</v>
      </c>
      <c r="AO690" s="50" t="s">
        <v>13940</v>
      </c>
      <c r="AP690" s="51" t="s">
        <v>13941</v>
      </c>
      <c r="AQ690" s="52" t="s">
        <v>13942</v>
      </c>
      <c r="AR690" s="53" t="s">
        <v>13943</v>
      </c>
      <c r="AS690" s="54" t="s">
        <v>13944</v>
      </c>
      <c r="AT690" s="55" t="s">
        <v>3175</v>
      </c>
      <c r="AU690" s="56" t="s">
        <v>13945</v>
      </c>
      <c r="AV690" s="57" t="s">
        <v>153</v>
      </c>
      <c r="AW690" s="58" t="s">
        <v>3178</v>
      </c>
      <c r="AX690" s="59" t="s">
        <v>7311</v>
      </c>
      <c r="AY690" s="60" t="s">
        <v>3854</v>
      </c>
      <c r="AZ690" s="61" t="s">
        <v>701</v>
      </c>
      <c r="BA690" s="62" t="s">
        <v>13944</v>
      </c>
      <c r="BB690" s="63" t="s">
        <v>153</v>
      </c>
      <c r="BC690" s="64" t="s">
        <v>13946</v>
      </c>
      <c r="BD690" s="65" t="s">
        <v>180</v>
      </c>
      <c r="BE690" s="66" t="s">
        <v>181</v>
      </c>
      <c r="BF690" s="67" t="s">
        <v>13947</v>
      </c>
      <c r="BG690" s="68" t="s">
        <v>13948</v>
      </c>
      <c r="BH690" s="69">
        <v>1</v>
      </c>
      <c r="BI690" s="70" t="s">
        <v>13939</v>
      </c>
      <c r="BJ690" s="71" t="s">
        <v>3847</v>
      </c>
      <c r="BK690" s="72" t="s">
        <v>153</v>
      </c>
      <c r="BL690" s="73" t="s">
        <v>13949</v>
      </c>
      <c r="BM690" s="74" t="s">
        <v>3857</v>
      </c>
      <c r="BN690" s="75" t="s">
        <v>153</v>
      </c>
      <c r="BO690" s="76" t="s">
        <v>13950</v>
      </c>
      <c r="BP690" s="77" t="s">
        <v>13951</v>
      </c>
      <c r="BQ690" s="78">
        <v>36074</v>
      </c>
      <c r="BR690" s="79" t="s">
        <v>153</v>
      </c>
      <c r="BS690" s="80" t="s">
        <v>153</v>
      </c>
      <c r="BT690" s="81" t="s">
        <v>153</v>
      </c>
      <c r="BU690" s="82" t="s">
        <v>153</v>
      </c>
      <c r="BV690" s="83" t="s">
        <v>251</v>
      </c>
      <c r="BW690" s="84" t="s">
        <v>153</v>
      </c>
      <c r="BX690" s="85" t="s">
        <v>153</v>
      </c>
      <c r="BY690" s="86" t="s">
        <v>252</v>
      </c>
      <c r="BZ690" s="87" t="s">
        <v>153</v>
      </c>
      <c r="CA690" s="88" t="s">
        <v>190</v>
      </c>
      <c r="CB690" s="89">
        <v>43894</v>
      </c>
      <c r="CC690" s="90">
        <v>6882.2</v>
      </c>
      <c r="CD690" s="91" t="s">
        <v>186</v>
      </c>
      <c r="CE690" s="92">
        <v>16868.169999999998</v>
      </c>
      <c r="CF690" s="93" t="s">
        <v>187</v>
      </c>
      <c r="CG690" s="94" t="s">
        <v>226</v>
      </c>
      <c r="CH690" s="95" t="s">
        <v>153</v>
      </c>
      <c r="CI690" s="96" t="s">
        <v>153</v>
      </c>
      <c r="CJ690" s="97" t="s">
        <v>225</v>
      </c>
      <c r="CK690" s="98">
        <v>43894</v>
      </c>
      <c r="CL690" s="99" t="s">
        <v>153</v>
      </c>
      <c r="CM690" s="100" t="s">
        <v>153</v>
      </c>
      <c r="CN690" s="101" t="s">
        <v>190</v>
      </c>
      <c r="CO690" s="102">
        <v>0.34</v>
      </c>
      <c r="CP690" s="103">
        <v>92</v>
      </c>
      <c r="CQ690" s="104">
        <v>-0.05</v>
      </c>
      <c r="CR690" s="105">
        <v>-12.41</v>
      </c>
      <c r="CS690" s="106">
        <v>0.34</v>
      </c>
      <c r="CT690" s="107">
        <v>92</v>
      </c>
      <c r="CU690" s="108">
        <v>0.34</v>
      </c>
      <c r="CV690" s="109">
        <v>94</v>
      </c>
      <c r="CW690" s="110" t="s">
        <v>153</v>
      </c>
      <c r="CX690" s="111" t="s">
        <v>153</v>
      </c>
      <c r="CY690" s="112">
        <v>0.34</v>
      </c>
      <c r="CZ690" s="113">
        <v>93</v>
      </c>
      <c r="DA690" s="114">
        <v>0.34</v>
      </c>
      <c r="DB690" s="115">
        <v>94</v>
      </c>
      <c r="DC690" s="116">
        <v>65.55</v>
      </c>
      <c r="DD690" s="117">
        <v>99</v>
      </c>
      <c r="DE690" s="118">
        <v>0.24</v>
      </c>
      <c r="DF690" s="119">
        <v>0.37</v>
      </c>
      <c r="DG690" s="120">
        <v>94.75</v>
      </c>
      <c r="DH690" s="121">
        <v>99</v>
      </c>
      <c r="DI690" s="122">
        <v>36.36</v>
      </c>
      <c r="DJ690" s="123">
        <v>95</v>
      </c>
      <c r="DK690" s="124" t="s">
        <v>153</v>
      </c>
      <c r="DL690" s="125" t="s">
        <v>153</v>
      </c>
      <c r="DM690" s="126">
        <v>94.75</v>
      </c>
      <c r="DN690" s="127">
        <v>99</v>
      </c>
      <c r="DO690" s="128">
        <v>36.36</v>
      </c>
      <c r="DP690" s="129">
        <v>95</v>
      </c>
      <c r="DQ690" s="130" t="s">
        <v>153</v>
      </c>
      <c r="DR690" s="131" t="s">
        <v>153</v>
      </c>
      <c r="DS690" s="132" t="s">
        <v>153</v>
      </c>
      <c r="DT690" s="133">
        <v>1514</v>
      </c>
      <c r="DU690" s="134">
        <v>5</v>
      </c>
      <c r="DV690" s="135">
        <v>0.33</v>
      </c>
      <c r="DW690" s="136">
        <v>11408</v>
      </c>
      <c r="DX690" s="137">
        <v>19</v>
      </c>
      <c r="DY690" s="138">
        <v>0.17</v>
      </c>
      <c r="DZ690" s="139" t="s">
        <v>191</v>
      </c>
      <c r="EA690" s="140">
        <v>44383</v>
      </c>
      <c r="EB690" s="141">
        <v>16868.169999999998</v>
      </c>
      <c r="EC690" s="142">
        <v>43894</v>
      </c>
      <c r="ED690" s="143" t="s">
        <v>226</v>
      </c>
      <c r="EE690" s="278" t="str">
        <f>HYPERLINK("https://my.pitchbook.com?c=11558-35", "View company online")</f>
        <v>View company online</v>
      </c>
    </row>
    <row r="691" spans="1:135" x14ac:dyDescent="0.45">
      <c r="A691" s="144" t="s">
        <v>13952</v>
      </c>
      <c r="B691" s="145" t="s">
        <v>13953</v>
      </c>
      <c r="C691" s="146" t="s">
        <v>153</v>
      </c>
      <c r="D691" s="147" t="s">
        <v>153</v>
      </c>
      <c r="E691" s="148" t="s">
        <v>153</v>
      </c>
      <c r="F691" s="149" t="s">
        <v>153</v>
      </c>
      <c r="G691" s="150" t="s">
        <v>13954</v>
      </c>
      <c r="H691" s="151" t="s">
        <v>13955</v>
      </c>
      <c r="I691" s="152" t="s">
        <v>13952</v>
      </c>
      <c r="J691" s="153" t="s">
        <v>13956</v>
      </c>
      <c r="K691" s="154" t="s">
        <v>792</v>
      </c>
      <c r="L691" s="155" t="s">
        <v>3864</v>
      </c>
      <c r="M691" s="156" t="s">
        <v>11494</v>
      </c>
      <c r="N691" s="157" t="s">
        <v>13957</v>
      </c>
      <c r="O691" s="158" t="s">
        <v>796</v>
      </c>
      <c r="P691" s="159" t="s">
        <v>13958</v>
      </c>
      <c r="Q691" s="160" t="s">
        <v>204</v>
      </c>
      <c r="R691" s="161" t="s">
        <v>153</v>
      </c>
      <c r="S691" s="162" t="s">
        <v>368</v>
      </c>
      <c r="T691" s="163" t="s">
        <v>205</v>
      </c>
      <c r="U691" s="164" t="s">
        <v>237</v>
      </c>
      <c r="V691" s="165" t="s">
        <v>13959</v>
      </c>
      <c r="W691" s="166">
        <v>6000</v>
      </c>
      <c r="X691" s="167" t="s">
        <v>13960</v>
      </c>
      <c r="Y691" s="168" t="s">
        <v>153</v>
      </c>
      <c r="Z691" s="169" t="s">
        <v>153</v>
      </c>
      <c r="AA691" s="170" t="s">
        <v>153</v>
      </c>
      <c r="AB691" s="171" t="s">
        <v>153</v>
      </c>
      <c r="AC691" s="172" t="s">
        <v>153</v>
      </c>
      <c r="AD691" s="173" t="s">
        <v>428</v>
      </c>
      <c r="AE691" s="174" t="s">
        <v>153</v>
      </c>
      <c r="AF691" s="175" t="s">
        <v>153</v>
      </c>
      <c r="AG691" s="176" t="s">
        <v>153</v>
      </c>
      <c r="AH691" s="177" t="s">
        <v>153</v>
      </c>
      <c r="AI691" s="178" t="s">
        <v>153</v>
      </c>
      <c r="AJ691" s="179" t="s">
        <v>153</v>
      </c>
      <c r="AK691" s="180" t="s">
        <v>153</v>
      </c>
      <c r="AL691" s="181" t="s">
        <v>153</v>
      </c>
      <c r="AM691" s="182" t="s">
        <v>153</v>
      </c>
      <c r="AN691" s="183" t="s">
        <v>1442</v>
      </c>
      <c r="AO691" s="184" t="s">
        <v>13961</v>
      </c>
      <c r="AP691" s="185" t="s">
        <v>13962</v>
      </c>
      <c r="AQ691" s="186" t="s">
        <v>171</v>
      </c>
      <c r="AR691" s="187" t="s">
        <v>153</v>
      </c>
      <c r="AS691" s="188" t="s">
        <v>153</v>
      </c>
      <c r="AT691" s="189" t="s">
        <v>13963</v>
      </c>
      <c r="AU691" s="190" t="s">
        <v>13964</v>
      </c>
      <c r="AV691" s="191" t="s">
        <v>153</v>
      </c>
      <c r="AW691" s="192" t="s">
        <v>13965</v>
      </c>
      <c r="AX691" s="193" t="s">
        <v>13966</v>
      </c>
      <c r="AY691" s="194" t="s">
        <v>13967</v>
      </c>
      <c r="AZ691" s="195" t="s">
        <v>215</v>
      </c>
      <c r="BA691" s="196" t="s">
        <v>153</v>
      </c>
      <c r="BB691" s="197" t="s">
        <v>153</v>
      </c>
      <c r="BC691" s="198" t="s">
        <v>153</v>
      </c>
      <c r="BD691" s="199" t="s">
        <v>216</v>
      </c>
      <c r="BE691" s="200" t="s">
        <v>217</v>
      </c>
      <c r="BF691" s="201" t="s">
        <v>13968</v>
      </c>
      <c r="BG691" s="202" t="s">
        <v>153</v>
      </c>
      <c r="BH691" s="203" t="s">
        <v>153</v>
      </c>
      <c r="BI691" s="204" t="s">
        <v>13969</v>
      </c>
      <c r="BJ691" s="205" t="s">
        <v>153</v>
      </c>
      <c r="BK691" s="206" t="s">
        <v>153</v>
      </c>
      <c r="BL691" s="207" t="s">
        <v>153</v>
      </c>
      <c r="BM691" s="208" t="s">
        <v>153</v>
      </c>
      <c r="BN691" s="209" t="s">
        <v>153</v>
      </c>
      <c r="BO691" s="210" t="s">
        <v>13970</v>
      </c>
      <c r="BP691" s="211" t="s">
        <v>13971</v>
      </c>
      <c r="BQ691" s="212">
        <v>17110</v>
      </c>
      <c r="BR691" s="213" t="s">
        <v>153</v>
      </c>
      <c r="BS691" s="214" t="s">
        <v>153</v>
      </c>
      <c r="BT691" s="215" t="s">
        <v>153</v>
      </c>
      <c r="BU691" s="216" t="s">
        <v>153</v>
      </c>
      <c r="BV691" s="217" t="s">
        <v>251</v>
      </c>
      <c r="BW691" s="218" t="s">
        <v>153</v>
      </c>
      <c r="BX691" s="219" t="s">
        <v>153</v>
      </c>
      <c r="BY691" s="220" t="s">
        <v>252</v>
      </c>
      <c r="BZ691" s="221" t="s">
        <v>153</v>
      </c>
      <c r="CA691" s="222" t="s">
        <v>190</v>
      </c>
      <c r="CB691" s="223">
        <v>43466</v>
      </c>
      <c r="CC691" s="224">
        <v>6839</v>
      </c>
      <c r="CD691" s="225" t="s">
        <v>186</v>
      </c>
      <c r="CE691" s="226">
        <v>6839</v>
      </c>
      <c r="CF691" s="227" t="s">
        <v>187</v>
      </c>
      <c r="CG691" s="228" t="s">
        <v>226</v>
      </c>
      <c r="CH691" s="229" t="s">
        <v>153</v>
      </c>
      <c r="CI691" s="230" t="s">
        <v>153</v>
      </c>
      <c r="CJ691" s="231" t="s">
        <v>225</v>
      </c>
      <c r="CK691" s="232">
        <v>43466</v>
      </c>
      <c r="CL691" s="233" t="s">
        <v>153</v>
      </c>
      <c r="CM691" s="234" t="s">
        <v>153</v>
      </c>
      <c r="CN691" s="235" t="s">
        <v>190</v>
      </c>
      <c r="CO691" s="236" t="s">
        <v>153</v>
      </c>
      <c r="CP691" s="237" t="s">
        <v>153</v>
      </c>
      <c r="CQ691" s="238" t="s">
        <v>153</v>
      </c>
      <c r="CR691" s="239" t="s">
        <v>153</v>
      </c>
      <c r="CS691" s="240" t="s">
        <v>153</v>
      </c>
      <c r="CT691" s="241" t="s">
        <v>153</v>
      </c>
      <c r="CU691" s="242" t="s">
        <v>153</v>
      </c>
      <c r="CV691" s="243" t="s">
        <v>153</v>
      </c>
      <c r="CW691" s="244" t="s">
        <v>153</v>
      </c>
      <c r="CX691" s="245" t="s">
        <v>153</v>
      </c>
      <c r="CY691" s="246" t="s">
        <v>153</v>
      </c>
      <c r="CZ691" s="247" t="s">
        <v>153</v>
      </c>
      <c r="DA691" s="248" t="s">
        <v>153</v>
      </c>
      <c r="DB691" s="249" t="s">
        <v>153</v>
      </c>
      <c r="DC691" s="250" t="s">
        <v>153</v>
      </c>
      <c r="DD691" s="251" t="s">
        <v>153</v>
      </c>
      <c r="DE691" s="252" t="s">
        <v>153</v>
      </c>
      <c r="DF691" s="253" t="s">
        <v>153</v>
      </c>
      <c r="DG691" s="254" t="s">
        <v>153</v>
      </c>
      <c r="DH691" s="255" t="s">
        <v>153</v>
      </c>
      <c r="DI691" s="256" t="s">
        <v>153</v>
      </c>
      <c r="DJ691" s="257" t="s">
        <v>153</v>
      </c>
      <c r="DK691" s="258" t="s">
        <v>153</v>
      </c>
      <c r="DL691" s="259" t="s">
        <v>153</v>
      </c>
      <c r="DM691" s="260" t="s">
        <v>153</v>
      </c>
      <c r="DN691" s="261" t="s">
        <v>153</v>
      </c>
      <c r="DO691" s="262" t="s">
        <v>153</v>
      </c>
      <c r="DP691" s="263" t="s">
        <v>153</v>
      </c>
      <c r="DQ691" s="264" t="s">
        <v>153</v>
      </c>
      <c r="DR691" s="265" t="s">
        <v>153</v>
      </c>
      <c r="DS691" s="266" t="s">
        <v>153</v>
      </c>
      <c r="DT691" s="267" t="s">
        <v>153</v>
      </c>
      <c r="DU691" s="268" t="s">
        <v>153</v>
      </c>
      <c r="DV691" s="269" t="s">
        <v>153</v>
      </c>
      <c r="DW691" s="270" t="s">
        <v>153</v>
      </c>
      <c r="DX691" s="271" t="s">
        <v>153</v>
      </c>
      <c r="DY691" s="272" t="s">
        <v>153</v>
      </c>
      <c r="DZ691" s="273" t="s">
        <v>191</v>
      </c>
      <c r="EA691" s="274">
        <v>43940</v>
      </c>
      <c r="EB691" s="275">
        <v>6839</v>
      </c>
      <c r="EC691" s="276">
        <v>43466</v>
      </c>
      <c r="ED691" s="277" t="s">
        <v>226</v>
      </c>
      <c r="EE691" s="279" t="str">
        <f>HYPERLINK("https://my.pitchbook.com?c=41129-02", "View company online")</f>
        <v>View company online</v>
      </c>
    </row>
    <row r="692" spans="1:135" x14ac:dyDescent="0.45">
      <c r="A692" s="10" t="s">
        <v>13972</v>
      </c>
      <c r="B692" s="11" t="s">
        <v>13973</v>
      </c>
      <c r="C692" s="12" t="s">
        <v>153</v>
      </c>
      <c r="D692" s="13" t="s">
        <v>153</v>
      </c>
      <c r="E692" s="14" t="s">
        <v>153</v>
      </c>
      <c r="F692" s="15" t="s">
        <v>153</v>
      </c>
      <c r="G692" s="16" t="s">
        <v>13974</v>
      </c>
      <c r="H692" s="17" t="s">
        <v>153</v>
      </c>
      <c r="I692" s="18" t="s">
        <v>13972</v>
      </c>
      <c r="J692" s="19" t="s">
        <v>13975</v>
      </c>
      <c r="K692" s="20" t="s">
        <v>882</v>
      </c>
      <c r="L692" s="21" t="s">
        <v>1257</v>
      </c>
      <c r="M692" s="22" t="s">
        <v>2561</v>
      </c>
      <c r="N692" s="23" t="s">
        <v>13976</v>
      </c>
      <c r="O692" s="24" t="s">
        <v>1234</v>
      </c>
      <c r="P692" s="25" t="s">
        <v>13977</v>
      </c>
      <c r="Q692" s="26" t="s">
        <v>204</v>
      </c>
      <c r="R692" s="27" t="s">
        <v>153</v>
      </c>
      <c r="S692" s="28" t="s">
        <v>163</v>
      </c>
      <c r="T692" s="29" t="s">
        <v>205</v>
      </c>
      <c r="U692" s="30" t="s">
        <v>206</v>
      </c>
      <c r="V692" s="31" t="s">
        <v>13978</v>
      </c>
      <c r="W692" s="32" t="s">
        <v>153</v>
      </c>
      <c r="X692" s="33" t="s">
        <v>153</v>
      </c>
      <c r="Y692" s="34" t="s">
        <v>153</v>
      </c>
      <c r="Z692" s="35" t="s">
        <v>153</v>
      </c>
      <c r="AA692" s="36">
        <v>1987</v>
      </c>
      <c r="AB692" s="37" t="s">
        <v>153</v>
      </c>
      <c r="AC692" s="38" t="s">
        <v>153</v>
      </c>
      <c r="AD692" s="39" t="s">
        <v>153</v>
      </c>
      <c r="AE692" s="40" t="s">
        <v>153</v>
      </c>
      <c r="AF692" s="41" t="s">
        <v>153</v>
      </c>
      <c r="AG692" s="42" t="s">
        <v>153</v>
      </c>
      <c r="AH692" s="43" t="s">
        <v>153</v>
      </c>
      <c r="AI692" s="44" t="s">
        <v>153</v>
      </c>
      <c r="AJ692" s="45" t="s">
        <v>153</v>
      </c>
      <c r="AK692" s="46" t="s">
        <v>153</v>
      </c>
      <c r="AL692" s="47" t="s">
        <v>153</v>
      </c>
      <c r="AM692" s="48" t="s">
        <v>153</v>
      </c>
      <c r="AN692" s="49" t="s">
        <v>153</v>
      </c>
      <c r="AO692" s="50" t="s">
        <v>13979</v>
      </c>
      <c r="AP692" s="51" t="s">
        <v>13980</v>
      </c>
      <c r="AQ692" s="52" t="s">
        <v>1241</v>
      </c>
      <c r="AR692" s="53" t="s">
        <v>153</v>
      </c>
      <c r="AS692" s="54" t="s">
        <v>153</v>
      </c>
      <c r="AT692" s="55" t="s">
        <v>13981</v>
      </c>
      <c r="AU692" s="56" t="s">
        <v>13982</v>
      </c>
      <c r="AV692" s="57" t="s">
        <v>153</v>
      </c>
      <c r="AW692" s="58" t="s">
        <v>13983</v>
      </c>
      <c r="AX692" s="59" t="s">
        <v>2760</v>
      </c>
      <c r="AY692" s="60" t="s">
        <v>13984</v>
      </c>
      <c r="AZ692" s="61" t="s">
        <v>215</v>
      </c>
      <c r="BA692" s="62" t="s">
        <v>153</v>
      </c>
      <c r="BB692" s="63" t="s">
        <v>153</v>
      </c>
      <c r="BC692" s="64" t="s">
        <v>153</v>
      </c>
      <c r="BD692" s="65" t="s">
        <v>216</v>
      </c>
      <c r="BE692" s="66" t="s">
        <v>217</v>
      </c>
      <c r="BF692" s="67" t="s">
        <v>13985</v>
      </c>
      <c r="BG692" s="68" t="s">
        <v>153</v>
      </c>
      <c r="BH692" s="69" t="s">
        <v>153</v>
      </c>
      <c r="BI692" s="70" t="s">
        <v>13831</v>
      </c>
      <c r="BJ692" s="71" t="s">
        <v>1971</v>
      </c>
      <c r="BK692" s="72" t="s">
        <v>153</v>
      </c>
      <c r="BL692" s="73" t="s">
        <v>153</v>
      </c>
      <c r="BM692" s="74" t="s">
        <v>1972</v>
      </c>
      <c r="BN692" s="75" t="s">
        <v>153</v>
      </c>
      <c r="BO692" s="76" t="s">
        <v>153</v>
      </c>
      <c r="BP692" s="77" t="s">
        <v>153</v>
      </c>
      <c r="BQ692" s="78">
        <v>42247</v>
      </c>
      <c r="BR692" s="79">
        <v>6801.83</v>
      </c>
      <c r="BS692" s="80" t="s">
        <v>186</v>
      </c>
      <c r="BT692" s="81">
        <v>6801.83</v>
      </c>
      <c r="BU692" s="82" t="s">
        <v>186</v>
      </c>
      <c r="BV692" s="83" t="s">
        <v>226</v>
      </c>
      <c r="BW692" s="84" t="s">
        <v>729</v>
      </c>
      <c r="BX692" s="85" t="s">
        <v>153</v>
      </c>
      <c r="BY692" s="86" t="s">
        <v>225</v>
      </c>
      <c r="BZ692" s="87" t="s">
        <v>153</v>
      </c>
      <c r="CA692" s="88" t="s">
        <v>190</v>
      </c>
      <c r="CB692" s="89">
        <v>42247</v>
      </c>
      <c r="CC692" s="90">
        <v>6801.83</v>
      </c>
      <c r="CD692" s="91" t="s">
        <v>186</v>
      </c>
      <c r="CE692" s="92">
        <v>6801.83</v>
      </c>
      <c r="CF692" s="93" t="s">
        <v>186</v>
      </c>
      <c r="CG692" s="94" t="s">
        <v>226</v>
      </c>
      <c r="CH692" s="95" t="s">
        <v>729</v>
      </c>
      <c r="CI692" s="96" t="s">
        <v>153</v>
      </c>
      <c r="CJ692" s="97" t="s">
        <v>225</v>
      </c>
      <c r="CK692" s="98">
        <v>42247</v>
      </c>
      <c r="CL692" s="99" t="s">
        <v>153</v>
      </c>
      <c r="CM692" s="100" t="s">
        <v>153</v>
      </c>
      <c r="CN692" s="101" t="s">
        <v>190</v>
      </c>
      <c r="CO692" s="102" t="s">
        <v>153</v>
      </c>
      <c r="CP692" s="103" t="s">
        <v>153</v>
      </c>
      <c r="CQ692" s="104" t="s">
        <v>153</v>
      </c>
      <c r="CR692" s="105" t="s">
        <v>153</v>
      </c>
      <c r="CS692" s="106" t="s">
        <v>153</v>
      </c>
      <c r="CT692" s="107" t="s">
        <v>153</v>
      </c>
      <c r="CU692" s="108" t="s">
        <v>153</v>
      </c>
      <c r="CV692" s="109" t="s">
        <v>153</v>
      </c>
      <c r="CW692" s="110" t="s">
        <v>153</v>
      </c>
      <c r="CX692" s="111" t="s">
        <v>153</v>
      </c>
      <c r="CY692" s="112" t="s">
        <v>153</v>
      </c>
      <c r="CZ692" s="113" t="s">
        <v>153</v>
      </c>
      <c r="DA692" s="114" t="s">
        <v>153</v>
      </c>
      <c r="DB692" s="115" t="s">
        <v>153</v>
      </c>
      <c r="DC692" s="116" t="s">
        <v>153</v>
      </c>
      <c r="DD692" s="117" t="s">
        <v>153</v>
      </c>
      <c r="DE692" s="118" t="s">
        <v>153</v>
      </c>
      <c r="DF692" s="119" t="s">
        <v>153</v>
      </c>
      <c r="DG692" s="120" t="s">
        <v>153</v>
      </c>
      <c r="DH692" s="121" t="s">
        <v>153</v>
      </c>
      <c r="DI692" s="122" t="s">
        <v>153</v>
      </c>
      <c r="DJ692" s="123" t="s">
        <v>153</v>
      </c>
      <c r="DK692" s="124" t="s">
        <v>153</v>
      </c>
      <c r="DL692" s="125" t="s">
        <v>153</v>
      </c>
      <c r="DM692" s="126" t="s">
        <v>153</v>
      </c>
      <c r="DN692" s="127" t="s">
        <v>153</v>
      </c>
      <c r="DO692" s="128" t="s">
        <v>153</v>
      </c>
      <c r="DP692" s="129" t="s">
        <v>153</v>
      </c>
      <c r="DQ692" s="130" t="s">
        <v>153</v>
      </c>
      <c r="DR692" s="131" t="s">
        <v>153</v>
      </c>
      <c r="DS692" s="132" t="s">
        <v>153</v>
      </c>
      <c r="DT692" s="133" t="s">
        <v>153</v>
      </c>
      <c r="DU692" s="134" t="s">
        <v>153</v>
      </c>
      <c r="DV692" s="135" t="s">
        <v>153</v>
      </c>
      <c r="DW692" s="136" t="s">
        <v>153</v>
      </c>
      <c r="DX692" s="137" t="s">
        <v>153</v>
      </c>
      <c r="DY692" s="138" t="s">
        <v>153</v>
      </c>
      <c r="DZ692" s="139" t="s">
        <v>191</v>
      </c>
      <c r="EA692" s="140">
        <v>44210</v>
      </c>
      <c r="EB692" s="141">
        <v>6801.83</v>
      </c>
      <c r="EC692" s="142">
        <v>42247</v>
      </c>
      <c r="ED692" s="143" t="s">
        <v>226</v>
      </c>
      <c r="EE692" s="278" t="str">
        <f>HYPERLINK("https://my.pitchbook.com?c=60234-58", "View company online")</f>
        <v>View company online</v>
      </c>
    </row>
    <row r="693" spans="1:135" x14ac:dyDescent="0.45">
      <c r="A693" s="144" t="s">
        <v>13986</v>
      </c>
      <c r="B693" s="145" t="s">
        <v>13987</v>
      </c>
      <c r="C693" s="146" t="s">
        <v>153</v>
      </c>
      <c r="D693" s="147" t="s">
        <v>153</v>
      </c>
      <c r="E693" s="148" t="s">
        <v>153</v>
      </c>
      <c r="F693" s="149" t="s">
        <v>13988</v>
      </c>
      <c r="G693" s="150" t="s">
        <v>13989</v>
      </c>
      <c r="H693" s="151" t="s">
        <v>153</v>
      </c>
      <c r="I693" s="152" t="s">
        <v>13986</v>
      </c>
      <c r="J693" s="153" t="s">
        <v>13990</v>
      </c>
      <c r="K693" s="154" t="s">
        <v>157</v>
      </c>
      <c r="L693" s="155" t="s">
        <v>664</v>
      </c>
      <c r="M693" s="156" t="s">
        <v>8017</v>
      </c>
      <c r="N693" s="157" t="s">
        <v>8018</v>
      </c>
      <c r="O693" s="158" t="s">
        <v>13991</v>
      </c>
      <c r="P693" s="159" t="s">
        <v>13992</v>
      </c>
      <c r="Q693" s="160" t="s">
        <v>162</v>
      </c>
      <c r="R693" s="161">
        <v>920.76</v>
      </c>
      <c r="S693" s="162" t="s">
        <v>163</v>
      </c>
      <c r="T693" s="163" t="s">
        <v>1392</v>
      </c>
      <c r="U693" s="164" t="s">
        <v>452</v>
      </c>
      <c r="V693" s="165" t="s">
        <v>13993</v>
      </c>
      <c r="W693" s="166">
        <v>100000</v>
      </c>
      <c r="X693" s="167" t="s">
        <v>13994</v>
      </c>
      <c r="Y693" s="168" t="s">
        <v>153</v>
      </c>
      <c r="Z693" s="169" t="s">
        <v>153</v>
      </c>
      <c r="AA693" s="170">
        <v>1991</v>
      </c>
      <c r="AB693" s="171" t="s">
        <v>153</v>
      </c>
      <c r="AC693" s="172" t="s">
        <v>153</v>
      </c>
      <c r="AD693" s="173" t="s">
        <v>153</v>
      </c>
      <c r="AE693" s="174" t="s">
        <v>153</v>
      </c>
      <c r="AF693" s="175" t="s">
        <v>153</v>
      </c>
      <c r="AG693" s="176" t="s">
        <v>153</v>
      </c>
      <c r="AH693" s="177" t="s">
        <v>153</v>
      </c>
      <c r="AI693" s="178" t="s">
        <v>153</v>
      </c>
      <c r="AJ693" s="179" t="s">
        <v>153</v>
      </c>
      <c r="AK693" s="180" t="s">
        <v>153</v>
      </c>
      <c r="AL693" s="181" t="s">
        <v>153</v>
      </c>
      <c r="AM693" s="182" t="s">
        <v>153</v>
      </c>
      <c r="AN693" s="183" t="s">
        <v>868</v>
      </c>
      <c r="AO693" s="184" t="s">
        <v>13995</v>
      </c>
      <c r="AP693" s="185" t="s">
        <v>13996</v>
      </c>
      <c r="AQ693" s="186" t="s">
        <v>4061</v>
      </c>
      <c r="AR693" s="187" t="s">
        <v>13997</v>
      </c>
      <c r="AS693" s="188" t="s">
        <v>13998</v>
      </c>
      <c r="AT693" s="189" t="s">
        <v>1683</v>
      </c>
      <c r="AU693" s="190" t="s">
        <v>13999</v>
      </c>
      <c r="AV693" s="191" t="s">
        <v>14000</v>
      </c>
      <c r="AW693" s="192" t="s">
        <v>1686</v>
      </c>
      <c r="AX693" s="193" t="s">
        <v>1687</v>
      </c>
      <c r="AY693" s="194" t="s">
        <v>153</v>
      </c>
      <c r="AZ693" s="195" t="s">
        <v>1519</v>
      </c>
      <c r="BA693" s="196" t="s">
        <v>13998</v>
      </c>
      <c r="BB693" s="197" t="s">
        <v>153</v>
      </c>
      <c r="BC693" s="198" t="s">
        <v>153</v>
      </c>
      <c r="BD693" s="199" t="s">
        <v>1406</v>
      </c>
      <c r="BE693" s="200" t="s">
        <v>1407</v>
      </c>
      <c r="BF693" s="201" t="s">
        <v>14001</v>
      </c>
      <c r="BG693" s="202" t="s">
        <v>14002</v>
      </c>
      <c r="BH693" s="203">
        <v>2</v>
      </c>
      <c r="BI693" s="204" t="s">
        <v>153</v>
      </c>
      <c r="BJ693" s="205" t="s">
        <v>14003</v>
      </c>
      <c r="BK693" s="206" t="s">
        <v>153</v>
      </c>
      <c r="BL693" s="207" t="s">
        <v>14004</v>
      </c>
      <c r="BM693" s="208" t="s">
        <v>14005</v>
      </c>
      <c r="BN693" s="209" t="s">
        <v>153</v>
      </c>
      <c r="BO693" s="210" t="s">
        <v>153</v>
      </c>
      <c r="BP693" s="211" t="s">
        <v>14006</v>
      </c>
      <c r="BQ693" s="212">
        <v>38596</v>
      </c>
      <c r="BR693" s="213" t="s">
        <v>153</v>
      </c>
      <c r="BS693" s="214" t="s">
        <v>153</v>
      </c>
      <c r="BT693" s="215" t="s">
        <v>153</v>
      </c>
      <c r="BU693" s="216" t="s">
        <v>153</v>
      </c>
      <c r="BV693" s="217" t="s">
        <v>709</v>
      </c>
      <c r="BW693" s="218" t="s">
        <v>153</v>
      </c>
      <c r="BX693" s="219" t="s">
        <v>153</v>
      </c>
      <c r="BY693" s="220" t="s">
        <v>165</v>
      </c>
      <c r="BZ693" s="221" t="s">
        <v>153</v>
      </c>
      <c r="CA693" s="222" t="s">
        <v>190</v>
      </c>
      <c r="CB693" s="223">
        <v>42941</v>
      </c>
      <c r="CC693" s="224">
        <v>6800.55</v>
      </c>
      <c r="CD693" s="225" t="s">
        <v>186</v>
      </c>
      <c r="CE693" s="226">
        <v>6800.55</v>
      </c>
      <c r="CF693" s="227" t="s">
        <v>153</v>
      </c>
      <c r="CG693" s="228" t="s">
        <v>188</v>
      </c>
      <c r="CH693" s="229" t="s">
        <v>930</v>
      </c>
      <c r="CI693" s="230" t="s">
        <v>153</v>
      </c>
      <c r="CJ693" s="231" t="s">
        <v>165</v>
      </c>
      <c r="CK693" s="232">
        <v>42941</v>
      </c>
      <c r="CL693" s="233">
        <v>3585.98</v>
      </c>
      <c r="CM693" s="234" t="s">
        <v>14007</v>
      </c>
      <c r="CN693" s="235" t="s">
        <v>190</v>
      </c>
      <c r="CO693" s="236">
        <v>0.38</v>
      </c>
      <c r="CP693" s="237">
        <v>92</v>
      </c>
      <c r="CQ693" s="238">
        <v>0.01</v>
      </c>
      <c r="CR693" s="239">
        <v>2.86</v>
      </c>
      <c r="CS693" s="240">
        <v>0.47</v>
      </c>
      <c r="CT693" s="241">
        <v>93</v>
      </c>
      <c r="CU693" s="242" t="s">
        <v>153</v>
      </c>
      <c r="CV693" s="243" t="s">
        <v>153</v>
      </c>
      <c r="CW693" s="244" t="s">
        <v>153</v>
      </c>
      <c r="CX693" s="245" t="s">
        <v>153</v>
      </c>
      <c r="CY693" s="246">
        <v>0.47</v>
      </c>
      <c r="CZ693" s="247">
        <v>94</v>
      </c>
      <c r="DA693" s="248" t="s">
        <v>153</v>
      </c>
      <c r="DB693" s="249" t="s">
        <v>153</v>
      </c>
      <c r="DC693" s="250">
        <v>1364.26</v>
      </c>
      <c r="DD693" s="251">
        <v>100</v>
      </c>
      <c r="DE693" s="252">
        <v>2.37</v>
      </c>
      <c r="DF693" s="253">
        <v>0.17</v>
      </c>
      <c r="DG693" s="254">
        <v>25.81</v>
      </c>
      <c r="DH693" s="255">
        <v>97</v>
      </c>
      <c r="DI693" s="256" t="s">
        <v>153</v>
      </c>
      <c r="DJ693" s="257" t="s">
        <v>153</v>
      </c>
      <c r="DK693" s="258" t="s">
        <v>153</v>
      </c>
      <c r="DL693" s="259" t="s">
        <v>153</v>
      </c>
      <c r="DM693" s="260">
        <v>25.81</v>
      </c>
      <c r="DN693" s="261">
        <v>96</v>
      </c>
      <c r="DO693" s="262" t="s">
        <v>153</v>
      </c>
      <c r="DP693" s="263" t="s">
        <v>153</v>
      </c>
      <c r="DQ693" s="264" t="s">
        <v>153</v>
      </c>
      <c r="DR693" s="265" t="s">
        <v>153</v>
      </c>
      <c r="DS693" s="266" t="s">
        <v>153</v>
      </c>
      <c r="DT693" s="267">
        <v>412</v>
      </c>
      <c r="DU693" s="268">
        <v>1</v>
      </c>
      <c r="DV693" s="269">
        <v>0.24</v>
      </c>
      <c r="DW693" s="270" t="s">
        <v>153</v>
      </c>
      <c r="DX693" s="271" t="s">
        <v>153</v>
      </c>
      <c r="DY693" s="272" t="s">
        <v>153</v>
      </c>
      <c r="DZ693" s="273" t="s">
        <v>191</v>
      </c>
      <c r="EA693" s="274">
        <v>44391</v>
      </c>
      <c r="EB693" s="275">
        <v>6800.55</v>
      </c>
      <c r="EC693" s="276">
        <v>42941</v>
      </c>
      <c r="ED693" s="277" t="s">
        <v>188</v>
      </c>
      <c r="EE693" s="279" t="str">
        <f>HYPERLINK("https://my.pitchbook.com?c=10682-38", "View company online")</f>
        <v>View company online</v>
      </c>
    </row>
    <row r="694" spans="1:135" x14ac:dyDescent="0.45">
      <c r="A694" s="10" t="s">
        <v>14008</v>
      </c>
      <c r="B694" s="11" t="s">
        <v>14009</v>
      </c>
      <c r="C694" s="12" t="s">
        <v>153</v>
      </c>
      <c r="D694" s="13" t="s">
        <v>153</v>
      </c>
      <c r="E694" s="14" t="s">
        <v>14010</v>
      </c>
      <c r="F694" s="15" t="s">
        <v>153</v>
      </c>
      <c r="G694" s="16" t="s">
        <v>14011</v>
      </c>
      <c r="H694" s="17" t="s">
        <v>153</v>
      </c>
      <c r="I694" s="18" t="s">
        <v>14008</v>
      </c>
      <c r="J694" s="19" t="s">
        <v>14012</v>
      </c>
      <c r="K694" s="20" t="s">
        <v>232</v>
      </c>
      <c r="L694" s="21" t="s">
        <v>1016</v>
      </c>
      <c r="M694" s="22" t="s">
        <v>1017</v>
      </c>
      <c r="N694" s="23" t="s">
        <v>14013</v>
      </c>
      <c r="O694" s="24" t="s">
        <v>153</v>
      </c>
      <c r="P694" s="25" t="s">
        <v>14014</v>
      </c>
      <c r="Q694" s="26" t="s">
        <v>204</v>
      </c>
      <c r="R694" s="27" t="s">
        <v>153</v>
      </c>
      <c r="S694" s="28" t="s">
        <v>290</v>
      </c>
      <c r="T694" s="29" t="s">
        <v>205</v>
      </c>
      <c r="U694" s="30" t="s">
        <v>237</v>
      </c>
      <c r="V694" s="31" t="s">
        <v>14015</v>
      </c>
      <c r="W694" s="32">
        <v>6363</v>
      </c>
      <c r="X694" s="33" t="s">
        <v>14016</v>
      </c>
      <c r="Y694" s="34" t="s">
        <v>153</v>
      </c>
      <c r="Z694" s="35" t="s">
        <v>153</v>
      </c>
      <c r="AA694" s="36">
        <v>1887</v>
      </c>
      <c r="AB694" s="37" t="s">
        <v>153</v>
      </c>
      <c r="AC694" s="38" t="s">
        <v>153</v>
      </c>
      <c r="AD694" s="39" t="s">
        <v>153</v>
      </c>
      <c r="AE694" s="40" t="s">
        <v>153</v>
      </c>
      <c r="AF694" s="41" t="s">
        <v>153</v>
      </c>
      <c r="AG694" s="42" t="s">
        <v>153</v>
      </c>
      <c r="AH694" s="43" t="s">
        <v>153</v>
      </c>
      <c r="AI694" s="44" t="s">
        <v>153</v>
      </c>
      <c r="AJ694" s="45" t="s">
        <v>153</v>
      </c>
      <c r="AK694" s="46" t="s">
        <v>153</v>
      </c>
      <c r="AL694" s="47" t="s">
        <v>153</v>
      </c>
      <c r="AM694" s="48" t="s">
        <v>153</v>
      </c>
      <c r="AN694" s="49" t="s">
        <v>6347</v>
      </c>
      <c r="AO694" s="50" t="s">
        <v>153</v>
      </c>
      <c r="AP694" s="51" t="s">
        <v>153</v>
      </c>
      <c r="AQ694" s="52" t="s">
        <v>153</v>
      </c>
      <c r="AR694" s="53" t="s">
        <v>153</v>
      </c>
      <c r="AS694" s="54" t="s">
        <v>153</v>
      </c>
      <c r="AT694" s="55" t="s">
        <v>649</v>
      </c>
      <c r="AU694" s="56" t="s">
        <v>14017</v>
      </c>
      <c r="AV694" s="57" t="s">
        <v>153</v>
      </c>
      <c r="AW694" s="58" t="s">
        <v>651</v>
      </c>
      <c r="AX694" s="59" t="s">
        <v>652</v>
      </c>
      <c r="AY694" s="60" t="s">
        <v>14018</v>
      </c>
      <c r="AZ694" s="61" t="s">
        <v>215</v>
      </c>
      <c r="BA694" s="62" t="s">
        <v>153</v>
      </c>
      <c r="BB694" s="63" t="s">
        <v>153</v>
      </c>
      <c r="BC694" s="64" t="s">
        <v>153</v>
      </c>
      <c r="BD694" s="65" t="s">
        <v>216</v>
      </c>
      <c r="BE694" s="66" t="s">
        <v>217</v>
      </c>
      <c r="BF694" s="67" t="s">
        <v>14019</v>
      </c>
      <c r="BG694" s="68" t="s">
        <v>153</v>
      </c>
      <c r="BH694" s="69" t="s">
        <v>153</v>
      </c>
      <c r="BI694" s="70" t="s">
        <v>2457</v>
      </c>
      <c r="BJ694" s="71" t="s">
        <v>153</v>
      </c>
      <c r="BK694" s="72" t="s">
        <v>153</v>
      </c>
      <c r="BL694" s="73" t="s">
        <v>153</v>
      </c>
      <c r="BM694" s="74" t="s">
        <v>153</v>
      </c>
      <c r="BN694" s="75" t="s">
        <v>153</v>
      </c>
      <c r="BO694" s="76" t="s">
        <v>153</v>
      </c>
      <c r="BP694" s="77" t="s">
        <v>153</v>
      </c>
      <c r="BQ694" s="78">
        <v>26451</v>
      </c>
      <c r="BR694" s="79">
        <v>5.34</v>
      </c>
      <c r="BS694" s="80" t="s">
        <v>186</v>
      </c>
      <c r="BT694" s="81" t="s">
        <v>153</v>
      </c>
      <c r="BU694" s="82" t="s">
        <v>153</v>
      </c>
      <c r="BV694" s="83" t="s">
        <v>251</v>
      </c>
      <c r="BW694" s="84" t="s">
        <v>153</v>
      </c>
      <c r="BX694" s="85" t="s">
        <v>153</v>
      </c>
      <c r="BY694" s="86" t="s">
        <v>252</v>
      </c>
      <c r="BZ694" s="87" t="s">
        <v>153</v>
      </c>
      <c r="CA694" s="88" t="s">
        <v>190</v>
      </c>
      <c r="CB694" s="89">
        <v>39356</v>
      </c>
      <c r="CC694" s="90">
        <v>6800</v>
      </c>
      <c r="CD694" s="91" t="s">
        <v>186</v>
      </c>
      <c r="CE694" s="92">
        <v>6800</v>
      </c>
      <c r="CF694" s="93" t="s">
        <v>186</v>
      </c>
      <c r="CG694" s="94" t="s">
        <v>226</v>
      </c>
      <c r="CH694" s="95" t="s">
        <v>153</v>
      </c>
      <c r="CI694" s="96" t="s">
        <v>153</v>
      </c>
      <c r="CJ694" s="97" t="s">
        <v>225</v>
      </c>
      <c r="CK694" s="98">
        <v>39356</v>
      </c>
      <c r="CL694" s="99" t="s">
        <v>153</v>
      </c>
      <c r="CM694" s="100" t="s">
        <v>153</v>
      </c>
      <c r="CN694" s="101" t="s">
        <v>190</v>
      </c>
      <c r="CO694" s="102" t="s">
        <v>153</v>
      </c>
      <c r="CP694" s="103" t="s">
        <v>153</v>
      </c>
      <c r="CQ694" s="104" t="s">
        <v>153</v>
      </c>
      <c r="CR694" s="105" t="s">
        <v>153</v>
      </c>
      <c r="CS694" s="106" t="s">
        <v>153</v>
      </c>
      <c r="CT694" s="107" t="s">
        <v>153</v>
      </c>
      <c r="CU694" s="108" t="s">
        <v>153</v>
      </c>
      <c r="CV694" s="109" t="s">
        <v>153</v>
      </c>
      <c r="CW694" s="110" t="s">
        <v>153</v>
      </c>
      <c r="CX694" s="111" t="s">
        <v>153</v>
      </c>
      <c r="CY694" s="112" t="s">
        <v>153</v>
      </c>
      <c r="CZ694" s="113" t="s">
        <v>153</v>
      </c>
      <c r="DA694" s="114" t="s">
        <v>153</v>
      </c>
      <c r="DB694" s="115" t="s">
        <v>153</v>
      </c>
      <c r="DC694" s="116" t="s">
        <v>153</v>
      </c>
      <c r="DD694" s="117" t="s">
        <v>153</v>
      </c>
      <c r="DE694" s="118" t="s">
        <v>153</v>
      </c>
      <c r="DF694" s="119" t="s">
        <v>153</v>
      </c>
      <c r="DG694" s="120" t="s">
        <v>153</v>
      </c>
      <c r="DH694" s="121" t="s">
        <v>153</v>
      </c>
      <c r="DI694" s="122" t="s">
        <v>153</v>
      </c>
      <c r="DJ694" s="123" t="s">
        <v>153</v>
      </c>
      <c r="DK694" s="124" t="s">
        <v>153</v>
      </c>
      <c r="DL694" s="125" t="s">
        <v>153</v>
      </c>
      <c r="DM694" s="126" t="s">
        <v>153</v>
      </c>
      <c r="DN694" s="127" t="s">
        <v>153</v>
      </c>
      <c r="DO694" s="128" t="s">
        <v>153</v>
      </c>
      <c r="DP694" s="129" t="s">
        <v>153</v>
      </c>
      <c r="DQ694" s="130" t="s">
        <v>153</v>
      </c>
      <c r="DR694" s="131" t="s">
        <v>153</v>
      </c>
      <c r="DS694" s="132" t="s">
        <v>153</v>
      </c>
      <c r="DT694" s="133" t="s">
        <v>153</v>
      </c>
      <c r="DU694" s="134" t="s">
        <v>153</v>
      </c>
      <c r="DV694" s="135" t="s">
        <v>153</v>
      </c>
      <c r="DW694" s="136" t="s">
        <v>153</v>
      </c>
      <c r="DX694" s="137" t="s">
        <v>153</v>
      </c>
      <c r="DY694" s="138" t="s">
        <v>153</v>
      </c>
      <c r="DZ694" s="139" t="s">
        <v>191</v>
      </c>
      <c r="EA694" s="140">
        <v>43940</v>
      </c>
      <c r="EB694" s="141">
        <v>6800</v>
      </c>
      <c r="EC694" s="142">
        <v>39356</v>
      </c>
      <c r="ED694" s="143" t="s">
        <v>226</v>
      </c>
      <c r="EE694" s="278" t="str">
        <f>HYPERLINK("https://my.pitchbook.com?c=82082-62", "View company online")</f>
        <v>View company online</v>
      </c>
    </row>
    <row r="695" spans="1:135" x14ac:dyDescent="0.45">
      <c r="A695" s="144" t="s">
        <v>14020</v>
      </c>
      <c r="B695" s="145" t="s">
        <v>14021</v>
      </c>
      <c r="C695" s="146" t="s">
        <v>153</v>
      </c>
      <c r="D695" s="147" t="s">
        <v>153</v>
      </c>
      <c r="E695" s="148" t="s">
        <v>153</v>
      </c>
      <c r="F695" s="149" t="s">
        <v>153</v>
      </c>
      <c r="G695" s="150" t="s">
        <v>14022</v>
      </c>
      <c r="H695" s="151" t="s">
        <v>153</v>
      </c>
      <c r="I695" s="152" t="s">
        <v>14020</v>
      </c>
      <c r="J695" s="153" t="s">
        <v>14023</v>
      </c>
      <c r="K695" s="154" t="s">
        <v>257</v>
      </c>
      <c r="L695" s="155" t="s">
        <v>258</v>
      </c>
      <c r="M695" s="156" t="s">
        <v>259</v>
      </c>
      <c r="N695" s="157" t="s">
        <v>260</v>
      </c>
      <c r="O695" s="158" t="s">
        <v>450</v>
      </c>
      <c r="P695" s="159" t="s">
        <v>14024</v>
      </c>
      <c r="Q695" s="160" t="s">
        <v>289</v>
      </c>
      <c r="R695" s="161" t="s">
        <v>153</v>
      </c>
      <c r="S695" s="162" t="s">
        <v>163</v>
      </c>
      <c r="T695" s="163" t="s">
        <v>205</v>
      </c>
      <c r="U695" s="164" t="s">
        <v>482</v>
      </c>
      <c r="V695" s="165" t="s">
        <v>14025</v>
      </c>
      <c r="W695" s="166">
        <v>800</v>
      </c>
      <c r="X695" s="167" t="s">
        <v>14026</v>
      </c>
      <c r="Y695" s="168" t="s">
        <v>153</v>
      </c>
      <c r="Z695" s="169" t="s">
        <v>153</v>
      </c>
      <c r="AA695" s="170">
        <v>1987</v>
      </c>
      <c r="AB695" s="171" t="s">
        <v>153</v>
      </c>
      <c r="AC695" s="172" t="s">
        <v>153</v>
      </c>
      <c r="AD695" s="173" t="s">
        <v>153</v>
      </c>
      <c r="AE695" s="174" t="s">
        <v>153</v>
      </c>
      <c r="AF695" s="175" t="s">
        <v>153</v>
      </c>
      <c r="AG695" s="176" t="s">
        <v>153</v>
      </c>
      <c r="AH695" s="177" t="s">
        <v>153</v>
      </c>
      <c r="AI695" s="178" t="s">
        <v>153</v>
      </c>
      <c r="AJ695" s="179" t="s">
        <v>153</v>
      </c>
      <c r="AK695" s="180" t="s">
        <v>153</v>
      </c>
      <c r="AL695" s="181" t="s">
        <v>153</v>
      </c>
      <c r="AM695" s="182" t="s">
        <v>153</v>
      </c>
      <c r="AN695" s="183" t="s">
        <v>10147</v>
      </c>
      <c r="AO695" s="184" t="s">
        <v>153</v>
      </c>
      <c r="AP695" s="185" t="s">
        <v>153</v>
      </c>
      <c r="AQ695" s="186" t="s">
        <v>153</v>
      </c>
      <c r="AR695" s="187" t="s">
        <v>153</v>
      </c>
      <c r="AS695" s="188" t="s">
        <v>153</v>
      </c>
      <c r="AT695" s="189" t="s">
        <v>6404</v>
      </c>
      <c r="AU695" s="190" t="s">
        <v>14027</v>
      </c>
      <c r="AV695" s="191" t="s">
        <v>14028</v>
      </c>
      <c r="AW695" s="192" t="s">
        <v>6406</v>
      </c>
      <c r="AX695" s="193" t="s">
        <v>2727</v>
      </c>
      <c r="AY695" s="194" t="s">
        <v>6407</v>
      </c>
      <c r="AZ695" s="195" t="s">
        <v>215</v>
      </c>
      <c r="BA695" s="196" t="s">
        <v>153</v>
      </c>
      <c r="BB695" s="197" t="s">
        <v>153</v>
      </c>
      <c r="BC695" s="198" t="s">
        <v>153</v>
      </c>
      <c r="BD695" s="199" t="s">
        <v>216</v>
      </c>
      <c r="BE695" s="200" t="s">
        <v>217</v>
      </c>
      <c r="BF695" s="201" t="s">
        <v>14029</v>
      </c>
      <c r="BG695" s="202" t="s">
        <v>153</v>
      </c>
      <c r="BH695" s="203" t="s">
        <v>153</v>
      </c>
      <c r="BI695" s="204" t="s">
        <v>1428</v>
      </c>
      <c r="BJ695" s="205" t="s">
        <v>14030</v>
      </c>
      <c r="BK695" s="206" t="s">
        <v>3081</v>
      </c>
      <c r="BL695" s="207" t="s">
        <v>153</v>
      </c>
      <c r="BM695" s="208" t="s">
        <v>14031</v>
      </c>
      <c r="BN695" s="209" t="s">
        <v>3083</v>
      </c>
      <c r="BO695" s="210" t="s">
        <v>14032</v>
      </c>
      <c r="BP695" s="211" t="s">
        <v>14033</v>
      </c>
      <c r="BQ695" s="212" t="s">
        <v>153</v>
      </c>
      <c r="BR695" s="213" t="s">
        <v>153</v>
      </c>
      <c r="BS695" s="214" t="s">
        <v>153</v>
      </c>
      <c r="BT695" s="215" t="s">
        <v>153</v>
      </c>
      <c r="BU695" s="216" t="s">
        <v>153</v>
      </c>
      <c r="BV695" s="217" t="s">
        <v>471</v>
      </c>
      <c r="BW695" s="218" t="s">
        <v>153</v>
      </c>
      <c r="BX695" s="219" t="s">
        <v>153</v>
      </c>
      <c r="BY695" s="220" t="s">
        <v>472</v>
      </c>
      <c r="BZ695" s="221" t="s">
        <v>153</v>
      </c>
      <c r="CA695" s="222" t="s">
        <v>190</v>
      </c>
      <c r="CB695" s="223">
        <v>40830</v>
      </c>
      <c r="CC695" s="224">
        <v>6800</v>
      </c>
      <c r="CD695" s="225" t="s">
        <v>186</v>
      </c>
      <c r="CE695" s="226">
        <v>6800</v>
      </c>
      <c r="CF695" s="227" t="s">
        <v>186</v>
      </c>
      <c r="CG695" s="228" t="s">
        <v>226</v>
      </c>
      <c r="CH695" s="229" t="s">
        <v>153</v>
      </c>
      <c r="CI695" s="230" t="s">
        <v>153</v>
      </c>
      <c r="CJ695" s="231" t="s">
        <v>225</v>
      </c>
      <c r="CK695" s="232">
        <v>40830</v>
      </c>
      <c r="CL695" s="233" t="s">
        <v>153</v>
      </c>
      <c r="CM695" s="234" t="s">
        <v>153</v>
      </c>
      <c r="CN695" s="235" t="s">
        <v>190</v>
      </c>
      <c r="CO695" s="236" t="s">
        <v>153</v>
      </c>
      <c r="CP695" s="237" t="s">
        <v>153</v>
      </c>
      <c r="CQ695" s="238" t="s">
        <v>153</v>
      </c>
      <c r="CR695" s="239" t="s">
        <v>153</v>
      </c>
      <c r="CS695" s="240" t="s">
        <v>153</v>
      </c>
      <c r="CT695" s="241" t="s">
        <v>153</v>
      </c>
      <c r="CU695" s="242" t="s">
        <v>153</v>
      </c>
      <c r="CV695" s="243" t="s">
        <v>153</v>
      </c>
      <c r="CW695" s="244" t="s">
        <v>153</v>
      </c>
      <c r="CX695" s="245" t="s">
        <v>153</v>
      </c>
      <c r="CY695" s="246" t="s">
        <v>153</v>
      </c>
      <c r="CZ695" s="247" t="s">
        <v>153</v>
      </c>
      <c r="DA695" s="248" t="s">
        <v>153</v>
      </c>
      <c r="DB695" s="249" t="s">
        <v>153</v>
      </c>
      <c r="DC695" s="250" t="s">
        <v>153</v>
      </c>
      <c r="DD695" s="251" t="s">
        <v>153</v>
      </c>
      <c r="DE695" s="252" t="s">
        <v>153</v>
      </c>
      <c r="DF695" s="253" t="s">
        <v>153</v>
      </c>
      <c r="DG695" s="254" t="s">
        <v>153</v>
      </c>
      <c r="DH695" s="255" t="s">
        <v>153</v>
      </c>
      <c r="DI695" s="256" t="s">
        <v>153</v>
      </c>
      <c r="DJ695" s="257" t="s">
        <v>153</v>
      </c>
      <c r="DK695" s="258" t="s">
        <v>153</v>
      </c>
      <c r="DL695" s="259" t="s">
        <v>153</v>
      </c>
      <c r="DM695" s="260" t="s">
        <v>153</v>
      </c>
      <c r="DN695" s="261" t="s">
        <v>153</v>
      </c>
      <c r="DO695" s="262" t="s">
        <v>153</v>
      </c>
      <c r="DP695" s="263" t="s">
        <v>153</v>
      </c>
      <c r="DQ695" s="264" t="s">
        <v>153</v>
      </c>
      <c r="DR695" s="265" t="s">
        <v>153</v>
      </c>
      <c r="DS695" s="266" t="s">
        <v>153</v>
      </c>
      <c r="DT695" s="267" t="s">
        <v>153</v>
      </c>
      <c r="DU695" s="268" t="s">
        <v>153</v>
      </c>
      <c r="DV695" s="269" t="s">
        <v>153</v>
      </c>
      <c r="DW695" s="270" t="s">
        <v>153</v>
      </c>
      <c r="DX695" s="271" t="s">
        <v>153</v>
      </c>
      <c r="DY695" s="272" t="s">
        <v>153</v>
      </c>
      <c r="DZ695" s="273" t="s">
        <v>191</v>
      </c>
      <c r="EA695" s="274">
        <v>44217</v>
      </c>
      <c r="EB695" s="275">
        <v>6800</v>
      </c>
      <c r="EC695" s="276">
        <v>40830</v>
      </c>
      <c r="ED695" s="277" t="s">
        <v>226</v>
      </c>
      <c r="EE695" s="279" t="str">
        <f>HYPERLINK("https://my.pitchbook.com?c=10553-32", "View company online")</f>
        <v>View company online</v>
      </c>
    </row>
    <row r="696" spans="1:135" x14ac:dyDescent="0.45">
      <c r="A696" s="10" t="s">
        <v>14034</v>
      </c>
      <c r="B696" s="11" t="s">
        <v>14035</v>
      </c>
      <c r="C696" s="12" t="s">
        <v>153</v>
      </c>
      <c r="D696" s="13" t="s">
        <v>153</v>
      </c>
      <c r="E696" s="14" t="s">
        <v>14036</v>
      </c>
      <c r="F696" s="15" t="s">
        <v>153</v>
      </c>
      <c r="G696" s="16" t="s">
        <v>14037</v>
      </c>
      <c r="H696" s="17" t="s">
        <v>153</v>
      </c>
      <c r="I696" s="18" t="s">
        <v>14034</v>
      </c>
      <c r="J696" s="19" t="s">
        <v>14038</v>
      </c>
      <c r="K696" s="20" t="s">
        <v>232</v>
      </c>
      <c r="L696" s="21" t="s">
        <v>2162</v>
      </c>
      <c r="M696" s="22" t="s">
        <v>14039</v>
      </c>
      <c r="N696" s="23" t="s">
        <v>14040</v>
      </c>
      <c r="O696" s="24" t="s">
        <v>153</v>
      </c>
      <c r="P696" s="25" t="s">
        <v>14041</v>
      </c>
      <c r="Q696" s="26" t="s">
        <v>204</v>
      </c>
      <c r="R696" s="27" t="s">
        <v>153</v>
      </c>
      <c r="S696" s="28" t="s">
        <v>163</v>
      </c>
      <c r="T696" s="29" t="s">
        <v>205</v>
      </c>
      <c r="U696" s="30" t="s">
        <v>237</v>
      </c>
      <c r="V696" s="31" t="s">
        <v>14042</v>
      </c>
      <c r="W696" s="32" t="s">
        <v>153</v>
      </c>
      <c r="X696" s="33" t="s">
        <v>153</v>
      </c>
      <c r="Y696" s="34" t="s">
        <v>153</v>
      </c>
      <c r="Z696" s="35" t="s">
        <v>153</v>
      </c>
      <c r="AA696" s="36">
        <v>1908</v>
      </c>
      <c r="AB696" s="37" t="s">
        <v>153</v>
      </c>
      <c r="AC696" s="38" t="s">
        <v>153</v>
      </c>
      <c r="AD696" s="39" t="s">
        <v>153</v>
      </c>
      <c r="AE696" s="40" t="s">
        <v>153</v>
      </c>
      <c r="AF696" s="41" t="s">
        <v>153</v>
      </c>
      <c r="AG696" s="42" t="s">
        <v>153</v>
      </c>
      <c r="AH696" s="43" t="s">
        <v>153</v>
      </c>
      <c r="AI696" s="44" t="s">
        <v>153</v>
      </c>
      <c r="AJ696" s="45" t="s">
        <v>153</v>
      </c>
      <c r="AK696" s="46" t="s">
        <v>153</v>
      </c>
      <c r="AL696" s="47" t="s">
        <v>153</v>
      </c>
      <c r="AM696" s="48" t="s">
        <v>153</v>
      </c>
      <c r="AN696" s="49" t="s">
        <v>153</v>
      </c>
      <c r="AO696" s="50" t="s">
        <v>14043</v>
      </c>
      <c r="AP696" s="51" t="s">
        <v>14044</v>
      </c>
      <c r="AQ696" s="52" t="s">
        <v>2909</v>
      </c>
      <c r="AR696" s="53" t="s">
        <v>153</v>
      </c>
      <c r="AS696" s="54" t="s">
        <v>14045</v>
      </c>
      <c r="AT696" s="55" t="s">
        <v>1888</v>
      </c>
      <c r="AU696" s="56" t="s">
        <v>14046</v>
      </c>
      <c r="AV696" s="57" t="s">
        <v>153</v>
      </c>
      <c r="AW696" s="58" t="s">
        <v>1890</v>
      </c>
      <c r="AX696" s="59" t="s">
        <v>652</v>
      </c>
      <c r="AY696" s="60" t="s">
        <v>14047</v>
      </c>
      <c r="AZ696" s="61" t="s">
        <v>215</v>
      </c>
      <c r="BA696" s="62" t="s">
        <v>153</v>
      </c>
      <c r="BB696" s="63" t="s">
        <v>153</v>
      </c>
      <c r="BC696" s="64" t="s">
        <v>153</v>
      </c>
      <c r="BD696" s="65" t="s">
        <v>216</v>
      </c>
      <c r="BE696" s="66" t="s">
        <v>217</v>
      </c>
      <c r="BF696" s="67" t="s">
        <v>14048</v>
      </c>
      <c r="BG696" s="68" t="s">
        <v>153</v>
      </c>
      <c r="BH696" s="69" t="s">
        <v>153</v>
      </c>
      <c r="BI696" s="70" t="s">
        <v>14049</v>
      </c>
      <c r="BJ696" s="71" t="s">
        <v>14050</v>
      </c>
      <c r="BK696" s="72" t="s">
        <v>153</v>
      </c>
      <c r="BL696" s="73" t="s">
        <v>153</v>
      </c>
      <c r="BM696" s="74" t="s">
        <v>14051</v>
      </c>
      <c r="BN696" s="75" t="s">
        <v>153</v>
      </c>
      <c r="BO696" s="76" t="s">
        <v>153</v>
      </c>
      <c r="BP696" s="77" t="s">
        <v>14052</v>
      </c>
      <c r="BQ696" s="78">
        <v>5115</v>
      </c>
      <c r="BR696" s="79" t="s">
        <v>153</v>
      </c>
      <c r="BS696" s="80" t="s">
        <v>153</v>
      </c>
      <c r="BT696" s="81" t="s">
        <v>153</v>
      </c>
      <c r="BU696" s="82" t="s">
        <v>153</v>
      </c>
      <c r="BV696" s="83" t="s">
        <v>251</v>
      </c>
      <c r="BW696" s="84" t="s">
        <v>153</v>
      </c>
      <c r="BX696" s="85" t="s">
        <v>153</v>
      </c>
      <c r="BY696" s="86" t="s">
        <v>252</v>
      </c>
      <c r="BZ696" s="87" t="s">
        <v>153</v>
      </c>
      <c r="CA696" s="88" t="s">
        <v>190</v>
      </c>
      <c r="CB696" s="89">
        <v>38880</v>
      </c>
      <c r="CC696" s="90">
        <v>6800</v>
      </c>
      <c r="CD696" s="91" t="s">
        <v>186</v>
      </c>
      <c r="CE696" s="92">
        <v>6800</v>
      </c>
      <c r="CF696" s="93" t="s">
        <v>186</v>
      </c>
      <c r="CG696" s="94" t="s">
        <v>226</v>
      </c>
      <c r="CH696" s="95" t="s">
        <v>729</v>
      </c>
      <c r="CI696" s="96" t="s">
        <v>153</v>
      </c>
      <c r="CJ696" s="97" t="s">
        <v>225</v>
      </c>
      <c r="CK696" s="98">
        <v>38880</v>
      </c>
      <c r="CL696" s="99" t="s">
        <v>153</v>
      </c>
      <c r="CM696" s="100" t="s">
        <v>153</v>
      </c>
      <c r="CN696" s="101" t="s">
        <v>190</v>
      </c>
      <c r="CO696" s="102" t="s">
        <v>153</v>
      </c>
      <c r="CP696" s="103" t="s">
        <v>153</v>
      </c>
      <c r="CQ696" s="104" t="s">
        <v>153</v>
      </c>
      <c r="CR696" s="105" t="s">
        <v>153</v>
      </c>
      <c r="CS696" s="106" t="s">
        <v>153</v>
      </c>
      <c r="CT696" s="107" t="s">
        <v>153</v>
      </c>
      <c r="CU696" s="108" t="s">
        <v>153</v>
      </c>
      <c r="CV696" s="109" t="s">
        <v>153</v>
      </c>
      <c r="CW696" s="110" t="s">
        <v>153</v>
      </c>
      <c r="CX696" s="111" t="s">
        <v>153</v>
      </c>
      <c r="CY696" s="112" t="s">
        <v>153</v>
      </c>
      <c r="CZ696" s="113" t="s">
        <v>153</v>
      </c>
      <c r="DA696" s="114" t="s">
        <v>153</v>
      </c>
      <c r="DB696" s="115" t="s">
        <v>153</v>
      </c>
      <c r="DC696" s="116" t="s">
        <v>153</v>
      </c>
      <c r="DD696" s="117" t="s">
        <v>153</v>
      </c>
      <c r="DE696" s="118" t="s">
        <v>153</v>
      </c>
      <c r="DF696" s="119" t="s">
        <v>153</v>
      </c>
      <c r="DG696" s="120" t="s">
        <v>153</v>
      </c>
      <c r="DH696" s="121" t="s">
        <v>153</v>
      </c>
      <c r="DI696" s="122" t="s">
        <v>153</v>
      </c>
      <c r="DJ696" s="123" t="s">
        <v>153</v>
      </c>
      <c r="DK696" s="124" t="s">
        <v>153</v>
      </c>
      <c r="DL696" s="125" t="s">
        <v>153</v>
      </c>
      <c r="DM696" s="126" t="s">
        <v>153</v>
      </c>
      <c r="DN696" s="127" t="s">
        <v>153</v>
      </c>
      <c r="DO696" s="128" t="s">
        <v>153</v>
      </c>
      <c r="DP696" s="129" t="s">
        <v>153</v>
      </c>
      <c r="DQ696" s="130" t="s">
        <v>153</v>
      </c>
      <c r="DR696" s="131" t="s">
        <v>153</v>
      </c>
      <c r="DS696" s="132" t="s">
        <v>153</v>
      </c>
      <c r="DT696" s="133" t="s">
        <v>153</v>
      </c>
      <c r="DU696" s="134" t="s">
        <v>153</v>
      </c>
      <c r="DV696" s="135" t="s">
        <v>153</v>
      </c>
      <c r="DW696" s="136" t="s">
        <v>153</v>
      </c>
      <c r="DX696" s="137" t="s">
        <v>153</v>
      </c>
      <c r="DY696" s="138" t="s">
        <v>153</v>
      </c>
      <c r="DZ696" s="139" t="s">
        <v>191</v>
      </c>
      <c r="EA696" s="140">
        <v>44147</v>
      </c>
      <c r="EB696" s="141">
        <v>6800</v>
      </c>
      <c r="EC696" s="142">
        <v>38880</v>
      </c>
      <c r="ED696" s="143" t="s">
        <v>226</v>
      </c>
      <c r="EE696" s="278" t="str">
        <f>HYPERLINK("https://my.pitchbook.com?c=115320-88", "View company online")</f>
        <v>View company online</v>
      </c>
    </row>
    <row r="697" spans="1:135" x14ac:dyDescent="0.45">
      <c r="A697" s="144" t="s">
        <v>14053</v>
      </c>
      <c r="B697" s="145" t="s">
        <v>14054</v>
      </c>
      <c r="C697" s="146" t="s">
        <v>153</v>
      </c>
      <c r="D697" s="147" t="s">
        <v>153</v>
      </c>
      <c r="E697" s="148" t="s">
        <v>153</v>
      </c>
      <c r="F697" s="149" t="s">
        <v>153</v>
      </c>
      <c r="G697" s="150" t="s">
        <v>14055</v>
      </c>
      <c r="H697" s="151" t="s">
        <v>153</v>
      </c>
      <c r="I697" s="152" t="s">
        <v>14053</v>
      </c>
      <c r="J697" s="153" t="s">
        <v>14056</v>
      </c>
      <c r="K697" s="154" t="s">
        <v>257</v>
      </c>
      <c r="L697" s="155" t="s">
        <v>258</v>
      </c>
      <c r="M697" s="156" t="s">
        <v>448</v>
      </c>
      <c r="N697" s="157" t="s">
        <v>1138</v>
      </c>
      <c r="O697" s="158" t="s">
        <v>450</v>
      </c>
      <c r="P697" s="159" t="s">
        <v>14057</v>
      </c>
      <c r="Q697" s="160" t="s">
        <v>289</v>
      </c>
      <c r="R697" s="161">
        <v>9.5</v>
      </c>
      <c r="S697" s="162" t="s">
        <v>163</v>
      </c>
      <c r="T697" s="163" t="s">
        <v>205</v>
      </c>
      <c r="U697" s="164" t="s">
        <v>941</v>
      </c>
      <c r="V697" s="165" t="s">
        <v>14058</v>
      </c>
      <c r="W697" s="166" t="s">
        <v>153</v>
      </c>
      <c r="X697" s="167" t="s">
        <v>153</v>
      </c>
      <c r="Y697" s="168" t="s">
        <v>153</v>
      </c>
      <c r="Z697" s="169" t="s">
        <v>153</v>
      </c>
      <c r="AA697" s="170">
        <v>1985</v>
      </c>
      <c r="AB697" s="171" t="s">
        <v>153</v>
      </c>
      <c r="AC697" s="172" t="s">
        <v>153</v>
      </c>
      <c r="AD697" s="173" t="s">
        <v>153</v>
      </c>
      <c r="AE697" s="174" t="s">
        <v>153</v>
      </c>
      <c r="AF697" s="175" t="s">
        <v>153</v>
      </c>
      <c r="AG697" s="176" t="s">
        <v>153</v>
      </c>
      <c r="AH697" s="177" t="s">
        <v>153</v>
      </c>
      <c r="AI697" s="178" t="s">
        <v>153</v>
      </c>
      <c r="AJ697" s="179" t="s">
        <v>153</v>
      </c>
      <c r="AK697" s="180" t="s">
        <v>153</v>
      </c>
      <c r="AL697" s="181" t="s">
        <v>153</v>
      </c>
      <c r="AM697" s="182" t="s">
        <v>153</v>
      </c>
      <c r="AN697" s="183" t="s">
        <v>153</v>
      </c>
      <c r="AO697" s="184" t="s">
        <v>14059</v>
      </c>
      <c r="AP697" s="185" t="s">
        <v>14060</v>
      </c>
      <c r="AQ697" s="186" t="s">
        <v>5090</v>
      </c>
      <c r="AR697" s="187" t="s">
        <v>153</v>
      </c>
      <c r="AS697" s="188" t="s">
        <v>14061</v>
      </c>
      <c r="AT697" s="189" t="s">
        <v>5540</v>
      </c>
      <c r="AU697" s="190" t="s">
        <v>14062</v>
      </c>
      <c r="AV697" s="191" t="s">
        <v>153</v>
      </c>
      <c r="AW697" s="192" t="s">
        <v>5542</v>
      </c>
      <c r="AX697" s="193" t="s">
        <v>308</v>
      </c>
      <c r="AY697" s="194" t="s">
        <v>5543</v>
      </c>
      <c r="AZ697" s="195" t="s">
        <v>215</v>
      </c>
      <c r="BA697" s="196" t="s">
        <v>14061</v>
      </c>
      <c r="BB697" s="197" t="s">
        <v>153</v>
      </c>
      <c r="BC697" s="198" t="s">
        <v>153</v>
      </c>
      <c r="BD697" s="199" t="s">
        <v>216</v>
      </c>
      <c r="BE697" s="200" t="s">
        <v>217</v>
      </c>
      <c r="BF697" s="201" t="s">
        <v>14063</v>
      </c>
      <c r="BG697" s="202" t="s">
        <v>153</v>
      </c>
      <c r="BH697" s="203" t="s">
        <v>153</v>
      </c>
      <c r="BI697" s="204" t="s">
        <v>3437</v>
      </c>
      <c r="BJ697" s="205" t="s">
        <v>14064</v>
      </c>
      <c r="BK697" s="206" t="s">
        <v>153</v>
      </c>
      <c r="BL697" s="207" t="s">
        <v>153</v>
      </c>
      <c r="BM697" s="208" t="s">
        <v>14065</v>
      </c>
      <c r="BN697" s="209" t="s">
        <v>153</v>
      </c>
      <c r="BO697" s="210" t="s">
        <v>153</v>
      </c>
      <c r="BP697" s="211" t="s">
        <v>14066</v>
      </c>
      <c r="BQ697" s="212">
        <v>31048</v>
      </c>
      <c r="BR697" s="213" t="s">
        <v>153</v>
      </c>
      <c r="BS697" s="214" t="s">
        <v>153</v>
      </c>
      <c r="BT697" s="215" t="s">
        <v>153</v>
      </c>
      <c r="BU697" s="216" t="s">
        <v>153</v>
      </c>
      <c r="BV697" s="217" t="s">
        <v>1007</v>
      </c>
      <c r="BW697" s="218" t="s">
        <v>1007</v>
      </c>
      <c r="BX697" s="219" t="s">
        <v>153</v>
      </c>
      <c r="BY697" s="220" t="s">
        <v>472</v>
      </c>
      <c r="BZ697" s="221" t="s">
        <v>153</v>
      </c>
      <c r="CA697" s="222" t="s">
        <v>190</v>
      </c>
      <c r="CB697" s="223">
        <v>37937</v>
      </c>
      <c r="CC697" s="224">
        <v>6800</v>
      </c>
      <c r="CD697" s="225" t="s">
        <v>186</v>
      </c>
      <c r="CE697" s="226">
        <v>6800</v>
      </c>
      <c r="CF697" s="227" t="s">
        <v>186</v>
      </c>
      <c r="CG697" s="228" t="s">
        <v>226</v>
      </c>
      <c r="CH697" s="229" t="s">
        <v>153</v>
      </c>
      <c r="CI697" s="230" t="s">
        <v>153</v>
      </c>
      <c r="CJ697" s="231" t="s">
        <v>225</v>
      </c>
      <c r="CK697" s="232">
        <v>37937</v>
      </c>
      <c r="CL697" s="233" t="s">
        <v>153</v>
      </c>
      <c r="CM697" s="234" t="s">
        <v>153</v>
      </c>
      <c r="CN697" s="235" t="s">
        <v>190</v>
      </c>
      <c r="CO697" s="236" t="s">
        <v>153</v>
      </c>
      <c r="CP697" s="237" t="s">
        <v>153</v>
      </c>
      <c r="CQ697" s="238" t="s">
        <v>153</v>
      </c>
      <c r="CR697" s="239" t="s">
        <v>153</v>
      </c>
      <c r="CS697" s="240" t="s">
        <v>153</v>
      </c>
      <c r="CT697" s="241" t="s">
        <v>153</v>
      </c>
      <c r="CU697" s="242" t="s">
        <v>153</v>
      </c>
      <c r="CV697" s="243" t="s">
        <v>153</v>
      </c>
      <c r="CW697" s="244" t="s">
        <v>153</v>
      </c>
      <c r="CX697" s="245" t="s">
        <v>153</v>
      </c>
      <c r="CY697" s="246" t="s">
        <v>153</v>
      </c>
      <c r="CZ697" s="247" t="s">
        <v>153</v>
      </c>
      <c r="DA697" s="248" t="s">
        <v>153</v>
      </c>
      <c r="DB697" s="249" t="s">
        <v>153</v>
      </c>
      <c r="DC697" s="250" t="s">
        <v>153</v>
      </c>
      <c r="DD697" s="251" t="s">
        <v>153</v>
      </c>
      <c r="DE697" s="252" t="s">
        <v>153</v>
      </c>
      <c r="DF697" s="253" t="s">
        <v>153</v>
      </c>
      <c r="DG697" s="254" t="s">
        <v>153</v>
      </c>
      <c r="DH697" s="255" t="s">
        <v>153</v>
      </c>
      <c r="DI697" s="256" t="s">
        <v>153</v>
      </c>
      <c r="DJ697" s="257" t="s">
        <v>153</v>
      </c>
      <c r="DK697" s="258" t="s">
        <v>153</v>
      </c>
      <c r="DL697" s="259" t="s">
        <v>153</v>
      </c>
      <c r="DM697" s="260" t="s">
        <v>153</v>
      </c>
      <c r="DN697" s="261" t="s">
        <v>153</v>
      </c>
      <c r="DO697" s="262" t="s">
        <v>153</v>
      </c>
      <c r="DP697" s="263" t="s">
        <v>153</v>
      </c>
      <c r="DQ697" s="264" t="s">
        <v>153</v>
      </c>
      <c r="DR697" s="265" t="s">
        <v>153</v>
      </c>
      <c r="DS697" s="266" t="s">
        <v>153</v>
      </c>
      <c r="DT697" s="267" t="s">
        <v>153</v>
      </c>
      <c r="DU697" s="268" t="s">
        <v>153</v>
      </c>
      <c r="DV697" s="269" t="s">
        <v>153</v>
      </c>
      <c r="DW697" s="270" t="s">
        <v>153</v>
      </c>
      <c r="DX697" s="271" t="s">
        <v>153</v>
      </c>
      <c r="DY697" s="272" t="s">
        <v>153</v>
      </c>
      <c r="DZ697" s="273" t="s">
        <v>191</v>
      </c>
      <c r="EA697" s="274">
        <v>44147</v>
      </c>
      <c r="EB697" s="275">
        <v>6800</v>
      </c>
      <c r="EC697" s="276">
        <v>37937</v>
      </c>
      <c r="ED697" s="277" t="s">
        <v>226</v>
      </c>
      <c r="EE697" s="279" t="str">
        <f>HYPERLINK("https://my.pitchbook.com?c=50961-52", "View company online")</f>
        <v>View company online</v>
      </c>
    </row>
    <row r="698" spans="1:135" x14ac:dyDescent="0.45">
      <c r="A698" s="10" t="s">
        <v>14067</v>
      </c>
      <c r="B698" s="11" t="s">
        <v>14068</v>
      </c>
      <c r="C698" s="12" t="s">
        <v>153</v>
      </c>
      <c r="D698" s="13" t="s">
        <v>153</v>
      </c>
      <c r="E698" s="14" t="s">
        <v>153</v>
      </c>
      <c r="F698" s="15" t="s">
        <v>14069</v>
      </c>
      <c r="G698" s="16" t="s">
        <v>14070</v>
      </c>
      <c r="H698" s="17" t="s">
        <v>153</v>
      </c>
      <c r="I698" s="18" t="s">
        <v>14067</v>
      </c>
      <c r="J698" s="19" t="s">
        <v>14071</v>
      </c>
      <c r="K698" s="20" t="s">
        <v>559</v>
      </c>
      <c r="L698" s="21" t="s">
        <v>1345</v>
      </c>
      <c r="M698" s="22" t="s">
        <v>8571</v>
      </c>
      <c r="N698" s="23" t="s">
        <v>11909</v>
      </c>
      <c r="O698" s="24" t="s">
        <v>153</v>
      </c>
      <c r="P698" s="25" t="s">
        <v>14072</v>
      </c>
      <c r="Q698" s="26" t="s">
        <v>204</v>
      </c>
      <c r="R698" s="27" t="s">
        <v>153</v>
      </c>
      <c r="S698" s="28" t="s">
        <v>163</v>
      </c>
      <c r="T698" s="29" t="s">
        <v>205</v>
      </c>
      <c r="U698" s="30" t="s">
        <v>237</v>
      </c>
      <c r="V698" s="31" t="s">
        <v>14073</v>
      </c>
      <c r="W698" s="32" t="s">
        <v>153</v>
      </c>
      <c r="X698" s="33" t="s">
        <v>153</v>
      </c>
      <c r="Y698" s="34" t="s">
        <v>153</v>
      </c>
      <c r="Z698" s="35" t="s">
        <v>153</v>
      </c>
      <c r="AA698" s="36">
        <v>1958</v>
      </c>
      <c r="AB698" s="37" t="s">
        <v>153</v>
      </c>
      <c r="AC698" s="38" t="s">
        <v>153</v>
      </c>
      <c r="AD698" s="39" t="s">
        <v>153</v>
      </c>
      <c r="AE698" s="40" t="s">
        <v>153</v>
      </c>
      <c r="AF698" s="41" t="s">
        <v>153</v>
      </c>
      <c r="AG698" s="42" t="s">
        <v>153</v>
      </c>
      <c r="AH698" s="43" t="s">
        <v>153</v>
      </c>
      <c r="AI698" s="44" t="s">
        <v>153</v>
      </c>
      <c r="AJ698" s="45" t="s">
        <v>153</v>
      </c>
      <c r="AK698" s="46" t="s">
        <v>153</v>
      </c>
      <c r="AL698" s="47" t="s">
        <v>153</v>
      </c>
      <c r="AM698" s="48" t="s">
        <v>153</v>
      </c>
      <c r="AN698" s="49" t="s">
        <v>153</v>
      </c>
      <c r="AO698" s="50" t="s">
        <v>14074</v>
      </c>
      <c r="AP698" s="51" t="s">
        <v>14075</v>
      </c>
      <c r="AQ698" s="52" t="s">
        <v>14076</v>
      </c>
      <c r="AR698" s="53" t="s">
        <v>153</v>
      </c>
      <c r="AS698" s="54" t="s">
        <v>153</v>
      </c>
      <c r="AT698" s="55" t="s">
        <v>3708</v>
      </c>
      <c r="AU698" s="56" t="s">
        <v>14077</v>
      </c>
      <c r="AV698" s="57" t="s">
        <v>14078</v>
      </c>
      <c r="AW698" s="58" t="s">
        <v>3711</v>
      </c>
      <c r="AX698" s="59" t="s">
        <v>3712</v>
      </c>
      <c r="AY698" s="60" t="s">
        <v>14079</v>
      </c>
      <c r="AZ698" s="61" t="s">
        <v>1358</v>
      </c>
      <c r="BA698" s="62" t="s">
        <v>153</v>
      </c>
      <c r="BB698" s="63" t="s">
        <v>153</v>
      </c>
      <c r="BC698" s="64" t="s">
        <v>153</v>
      </c>
      <c r="BD698" s="65" t="s">
        <v>216</v>
      </c>
      <c r="BE698" s="66" t="s">
        <v>217</v>
      </c>
      <c r="BF698" s="67" t="s">
        <v>14080</v>
      </c>
      <c r="BG698" s="68" t="s">
        <v>153</v>
      </c>
      <c r="BH698" s="69" t="s">
        <v>153</v>
      </c>
      <c r="BI698" s="70" t="s">
        <v>14081</v>
      </c>
      <c r="BJ698" s="71" t="s">
        <v>153</v>
      </c>
      <c r="BK698" s="72" t="s">
        <v>2182</v>
      </c>
      <c r="BL698" s="73" t="s">
        <v>153</v>
      </c>
      <c r="BM698" s="74" t="s">
        <v>153</v>
      </c>
      <c r="BN698" s="75" t="s">
        <v>153</v>
      </c>
      <c r="BO698" s="76" t="s">
        <v>153</v>
      </c>
      <c r="BP698" s="77" t="s">
        <v>153</v>
      </c>
      <c r="BQ698" s="78">
        <v>35290</v>
      </c>
      <c r="BR698" s="79" t="s">
        <v>153</v>
      </c>
      <c r="BS698" s="80" t="s">
        <v>153</v>
      </c>
      <c r="BT698" s="81" t="s">
        <v>153</v>
      </c>
      <c r="BU698" s="82" t="s">
        <v>153</v>
      </c>
      <c r="BV698" s="83" t="s">
        <v>251</v>
      </c>
      <c r="BW698" s="84" t="s">
        <v>153</v>
      </c>
      <c r="BX698" s="85" t="s">
        <v>153</v>
      </c>
      <c r="BY698" s="86" t="s">
        <v>252</v>
      </c>
      <c r="BZ698" s="87" t="s">
        <v>153</v>
      </c>
      <c r="CA698" s="88" t="s">
        <v>190</v>
      </c>
      <c r="CB698" s="89">
        <v>39262</v>
      </c>
      <c r="CC698" s="90">
        <v>6800</v>
      </c>
      <c r="CD698" s="91" t="s">
        <v>186</v>
      </c>
      <c r="CE698" s="92">
        <v>6800</v>
      </c>
      <c r="CF698" s="93" t="s">
        <v>187</v>
      </c>
      <c r="CG698" s="94" t="s">
        <v>226</v>
      </c>
      <c r="CH698" s="95" t="s">
        <v>153</v>
      </c>
      <c r="CI698" s="96" t="s">
        <v>153</v>
      </c>
      <c r="CJ698" s="97" t="s">
        <v>225</v>
      </c>
      <c r="CK698" s="98">
        <v>39262</v>
      </c>
      <c r="CL698" s="99" t="s">
        <v>153</v>
      </c>
      <c r="CM698" s="100" t="s">
        <v>153</v>
      </c>
      <c r="CN698" s="101" t="s">
        <v>190</v>
      </c>
      <c r="CO698" s="102" t="s">
        <v>153</v>
      </c>
      <c r="CP698" s="103" t="s">
        <v>153</v>
      </c>
      <c r="CQ698" s="104" t="s">
        <v>153</v>
      </c>
      <c r="CR698" s="105" t="s">
        <v>153</v>
      </c>
      <c r="CS698" s="106" t="s">
        <v>153</v>
      </c>
      <c r="CT698" s="107" t="s">
        <v>153</v>
      </c>
      <c r="CU698" s="108" t="s">
        <v>153</v>
      </c>
      <c r="CV698" s="109" t="s">
        <v>153</v>
      </c>
      <c r="CW698" s="110" t="s">
        <v>153</v>
      </c>
      <c r="CX698" s="111" t="s">
        <v>153</v>
      </c>
      <c r="CY698" s="112" t="s">
        <v>153</v>
      </c>
      <c r="CZ698" s="113" t="s">
        <v>153</v>
      </c>
      <c r="DA698" s="114" t="s">
        <v>153</v>
      </c>
      <c r="DB698" s="115" t="s">
        <v>153</v>
      </c>
      <c r="DC698" s="116" t="s">
        <v>153</v>
      </c>
      <c r="DD698" s="117" t="s">
        <v>153</v>
      </c>
      <c r="DE698" s="118" t="s">
        <v>153</v>
      </c>
      <c r="DF698" s="119" t="s">
        <v>153</v>
      </c>
      <c r="DG698" s="120" t="s">
        <v>153</v>
      </c>
      <c r="DH698" s="121" t="s">
        <v>153</v>
      </c>
      <c r="DI698" s="122" t="s">
        <v>153</v>
      </c>
      <c r="DJ698" s="123" t="s">
        <v>153</v>
      </c>
      <c r="DK698" s="124" t="s">
        <v>153</v>
      </c>
      <c r="DL698" s="125" t="s">
        <v>153</v>
      </c>
      <c r="DM698" s="126" t="s">
        <v>153</v>
      </c>
      <c r="DN698" s="127" t="s">
        <v>153</v>
      </c>
      <c r="DO698" s="128" t="s">
        <v>153</v>
      </c>
      <c r="DP698" s="129" t="s">
        <v>153</v>
      </c>
      <c r="DQ698" s="130" t="s">
        <v>153</v>
      </c>
      <c r="DR698" s="131" t="s">
        <v>153</v>
      </c>
      <c r="DS698" s="132" t="s">
        <v>153</v>
      </c>
      <c r="DT698" s="133" t="s">
        <v>153</v>
      </c>
      <c r="DU698" s="134" t="s">
        <v>153</v>
      </c>
      <c r="DV698" s="135" t="s">
        <v>153</v>
      </c>
      <c r="DW698" s="136" t="s">
        <v>153</v>
      </c>
      <c r="DX698" s="137" t="s">
        <v>153</v>
      </c>
      <c r="DY698" s="138" t="s">
        <v>153</v>
      </c>
      <c r="DZ698" s="139" t="s">
        <v>191</v>
      </c>
      <c r="EA698" s="140">
        <v>43755</v>
      </c>
      <c r="EB698" s="141">
        <v>6800</v>
      </c>
      <c r="EC698" s="142">
        <v>39262</v>
      </c>
      <c r="ED698" s="143" t="s">
        <v>226</v>
      </c>
      <c r="EE698" s="278" t="str">
        <f>HYPERLINK("https://my.pitchbook.com?c=159686-74", "View company online")</f>
        <v>View company online</v>
      </c>
    </row>
    <row r="699" spans="1:135" x14ac:dyDescent="0.45">
      <c r="A699" s="144" t="s">
        <v>14082</v>
      </c>
      <c r="B699" s="145" t="s">
        <v>14083</v>
      </c>
      <c r="C699" s="146" t="s">
        <v>153</v>
      </c>
      <c r="D699" s="147" t="s">
        <v>153</v>
      </c>
      <c r="E699" s="148" t="s">
        <v>153</v>
      </c>
      <c r="F699" s="149" t="s">
        <v>153</v>
      </c>
      <c r="G699" s="150" t="s">
        <v>14084</v>
      </c>
      <c r="H699" s="151" t="s">
        <v>153</v>
      </c>
      <c r="I699" s="152" t="s">
        <v>14082</v>
      </c>
      <c r="J699" s="153" t="s">
        <v>14085</v>
      </c>
      <c r="K699" s="154" t="s">
        <v>157</v>
      </c>
      <c r="L699" s="155" t="s">
        <v>158</v>
      </c>
      <c r="M699" s="156" t="s">
        <v>3842</v>
      </c>
      <c r="N699" s="157" t="s">
        <v>14086</v>
      </c>
      <c r="O699" s="158" t="s">
        <v>153</v>
      </c>
      <c r="P699" s="159" t="s">
        <v>14087</v>
      </c>
      <c r="Q699" s="160" t="s">
        <v>204</v>
      </c>
      <c r="R699" s="161" t="s">
        <v>153</v>
      </c>
      <c r="S699" s="162" t="s">
        <v>163</v>
      </c>
      <c r="T699" s="163" t="s">
        <v>205</v>
      </c>
      <c r="U699" s="164" t="s">
        <v>206</v>
      </c>
      <c r="V699" s="165" t="s">
        <v>14088</v>
      </c>
      <c r="W699" s="166">
        <v>3700</v>
      </c>
      <c r="X699" s="167" t="s">
        <v>14089</v>
      </c>
      <c r="Y699" s="168" t="s">
        <v>153</v>
      </c>
      <c r="Z699" s="169" t="s">
        <v>153</v>
      </c>
      <c r="AA699" s="170" t="s">
        <v>153</v>
      </c>
      <c r="AB699" s="171" t="s">
        <v>153</v>
      </c>
      <c r="AC699" s="172" t="s">
        <v>153</v>
      </c>
      <c r="AD699" s="173" t="s">
        <v>428</v>
      </c>
      <c r="AE699" s="174" t="s">
        <v>153</v>
      </c>
      <c r="AF699" s="175" t="s">
        <v>153</v>
      </c>
      <c r="AG699" s="176" t="s">
        <v>153</v>
      </c>
      <c r="AH699" s="177" t="s">
        <v>153</v>
      </c>
      <c r="AI699" s="178" t="s">
        <v>153</v>
      </c>
      <c r="AJ699" s="179" t="s">
        <v>153</v>
      </c>
      <c r="AK699" s="180" t="s">
        <v>153</v>
      </c>
      <c r="AL699" s="181" t="s">
        <v>153</v>
      </c>
      <c r="AM699" s="182" t="s">
        <v>153</v>
      </c>
      <c r="AN699" s="183" t="s">
        <v>1442</v>
      </c>
      <c r="AO699" s="184" t="s">
        <v>153</v>
      </c>
      <c r="AP699" s="185" t="s">
        <v>153</v>
      </c>
      <c r="AQ699" s="186" t="s">
        <v>153</v>
      </c>
      <c r="AR699" s="187" t="s">
        <v>153</v>
      </c>
      <c r="AS699" s="188" t="s">
        <v>153</v>
      </c>
      <c r="AT699" s="189" t="s">
        <v>9252</v>
      </c>
      <c r="AU699" s="190" t="s">
        <v>14090</v>
      </c>
      <c r="AV699" s="191" t="s">
        <v>14091</v>
      </c>
      <c r="AW699" s="192" t="s">
        <v>9254</v>
      </c>
      <c r="AX699" s="193" t="s">
        <v>153</v>
      </c>
      <c r="AY699" s="194" t="s">
        <v>9255</v>
      </c>
      <c r="AZ699" s="195" t="s">
        <v>352</v>
      </c>
      <c r="BA699" s="196" t="s">
        <v>153</v>
      </c>
      <c r="BB699" s="197" t="s">
        <v>153</v>
      </c>
      <c r="BC699" s="198" t="s">
        <v>153</v>
      </c>
      <c r="BD699" s="199" t="s">
        <v>180</v>
      </c>
      <c r="BE699" s="200" t="s">
        <v>181</v>
      </c>
      <c r="BF699" s="201" t="s">
        <v>14092</v>
      </c>
      <c r="BG699" s="202" t="s">
        <v>153</v>
      </c>
      <c r="BH699" s="203" t="s">
        <v>153</v>
      </c>
      <c r="BI699" s="204" t="s">
        <v>14093</v>
      </c>
      <c r="BJ699" s="205" t="s">
        <v>655</v>
      </c>
      <c r="BK699" s="206" t="s">
        <v>153</v>
      </c>
      <c r="BL699" s="207" t="s">
        <v>153</v>
      </c>
      <c r="BM699" s="208" t="s">
        <v>9258</v>
      </c>
      <c r="BN699" s="209" t="s">
        <v>153</v>
      </c>
      <c r="BO699" s="210" t="s">
        <v>7846</v>
      </c>
      <c r="BP699" s="211" t="s">
        <v>14094</v>
      </c>
      <c r="BQ699" s="212">
        <v>44044</v>
      </c>
      <c r="BR699" s="213">
        <v>6787</v>
      </c>
      <c r="BS699" s="214" t="s">
        <v>186</v>
      </c>
      <c r="BT699" s="215">
        <v>6787</v>
      </c>
      <c r="BU699" s="216" t="s">
        <v>187</v>
      </c>
      <c r="BV699" s="217" t="s">
        <v>226</v>
      </c>
      <c r="BW699" s="218" t="s">
        <v>729</v>
      </c>
      <c r="BX699" s="219" t="s">
        <v>153</v>
      </c>
      <c r="BY699" s="220" t="s">
        <v>225</v>
      </c>
      <c r="BZ699" s="221" t="s">
        <v>153</v>
      </c>
      <c r="CA699" s="222" t="s">
        <v>190</v>
      </c>
      <c r="CB699" s="223">
        <v>44044</v>
      </c>
      <c r="CC699" s="224">
        <v>6787</v>
      </c>
      <c r="CD699" s="225" t="s">
        <v>186</v>
      </c>
      <c r="CE699" s="226">
        <v>6787</v>
      </c>
      <c r="CF699" s="227" t="s">
        <v>187</v>
      </c>
      <c r="CG699" s="228" t="s">
        <v>226</v>
      </c>
      <c r="CH699" s="229" t="s">
        <v>729</v>
      </c>
      <c r="CI699" s="230" t="s">
        <v>153</v>
      </c>
      <c r="CJ699" s="231" t="s">
        <v>225</v>
      </c>
      <c r="CK699" s="232">
        <v>44044</v>
      </c>
      <c r="CL699" s="233" t="s">
        <v>153</v>
      </c>
      <c r="CM699" s="234" t="s">
        <v>153</v>
      </c>
      <c r="CN699" s="235" t="s">
        <v>190</v>
      </c>
      <c r="CO699" s="236" t="s">
        <v>153</v>
      </c>
      <c r="CP699" s="237" t="s">
        <v>153</v>
      </c>
      <c r="CQ699" s="238" t="s">
        <v>153</v>
      </c>
      <c r="CR699" s="239" t="s">
        <v>153</v>
      </c>
      <c r="CS699" s="240" t="s">
        <v>153</v>
      </c>
      <c r="CT699" s="241" t="s">
        <v>153</v>
      </c>
      <c r="CU699" s="242" t="s">
        <v>153</v>
      </c>
      <c r="CV699" s="243" t="s">
        <v>153</v>
      </c>
      <c r="CW699" s="244" t="s">
        <v>153</v>
      </c>
      <c r="CX699" s="245" t="s">
        <v>153</v>
      </c>
      <c r="CY699" s="246" t="s">
        <v>153</v>
      </c>
      <c r="CZ699" s="247" t="s">
        <v>153</v>
      </c>
      <c r="DA699" s="248" t="s">
        <v>153</v>
      </c>
      <c r="DB699" s="249" t="s">
        <v>153</v>
      </c>
      <c r="DC699" s="250" t="s">
        <v>153</v>
      </c>
      <c r="DD699" s="251" t="s">
        <v>153</v>
      </c>
      <c r="DE699" s="252" t="s">
        <v>153</v>
      </c>
      <c r="DF699" s="253" t="s">
        <v>153</v>
      </c>
      <c r="DG699" s="254" t="s">
        <v>153</v>
      </c>
      <c r="DH699" s="255" t="s">
        <v>153</v>
      </c>
      <c r="DI699" s="256" t="s">
        <v>153</v>
      </c>
      <c r="DJ699" s="257" t="s">
        <v>153</v>
      </c>
      <c r="DK699" s="258" t="s">
        <v>153</v>
      </c>
      <c r="DL699" s="259" t="s">
        <v>153</v>
      </c>
      <c r="DM699" s="260" t="s">
        <v>153</v>
      </c>
      <c r="DN699" s="261" t="s">
        <v>153</v>
      </c>
      <c r="DO699" s="262" t="s">
        <v>153</v>
      </c>
      <c r="DP699" s="263" t="s">
        <v>153</v>
      </c>
      <c r="DQ699" s="264" t="s">
        <v>153</v>
      </c>
      <c r="DR699" s="265" t="s">
        <v>153</v>
      </c>
      <c r="DS699" s="266" t="s">
        <v>153</v>
      </c>
      <c r="DT699" s="267" t="s">
        <v>153</v>
      </c>
      <c r="DU699" s="268" t="s">
        <v>153</v>
      </c>
      <c r="DV699" s="269" t="s">
        <v>153</v>
      </c>
      <c r="DW699" s="270" t="s">
        <v>153</v>
      </c>
      <c r="DX699" s="271" t="s">
        <v>153</v>
      </c>
      <c r="DY699" s="272" t="s">
        <v>153</v>
      </c>
      <c r="DZ699" s="273" t="s">
        <v>191</v>
      </c>
      <c r="EA699" s="274">
        <v>44383</v>
      </c>
      <c r="EB699" s="275">
        <v>6787</v>
      </c>
      <c r="EC699" s="276">
        <v>44044</v>
      </c>
      <c r="ED699" s="277" t="s">
        <v>226</v>
      </c>
      <c r="EE699" s="279" t="str">
        <f>HYPERLINK("https://my.pitchbook.com?c=135552-70", "View company online")</f>
        <v>View company online</v>
      </c>
    </row>
    <row r="700" spans="1:135" x14ac:dyDescent="0.45">
      <c r="A700" s="10" t="s">
        <v>14095</v>
      </c>
      <c r="B700" s="11" t="s">
        <v>14096</v>
      </c>
      <c r="C700" s="12" t="s">
        <v>153</v>
      </c>
      <c r="D700" s="13" t="s">
        <v>153</v>
      </c>
      <c r="E700" s="14" t="s">
        <v>153</v>
      </c>
      <c r="F700" s="15" t="s">
        <v>153</v>
      </c>
      <c r="G700" s="16" t="s">
        <v>153</v>
      </c>
      <c r="H700" s="17" t="s">
        <v>153</v>
      </c>
      <c r="I700" s="18" t="s">
        <v>14095</v>
      </c>
      <c r="J700" s="19" t="s">
        <v>14097</v>
      </c>
      <c r="K700" s="20" t="s">
        <v>882</v>
      </c>
      <c r="L700" s="21" t="s">
        <v>2888</v>
      </c>
      <c r="M700" s="22" t="s">
        <v>2889</v>
      </c>
      <c r="N700" s="23" t="s">
        <v>14098</v>
      </c>
      <c r="O700" s="24" t="s">
        <v>153</v>
      </c>
      <c r="P700" s="25" t="s">
        <v>14099</v>
      </c>
      <c r="Q700" s="26" t="s">
        <v>162</v>
      </c>
      <c r="R700" s="27" t="s">
        <v>153</v>
      </c>
      <c r="S700" s="28" t="s">
        <v>153</v>
      </c>
      <c r="T700" s="29" t="s">
        <v>1392</v>
      </c>
      <c r="U700" s="30" t="s">
        <v>165</v>
      </c>
      <c r="V700" s="31" t="s">
        <v>153</v>
      </c>
      <c r="W700" s="32" t="s">
        <v>153</v>
      </c>
      <c r="X700" s="33" t="s">
        <v>153</v>
      </c>
      <c r="Y700" s="34" t="s">
        <v>153</v>
      </c>
      <c r="Z700" s="35" t="s">
        <v>153</v>
      </c>
      <c r="AA700" s="36" t="s">
        <v>153</v>
      </c>
      <c r="AB700" s="37" t="s">
        <v>153</v>
      </c>
      <c r="AC700" s="38" t="s">
        <v>153</v>
      </c>
      <c r="AD700" s="39" t="s">
        <v>153</v>
      </c>
      <c r="AE700" s="40" t="s">
        <v>153</v>
      </c>
      <c r="AF700" s="41" t="s">
        <v>153</v>
      </c>
      <c r="AG700" s="42" t="s">
        <v>153</v>
      </c>
      <c r="AH700" s="43" t="s">
        <v>153</v>
      </c>
      <c r="AI700" s="44" t="s">
        <v>153</v>
      </c>
      <c r="AJ700" s="45" t="s">
        <v>153</v>
      </c>
      <c r="AK700" s="46" t="s">
        <v>153</v>
      </c>
      <c r="AL700" s="47" t="s">
        <v>153</v>
      </c>
      <c r="AM700" s="48" t="s">
        <v>153</v>
      </c>
      <c r="AN700" s="49" t="s">
        <v>153</v>
      </c>
      <c r="AO700" s="50" t="s">
        <v>153</v>
      </c>
      <c r="AP700" s="51" t="s">
        <v>153</v>
      </c>
      <c r="AQ700" s="52" t="s">
        <v>153</v>
      </c>
      <c r="AR700" s="53" t="s">
        <v>153</v>
      </c>
      <c r="AS700" s="54" t="s">
        <v>153</v>
      </c>
      <c r="AT700" s="55" t="s">
        <v>2540</v>
      </c>
      <c r="AU700" s="56" t="s">
        <v>153</v>
      </c>
      <c r="AV700" s="57" t="s">
        <v>153</v>
      </c>
      <c r="AW700" s="58" t="s">
        <v>2543</v>
      </c>
      <c r="AX700" s="59" t="s">
        <v>2544</v>
      </c>
      <c r="AY700" s="60" t="s">
        <v>153</v>
      </c>
      <c r="AZ700" s="61" t="s">
        <v>2546</v>
      </c>
      <c r="BA700" s="62" t="s">
        <v>153</v>
      </c>
      <c r="BB700" s="63" t="s">
        <v>153</v>
      </c>
      <c r="BC700" s="64" t="s">
        <v>153</v>
      </c>
      <c r="BD700" s="65" t="s">
        <v>2547</v>
      </c>
      <c r="BE700" s="66" t="s">
        <v>2547</v>
      </c>
      <c r="BF700" s="67" t="s">
        <v>14100</v>
      </c>
      <c r="BG700" s="68" t="s">
        <v>14101</v>
      </c>
      <c r="BH700" s="69">
        <v>4</v>
      </c>
      <c r="BI700" s="70" t="s">
        <v>153</v>
      </c>
      <c r="BJ700" s="71" t="s">
        <v>153</v>
      </c>
      <c r="BK700" s="72" t="s">
        <v>153</v>
      </c>
      <c r="BL700" s="73" t="s">
        <v>14102</v>
      </c>
      <c r="BM700" s="74" t="s">
        <v>153</v>
      </c>
      <c r="BN700" s="75" t="s">
        <v>153</v>
      </c>
      <c r="BO700" s="76" t="s">
        <v>14103</v>
      </c>
      <c r="BP700" s="77" t="s">
        <v>14104</v>
      </c>
      <c r="BQ700" s="78">
        <v>43342</v>
      </c>
      <c r="BR700" s="79">
        <v>6781.13</v>
      </c>
      <c r="BS700" s="80" t="s">
        <v>186</v>
      </c>
      <c r="BT700" s="81">
        <v>13296.32</v>
      </c>
      <c r="BU700" s="82" t="s">
        <v>187</v>
      </c>
      <c r="BV700" s="83" t="s">
        <v>188</v>
      </c>
      <c r="BW700" s="84" t="s">
        <v>1525</v>
      </c>
      <c r="BX700" s="85" t="s">
        <v>153</v>
      </c>
      <c r="BY700" s="86" t="s">
        <v>165</v>
      </c>
      <c r="BZ700" s="87" t="s">
        <v>153</v>
      </c>
      <c r="CA700" s="88" t="s">
        <v>190</v>
      </c>
      <c r="CB700" s="89">
        <v>43342</v>
      </c>
      <c r="CC700" s="90">
        <v>6781.13</v>
      </c>
      <c r="CD700" s="91" t="s">
        <v>186</v>
      </c>
      <c r="CE700" s="92">
        <v>13296.32</v>
      </c>
      <c r="CF700" s="93" t="s">
        <v>187</v>
      </c>
      <c r="CG700" s="94" t="s">
        <v>188</v>
      </c>
      <c r="CH700" s="95" t="s">
        <v>1525</v>
      </c>
      <c r="CI700" s="96" t="s">
        <v>153</v>
      </c>
      <c r="CJ700" s="97" t="s">
        <v>165</v>
      </c>
      <c r="CK700" s="98">
        <v>43342</v>
      </c>
      <c r="CL700" s="99" t="s">
        <v>153</v>
      </c>
      <c r="CM700" s="100" t="s">
        <v>153</v>
      </c>
      <c r="CN700" s="101" t="s">
        <v>190</v>
      </c>
      <c r="CO700" s="102" t="s">
        <v>153</v>
      </c>
      <c r="CP700" s="103" t="s">
        <v>153</v>
      </c>
      <c r="CQ700" s="104" t="s">
        <v>153</v>
      </c>
      <c r="CR700" s="105" t="s">
        <v>153</v>
      </c>
      <c r="CS700" s="106" t="s">
        <v>153</v>
      </c>
      <c r="CT700" s="107" t="s">
        <v>153</v>
      </c>
      <c r="CU700" s="108" t="s">
        <v>153</v>
      </c>
      <c r="CV700" s="109" t="s">
        <v>153</v>
      </c>
      <c r="CW700" s="110" t="s">
        <v>153</v>
      </c>
      <c r="CX700" s="111" t="s">
        <v>153</v>
      </c>
      <c r="CY700" s="112" t="s">
        <v>153</v>
      </c>
      <c r="CZ700" s="113" t="s">
        <v>153</v>
      </c>
      <c r="DA700" s="114" t="s">
        <v>153</v>
      </c>
      <c r="DB700" s="115" t="s">
        <v>153</v>
      </c>
      <c r="DC700" s="116" t="s">
        <v>153</v>
      </c>
      <c r="DD700" s="117" t="s">
        <v>153</v>
      </c>
      <c r="DE700" s="118" t="s">
        <v>153</v>
      </c>
      <c r="DF700" s="119" t="s">
        <v>153</v>
      </c>
      <c r="DG700" s="120" t="s">
        <v>153</v>
      </c>
      <c r="DH700" s="121" t="s">
        <v>153</v>
      </c>
      <c r="DI700" s="122" t="s">
        <v>153</v>
      </c>
      <c r="DJ700" s="123" t="s">
        <v>153</v>
      </c>
      <c r="DK700" s="124" t="s">
        <v>153</v>
      </c>
      <c r="DL700" s="125" t="s">
        <v>153</v>
      </c>
      <c r="DM700" s="126" t="s">
        <v>153</v>
      </c>
      <c r="DN700" s="127" t="s">
        <v>153</v>
      </c>
      <c r="DO700" s="128" t="s">
        <v>153</v>
      </c>
      <c r="DP700" s="129" t="s">
        <v>153</v>
      </c>
      <c r="DQ700" s="130" t="s">
        <v>153</v>
      </c>
      <c r="DR700" s="131" t="s">
        <v>153</v>
      </c>
      <c r="DS700" s="132" t="s">
        <v>153</v>
      </c>
      <c r="DT700" s="133" t="s">
        <v>153</v>
      </c>
      <c r="DU700" s="134" t="s">
        <v>153</v>
      </c>
      <c r="DV700" s="135" t="s">
        <v>153</v>
      </c>
      <c r="DW700" s="136" t="s">
        <v>153</v>
      </c>
      <c r="DX700" s="137" t="s">
        <v>153</v>
      </c>
      <c r="DY700" s="138" t="s">
        <v>153</v>
      </c>
      <c r="DZ700" s="139" t="s">
        <v>191</v>
      </c>
      <c r="EA700" s="140">
        <v>44117</v>
      </c>
      <c r="EB700" s="141">
        <v>13296.32</v>
      </c>
      <c r="EC700" s="142">
        <v>43342</v>
      </c>
      <c r="ED700" s="143" t="s">
        <v>188</v>
      </c>
      <c r="EE700" s="278" t="str">
        <f>HYPERLINK("https://my.pitchbook.com?c=64036-45", "View company online")</f>
        <v>View company online</v>
      </c>
    </row>
    <row r="701" spans="1:135" x14ac:dyDescent="0.45">
      <c r="A701" s="144" t="s">
        <v>14105</v>
      </c>
      <c r="B701" s="145" t="s">
        <v>14106</v>
      </c>
      <c r="C701" s="146" t="s">
        <v>153</v>
      </c>
      <c r="D701" s="147" t="s">
        <v>153</v>
      </c>
      <c r="E701" s="148" t="s">
        <v>153</v>
      </c>
      <c r="F701" s="149" t="s">
        <v>14107</v>
      </c>
      <c r="G701" s="150" t="s">
        <v>14108</v>
      </c>
      <c r="H701" s="151" t="s">
        <v>153</v>
      </c>
      <c r="I701" s="152" t="s">
        <v>14105</v>
      </c>
      <c r="J701" s="153" t="s">
        <v>14109</v>
      </c>
      <c r="K701" s="154" t="s">
        <v>882</v>
      </c>
      <c r="L701" s="155" t="s">
        <v>1231</v>
      </c>
      <c r="M701" s="156" t="s">
        <v>6539</v>
      </c>
      <c r="N701" s="157" t="s">
        <v>6540</v>
      </c>
      <c r="O701" s="158" t="s">
        <v>3141</v>
      </c>
      <c r="P701" s="159" t="s">
        <v>14110</v>
      </c>
      <c r="Q701" s="160" t="s">
        <v>204</v>
      </c>
      <c r="R701" s="161" t="s">
        <v>153</v>
      </c>
      <c r="S701" s="162" t="s">
        <v>163</v>
      </c>
      <c r="T701" s="163" t="s">
        <v>205</v>
      </c>
      <c r="U701" s="164" t="s">
        <v>206</v>
      </c>
      <c r="V701" s="165" t="s">
        <v>14111</v>
      </c>
      <c r="W701" s="166" t="s">
        <v>153</v>
      </c>
      <c r="X701" s="167" t="s">
        <v>153</v>
      </c>
      <c r="Y701" s="168" t="s">
        <v>153</v>
      </c>
      <c r="Z701" s="169" t="s">
        <v>153</v>
      </c>
      <c r="AA701" s="170">
        <v>2014</v>
      </c>
      <c r="AB701" s="171" t="s">
        <v>153</v>
      </c>
      <c r="AC701" s="172" t="s">
        <v>153</v>
      </c>
      <c r="AD701" s="173" t="s">
        <v>153</v>
      </c>
      <c r="AE701" s="174" t="s">
        <v>153</v>
      </c>
      <c r="AF701" s="175" t="s">
        <v>153</v>
      </c>
      <c r="AG701" s="176" t="s">
        <v>153</v>
      </c>
      <c r="AH701" s="177" t="s">
        <v>153</v>
      </c>
      <c r="AI701" s="178" t="s">
        <v>153</v>
      </c>
      <c r="AJ701" s="179" t="s">
        <v>153</v>
      </c>
      <c r="AK701" s="180" t="s">
        <v>153</v>
      </c>
      <c r="AL701" s="181" t="s">
        <v>153</v>
      </c>
      <c r="AM701" s="182" t="s">
        <v>153</v>
      </c>
      <c r="AN701" s="183" t="s">
        <v>153</v>
      </c>
      <c r="AO701" s="184" t="s">
        <v>153</v>
      </c>
      <c r="AP701" s="185" t="s">
        <v>153</v>
      </c>
      <c r="AQ701" s="186" t="s">
        <v>153</v>
      </c>
      <c r="AR701" s="187" t="s">
        <v>153</v>
      </c>
      <c r="AS701" s="188" t="s">
        <v>153</v>
      </c>
      <c r="AT701" s="189" t="s">
        <v>2540</v>
      </c>
      <c r="AU701" s="190" t="s">
        <v>14112</v>
      </c>
      <c r="AV701" s="191" t="s">
        <v>153</v>
      </c>
      <c r="AW701" s="192" t="s">
        <v>2543</v>
      </c>
      <c r="AX701" s="193" t="s">
        <v>2544</v>
      </c>
      <c r="AY701" s="194" t="s">
        <v>10243</v>
      </c>
      <c r="AZ701" s="195" t="s">
        <v>2546</v>
      </c>
      <c r="BA701" s="196" t="s">
        <v>153</v>
      </c>
      <c r="BB701" s="197" t="s">
        <v>153</v>
      </c>
      <c r="BC701" s="198" t="s">
        <v>153</v>
      </c>
      <c r="BD701" s="199" t="s">
        <v>2547</v>
      </c>
      <c r="BE701" s="200" t="s">
        <v>2547</v>
      </c>
      <c r="BF701" s="201" t="s">
        <v>14113</v>
      </c>
      <c r="BG701" s="202" t="s">
        <v>14114</v>
      </c>
      <c r="BH701" s="203">
        <v>1</v>
      </c>
      <c r="BI701" s="204" t="s">
        <v>14115</v>
      </c>
      <c r="BJ701" s="205" t="s">
        <v>153</v>
      </c>
      <c r="BK701" s="206" t="s">
        <v>153</v>
      </c>
      <c r="BL701" s="207" t="s">
        <v>153</v>
      </c>
      <c r="BM701" s="208" t="s">
        <v>153</v>
      </c>
      <c r="BN701" s="209" t="s">
        <v>153</v>
      </c>
      <c r="BO701" s="210" t="s">
        <v>14116</v>
      </c>
      <c r="BP701" s="211" t="s">
        <v>153</v>
      </c>
      <c r="BQ701" s="212">
        <v>43346</v>
      </c>
      <c r="BR701" s="213">
        <v>6760.34</v>
      </c>
      <c r="BS701" s="214" t="s">
        <v>186</v>
      </c>
      <c r="BT701" s="215">
        <v>13255.59</v>
      </c>
      <c r="BU701" s="216" t="s">
        <v>187</v>
      </c>
      <c r="BV701" s="217" t="s">
        <v>226</v>
      </c>
      <c r="BW701" s="218" t="s">
        <v>153</v>
      </c>
      <c r="BX701" s="219" t="s">
        <v>153</v>
      </c>
      <c r="BY701" s="220" t="s">
        <v>225</v>
      </c>
      <c r="BZ701" s="221" t="s">
        <v>153</v>
      </c>
      <c r="CA701" s="222" t="s">
        <v>190</v>
      </c>
      <c r="CB701" s="223">
        <v>43346</v>
      </c>
      <c r="CC701" s="224">
        <v>6760.34</v>
      </c>
      <c r="CD701" s="225" t="s">
        <v>186</v>
      </c>
      <c r="CE701" s="226">
        <v>13255.59</v>
      </c>
      <c r="CF701" s="227" t="s">
        <v>187</v>
      </c>
      <c r="CG701" s="228" t="s">
        <v>226</v>
      </c>
      <c r="CH701" s="229" t="s">
        <v>153</v>
      </c>
      <c r="CI701" s="230" t="s">
        <v>153</v>
      </c>
      <c r="CJ701" s="231" t="s">
        <v>225</v>
      </c>
      <c r="CK701" s="232">
        <v>43346</v>
      </c>
      <c r="CL701" s="233" t="s">
        <v>153</v>
      </c>
      <c r="CM701" s="234" t="s">
        <v>153</v>
      </c>
      <c r="CN701" s="235" t="s">
        <v>190</v>
      </c>
      <c r="CO701" s="236" t="s">
        <v>153</v>
      </c>
      <c r="CP701" s="237" t="s">
        <v>153</v>
      </c>
      <c r="CQ701" s="238" t="s">
        <v>153</v>
      </c>
      <c r="CR701" s="239" t="s">
        <v>153</v>
      </c>
      <c r="CS701" s="240" t="s">
        <v>153</v>
      </c>
      <c r="CT701" s="241" t="s">
        <v>153</v>
      </c>
      <c r="CU701" s="242" t="s">
        <v>153</v>
      </c>
      <c r="CV701" s="243" t="s">
        <v>153</v>
      </c>
      <c r="CW701" s="244" t="s">
        <v>153</v>
      </c>
      <c r="CX701" s="245" t="s">
        <v>153</v>
      </c>
      <c r="CY701" s="246" t="s">
        <v>153</v>
      </c>
      <c r="CZ701" s="247" t="s">
        <v>153</v>
      </c>
      <c r="DA701" s="248" t="s">
        <v>153</v>
      </c>
      <c r="DB701" s="249" t="s">
        <v>153</v>
      </c>
      <c r="DC701" s="250" t="s">
        <v>153</v>
      </c>
      <c r="DD701" s="251" t="s">
        <v>153</v>
      </c>
      <c r="DE701" s="252" t="s">
        <v>153</v>
      </c>
      <c r="DF701" s="253" t="s">
        <v>153</v>
      </c>
      <c r="DG701" s="254" t="s">
        <v>153</v>
      </c>
      <c r="DH701" s="255" t="s">
        <v>153</v>
      </c>
      <c r="DI701" s="256" t="s">
        <v>153</v>
      </c>
      <c r="DJ701" s="257" t="s">
        <v>153</v>
      </c>
      <c r="DK701" s="258" t="s">
        <v>153</v>
      </c>
      <c r="DL701" s="259" t="s">
        <v>153</v>
      </c>
      <c r="DM701" s="260" t="s">
        <v>153</v>
      </c>
      <c r="DN701" s="261" t="s">
        <v>153</v>
      </c>
      <c r="DO701" s="262" t="s">
        <v>153</v>
      </c>
      <c r="DP701" s="263" t="s">
        <v>153</v>
      </c>
      <c r="DQ701" s="264" t="s">
        <v>153</v>
      </c>
      <c r="DR701" s="265" t="s">
        <v>153</v>
      </c>
      <c r="DS701" s="266" t="s">
        <v>153</v>
      </c>
      <c r="DT701" s="267" t="s">
        <v>153</v>
      </c>
      <c r="DU701" s="268" t="s">
        <v>153</v>
      </c>
      <c r="DV701" s="269" t="s">
        <v>153</v>
      </c>
      <c r="DW701" s="270" t="s">
        <v>153</v>
      </c>
      <c r="DX701" s="271" t="s">
        <v>153</v>
      </c>
      <c r="DY701" s="272" t="s">
        <v>153</v>
      </c>
      <c r="DZ701" s="273" t="s">
        <v>191</v>
      </c>
      <c r="EA701" s="274">
        <v>44017</v>
      </c>
      <c r="EB701" s="275">
        <v>13255.59</v>
      </c>
      <c r="EC701" s="276">
        <v>43346</v>
      </c>
      <c r="ED701" s="277" t="s">
        <v>226</v>
      </c>
      <c r="EE701" s="279" t="str">
        <f>HYPERLINK("https://my.pitchbook.com?c=188045-02", "View company online")</f>
        <v>View company online</v>
      </c>
    </row>
    <row r="702" spans="1:135" x14ac:dyDescent="0.45">
      <c r="A702" s="10" t="s">
        <v>14117</v>
      </c>
      <c r="B702" s="11" t="s">
        <v>14118</v>
      </c>
      <c r="C702" s="12" t="s">
        <v>153</v>
      </c>
      <c r="D702" s="13" t="s">
        <v>153</v>
      </c>
      <c r="E702" s="14" t="s">
        <v>153</v>
      </c>
      <c r="F702" s="15" t="s">
        <v>153</v>
      </c>
      <c r="G702" s="16" t="s">
        <v>153</v>
      </c>
      <c r="H702" s="17" t="s">
        <v>153</v>
      </c>
      <c r="I702" s="18" t="s">
        <v>14117</v>
      </c>
      <c r="J702" s="19" t="s">
        <v>14119</v>
      </c>
      <c r="K702" s="20" t="s">
        <v>792</v>
      </c>
      <c r="L702" s="21" t="s">
        <v>841</v>
      </c>
      <c r="M702" s="22" t="s">
        <v>913</v>
      </c>
      <c r="N702" s="23" t="s">
        <v>10376</v>
      </c>
      <c r="O702" s="24" t="s">
        <v>3141</v>
      </c>
      <c r="P702" s="25" t="s">
        <v>14120</v>
      </c>
      <c r="Q702" s="26" t="s">
        <v>204</v>
      </c>
      <c r="R702" s="27" t="s">
        <v>153</v>
      </c>
      <c r="S702" s="28" t="s">
        <v>153</v>
      </c>
      <c r="T702" s="29" t="s">
        <v>1392</v>
      </c>
      <c r="U702" s="30" t="s">
        <v>206</v>
      </c>
      <c r="V702" s="31" t="s">
        <v>153</v>
      </c>
      <c r="W702" s="32" t="s">
        <v>153</v>
      </c>
      <c r="X702" s="33" t="s">
        <v>153</v>
      </c>
      <c r="Y702" s="34" t="s">
        <v>153</v>
      </c>
      <c r="Z702" s="35" t="s">
        <v>153</v>
      </c>
      <c r="AA702" s="36" t="s">
        <v>153</v>
      </c>
      <c r="AB702" s="37" t="s">
        <v>153</v>
      </c>
      <c r="AC702" s="38" t="s">
        <v>153</v>
      </c>
      <c r="AD702" s="39" t="s">
        <v>153</v>
      </c>
      <c r="AE702" s="40" t="s">
        <v>153</v>
      </c>
      <c r="AF702" s="41" t="s">
        <v>153</v>
      </c>
      <c r="AG702" s="42" t="s">
        <v>153</v>
      </c>
      <c r="AH702" s="43" t="s">
        <v>153</v>
      </c>
      <c r="AI702" s="44" t="s">
        <v>153</v>
      </c>
      <c r="AJ702" s="45" t="s">
        <v>153</v>
      </c>
      <c r="AK702" s="46" t="s">
        <v>153</v>
      </c>
      <c r="AL702" s="47" t="s">
        <v>153</v>
      </c>
      <c r="AM702" s="48" t="s">
        <v>153</v>
      </c>
      <c r="AN702" s="49" t="s">
        <v>153</v>
      </c>
      <c r="AO702" s="50" t="s">
        <v>14121</v>
      </c>
      <c r="AP702" s="51" t="s">
        <v>14122</v>
      </c>
      <c r="AQ702" s="52" t="s">
        <v>6548</v>
      </c>
      <c r="AR702" s="53" t="s">
        <v>153</v>
      </c>
      <c r="AS702" s="54" t="s">
        <v>153</v>
      </c>
      <c r="AT702" s="55" t="s">
        <v>179</v>
      </c>
      <c r="AU702" s="56" t="s">
        <v>153</v>
      </c>
      <c r="AV702" s="57" t="s">
        <v>153</v>
      </c>
      <c r="AW702" s="58" t="s">
        <v>153</v>
      </c>
      <c r="AX702" s="59" t="s">
        <v>177</v>
      </c>
      <c r="AY702" s="60" t="s">
        <v>153</v>
      </c>
      <c r="AZ702" s="61" t="s">
        <v>179</v>
      </c>
      <c r="BA702" s="62" t="s">
        <v>153</v>
      </c>
      <c r="BB702" s="63" t="s">
        <v>153</v>
      </c>
      <c r="BC702" s="64" t="s">
        <v>153</v>
      </c>
      <c r="BD702" s="65" t="s">
        <v>180</v>
      </c>
      <c r="BE702" s="66" t="s">
        <v>181</v>
      </c>
      <c r="BF702" s="67" t="s">
        <v>14123</v>
      </c>
      <c r="BG702" s="68" t="s">
        <v>14124</v>
      </c>
      <c r="BH702" s="69">
        <v>2</v>
      </c>
      <c r="BI702" s="70" t="s">
        <v>153</v>
      </c>
      <c r="BJ702" s="71" t="s">
        <v>153</v>
      </c>
      <c r="BK702" s="72" t="s">
        <v>153</v>
      </c>
      <c r="BL702" s="73" t="s">
        <v>9772</v>
      </c>
      <c r="BM702" s="74" t="s">
        <v>153</v>
      </c>
      <c r="BN702" s="75" t="s">
        <v>153</v>
      </c>
      <c r="BO702" s="76" t="s">
        <v>153</v>
      </c>
      <c r="BP702" s="77" t="s">
        <v>14125</v>
      </c>
      <c r="BQ702" s="78">
        <v>42628</v>
      </c>
      <c r="BR702" s="79">
        <v>6740.85</v>
      </c>
      <c r="BS702" s="80" t="s">
        <v>186</v>
      </c>
      <c r="BT702" s="81">
        <v>20121.93</v>
      </c>
      <c r="BU702" s="82" t="s">
        <v>186</v>
      </c>
      <c r="BV702" s="83" t="s">
        <v>906</v>
      </c>
      <c r="BW702" s="84" t="s">
        <v>153</v>
      </c>
      <c r="BX702" s="85" t="s">
        <v>153</v>
      </c>
      <c r="BY702" s="86" t="s">
        <v>225</v>
      </c>
      <c r="BZ702" s="87" t="s">
        <v>153</v>
      </c>
      <c r="CA702" s="88" t="s">
        <v>190</v>
      </c>
      <c r="CB702" s="89">
        <v>42628</v>
      </c>
      <c r="CC702" s="90">
        <v>6740.85</v>
      </c>
      <c r="CD702" s="91" t="s">
        <v>186</v>
      </c>
      <c r="CE702" s="92">
        <v>20121.93</v>
      </c>
      <c r="CF702" s="93" t="s">
        <v>186</v>
      </c>
      <c r="CG702" s="94" t="s">
        <v>906</v>
      </c>
      <c r="CH702" s="95" t="s">
        <v>153</v>
      </c>
      <c r="CI702" s="96" t="s">
        <v>153</v>
      </c>
      <c r="CJ702" s="97" t="s">
        <v>225</v>
      </c>
      <c r="CK702" s="98">
        <v>42628</v>
      </c>
      <c r="CL702" s="99" t="s">
        <v>153</v>
      </c>
      <c r="CM702" s="100" t="s">
        <v>153</v>
      </c>
      <c r="CN702" s="101" t="s">
        <v>190</v>
      </c>
      <c r="CO702" s="102" t="s">
        <v>153</v>
      </c>
      <c r="CP702" s="103" t="s">
        <v>153</v>
      </c>
      <c r="CQ702" s="104" t="s">
        <v>153</v>
      </c>
      <c r="CR702" s="105" t="s">
        <v>153</v>
      </c>
      <c r="CS702" s="106" t="s">
        <v>153</v>
      </c>
      <c r="CT702" s="107" t="s">
        <v>153</v>
      </c>
      <c r="CU702" s="108" t="s">
        <v>153</v>
      </c>
      <c r="CV702" s="109" t="s">
        <v>153</v>
      </c>
      <c r="CW702" s="110" t="s">
        <v>153</v>
      </c>
      <c r="CX702" s="111" t="s">
        <v>153</v>
      </c>
      <c r="CY702" s="112" t="s">
        <v>153</v>
      </c>
      <c r="CZ702" s="113" t="s">
        <v>153</v>
      </c>
      <c r="DA702" s="114" t="s">
        <v>153</v>
      </c>
      <c r="DB702" s="115" t="s">
        <v>153</v>
      </c>
      <c r="DC702" s="116" t="s">
        <v>153</v>
      </c>
      <c r="DD702" s="117" t="s">
        <v>153</v>
      </c>
      <c r="DE702" s="118" t="s">
        <v>153</v>
      </c>
      <c r="DF702" s="119" t="s">
        <v>153</v>
      </c>
      <c r="DG702" s="120" t="s">
        <v>153</v>
      </c>
      <c r="DH702" s="121" t="s">
        <v>153</v>
      </c>
      <c r="DI702" s="122" t="s">
        <v>153</v>
      </c>
      <c r="DJ702" s="123" t="s">
        <v>153</v>
      </c>
      <c r="DK702" s="124" t="s">
        <v>153</v>
      </c>
      <c r="DL702" s="125" t="s">
        <v>153</v>
      </c>
      <c r="DM702" s="126" t="s">
        <v>153</v>
      </c>
      <c r="DN702" s="127" t="s">
        <v>153</v>
      </c>
      <c r="DO702" s="128" t="s">
        <v>153</v>
      </c>
      <c r="DP702" s="129" t="s">
        <v>153</v>
      </c>
      <c r="DQ702" s="130" t="s">
        <v>153</v>
      </c>
      <c r="DR702" s="131" t="s">
        <v>153</v>
      </c>
      <c r="DS702" s="132" t="s">
        <v>153</v>
      </c>
      <c r="DT702" s="133" t="s">
        <v>153</v>
      </c>
      <c r="DU702" s="134" t="s">
        <v>153</v>
      </c>
      <c r="DV702" s="135" t="s">
        <v>153</v>
      </c>
      <c r="DW702" s="136" t="s">
        <v>153</v>
      </c>
      <c r="DX702" s="137" t="s">
        <v>153</v>
      </c>
      <c r="DY702" s="138" t="s">
        <v>153</v>
      </c>
      <c r="DZ702" s="139" t="s">
        <v>191</v>
      </c>
      <c r="EA702" s="140">
        <v>44147</v>
      </c>
      <c r="EB702" s="141">
        <v>20121.93</v>
      </c>
      <c r="EC702" s="142">
        <v>42628</v>
      </c>
      <c r="ED702" s="143" t="s">
        <v>906</v>
      </c>
      <c r="EE702" s="278" t="str">
        <f>HYPERLINK("https://my.pitchbook.com?c=128152-18", "View company online")</f>
        <v>View company online</v>
      </c>
    </row>
    <row r="703" spans="1:135" x14ac:dyDescent="0.45">
      <c r="A703" s="144" t="s">
        <v>14126</v>
      </c>
      <c r="B703" s="145" t="s">
        <v>14127</v>
      </c>
      <c r="C703" s="146" t="s">
        <v>153</v>
      </c>
      <c r="D703" s="147" t="s">
        <v>153</v>
      </c>
      <c r="E703" s="148" t="s">
        <v>153</v>
      </c>
      <c r="F703" s="149" t="s">
        <v>153</v>
      </c>
      <c r="G703" s="150" t="s">
        <v>14128</v>
      </c>
      <c r="H703" s="151" t="s">
        <v>14129</v>
      </c>
      <c r="I703" s="152" t="s">
        <v>14126</v>
      </c>
      <c r="J703" s="153" t="s">
        <v>14130</v>
      </c>
      <c r="K703" s="154" t="s">
        <v>198</v>
      </c>
      <c r="L703" s="155" t="s">
        <v>984</v>
      </c>
      <c r="M703" s="156" t="s">
        <v>4960</v>
      </c>
      <c r="N703" s="157" t="s">
        <v>14131</v>
      </c>
      <c r="O703" s="158" t="s">
        <v>1849</v>
      </c>
      <c r="P703" s="159" t="s">
        <v>14132</v>
      </c>
      <c r="Q703" s="160" t="s">
        <v>564</v>
      </c>
      <c r="R703" s="161" t="s">
        <v>153</v>
      </c>
      <c r="S703" s="162" t="s">
        <v>290</v>
      </c>
      <c r="T703" s="163" t="s">
        <v>205</v>
      </c>
      <c r="U703" s="164" t="s">
        <v>452</v>
      </c>
      <c r="V703" s="165" t="s">
        <v>14133</v>
      </c>
      <c r="W703" s="166">
        <v>5402</v>
      </c>
      <c r="X703" s="167" t="s">
        <v>14134</v>
      </c>
      <c r="Y703" s="168" t="s">
        <v>153</v>
      </c>
      <c r="Z703" s="169" t="s">
        <v>153</v>
      </c>
      <c r="AA703" s="170">
        <v>1990</v>
      </c>
      <c r="AB703" s="171" t="s">
        <v>153</v>
      </c>
      <c r="AC703" s="172" t="s">
        <v>153</v>
      </c>
      <c r="AD703" s="173" t="s">
        <v>153</v>
      </c>
      <c r="AE703" s="174" t="s">
        <v>153</v>
      </c>
      <c r="AF703" s="175" t="s">
        <v>153</v>
      </c>
      <c r="AG703" s="176" t="s">
        <v>153</v>
      </c>
      <c r="AH703" s="177" t="s">
        <v>153</v>
      </c>
      <c r="AI703" s="178" t="s">
        <v>153</v>
      </c>
      <c r="AJ703" s="179" t="s">
        <v>153</v>
      </c>
      <c r="AK703" s="180" t="s">
        <v>153</v>
      </c>
      <c r="AL703" s="181" t="s">
        <v>153</v>
      </c>
      <c r="AM703" s="182" t="s">
        <v>153</v>
      </c>
      <c r="AN703" s="183" t="s">
        <v>1352</v>
      </c>
      <c r="AO703" s="184" t="s">
        <v>153</v>
      </c>
      <c r="AP703" s="185" t="s">
        <v>153</v>
      </c>
      <c r="AQ703" s="186" t="s">
        <v>153</v>
      </c>
      <c r="AR703" s="187" t="s">
        <v>153</v>
      </c>
      <c r="AS703" s="188" t="s">
        <v>153</v>
      </c>
      <c r="AT703" s="189" t="s">
        <v>14135</v>
      </c>
      <c r="AU703" s="190" t="s">
        <v>14136</v>
      </c>
      <c r="AV703" s="191" t="s">
        <v>153</v>
      </c>
      <c r="AW703" s="192" t="s">
        <v>14137</v>
      </c>
      <c r="AX703" s="193" t="s">
        <v>153</v>
      </c>
      <c r="AY703" s="194" t="s">
        <v>14138</v>
      </c>
      <c r="AZ703" s="195" t="s">
        <v>701</v>
      </c>
      <c r="BA703" s="196" t="s">
        <v>153</v>
      </c>
      <c r="BB703" s="197" t="s">
        <v>153</v>
      </c>
      <c r="BC703" s="198" t="s">
        <v>153</v>
      </c>
      <c r="BD703" s="199" t="s">
        <v>180</v>
      </c>
      <c r="BE703" s="200" t="s">
        <v>181</v>
      </c>
      <c r="BF703" s="201" t="s">
        <v>14139</v>
      </c>
      <c r="BG703" s="202" t="s">
        <v>153</v>
      </c>
      <c r="BH703" s="203" t="s">
        <v>153</v>
      </c>
      <c r="BI703" s="204" t="s">
        <v>10771</v>
      </c>
      <c r="BJ703" s="205" t="s">
        <v>14140</v>
      </c>
      <c r="BK703" s="206" t="s">
        <v>153</v>
      </c>
      <c r="BL703" s="207" t="s">
        <v>153</v>
      </c>
      <c r="BM703" s="208" t="s">
        <v>14141</v>
      </c>
      <c r="BN703" s="209" t="s">
        <v>153</v>
      </c>
      <c r="BO703" s="210" t="s">
        <v>153</v>
      </c>
      <c r="BP703" s="211" t="s">
        <v>14142</v>
      </c>
      <c r="BQ703" s="212" t="s">
        <v>153</v>
      </c>
      <c r="BR703" s="213" t="s">
        <v>153</v>
      </c>
      <c r="BS703" s="214" t="s">
        <v>153</v>
      </c>
      <c r="BT703" s="215" t="s">
        <v>153</v>
      </c>
      <c r="BU703" s="216" t="s">
        <v>153</v>
      </c>
      <c r="BV703" s="217" t="s">
        <v>471</v>
      </c>
      <c r="BW703" s="218" t="s">
        <v>153</v>
      </c>
      <c r="BX703" s="219" t="s">
        <v>153</v>
      </c>
      <c r="BY703" s="220" t="s">
        <v>472</v>
      </c>
      <c r="BZ703" s="221" t="s">
        <v>153</v>
      </c>
      <c r="CA703" s="222" t="s">
        <v>190</v>
      </c>
      <c r="CB703" s="223">
        <v>39362</v>
      </c>
      <c r="CC703" s="224">
        <v>6738.19</v>
      </c>
      <c r="CD703" s="225" t="s">
        <v>187</v>
      </c>
      <c r="CE703" s="226">
        <v>6738.19</v>
      </c>
      <c r="CF703" s="227" t="s">
        <v>153</v>
      </c>
      <c r="CG703" s="228" t="s">
        <v>226</v>
      </c>
      <c r="CH703" s="229" t="s">
        <v>153</v>
      </c>
      <c r="CI703" s="230" t="s">
        <v>153</v>
      </c>
      <c r="CJ703" s="231" t="s">
        <v>225</v>
      </c>
      <c r="CK703" s="232">
        <v>39362</v>
      </c>
      <c r="CL703" s="233" t="s">
        <v>153</v>
      </c>
      <c r="CM703" s="234" t="s">
        <v>153</v>
      </c>
      <c r="CN703" s="235" t="s">
        <v>190</v>
      </c>
      <c r="CO703" s="236" t="s">
        <v>153</v>
      </c>
      <c r="CP703" s="237" t="s">
        <v>153</v>
      </c>
      <c r="CQ703" s="238" t="s">
        <v>153</v>
      </c>
      <c r="CR703" s="239" t="s">
        <v>153</v>
      </c>
      <c r="CS703" s="240" t="s">
        <v>153</v>
      </c>
      <c r="CT703" s="241" t="s">
        <v>153</v>
      </c>
      <c r="CU703" s="242" t="s">
        <v>153</v>
      </c>
      <c r="CV703" s="243" t="s">
        <v>153</v>
      </c>
      <c r="CW703" s="244" t="s">
        <v>153</v>
      </c>
      <c r="CX703" s="245" t="s">
        <v>153</v>
      </c>
      <c r="CY703" s="246" t="s">
        <v>153</v>
      </c>
      <c r="CZ703" s="247" t="s">
        <v>153</v>
      </c>
      <c r="DA703" s="248" t="s">
        <v>153</v>
      </c>
      <c r="DB703" s="249" t="s">
        <v>153</v>
      </c>
      <c r="DC703" s="250" t="s">
        <v>153</v>
      </c>
      <c r="DD703" s="251" t="s">
        <v>153</v>
      </c>
      <c r="DE703" s="252" t="s">
        <v>153</v>
      </c>
      <c r="DF703" s="253" t="s">
        <v>153</v>
      </c>
      <c r="DG703" s="254" t="s">
        <v>153</v>
      </c>
      <c r="DH703" s="255" t="s">
        <v>153</v>
      </c>
      <c r="DI703" s="256" t="s">
        <v>153</v>
      </c>
      <c r="DJ703" s="257" t="s">
        <v>153</v>
      </c>
      <c r="DK703" s="258" t="s">
        <v>153</v>
      </c>
      <c r="DL703" s="259" t="s">
        <v>153</v>
      </c>
      <c r="DM703" s="260" t="s">
        <v>153</v>
      </c>
      <c r="DN703" s="261" t="s">
        <v>153</v>
      </c>
      <c r="DO703" s="262" t="s">
        <v>153</v>
      </c>
      <c r="DP703" s="263" t="s">
        <v>153</v>
      </c>
      <c r="DQ703" s="264" t="s">
        <v>153</v>
      </c>
      <c r="DR703" s="265" t="s">
        <v>153</v>
      </c>
      <c r="DS703" s="266" t="s">
        <v>153</v>
      </c>
      <c r="DT703" s="267" t="s">
        <v>153</v>
      </c>
      <c r="DU703" s="268" t="s">
        <v>153</v>
      </c>
      <c r="DV703" s="269" t="s">
        <v>153</v>
      </c>
      <c r="DW703" s="270" t="s">
        <v>153</v>
      </c>
      <c r="DX703" s="271" t="s">
        <v>153</v>
      </c>
      <c r="DY703" s="272" t="s">
        <v>153</v>
      </c>
      <c r="DZ703" s="273" t="s">
        <v>191</v>
      </c>
      <c r="EA703" s="274">
        <v>44342</v>
      </c>
      <c r="EB703" s="275">
        <v>6738.19</v>
      </c>
      <c r="EC703" s="276">
        <v>39362</v>
      </c>
      <c r="ED703" s="277" t="s">
        <v>226</v>
      </c>
      <c r="EE703" s="279" t="str">
        <f>HYPERLINK("https://my.pitchbook.com?c=41714-74", "View company online")</f>
        <v>View company online</v>
      </c>
    </row>
    <row r="704" spans="1:135" x14ac:dyDescent="0.45">
      <c r="A704" s="10" t="s">
        <v>14143</v>
      </c>
      <c r="B704" s="11" t="s">
        <v>14144</v>
      </c>
      <c r="C704" s="12" t="s">
        <v>153</v>
      </c>
      <c r="D704" s="13" t="s">
        <v>153</v>
      </c>
      <c r="E704" s="14" t="s">
        <v>153</v>
      </c>
      <c r="F704" s="15" t="s">
        <v>3650</v>
      </c>
      <c r="G704" s="16" t="s">
        <v>14145</v>
      </c>
      <c r="H704" s="17" t="s">
        <v>14146</v>
      </c>
      <c r="I704" s="18" t="s">
        <v>14143</v>
      </c>
      <c r="J704" s="19" t="s">
        <v>14147</v>
      </c>
      <c r="K704" s="20" t="s">
        <v>157</v>
      </c>
      <c r="L704" s="21" t="s">
        <v>4190</v>
      </c>
      <c r="M704" s="22" t="s">
        <v>8421</v>
      </c>
      <c r="N704" s="23" t="s">
        <v>14148</v>
      </c>
      <c r="O704" s="24" t="s">
        <v>153</v>
      </c>
      <c r="P704" s="25" t="s">
        <v>14149</v>
      </c>
      <c r="Q704" s="26" t="s">
        <v>367</v>
      </c>
      <c r="R704" s="27" t="s">
        <v>153</v>
      </c>
      <c r="S704" s="28" t="s">
        <v>290</v>
      </c>
      <c r="T704" s="29" t="s">
        <v>291</v>
      </c>
      <c r="U704" s="30" t="s">
        <v>237</v>
      </c>
      <c r="V704" s="31" t="s">
        <v>14150</v>
      </c>
      <c r="W704" s="32">
        <v>4102</v>
      </c>
      <c r="X704" s="33" t="s">
        <v>14151</v>
      </c>
      <c r="Y704" s="34" t="s">
        <v>4435</v>
      </c>
      <c r="Z704" s="35" t="s">
        <v>14152</v>
      </c>
      <c r="AA704" s="36">
        <v>1994</v>
      </c>
      <c r="AB704" s="37" t="s">
        <v>153</v>
      </c>
      <c r="AC704" s="38" t="s">
        <v>428</v>
      </c>
      <c r="AD704" s="39" t="s">
        <v>11351</v>
      </c>
      <c r="AE704" s="40">
        <v>865.25</v>
      </c>
      <c r="AF704" s="41">
        <v>784.99</v>
      </c>
      <c r="AG704" s="42">
        <v>-178.55</v>
      </c>
      <c r="AH704" s="43">
        <v>5889.94</v>
      </c>
      <c r="AI704" s="44">
        <v>-165.97</v>
      </c>
      <c r="AJ704" s="45">
        <v>-257.72000000000003</v>
      </c>
      <c r="AK704" s="46">
        <v>5007.47</v>
      </c>
      <c r="AL704" s="47">
        <v>876.19</v>
      </c>
      <c r="AM704" s="48">
        <v>-17.420000000000002</v>
      </c>
      <c r="AN704" s="49" t="s">
        <v>299</v>
      </c>
      <c r="AO704" s="50" t="s">
        <v>14153</v>
      </c>
      <c r="AP704" s="51" t="s">
        <v>14154</v>
      </c>
      <c r="AQ704" s="52" t="s">
        <v>14155</v>
      </c>
      <c r="AR704" s="53" t="s">
        <v>14156</v>
      </c>
      <c r="AS704" s="54" t="s">
        <v>14157</v>
      </c>
      <c r="AT704" s="55" t="s">
        <v>6367</v>
      </c>
      <c r="AU704" s="56" t="s">
        <v>14158</v>
      </c>
      <c r="AV704" s="57" t="s">
        <v>14159</v>
      </c>
      <c r="AW704" s="58" t="s">
        <v>6369</v>
      </c>
      <c r="AX704" s="59" t="s">
        <v>5520</v>
      </c>
      <c r="AY704" s="60" t="s">
        <v>6370</v>
      </c>
      <c r="AZ704" s="61" t="s">
        <v>2546</v>
      </c>
      <c r="BA704" s="62" t="s">
        <v>14157</v>
      </c>
      <c r="BB704" s="63" t="s">
        <v>14160</v>
      </c>
      <c r="BC704" s="64" t="s">
        <v>153</v>
      </c>
      <c r="BD704" s="65" t="s">
        <v>2547</v>
      </c>
      <c r="BE704" s="66" t="s">
        <v>2547</v>
      </c>
      <c r="BF704" s="67" t="s">
        <v>14161</v>
      </c>
      <c r="BG704" s="68" t="s">
        <v>14162</v>
      </c>
      <c r="BH704" s="69">
        <v>2</v>
      </c>
      <c r="BI704" s="70" t="s">
        <v>153</v>
      </c>
      <c r="BJ704" s="71" t="s">
        <v>14163</v>
      </c>
      <c r="BK704" s="72" t="s">
        <v>14164</v>
      </c>
      <c r="BL704" s="73" t="s">
        <v>2881</v>
      </c>
      <c r="BM704" s="74" t="s">
        <v>14165</v>
      </c>
      <c r="BN704" s="75" t="s">
        <v>14166</v>
      </c>
      <c r="BO704" s="76" t="s">
        <v>14167</v>
      </c>
      <c r="BP704" s="77" t="s">
        <v>14168</v>
      </c>
      <c r="BQ704" s="78">
        <v>39419</v>
      </c>
      <c r="BR704" s="79" t="s">
        <v>153</v>
      </c>
      <c r="BS704" s="80" t="s">
        <v>153</v>
      </c>
      <c r="BT704" s="81" t="s">
        <v>153</v>
      </c>
      <c r="BU704" s="82" t="s">
        <v>153</v>
      </c>
      <c r="BV704" s="83" t="s">
        <v>251</v>
      </c>
      <c r="BW704" s="84" t="s">
        <v>153</v>
      </c>
      <c r="BX704" s="85" t="s">
        <v>153</v>
      </c>
      <c r="BY704" s="86" t="s">
        <v>252</v>
      </c>
      <c r="BZ704" s="87" t="s">
        <v>153</v>
      </c>
      <c r="CA704" s="88" t="s">
        <v>190</v>
      </c>
      <c r="CB704" s="89">
        <v>44400</v>
      </c>
      <c r="CC704" s="90">
        <v>6725.31</v>
      </c>
      <c r="CD704" s="91" t="s">
        <v>186</v>
      </c>
      <c r="CE704" s="92">
        <v>5978.05</v>
      </c>
      <c r="CF704" s="93" t="s">
        <v>186</v>
      </c>
      <c r="CG704" s="94" t="s">
        <v>226</v>
      </c>
      <c r="CH704" s="95" t="s">
        <v>153</v>
      </c>
      <c r="CI704" s="96" t="s">
        <v>153</v>
      </c>
      <c r="CJ704" s="97" t="s">
        <v>225</v>
      </c>
      <c r="CK704" s="98">
        <v>44400</v>
      </c>
      <c r="CL704" s="99" t="s">
        <v>153</v>
      </c>
      <c r="CM704" s="100" t="s">
        <v>153</v>
      </c>
      <c r="CN704" s="101" t="s">
        <v>394</v>
      </c>
      <c r="CO704" s="102">
        <v>-0.28999999999999998</v>
      </c>
      <c r="CP704" s="103">
        <v>6</v>
      </c>
      <c r="CQ704" s="104">
        <v>-0.23</v>
      </c>
      <c r="CR704" s="105">
        <v>-393.13</v>
      </c>
      <c r="CS704" s="106">
        <v>0.95</v>
      </c>
      <c r="CT704" s="107">
        <v>95</v>
      </c>
      <c r="CU704" s="108">
        <v>-0.13</v>
      </c>
      <c r="CV704" s="109">
        <v>13</v>
      </c>
      <c r="CW704" s="110" t="s">
        <v>153</v>
      </c>
      <c r="CX704" s="111" t="s">
        <v>153</v>
      </c>
      <c r="CY704" s="112">
        <v>0.95</v>
      </c>
      <c r="CZ704" s="113">
        <v>97</v>
      </c>
      <c r="DA704" s="114">
        <v>-0.13</v>
      </c>
      <c r="DB704" s="115">
        <v>13</v>
      </c>
      <c r="DC704" s="116">
        <v>54.74</v>
      </c>
      <c r="DD704" s="117">
        <v>99</v>
      </c>
      <c r="DE704" s="118">
        <v>0.12</v>
      </c>
      <c r="DF704" s="119">
        <v>0.22</v>
      </c>
      <c r="DG704" s="120">
        <v>40.25</v>
      </c>
      <c r="DH704" s="121">
        <v>98</v>
      </c>
      <c r="DI704" s="122">
        <v>67.78</v>
      </c>
      <c r="DJ704" s="123">
        <v>97</v>
      </c>
      <c r="DK704" s="124" t="s">
        <v>153</v>
      </c>
      <c r="DL704" s="125" t="s">
        <v>153</v>
      </c>
      <c r="DM704" s="126">
        <v>40.25</v>
      </c>
      <c r="DN704" s="127">
        <v>98</v>
      </c>
      <c r="DO704" s="128">
        <v>67.78</v>
      </c>
      <c r="DP704" s="129">
        <v>97</v>
      </c>
      <c r="DQ704" s="130" t="s">
        <v>153</v>
      </c>
      <c r="DR704" s="131" t="s">
        <v>153</v>
      </c>
      <c r="DS704" s="132" t="s">
        <v>153</v>
      </c>
      <c r="DT704" s="133">
        <v>643</v>
      </c>
      <c r="DU704" s="134">
        <v>1</v>
      </c>
      <c r="DV704" s="135">
        <v>0.16</v>
      </c>
      <c r="DW704" s="136">
        <v>21285</v>
      </c>
      <c r="DX704" s="137">
        <v>-3</v>
      </c>
      <c r="DY704" s="138">
        <v>-0.01</v>
      </c>
      <c r="DZ704" s="139" t="s">
        <v>191</v>
      </c>
      <c r="EA704" s="140">
        <v>44403</v>
      </c>
      <c r="EB704" s="141">
        <v>5978.05</v>
      </c>
      <c r="EC704" s="142">
        <v>44400</v>
      </c>
      <c r="ED704" s="143" t="s">
        <v>226</v>
      </c>
      <c r="EE704" s="278" t="str">
        <f>HYPERLINK("https://my.pitchbook.com?c=60822-91", "View company online")</f>
        <v>View company online</v>
      </c>
    </row>
    <row r="705" spans="1:135" x14ac:dyDescent="0.45">
      <c r="A705" s="144" t="s">
        <v>14169</v>
      </c>
      <c r="B705" s="145" t="s">
        <v>14170</v>
      </c>
      <c r="C705" s="146" t="s">
        <v>153</v>
      </c>
      <c r="D705" s="147" t="s">
        <v>153</v>
      </c>
      <c r="E705" s="148" t="s">
        <v>14171</v>
      </c>
      <c r="F705" s="149" t="s">
        <v>153</v>
      </c>
      <c r="G705" s="150" t="s">
        <v>14172</v>
      </c>
      <c r="H705" s="151" t="s">
        <v>14173</v>
      </c>
      <c r="I705" s="152" t="s">
        <v>14169</v>
      </c>
      <c r="J705" s="153" t="s">
        <v>14174</v>
      </c>
      <c r="K705" s="154" t="s">
        <v>882</v>
      </c>
      <c r="L705" s="155" t="s">
        <v>883</v>
      </c>
      <c r="M705" s="156" t="s">
        <v>1615</v>
      </c>
      <c r="N705" s="157" t="s">
        <v>1924</v>
      </c>
      <c r="O705" s="158" t="s">
        <v>261</v>
      </c>
      <c r="P705" s="159" t="s">
        <v>14175</v>
      </c>
      <c r="Q705" s="160" t="s">
        <v>204</v>
      </c>
      <c r="R705" s="161" t="s">
        <v>153</v>
      </c>
      <c r="S705" s="162" t="s">
        <v>290</v>
      </c>
      <c r="T705" s="163" t="s">
        <v>205</v>
      </c>
      <c r="U705" s="164" t="s">
        <v>369</v>
      </c>
      <c r="V705" s="165" t="s">
        <v>14176</v>
      </c>
      <c r="W705" s="166">
        <v>10875</v>
      </c>
      <c r="X705" s="167" t="s">
        <v>14177</v>
      </c>
      <c r="Y705" s="168" t="s">
        <v>153</v>
      </c>
      <c r="Z705" s="169" t="s">
        <v>153</v>
      </c>
      <c r="AA705" s="170">
        <v>1987</v>
      </c>
      <c r="AB705" s="171" t="s">
        <v>153</v>
      </c>
      <c r="AC705" s="172" t="s">
        <v>153</v>
      </c>
      <c r="AD705" s="173" t="s">
        <v>153</v>
      </c>
      <c r="AE705" s="174" t="s">
        <v>153</v>
      </c>
      <c r="AF705" s="175" t="s">
        <v>153</v>
      </c>
      <c r="AG705" s="176" t="s">
        <v>153</v>
      </c>
      <c r="AH705" s="177" t="s">
        <v>153</v>
      </c>
      <c r="AI705" s="178" t="s">
        <v>153</v>
      </c>
      <c r="AJ705" s="179" t="s">
        <v>153</v>
      </c>
      <c r="AK705" s="180" t="s">
        <v>153</v>
      </c>
      <c r="AL705" s="181" t="s">
        <v>153</v>
      </c>
      <c r="AM705" s="182" t="s">
        <v>153</v>
      </c>
      <c r="AN705" s="183" t="s">
        <v>2112</v>
      </c>
      <c r="AO705" s="184" t="s">
        <v>14178</v>
      </c>
      <c r="AP705" s="185" t="s">
        <v>14179</v>
      </c>
      <c r="AQ705" s="186" t="s">
        <v>14180</v>
      </c>
      <c r="AR705" s="187" t="s">
        <v>14181</v>
      </c>
      <c r="AS705" s="188" t="s">
        <v>153</v>
      </c>
      <c r="AT705" s="189" t="s">
        <v>14182</v>
      </c>
      <c r="AU705" s="190" t="s">
        <v>14183</v>
      </c>
      <c r="AV705" s="191" t="s">
        <v>153</v>
      </c>
      <c r="AW705" s="192" t="s">
        <v>14184</v>
      </c>
      <c r="AX705" s="193" t="s">
        <v>4177</v>
      </c>
      <c r="AY705" s="194" t="s">
        <v>14185</v>
      </c>
      <c r="AZ705" s="195" t="s">
        <v>215</v>
      </c>
      <c r="BA705" s="196" t="s">
        <v>153</v>
      </c>
      <c r="BB705" s="197" t="s">
        <v>153</v>
      </c>
      <c r="BC705" s="198" t="s">
        <v>153</v>
      </c>
      <c r="BD705" s="199" t="s">
        <v>216</v>
      </c>
      <c r="BE705" s="200" t="s">
        <v>217</v>
      </c>
      <c r="BF705" s="201" t="s">
        <v>14186</v>
      </c>
      <c r="BG705" s="202" t="s">
        <v>153</v>
      </c>
      <c r="BH705" s="203" t="s">
        <v>153</v>
      </c>
      <c r="BI705" s="204" t="s">
        <v>2793</v>
      </c>
      <c r="BJ705" s="205" t="s">
        <v>14187</v>
      </c>
      <c r="BK705" s="206" t="s">
        <v>14188</v>
      </c>
      <c r="BL705" s="207" t="s">
        <v>153</v>
      </c>
      <c r="BM705" s="208" t="s">
        <v>14189</v>
      </c>
      <c r="BN705" s="209" t="s">
        <v>14190</v>
      </c>
      <c r="BO705" s="210" t="s">
        <v>14191</v>
      </c>
      <c r="BP705" s="211" t="s">
        <v>14192</v>
      </c>
      <c r="BQ705" s="212">
        <v>31778</v>
      </c>
      <c r="BR705" s="213" t="s">
        <v>153</v>
      </c>
      <c r="BS705" s="214" t="s">
        <v>153</v>
      </c>
      <c r="BT705" s="215" t="s">
        <v>153</v>
      </c>
      <c r="BU705" s="216" t="s">
        <v>153</v>
      </c>
      <c r="BV705" s="217" t="s">
        <v>709</v>
      </c>
      <c r="BW705" s="218" t="s">
        <v>153</v>
      </c>
      <c r="BX705" s="219" t="s">
        <v>153</v>
      </c>
      <c r="BY705" s="220" t="s">
        <v>165</v>
      </c>
      <c r="BZ705" s="221" t="s">
        <v>153</v>
      </c>
      <c r="CA705" s="222" t="s">
        <v>190</v>
      </c>
      <c r="CB705" s="223">
        <v>42838</v>
      </c>
      <c r="CC705" s="224">
        <v>6700</v>
      </c>
      <c r="CD705" s="225" t="s">
        <v>186</v>
      </c>
      <c r="CE705" s="226">
        <v>6700</v>
      </c>
      <c r="CF705" s="227" t="s">
        <v>187</v>
      </c>
      <c r="CG705" s="228" t="s">
        <v>226</v>
      </c>
      <c r="CH705" s="229" t="s">
        <v>153</v>
      </c>
      <c r="CI705" s="230" t="s">
        <v>153</v>
      </c>
      <c r="CJ705" s="231" t="s">
        <v>225</v>
      </c>
      <c r="CK705" s="232">
        <v>42838</v>
      </c>
      <c r="CL705" s="233" t="s">
        <v>153</v>
      </c>
      <c r="CM705" s="234" t="s">
        <v>14193</v>
      </c>
      <c r="CN705" s="235" t="s">
        <v>190</v>
      </c>
      <c r="CO705" s="236" t="s">
        <v>153</v>
      </c>
      <c r="CP705" s="237" t="s">
        <v>153</v>
      </c>
      <c r="CQ705" s="238" t="s">
        <v>153</v>
      </c>
      <c r="CR705" s="239" t="s">
        <v>153</v>
      </c>
      <c r="CS705" s="240" t="s">
        <v>153</v>
      </c>
      <c r="CT705" s="241" t="s">
        <v>153</v>
      </c>
      <c r="CU705" s="242" t="s">
        <v>153</v>
      </c>
      <c r="CV705" s="243" t="s">
        <v>153</v>
      </c>
      <c r="CW705" s="244" t="s">
        <v>153</v>
      </c>
      <c r="CX705" s="245" t="s">
        <v>153</v>
      </c>
      <c r="CY705" s="246" t="s">
        <v>153</v>
      </c>
      <c r="CZ705" s="247" t="s">
        <v>153</v>
      </c>
      <c r="DA705" s="248" t="s">
        <v>153</v>
      </c>
      <c r="DB705" s="249" t="s">
        <v>153</v>
      </c>
      <c r="DC705" s="250" t="s">
        <v>153</v>
      </c>
      <c r="DD705" s="251" t="s">
        <v>153</v>
      </c>
      <c r="DE705" s="252" t="s">
        <v>153</v>
      </c>
      <c r="DF705" s="253" t="s">
        <v>153</v>
      </c>
      <c r="DG705" s="254" t="s">
        <v>153</v>
      </c>
      <c r="DH705" s="255" t="s">
        <v>153</v>
      </c>
      <c r="DI705" s="256" t="s">
        <v>153</v>
      </c>
      <c r="DJ705" s="257" t="s">
        <v>153</v>
      </c>
      <c r="DK705" s="258" t="s">
        <v>153</v>
      </c>
      <c r="DL705" s="259" t="s">
        <v>153</v>
      </c>
      <c r="DM705" s="260" t="s">
        <v>153</v>
      </c>
      <c r="DN705" s="261" t="s">
        <v>153</v>
      </c>
      <c r="DO705" s="262" t="s">
        <v>153</v>
      </c>
      <c r="DP705" s="263" t="s">
        <v>153</v>
      </c>
      <c r="DQ705" s="264" t="s">
        <v>153</v>
      </c>
      <c r="DR705" s="265" t="s">
        <v>153</v>
      </c>
      <c r="DS705" s="266" t="s">
        <v>153</v>
      </c>
      <c r="DT705" s="267" t="s">
        <v>153</v>
      </c>
      <c r="DU705" s="268" t="s">
        <v>153</v>
      </c>
      <c r="DV705" s="269" t="s">
        <v>153</v>
      </c>
      <c r="DW705" s="270" t="s">
        <v>153</v>
      </c>
      <c r="DX705" s="271" t="s">
        <v>153</v>
      </c>
      <c r="DY705" s="272" t="s">
        <v>153</v>
      </c>
      <c r="DZ705" s="273" t="s">
        <v>191</v>
      </c>
      <c r="EA705" s="274">
        <v>44327</v>
      </c>
      <c r="EB705" s="275">
        <v>6700</v>
      </c>
      <c r="EC705" s="276">
        <v>42838</v>
      </c>
      <c r="ED705" s="277" t="s">
        <v>226</v>
      </c>
      <c r="EE705" s="279" t="str">
        <f>HYPERLINK("https://my.pitchbook.com?c=41058-46", "View company online")</f>
        <v>View company online</v>
      </c>
    </row>
    <row r="706" spans="1:135" x14ac:dyDescent="0.45">
      <c r="A706" s="10" t="s">
        <v>14194</v>
      </c>
      <c r="B706" s="11" t="s">
        <v>14195</v>
      </c>
      <c r="C706" s="12" t="s">
        <v>153</v>
      </c>
      <c r="D706" s="13" t="s">
        <v>153</v>
      </c>
      <c r="E706" s="14" t="s">
        <v>14196</v>
      </c>
      <c r="F706" s="15" t="s">
        <v>14197</v>
      </c>
      <c r="G706" s="16" t="s">
        <v>14198</v>
      </c>
      <c r="H706" s="17" t="s">
        <v>14199</v>
      </c>
      <c r="I706" s="18" t="s">
        <v>14194</v>
      </c>
      <c r="J706" s="19" t="s">
        <v>14200</v>
      </c>
      <c r="K706" s="20" t="s">
        <v>198</v>
      </c>
      <c r="L706" s="21" t="s">
        <v>1846</v>
      </c>
      <c r="M706" s="22" t="s">
        <v>1847</v>
      </c>
      <c r="N706" s="23" t="s">
        <v>6344</v>
      </c>
      <c r="O706" s="24" t="s">
        <v>5594</v>
      </c>
      <c r="P706" s="25" t="s">
        <v>14201</v>
      </c>
      <c r="Q706" s="26" t="s">
        <v>564</v>
      </c>
      <c r="R706" s="27">
        <v>1356.56</v>
      </c>
      <c r="S706" s="28" t="s">
        <v>368</v>
      </c>
      <c r="T706" s="29" t="s">
        <v>291</v>
      </c>
      <c r="U706" s="30" t="s">
        <v>565</v>
      </c>
      <c r="V706" s="31" t="s">
        <v>14202</v>
      </c>
      <c r="W706" s="32">
        <v>731</v>
      </c>
      <c r="X706" s="33" t="s">
        <v>14203</v>
      </c>
      <c r="Y706" s="34" t="s">
        <v>372</v>
      </c>
      <c r="Z706" s="35" t="s">
        <v>14197</v>
      </c>
      <c r="AA706" s="36">
        <v>2005</v>
      </c>
      <c r="AB706" s="37" t="s">
        <v>153</v>
      </c>
      <c r="AC706" s="38" t="s">
        <v>570</v>
      </c>
      <c r="AD706" s="39" t="s">
        <v>1736</v>
      </c>
      <c r="AE706" s="40">
        <v>561.80999999999995</v>
      </c>
      <c r="AF706" s="41">
        <v>370.68</v>
      </c>
      <c r="AG706" s="42">
        <v>15.73</v>
      </c>
      <c r="AH706" s="43">
        <v>6452.44</v>
      </c>
      <c r="AI706" s="44">
        <v>209.6</v>
      </c>
      <c r="AJ706" s="45">
        <v>46.83</v>
      </c>
      <c r="AK706" s="46">
        <v>5989.44</v>
      </c>
      <c r="AL706" s="47">
        <v>1882.14</v>
      </c>
      <c r="AM706" s="48">
        <v>13.63</v>
      </c>
      <c r="AN706" s="49" t="s">
        <v>376</v>
      </c>
      <c r="AO706" s="50" t="s">
        <v>14204</v>
      </c>
      <c r="AP706" s="51" t="s">
        <v>14205</v>
      </c>
      <c r="AQ706" s="52" t="s">
        <v>4199</v>
      </c>
      <c r="AR706" s="53" t="s">
        <v>14206</v>
      </c>
      <c r="AS706" s="54" t="s">
        <v>14207</v>
      </c>
      <c r="AT706" s="55" t="s">
        <v>14208</v>
      </c>
      <c r="AU706" s="56" t="s">
        <v>14209</v>
      </c>
      <c r="AV706" s="57" t="s">
        <v>153</v>
      </c>
      <c r="AW706" s="58" t="s">
        <v>14210</v>
      </c>
      <c r="AX706" s="59" t="s">
        <v>4835</v>
      </c>
      <c r="AY706" s="60" t="s">
        <v>14211</v>
      </c>
      <c r="AZ706" s="61" t="s">
        <v>215</v>
      </c>
      <c r="BA706" s="62" t="s">
        <v>14207</v>
      </c>
      <c r="BB706" s="63" t="s">
        <v>153</v>
      </c>
      <c r="BC706" s="64" t="s">
        <v>14212</v>
      </c>
      <c r="BD706" s="65" t="s">
        <v>216</v>
      </c>
      <c r="BE706" s="66" t="s">
        <v>217</v>
      </c>
      <c r="BF706" s="67" t="s">
        <v>14213</v>
      </c>
      <c r="BG706" s="68" t="s">
        <v>153</v>
      </c>
      <c r="BH706" s="69" t="s">
        <v>153</v>
      </c>
      <c r="BI706" s="70" t="s">
        <v>153</v>
      </c>
      <c r="BJ706" s="71" t="s">
        <v>14214</v>
      </c>
      <c r="BK706" s="72" t="s">
        <v>2879</v>
      </c>
      <c r="BL706" s="73" t="s">
        <v>153</v>
      </c>
      <c r="BM706" s="74" t="s">
        <v>14215</v>
      </c>
      <c r="BN706" s="75" t="s">
        <v>2881</v>
      </c>
      <c r="BO706" s="76" t="s">
        <v>14216</v>
      </c>
      <c r="BP706" s="77" t="s">
        <v>14217</v>
      </c>
      <c r="BQ706" s="78">
        <v>40113</v>
      </c>
      <c r="BR706" s="79">
        <v>150</v>
      </c>
      <c r="BS706" s="80" t="s">
        <v>186</v>
      </c>
      <c r="BT706" s="81" t="s">
        <v>153</v>
      </c>
      <c r="BU706" s="82" t="s">
        <v>153</v>
      </c>
      <c r="BV706" s="83" t="s">
        <v>709</v>
      </c>
      <c r="BW706" s="84" t="s">
        <v>153</v>
      </c>
      <c r="BX706" s="85" t="s">
        <v>153</v>
      </c>
      <c r="BY706" s="86" t="s">
        <v>165</v>
      </c>
      <c r="BZ706" s="87" t="s">
        <v>153</v>
      </c>
      <c r="CA706" s="88" t="s">
        <v>190</v>
      </c>
      <c r="CB706" s="89">
        <v>44355</v>
      </c>
      <c r="CC706" s="90">
        <v>6700</v>
      </c>
      <c r="CD706" s="91" t="s">
        <v>187</v>
      </c>
      <c r="CE706" s="92">
        <v>10000</v>
      </c>
      <c r="CF706" s="93" t="s">
        <v>186</v>
      </c>
      <c r="CG706" s="94" t="s">
        <v>188</v>
      </c>
      <c r="CH706" s="95" t="s">
        <v>153</v>
      </c>
      <c r="CI706" s="96" t="s">
        <v>153</v>
      </c>
      <c r="CJ706" s="97" t="s">
        <v>165</v>
      </c>
      <c r="CK706" s="98">
        <v>44355</v>
      </c>
      <c r="CL706" s="99" t="s">
        <v>153</v>
      </c>
      <c r="CM706" s="100" t="s">
        <v>153</v>
      </c>
      <c r="CN706" s="101" t="s">
        <v>1278</v>
      </c>
      <c r="CO706" s="102">
        <v>1.0900000000000001</v>
      </c>
      <c r="CP706" s="103">
        <v>96</v>
      </c>
      <c r="CQ706" s="104">
        <v>-0.02</v>
      </c>
      <c r="CR706" s="105">
        <v>-1.58</v>
      </c>
      <c r="CS706" s="106">
        <v>3.77</v>
      </c>
      <c r="CT706" s="107">
        <v>99</v>
      </c>
      <c r="CU706" s="108">
        <v>0.01</v>
      </c>
      <c r="CV706" s="109">
        <v>77</v>
      </c>
      <c r="CW706" s="110">
        <v>6.98</v>
      </c>
      <c r="CX706" s="111">
        <v>97</v>
      </c>
      <c r="CY706" s="112">
        <v>0.56000000000000005</v>
      </c>
      <c r="CZ706" s="113">
        <v>95</v>
      </c>
      <c r="DA706" s="114">
        <v>0.01</v>
      </c>
      <c r="DB706" s="115">
        <v>77</v>
      </c>
      <c r="DC706" s="116">
        <v>16.47</v>
      </c>
      <c r="DD706" s="117">
        <v>95</v>
      </c>
      <c r="DE706" s="118">
        <v>-0.04</v>
      </c>
      <c r="DF706" s="119">
        <v>-0.22</v>
      </c>
      <c r="DG706" s="120">
        <v>33.03</v>
      </c>
      <c r="DH706" s="121">
        <v>97</v>
      </c>
      <c r="DI706" s="122">
        <v>11.75</v>
      </c>
      <c r="DJ706" s="123">
        <v>88</v>
      </c>
      <c r="DK706" s="124">
        <v>10.3</v>
      </c>
      <c r="DL706" s="125">
        <v>86</v>
      </c>
      <c r="DM706" s="126">
        <v>55.75</v>
      </c>
      <c r="DN706" s="127">
        <v>98</v>
      </c>
      <c r="DO706" s="128">
        <v>11.75</v>
      </c>
      <c r="DP706" s="129">
        <v>88</v>
      </c>
      <c r="DQ706" s="130">
        <v>5971</v>
      </c>
      <c r="DR706" s="131">
        <v>501</v>
      </c>
      <c r="DS706" s="132">
        <v>9.16</v>
      </c>
      <c r="DT706" s="133">
        <v>894</v>
      </c>
      <c r="DU706" s="134">
        <v>-2</v>
      </c>
      <c r="DV706" s="135">
        <v>-0.22</v>
      </c>
      <c r="DW706" s="136">
        <v>3689</v>
      </c>
      <c r="DX706" s="137">
        <v>0</v>
      </c>
      <c r="DY706" s="138">
        <v>0</v>
      </c>
      <c r="DZ706" s="139" t="s">
        <v>191</v>
      </c>
      <c r="EA706" s="140">
        <v>44385</v>
      </c>
      <c r="EB706" s="141">
        <v>10000</v>
      </c>
      <c r="EC706" s="142">
        <v>44355</v>
      </c>
      <c r="ED706" s="143" t="s">
        <v>188</v>
      </c>
      <c r="EE706" s="278" t="str">
        <f>HYPERLINK("https://my.pitchbook.com?c=42254-92", "View company online")</f>
        <v>View company online</v>
      </c>
    </row>
    <row r="707" spans="1:135" x14ac:dyDescent="0.45">
      <c r="A707" s="144" t="s">
        <v>14218</v>
      </c>
      <c r="B707" s="145" t="s">
        <v>14219</v>
      </c>
      <c r="C707" s="146" t="s">
        <v>153</v>
      </c>
      <c r="D707" s="147" t="s">
        <v>153</v>
      </c>
      <c r="E707" s="148" t="s">
        <v>14220</v>
      </c>
      <c r="F707" s="149" t="s">
        <v>153</v>
      </c>
      <c r="G707" s="150" t="s">
        <v>14221</v>
      </c>
      <c r="H707" s="151" t="s">
        <v>14222</v>
      </c>
      <c r="I707" s="152" t="s">
        <v>14218</v>
      </c>
      <c r="J707" s="153" t="s">
        <v>14223</v>
      </c>
      <c r="K707" s="154" t="s">
        <v>198</v>
      </c>
      <c r="L707" s="155" t="s">
        <v>199</v>
      </c>
      <c r="M707" s="156" t="s">
        <v>344</v>
      </c>
      <c r="N707" s="157" t="s">
        <v>8866</v>
      </c>
      <c r="O707" s="158" t="s">
        <v>202</v>
      </c>
      <c r="P707" s="159" t="s">
        <v>14224</v>
      </c>
      <c r="Q707" s="160" t="s">
        <v>162</v>
      </c>
      <c r="R707" s="161">
        <v>5481.87</v>
      </c>
      <c r="S707" s="162" t="s">
        <v>290</v>
      </c>
      <c r="T707" s="163" t="s">
        <v>291</v>
      </c>
      <c r="U707" s="164" t="s">
        <v>565</v>
      </c>
      <c r="V707" s="165" t="s">
        <v>14225</v>
      </c>
      <c r="W707" s="166">
        <v>7038</v>
      </c>
      <c r="X707" s="167" t="s">
        <v>14226</v>
      </c>
      <c r="Y707" s="168" t="s">
        <v>14227</v>
      </c>
      <c r="Z707" s="169" t="s">
        <v>14228</v>
      </c>
      <c r="AA707" s="170">
        <v>1990</v>
      </c>
      <c r="AB707" s="171" t="s">
        <v>153</v>
      </c>
      <c r="AC707" s="172" t="s">
        <v>153</v>
      </c>
      <c r="AD707" s="173" t="s">
        <v>428</v>
      </c>
      <c r="AE707" s="174">
        <v>2494.83</v>
      </c>
      <c r="AF707" s="175">
        <v>1765.24</v>
      </c>
      <c r="AG707" s="176">
        <v>35.200000000000003</v>
      </c>
      <c r="AH707" s="177" t="s">
        <v>153</v>
      </c>
      <c r="AI707" s="178">
        <v>602.54999999999995</v>
      </c>
      <c r="AJ707" s="179">
        <v>231.1</v>
      </c>
      <c r="AK707" s="180">
        <v>4078.43</v>
      </c>
      <c r="AL707" s="181">
        <v>4260.26</v>
      </c>
      <c r="AM707" s="182">
        <v>-5.46</v>
      </c>
      <c r="AN707" s="183" t="s">
        <v>376</v>
      </c>
      <c r="AO707" s="184" t="s">
        <v>14229</v>
      </c>
      <c r="AP707" s="185" t="s">
        <v>14230</v>
      </c>
      <c r="AQ707" s="186" t="s">
        <v>14231</v>
      </c>
      <c r="AR707" s="187" t="s">
        <v>153</v>
      </c>
      <c r="AS707" s="188" t="s">
        <v>14232</v>
      </c>
      <c r="AT707" s="189" t="s">
        <v>14233</v>
      </c>
      <c r="AU707" s="190" t="s">
        <v>14234</v>
      </c>
      <c r="AV707" s="191" t="s">
        <v>153</v>
      </c>
      <c r="AW707" s="192" t="s">
        <v>14235</v>
      </c>
      <c r="AX707" s="193" t="s">
        <v>153</v>
      </c>
      <c r="AY707" s="194" t="s">
        <v>14236</v>
      </c>
      <c r="AZ707" s="195" t="s">
        <v>9343</v>
      </c>
      <c r="BA707" s="196" t="s">
        <v>14237</v>
      </c>
      <c r="BB707" s="197" t="s">
        <v>153</v>
      </c>
      <c r="BC707" s="198" t="s">
        <v>153</v>
      </c>
      <c r="BD707" s="199" t="s">
        <v>180</v>
      </c>
      <c r="BE707" s="200" t="s">
        <v>2051</v>
      </c>
      <c r="BF707" s="201" t="s">
        <v>14238</v>
      </c>
      <c r="BG707" s="202" t="s">
        <v>14239</v>
      </c>
      <c r="BH707" s="203">
        <v>4</v>
      </c>
      <c r="BI707" s="204" t="s">
        <v>153</v>
      </c>
      <c r="BJ707" s="205" t="s">
        <v>14240</v>
      </c>
      <c r="BK707" s="206" t="s">
        <v>12958</v>
      </c>
      <c r="BL707" s="207" t="s">
        <v>14241</v>
      </c>
      <c r="BM707" s="208" t="s">
        <v>14242</v>
      </c>
      <c r="BN707" s="209" t="s">
        <v>12960</v>
      </c>
      <c r="BO707" s="210" t="s">
        <v>14243</v>
      </c>
      <c r="BP707" s="211" t="s">
        <v>14244</v>
      </c>
      <c r="BQ707" s="212">
        <v>38706</v>
      </c>
      <c r="BR707" s="213">
        <v>15848.85</v>
      </c>
      <c r="BS707" s="214" t="s">
        <v>186</v>
      </c>
      <c r="BT707" s="215">
        <v>17969.22</v>
      </c>
      <c r="BU707" s="216" t="s">
        <v>187</v>
      </c>
      <c r="BV707" s="217" t="s">
        <v>188</v>
      </c>
      <c r="BW707" s="218" t="s">
        <v>153</v>
      </c>
      <c r="BX707" s="219" t="s">
        <v>153</v>
      </c>
      <c r="BY707" s="220" t="s">
        <v>165</v>
      </c>
      <c r="BZ707" s="221" t="s">
        <v>14245</v>
      </c>
      <c r="CA707" s="222" t="s">
        <v>190</v>
      </c>
      <c r="CB707" s="223">
        <v>43224</v>
      </c>
      <c r="CC707" s="224">
        <v>6700</v>
      </c>
      <c r="CD707" s="225" t="s">
        <v>186</v>
      </c>
      <c r="CE707" s="226">
        <v>6700</v>
      </c>
      <c r="CF707" s="227" t="s">
        <v>187</v>
      </c>
      <c r="CG707" s="228" t="s">
        <v>188</v>
      </c>
      <c r="CH707" s="229" t="s">
        <v>930</v>
      </c>
      <c r="CI707" s="230" t="s">
        <v>153</v>
      </c>
      <c r="CJ707" s="231" t="s">
        <v>165</v>
      </c>
      <c r="CK707" s="232">
        <v>43224</v>
      </c>
      <c r="CL707" s="233" t="s">
        <v>153</v>
      </c>
      <c r="CM707" s="234" t="s">
        <v>14246</v>
      </c>
      <c r="CN707" s="235" t="s">
        <v>190</v>
      </c>
      <c r="CO707" s="236">
        <v>-0.03</v>
      </c>
      <c r="CP707" s="237">
        <v>10</v>
      </c>
      <c r="CQ707" s="238">
        <v>0</v>
      </c>
      <c r="CR707" s="239">
        <v>0</v>
      </c>
      <c r="CS707" s="240" t="s">
        <v>153</v>
      </c>
      <c r="CT707" s="241" t="s">
        <v>153</v>
      </c>
      <c r="CU707" s="242">
        <v>-0.03</v>
      </c>
      <c r="CV707" s="243">
        <v>36</v>
      </c>
      <c r="CW707" s="244" t="s">
        <v>153</v>
      </c>
      <c r="CX707" s="245" t="s">
        <v>153</v>
      </c>
      <c r="CY707" s="246" t="s">
        <v>153</v>
      </c>
      <c r="CZ707" s="247" t="s">
        <v>153</v>
      </c>
      <c r="DA707" s="248">
        <v>-0.03</v>
      </c>
      <c r="DB707" s="249">
        <v>36</v>
      </c>
      <c r="DC707" s="250">
        <v>4.29</v>
      </c>
      <c r="DD707" s="251">
        <v>82</v>
      </c>
      <c r="DE707" s="252">
        <v>0.03</v>
      </c>
      <c r="DF707" s="253">
        <v>0.64</v>
      </c>
      <c r="DG707" s="254" t="s">
        <v>153</v>
      </c>
      <c r="DH707" s="255" t="s">
        <v>153</v>
      </c>
      <c r="DI707" s="256">
        <v>4.29</v>
      </c>
      <c r="DJ707" s="257">
        <v>76</v>
      </c>
      <c r="DK707" s="258" t="s">
        <v>153</v>
      </c>
      <c r="DL707" s="259" t="s">
        <v>153</v>
      </c>
      <c r="DM707" s="260" t="s">
        <v>153</v>
      </c>
      <c r="DN707" s="261" t="s">
        <v>153</v>
      </c>
      <c r="DO707" s="262">
        <v>4.29</v>
      </c>
      <c r="DP707" s="263">
        <v>76</v>
      </c>
      <c r="DQ707" s="264" t="s">
        <v>153</v>
      </c>
      <c r="DR707" s="265" t="s">
        <v>153</v>
      </c>
      <c r="DS707" s="266" t="s">
        <v>153</v>
      </c>
      <c r="DT707" s="267" t="s">
        <v>153</v>
      </c>
      <c r="DU707" s="268" t="s">
        <v>153</v>
      </c>
      <c r="DV707" s="269" t="s">
        <v>153</v>
      </c>
      <c r="DW707" s="270">
        <v>1346</v>
      </c>
      <c r="DX707" s="271">
        <v>0</v>
      </c>
      <c r="DY707" s="272">
        <v>0</v>
      </c>
      <c r="DZ707" s="273" t="s">
        <v>191</v>
      </c>
      <c r="EA707" s="274">
        <v>44298</v>
      </c>
      <c r="EB707" s="275">
        <v>6700</v>
      </c>
      <c r="EC707" s="276">
        <v>43224</v>
      </c>
      <c r="ED707" s="277" t="s">
        <v>188</v>
      </c>
      <c r="EE707" s="279" t="str">
        <f>HYPERLINK("https://my.pitchbook.com?c=10547-20", "View company online")</f>
        <v>View company online</v>
      </c>
    </row>
    <row r="708" spans="1:135" x14ac:dyDescent="0.45">
      <c r="A708" s="10" t="s">
        <v>14247</v>
      </c>
      <c r="B708" s="11" t="s">
        <v>14248</v>
      </c>
      <c r="C708" s="12" t="s">
        <v>153</v>
      </c>
      <c r="D708" s="13" t="s">
        <v>153</v>
      </c>
      <c r="E708" s="14" t="s">
        <v>153</v>
      </c>
      <c r="F708" s="15" t="s">
        <v>14249</v>
      </c>
      <c r="G708" s="16" t="s">
        <v>14250</v>
      </c>
      <c r="H708" s="17" t="s">
        <v>14251</v>
      </c>
      <c r="I708" s="18" t="s">
        <v>14247</v>
      </c>
      <c r="J708" s="19" t="s">
        <v>14252</v>
      </c>
      <c r="K708" s="20" t="s">
        <v>882</v>
      </c>
      <c r="L708" s="21" t="s">
        <v>883</v>
      </c>
      <c r="M708" s="22" t="s">
        <v>7704</v>
      </c>
      <c r="N708" s="23" t="s">
        <v>14253</v>
      </c>
      <c r="O708" s="24" t="s">
        <v>1088</v>
      </c>
      <c r="P708" s="25" t="s">
        <v>14254</v>
      </c>
      <c r="Q708" s="26" t="s">
        <v>204</v>
      </c>
      <c r="R708" s="27">
        <v>532.98</v>
      </c>
      <c r="S708" s="28" t="s">
        <v>290</v>
      </c>
      <c r="T708" s="29" t="s">
        <v>205</v>
      </c>
      <c r="U708" s="30" t="s">
        <v>369</v>
      </c>
      <c r="V708" s="31" t="s">
        <v>14255</v>
      </c>
      <c r="W708" s="32">
        <v>7900</v>
      </c>
      <c r="X708" s="33" t="s">
        <v>14256</v>
      </c>
      <c r="Y708" s="34" t="s">
        <v>153</v>
      </c>
      <c r="Z708" s="35" t="s">
        <v>153</v>
      </c>
      <c r="AA708" s="36">
        <v>2004</v>
      </c>
      <c r="AB708" s="37" t="s">
        <v>153</v>
      </c>
      <c r="AC708" s="38" t="s">
        <v>153</v>
      </c>
      <c r="AD708" s="39" t="s">
        <v>153</v>
      </c>
      <c r="AE708" s="40" t="s">
        <v>153</v>
      </c>
      <c r="AF708" s="41" t="s">
        <v>153</v>
      </c>
      <c r="AG708" s="42" t="s">
        <v>153</v>
      </c>
      <c r="AH708" s="43" t="s">
        <v>153</v>
      </c>
      <c r="AI708" s="44" t="s">
        <v>153</v>
      </c>
      <c r="AJ708" s="45" t="s">
        <v>153</v>
      </c>
      <c r="AK708" s="46" t="s">
        <v>153</v>
      </c>
      <c r="AL708" s="47" t="s">
        <v>153</v>
      </c>
      <c r="AM708" s="48" t="s">
        <v>153</v>
      </c>
      <c r="AN708" s="49" t="s">
        <v>1046</v>
      </c>
      <c r="AO708" s="50" t="s">
        <v>153</v>
      </c>
      <c r="AP708" s="51" t="s">
        <v>153</v>
      </c>
      <c r="AQ708" s="52" t="s">
        <v>153</v>
      </c>
      <c r="AR708" s="53" t="s">
        <v>153</v>
      </c>
      <c r="AS708" s="54" t="s">
        <v>153</v>
      </c>
      <c r="AT708" s="55" t="s">
        <v>1124</v>
      </c>
      <c r="AU708" s="56" t="s">
        <v>14257</v>
      </c>
      <c r="AV708" s="57" t="s">
        <v>1126</v>
      </c>
      <c r="AW708" s="58" t="s">
        <v>1127</v>
      </c>
      <c r="AX708" s="59" t="s">
        <v>1128</v>
      </c>
      <c r="AY708" s="60" t="s">
        <v>14258</v>
      </c>
      <c r="AZ708" s="61" t="s">
        <v>215</v>
      </c>
      <c r="BA708" s="62" t="s">
        <v>153</v>
      </c>
      <c r="BB708" s="63" t="s">
        <v>153</v>
      </c>
      <c r="BC708" s="64" t="s">
        <v>153</v>
      </c>
      <c r="BD708" s="65" t="s">
        <v>216</v>
      </c>
      <c r="BE708" s="66" t="s">
        <v>217</v>
      </c>
      <c r="BF708" s="67" t="s">
        <v>14259</v>
      </c>
      <c r="BG708" s="68" t="s">
        <v>153</v>
      </c>
      <c r="BH708" s="69" t="s">
        <v>153</v>
      </c>
      <c r="BI708" s="70" t="s">
        <v>7481</v>
      </c>
      <c r="BJ708" s="71" t="s">
        <v>12525</v>
      </c>
      <c r="BK708" s="72" t="s">
        <v>153</v>
      </c>
      <c r="BL708" s="73" t="s">
        <v>153</v>
      </c>
      <c r="BM708" s="74" t="s">
        <v>12526</v>
      </c>
      <c r="BN708" s="75" t="s">
        <v>153</v>
      </c>
      <c r="BO708" s="76" t="s">
        <v>153</v>
      </c>
      <c r="BP708" s="77" t="s">
        <v>14260</v>
      </c>
      <c r="BQ708" s="78">
        <v>38261</v>
      </c>
      <c r="BR708" s="79">
        <v>1200</v>
      </c>
      <c r="BS708" s="80" t="s">
        <v>186</v>
      </c>
      <c r="BT708" s="81">
        <v>1200</v>
      </c>
      <c r="BU708" s="82" t="s">
        <v>153</v>
      </c>
      <c r="BV708" s="83" t="s">
        <v>188</v>
      </c>
      <c r="BW708" s="84" t="s">
        <v>153</v>
      </c>
      <c r="BX708" s="85" t="s">
        <v>153</v>
      </c>
      <c r="BY708" s="86" t="s">
        <v>165</v>
      </c>
      <c r="BZ708" s="87" t="s">
        <v>153</v>
      </c>
      <c r="CA708" s="88" t="s">
        <v>190</v>
      </c>
      <c r="CB708" s="89">
        <v>42185</v>
      </c>
      <c r="CC708" s="90">
        <v>6669.94</v>
      </c>
      <c r="CD708" s="91" t="s">
        <v>186</v>
      </c>
      <c r="CE708" s="92">
        <v>6669.94</v>
      </c>
      <c r="CF708" s="93" t="s">
        <v>186</v>
      </c>
      <c r="CG708" s="94" t="s">
        <v>226</v>
      </c>
      <c r="CH708" s="95" t="s">
        <v>153</v>
      </c>
      <c r="CI708" s="96" t="s">
        <v>153</v>
      </c>
      <c r="CJ708" s="97" t="s">
        <v>225</v>
      </c>
      <c r="CK708" s="98">
        <v>42185</v>
      </c>
      <c r="CL708" s="99" t="s">
        <v>153</v>
      </c>
      <c r="CM708" s="100" t="s">
        <v>153</v>
      </c>
      <c r="CN708" s="101" t="s">
        <v>190</v>
      </c>
      <c r="CO708" s="102" t="s">
        <v>153</v>
      </c>
      <c r="CP708" s="103" t="s">
        <v>153</v>
      </c>
      <c r="CQ708" s="104" t="s">
        <v>153</v>
      </c>
      <c r="CR708" s="105" t="s">
        <v>153</v>
      </c>
      <c r="CS708" s="106" t="s">
        <v>153</v>
      </c>
      <c r="CT708" s="107" t="s">
        <v>153</v>
      </c>
      <c r="CU708" s="108" t="s">
        <v>153</v>
      </c>
      <c r="CV708" s="109" t="s">
        <v>153</v>
      </c>
      <c r="CW708" s="110" t="s">
        <v>153</v>
      </c>
      <c r="CX708" s="111" t="s">
        <v>153</v>
      </c>
      <c r="CY708" s="112" t="s">
        <v>153</v>
      </c>
      <c r="CZ708" s="113" t="s">
        <v>153</v>
      </c>
      <c r="DA708" s="114" t="s">
        <v>153</v>
      </c>
      <c r="DB708" s="115" t="s">
        <v>153</v>
      </c>
      <c r="DC708" s="116" t="s">
        <v>153</v>
      </c>
      <c r="DD708" s="117" t="s">
        <v>153</v>
      </c>
      <c r="DE708" s="118" t="s">
        <v>153</v>
      </c>
      <c r="DF708" s="119" t="s">
        <v>153</v>
      </c>
      <c r="DG708" s="120" t="s">
        <v>153</v>
      </c>
      <c r="DH708" s="121" t="s">
        <v>153</v>
      </c>
      <c r="DI708" s="122" t="s">
        <v>153</v>
      </c>
      <c r="DJ708" s="123" t="s">
        <v>153</v>
      </c>
      <c r="DK708" s="124" t="s">
        <v>153</v>
      </c>
      <c r="DL708" s="125" t="s">
        <v>153</v>
      </c>
      <c r="DM708" s="126" t="s">
        <v>153</v>
      </c>
      <c r="DN708" s="127" t="s">
        <v>153</v>
      </c>
      <c r="DO708" s="128" t="s">
        <v>153</v>
      </c>
      <c r="DP708" s="129" t="s">
        <v>153</v>
      </c>
      <c r="DQ708" s="130" t="s">
        <v>153</v>
      </c>
      <c r="DR708" s="131" t="s">
        <v>153</v>
      </c>
      <c r="DS708" s="132" t="s">
        <v>153</v>
      </c>
      <c r="DT708" s="133" t="s">
        <v>153</v>
      </c>
      <c r="DU708" s="134" t="s">
        <v>153</v>
      </c>
      <c r="DV708" s="135" t="s">
        <v>153</v>
      </c>
      <c r="DW708" s="136" t="s">
        <v>153</v>
      </c>
      <c r="DX708" s="137" t="s">
        <v>153</v>
      </c>
      <c r="DY708" s="138" t="s">
        <v>153</v>
      </c>
      <c r="DZ708" s="139" t="s">
        <v>191</v>
      </c>
      <c r="EA708" s="140">
        <v>44371</v>
      </c>
      <c r="EB708" s="141">
        <v>6669.94</v>
      </c>
      <c r="EC708" s="142">
        <v>42185</v>
      </c>
      <c r="ED708" s="143" t="s">
        <v>226</v>
      </c>
      <c r="EE708" s="278" t="str">
        <f>HYPERLINK("https://my.pitchbook.com?c=10164-88", "View company online")</f>
        <v>View company online</v>
      </c>
    </row>
    <row r="709" spans="1:135" x14ac:dyDescent="0.45">
      <c r="A709" s="144" t="s">
        <v>14261</v>
      </c>
      <c r="B709" s="145" t="s">
        <v>14262</v>
      </c>
      <c r="C709" s="146" t="s">
        <v>153</v>
      </c>
      <c r="D709" s="147" t="s">
        <v>153</v>
      </c>
      <c r="E709" s="148" t="s">
        <v>153</v>
      </c>
      <c r="F709" s="149" t="s">
        <v>14263</v>
      </c>
      <c r="G709" s="150" t="s">
        <v>153</v>
      </c>
      <c r="H709" s="151" t="s">
        <v>14264</v>
      </c>
      <c r="I709" s="152" t="s">
        <v>14261</v>
      </c>
      <c r="J709" s="153" t="s">
        <v>14265</v>
      </c>
      <c r="K709" s="154" t="s">
        <v>792</v>
      </c>
      <c r="L709" s="155" t="s">
        <v>841</v>
      </c>
      <c r="M709" s="156" t="s">
        <v>842</v>
      </c>
      <c r="N709" s="157" t="s">
        <v>3931</v>
      </c>
      <c r="O709" s="158" t="s">
        <v>796</v>
      </c>
      <c r="P709" s="159" t="s">
        <v>14266</v>
      </c>
      <c r="Q709" s="160" t="s">
        <v>564</v>
      </c>
      <c r="R709" s="161">
        <v>454.48</v>
      </c>
      <c r="S709" s="162" t="s">
        <v>290</v>
      </c>
      <c r="T709" s="163" t="s">
        <v>1392</v>
      </c>
      <c r="U709" s="164" t="s">
        <v>1791</v>
      </c>
      <c r="V709" s="165" t="s">
        <v>153</v>
      </c>
      <c r="W709" s="166">
        <v>906</v>
      </c>
      <c r="X709" s="167" t="s">
        <v>14267</v>
      </c>
      <c r="Y709" s="168" t="s">
        <v>153</v>
      </c>
      <c r="Z709" s="169" t="s">
        <v>153</v>
      </c>
      <c r="AA709" s="170">
        <v>2002</v>
      </c>
      <c r="AB709" s="171" t="s">
        <v>2485</v>
      </c>
      <c r="AC709" s="172" t="s">
        <v>153</v>
      </c>
      <c r="AD709" s="173" t="s">
        <v>153</v>
      </c>
      <c r="AE709" s="174" t="s">
        <v>153</v>
      </c>
      <c r="AF709" s="175" t="s">
        <v>153</v>
      </c>
      <c r="AG709" s="176" t="s">
        <v>153</v>
      </c>
      <c r="AH709" s="177" t="s">
        <v>153</v>
      </c>
      <c r="AI709" s="178" t="s">
        <v>153</v>
      </c>
      <c r="AJ709" s="179" t="s">
        <v>153</v>
      </c>
      <c r="AK709" s="180" t="s">
        <v>153</v>
      </c>
      <c r="AL709" s="181" t="s">
        <v>153</v>
      </c>
      <c r="AM709" s="182" t="s">
        <v>153</v>
      </c>
      <c r="AN709" s="183" t="s">
        <v>10084</v>
      </c>
      <c r="AO709" s="184" t="s">
        <v>153</v>
      </c>
      <c r="AP709" s="185" t="s">
        <v>153</v>
      </c>
      <c r="AQ709" s="186" t="s">
        <v>153</v>
      </c>
      <c r="AR709" s="187" t="s">
        <v>153</v>
      </c>
      <c r="AS709" s="188" t="s">
        <v>153</v>
      </c>
      <c r="AT709" s="189" t="s">
        <v>1124</v>
      </c>
      <c r="AU709" s="190" t="s">
        <v>14268</v>
      </c>
      <c r="AV709" s="191" t="s">
        <v>7381</v>
      </c>
      <c r="AW709" s="192" t="s">
        <v>1127</v>
      </c>
      <c r="AX709" s="193" t="s">
        <v>1128</v>
      </c>
      <c r="AY709" s="194" t="s">
        <v>1129</v>
      </c>
      <c r="AZ709" s="195" t="s">
        <v>215</v>
      </c>
      <c r="BA709" s="196" t="s">
        <v>14269</v>
      </c>
      <c r="BB709" s="197" t="s">
        <v>14270</v>
      </c>
      <c r="BC709" s="198" t="s">
        <v>14271</v>
      </c>
      <c r="BD709" s="199" t="s">
        <v>216</v>
      </c>
      <c r="BE709" s="200" t="s">
        <v>217</v>
      </c>
      <c r="BF709" s="201" t="s">
        <v>14272</v>
      </c>
      <c r="BG709" s="202" t="s">
        <v>153</v>
      </c>
      <c r="BH709" s="203" t="s">
        <v>153</v>
      </c>
      <c r="BI709" s="204" t="s">
        <v>2485</v>
      </c>
      <c r="BJ709" s="205" t="s">
        <v>14273</v>
      </c>
      <c r="BK709" s="206" t="s">
        <v>153</v>
      </c>
      <c r="BL709" s="207" t="s">
        <v>153</v>
      </c>
      <c r="BM709" s="208" t="s">
        <v>14274</v>
      </c>
      <c r="BN709" s="209" t="s">
        <v>153</v>
      </c>
      <c r="BO709" s="210" t="s">
        <v>1131</v>
      </c>
      <c r="BP709" s="211" t="s">
        <v>14275</v>
      </c>
      <c r="BQ709" s="212">
        <v>37608</v>
      </c>
      <c r="BR709" s="213" t="s">
        <v>153</v>
      </c>
      <c r="BS709" s="214" t="s">
        <v>153</v>
      </c>
      <c r="BT709" s="215" t="s">
        <v>153</v>
      </c>
      <c r="BU709" s="216" t="s">
        <v>153</v>
      </c>
      <c r="BV709" s="217" t="s">
        <v>251</v>
      </c>
      <c r="BW709" s="218" t="s">
        <v>524</v>
      </c>
      <c r="BX709" s="219" t="s">
        <v>153</v>
      </c>
      <c r="BY709" s="220" t="s">
        <v>252</v>
      </c>
      <c r="BZ709" s="221" t="s">
        <v>153</v>
      </c>
      <c r="CA709" s="222" t="s">
        <v>190</v>
      </c>
      <c r="CB709" s="223">
        <v>41425</v>
      </c>
      <c r="CC709" s="224">
        <v>6639</v>
      </c>
      <c r="CD709" s="225" t="s">
        <v>186</v>
      </c>
      <c r="CE709" s="226">
        <v>6639</v>
      </c>
      <c r="CF709" s="227" t="s">
        <v>186</v>
      </c>
      <c r="CG709" s="228" t="s">
        <v>226</v>
      </c>
      <c r="CH709" s="229" t="s">
        <v>153</v>
      </c>
      <c r="CI709" s="230" t="s">
        <v>153</v>
      </c>
      <c r="CJ709" s="231" t="s">
        <v>225</v>
      </c>
      <c r="CK709" s="232">
        <v>41425</v>
      </c>
      <c r="CL709" s="233" t="s">
        <v>153</v>
      </c>
      <c r="CM709" s="234" t="s">
        <v>153</v>
      </c>
      <c r="CN709" s="235" t="s">
        <v>190</v>
      </c>
      <c r="CO709" s="236" t="s">
        <v>153</v>
      </c>
      <c r="CP709" s="237" t="s">
        <v>153</v>
      </c>
      <c r="CQ709" s="238" t="s">
        <v>153</v>
      </c>
      <c r="CR709" s="239" t="s">
        <v>153</v>
      </c>
      <c r="CS709" s="240" t="s">
        <v>153</v>
      </c>
      <c r="CT709" s="241" t="s">
        <v>153</v>
      </c>
      <c r="CU709" s="242" t="s">
        <v>153</v>
      </c>
      <c r="CV709" s="243" t="s">
        <v>153</v>
      </c>
      <c r="CW709" s="244" t="s">
        <v>153</v>
      </c>
      <c r="CX709" s="245" t="s">
        <v>153</v>
      </c>
      <c r="CY709" s="246" t="s">
        <v>153</v>
      </c>
      <c r="CZ709" s="247" t="s">
        <v>153</v>
      </c>
      <c r="DA709" s="248" t="s">
        <v>153</v>
      </c>
      <c r="DB709" s="249" t="s">
        <v>153</v>
      </c>
      <c r="DC709" s="250" t="s">
        <v>153</v>
      </c>
      <c r="DD709" s="251" t="s">
        <v>153</v>
      </c>
      <c r="DE709" s="252" t="s">
        <v>153</v>
      </c>
      <c r="DF709" s="253" t="s">
        <v>153</v>
      </c>
      <c r="DG709" s="254" t="s">
        <v>153</v>
      </c>
      <c r="DH709" s="255" t="s">
        <v>153</v>
      </c>
      <c r="DI709" s="256" t="s">
        <v>153</v>
      </c>
      <c r="DJ709" s="257" t="s">
        <v>153</v>
      </c>
      <c r="DK709" s="258" t="s">
        <v>153</v>
      </c>
      <c r="DL709" s="259" t="s">
        <v>153</v>
      </c>
      <c r="DM709" s="260" t="s">
        <v>153</v>
      </c>
      <c r="DN709" s="261" t="s">
        <v>153</v>
      </c>
      <c r="DO709" s="262" t="s">
        <v>153</v>
      </c>
      <c r="DP709" s="263" t="s">
        <v>153</v>
      </c>
      <c r="DQ709" s="264" t="s">
        <v>153</v>
      </c>
      <c r="DR709" s="265" t="s">
        <v>153</v>
      </c>
      <c r="DS709" s="266" t="s">
        <v>153</v>
      </c>
      <c r="DT709" s="267" t="s">
        <v>153</v>
      </c>
      <c r="DU709" s="268" t="s">
        <v>153</v>
      </c>
      <c r="DV709" s="269" t="s">
        <v>153</v>
      </c>
      <c r="DW709" s="270" t="s">
        <v>153</v>
      </c>
      <c r="DX709" s="271" t="s">
        <v>153</v>
      </c>
      <c r="DY709" s="272" t="s">
        <v>153</v>
      </c>
      <c r="DZ709" s="273" t="s">
        <v>191</v>
      </c>
      <c r="EA709" s="274">
        <v>44368</v>
      </c>
      <c r="EB709" s="275">
        <v>6639</v>
      </c>
      <c r="EC709" s="276">
        <v>41425</v>
      </c>
      <c r="ED709" s="277" t="s">
        <v>226</v>
      </c>
      <c r="EE709" s="279" t="str">
        <f>HYPERLINK("https://my.pitchbook.com?c=13295-17", "View company online")</f>
        <v>View company online</v>
      </c>
    </row>
    <row r="710" spans="1:135" x14ac:dyDescent="0.45">
      <c r="A710" s="10" t="s">
        <v>14276</v>
      </c>
      <c r="B710" s="11" t="s">
        <v>14277</v>
      </c>
      <c r="C710" s="12" t="s">
        <v>153</v>
      </c>
      <c r="D710" s="13" t="s">
        <v>153</v>
      </c>
      <c r="E710" s="14" t="s">
        <v>153</v>
      </c>
      <c r="F710" s="15" t="s">
        <v>14278</v>
      </c>
      <c r="G710" s="16" t="s">
        <v>14279</v>
      </c>
      <c r="H710" s="17" t="s">
        <v>153</v>
      </c>
      <c r="I710" s="18" t="s">
        <v>14276</v>
      </c>
      <c r="J710" s="19" t="s">
        <v>14280</v>
      </c>
      <c r="K710" s="20" t="s">
        <v>232</v>
      </c>
      <c r="L710" s="21" t="s">
        <v>1016</v>
      </c>
      <c r="M710" s="22" t="s">
        <v>2416</v>
      </c>
      <c r="N710" s="23" t="s">
        <v>5606</v>
      </c>
      <c r="O710" s="24" t="s">
        <v>153</v>
      </c>
      <c r="P710" s="25" t="s">
        <v>14281</v>
      </c>
      <c r="Q710" s="26" t="s">
        <v>204</v>
      </c>
      <c r="R710" s="27" t="s">
        <v>153</v>
      </c>
      <c r="S710" s="28" t="s">
        <v>163</v>
      </c>
      <c r="T710" s="29" t="s">
        <v>164</v>
      </c>
      <c r="U710" s="30" t="s">
        <v>369</v>
      </c>
      <c r="V710" s="31" t="s">
        <v>14282</v>
      </c>
      <c r="W710" s="32">
        <v>4500</v>
      </c>
      <c r="X710" s="33" t="s">
        <v>14283</v>
      </c>
      <c r="Y710" s="34" t="s">
        <v>153</v>
      </c>
      <c r="Z710" s="35" t="s">
        <v>153</v>
      </c>
      <c r="AA710" s="36">
        <v>1970</v>
      </c>
      <c r="AB710" s="37" t="s">
        <v>153</v>
      </c>
      <c r="AC710" s="38" t="s">
        <v>153</v>
      </c>
      <c r="AD710" s="39" t="s">
        <v>570</v>
      </c>
      <c r="AE710" s="40" t="s">
        <v>153</v>
      </c>
      <c r="AF710" s="41" t="s">
        <v>153</v>
      </c>
      <c r="AG710" s="42" t="s">
        <v>153</v>
      </c>
      <c r="AH710" s="43" t="s">
        <v>153</v>
      </c>
      <c r="AI710" s="44" t="s">
        <v>153</v>
      </c>
      <c r="AJ710" s="45" t="s">
        <v>153</v>
      </c>
      <c r="AK710" s="46" t="s">
        <v>153</v>
      </c>
      <c r="AL710" s="47" t="s">
        <v>153</v>
      </c>
      <c r="AM710" s="48" t="s">
        <v>153</v>
      </c>
      <c r="AN710" s="49" t="s">
        <v>168</v>
      </c>
      <c r="AO710" s="50" t="s">
        <v>14284</v>
      </c>
      <c r="AP710" s="51" t="s">
        <v>14285</v>
      </c>
      <c r="AQ710" s="52" t="s">
        <v>6548</v>
      </c>
      <c r="AR710" s="53" t="s">
        <v>14286</v>
      </c>
      <c r="AS710" s="54" t="s">
        <v>153</v>
      </c>
      <c r="AT710" s="55" t="s">
        <v>14287</v>
      </c>
      <c r="AU710" s="56" t="s">
        <v>14288</v>
      </c>
      <c r="AV710" s="57" t="s">
        <v>153</v>
      </c>
      <c r="AW710" s="58" t="s">
        <v>14289</v>
      </c>
      <c r="AX710" s="59" t="s">
        <v>153</v>
      </c>
      <c r="AY710" s="60" t="s">
        <v>14290</v>
      </c>
      <c r="AZ710" s="61" t="s">
        <v>352</v>
      </c>
      <c r="BA710" s="62" t="s">
        <v>14291</v>
      </c>
      <c r="BB710" s="63" t="s">
        <v>14292</v>
      </c>
      <c r="BC710" s="64" t="s">
        <v>153</v>
      </c>
      <c r="BD710" s="65" t="s">
        <v>180</v>
      </c>
      <c r="BE710" s="66" t="s">
        <v>181</v>
      </c>
      <c r="BF710" s="67" t="s">
        <v>14293</v>
      </c>
      <c r="BG710" s="68" t="s">
        <v>153</v>
      </c>
      <c r="BH710" s="69" t="s">
        <v>153</v>
      </c>
      <c r="BI710" s="70" t="s">
        <v>14294</v>
      </c>
      <c r="BJ710" s="71" t="s">
        <v>153</v>
      </c>
      <c r="BK710" s="72" t="s">
        <v>14295</v>
      </c>
      <c r="BL710" s="73" t="s">
        <v>153</v>
      </c>
      <c r="BM710" s="74" t="s">
        <v>153</v>
      </c>
      <c r="BN710" s="75" t="s">
        <v>14296</v>
      </c>
      <c r="BO710" s="76" t="s">
        <v>14297</v>
      </c>
      <c r="BP710" s="77" t="s">
        <v>14298</v>
      </c>
      <c r="BQ710" s="78">
        <v>43132</v>
      </c>
      <c r="BR710" s="79" t="s">
        <v>153</v>
      </c>
      <c r="BS710" s="80" t="s">
        <v>153</v>
      </c>
      <c r="BT710" s="81" t="s">
        <v>153</v>
      </c>
      <c r="BU710" s="82" t="s">
        <v>153</v>
      </c>
      <c r="BV710" s="83" t="s">
        <v>226</v>
      </c>
      <c r="BW710" s="84" t="s">
        <v>153</v>
      </c>
      <c r="BX710" s="85" t="s">
        <v>153</v>
      </c>
      <c r="BY710" s="86" t="s">
        <v>225</v>
      </c>
      <c r="BZ710" s="87" t="s">
        <v>153</v>
      </c>
      <c r="CA710" s="88" t="s">
        <v>190</v>
      </c>
      <c r="CB710" s="89">
        <v>43496</v>
      </c>
      <c r="CC710" s="90">
        <v>6630.44</v>
      </c>
      <c r="CD710" s="91" t="s">
        <v>187</v>
      </c>
      <c r="CE710" s="92">
        <v>13314.14</v>
      </c>
      <c r="CF710" s="93" t="s">
        <v>187</v>
      </c>
      <c r="CG710" s="94" t="s">
        <v>709</v>
      </c>
      <c r="CH710" s="95" t="s">
        <v>153</v>
      </c>
      <c r="CI710" s="96" t="s">
        <v>153</v>
      </c>
      <c r="CJ710" s="97" t="s">
        <v>165</v>
      </c>
      <c r="CK710" s="98">
        <v>43496</v>
      </c>
      <c r="CL710" s="99" t="s">
        <v>153</v>
      </c>
      <c r="CM710" s="100" t="s">
        <v>153</v>
      </c>
      <c r="CN710" s="101" t="s">
        <v>394</v>
      </c>
      <c r="CO710" s="102">
        <v>1.95</v>
      </c>
      <c r="CP710" s="103">
        <v>98</v>
      </c>
      <c r="CQ710" s="104">
        <v>-0.06</v>
      </c>
      <c r="CR710" s="105">
        <v>-2.97</v>
      </c>
      <c r="CS710" s="106">
        <v>0.63</v>
      </c>
      <c r="CT710" s="107">
        <v>94</v>
      </c>
      <c r="CU710" s="108">
        <v>0.01</v>
      </c>
      <c r="CV710" s="109">
        <v>77</v>
      </c>
      <c r="CW710" s="110" t="s">
        <v>153</v>
      </c>
      <c r="CX710" s="111" t="s">
        <v>153</v>
      </c>
      <c r="CY710" s="112">
        <v>0.63</v>
      </c>
      <c r="CZ710" s="113">
        <v>95</v>
      </c>
      <c r="DA710" s="114">
        <v>0.01</v>
      </c>
      <c r="DB710" s="115">
        <v>77</v>
      </c>
      <c r="DC710" s="116">
        <v>51.18</v>
      </c>
      <c r="DD710" s="117">
        <v>99</v>
      </c>
      <c r="DE710" s="118">
        <v>0.01</v>
      </c>
      <c r="DF710" s="119">
        <v>0.02</v>
      </c>
      <c r="DG710" s="120">
        <v>28.25</v>
      </c>
      <c r="DH710" s="121">
        <v>97</v>
      </c>
      <c r="DI710" s="122">
        <v>3.66</v>
      </c>
      <c r="DJ710" s="123">
        <v>73</v>
      </c>
      <c r="DK710" s="124" t="s">
        <v>153</v>
      </c>
      <c r="DL710" s="125" t="s">
        <v>153</v>
      </c>
      <c r="DM710" s="126">
        <v>28.25</v>
      </c>
      <c r="DN710" s="127">
        <v>96</v>
      </c>
      <c r="DO710" s="128">
        <v>3.66</v>
      </c>
      <c r="DP710" s="129">
        <v>73</v>
      </c>
      <c r="DQ710" s="130" t="s">
        <v>153</v>
      </c>
      <c r="DR710" s="131" t="s">
        <v>153</v>
      </c>
      <c r="DS710" s="132" t="s">
        <v>153</v>
      </c>
      <c r="DT710" s="133">
        <v>452</v>
      </c>
      <c r="DU710" s="134">
        <v>1</v>
      </c>
      <c r="DV710" s="135">
        <v>0.22</v>
      </c>
      <c r="DW710" s="136">
        <v>1150</v>
      </c>
      <c r="DX710" s="137">
        <v>-2</v>
      </c>
      <c r="DY710" s="138">
        <v>-0.17</v>
      </c>
      <c r="DZ710" s="139" t="s">
        <v>191</v>
      </c>
      <c r="EA710" s="140">
        <v>44394</v>
      </c>
      <c r="EB710" s="141">
        <v>13314.14</v>
      </c>
      <c r="EC710" s="142">
        <v>43496</v>
      </c>
      <c r="ED710" s="143" t="s">
        <v>709</v>
      </c>
      <c r="EE710" s="278" t="str">
        <f>HYPERLINK("https://my.pitchbook.com?c=59162-77", "View company online")</f>
        <v>View company online</v>
      </c>
    </row>
    <row r="711" spans="1:135" x14ac:dyDescent="0.45">
      <c r="A711" s="144" t="s">
        <v>14299</v>
      </c>
      <c r="B711" s="145" t="s">
        <v>14300</v>
      </c>
      <c r="C711" s="146" t="s">
        <v>153</v>
      </c>
      <c r="D711" s="147" t="s">
        <v>153</v>
      </c>
      <c r="E711" s="148" t="s">
        <v>14301</v>
      </c>
      <c r="F711" s="149" t="s">
        <v>14302</v>
      </c>
      <c r="G711" s="150" t="s">
        <v>14303</v>
      </c>
      <c r="H711" s="151" t="s">
        <v>14304</v>
      </c>
      <c r="I711" s="152" t="s">
        <v>14299</v>
      </c>
      <c r="J711" s="153" t="s">
        <v>14305</v>
      </c>
      <c r="K711" s="154" t="s">
        <v>157</v>
      </c>
      <c r="L711" s="155" t="s">
        <v>2713</v>
      </c>
      <c r="M711" s="156" t="s">
        <v>2922</v>
      </c>
      <c r="N711" s="157" t="s">
        <v>14306</v>
      </c>
      <c r="O711" s="158" t="s">
        <v>153</v>
      </c>
      <c r="P711" s="159" t="s">
        <v>14307</v>
      </c>
      <c r="Q711" s="160" t="s">
        <v>564</v>
      </c>
      <c r="R711" s="161" t="s">
        <v>153</v>
      </c>
      <c r="S711" s="162" t="s">
        <v>368</v>
      </c>
      <c r="T711" s="163" t="s">
        <v>291</v>
      </c>
      <c r="U711" s="164" t="s">
        <v>565</v>
      </c>
      <c r="V711" s="165" t="s">
        <v>14308</v>
      </c>
      <c r="W711" s="166">
        <v>33542</v>
      </c>
      <c r="X711" s="167" t="s">
        <v>14309</v>
      </c>
      <c r="Y711" s="168" t="s">
        <v>14310</v>
      </c>
      <c r="Z711" s="169" t="s">
        <v>14311</v>
      </c>
      <c r="AA711" s="170">
        <v>1891</v>
      </c>
      <c r="AB711" s="171" t="s">
        <v>670</v>
      </c>
      <c r="AC711" s="172" t="s">
        <v>428</v>
      </c>
      <c r="AD711" s="173" t="s">
        <v>428</v>
      </c>
      <c r="AE711" s="174">
        <v>3968.02</v>
      </c>
      <c r="AF711" s="175">
        <v>2841.3</v>
      </c>
      <c r="AG711" s="176">
        <v>-76.25</v>
      </c>
      <c r="AH711" s="177">
        <v>10411.41</v>
      </c>
      <c r="AI711" s="178">
        <v>670.52</v>
      </c>
      <c r="AJ711" s="179">
        <v>46.03</v>
      </c>
      <c r="AK711" s="180">
        <v>8468.8700000000008</v>
      </c>
      <c r="AL711" s="181">
        <v>2258.09</v>
      </c>
      <c r="AM711" s="182">
        <v>-13.82</v>
      </c>
      <c r="AN711" s="183" t="s">
        <v>168</v>
      </c>
      <c r="AO711" s="184" t="s">
        <v>14312</v>
      </c>
      <c r="AP711" s="185" t="s">
        <v>14313</v>
      </c>
      <c r="AQ711" s="186" t="s">
        <v>379</v>
      </c>
      <c r="AR711" s="187" t="s">
        <v>14314</v>
      </c>
      <c r="AS711" s="188" t="s">
        <v>14315</v>
      </c>
      <c r="AT711" s="189" t="s">
        <v>14316</v>
      </c>
      <c r="AU711" s="190" t="s">
        <v>14317</v>
      </c>
      <c r="AV711" s="191" t="s">
        <v>14318</v>
      </c>
      <c r="AW711" s="192" t="s">
        <v>14319</v>
      </c>
      <c r="AX711" s="193" t="s">
        <v>153</v>
      </c>
      <c r="AY711" s="194" t="s">
        <v>14320</v>
      </c>
      <c r="AZ711" s="195" t="s">
        <v>335</v>
      </c>
      <c r="BA711" s="196" t="s">
        <v>14315</v>
      </c>
      <c r="BB711" s="197" t="s">
        <v>153</v>
      </c>
      <c r="BC711" s="198" t="s">
        <v>14321</v>
      </c>
      <c r="BD711" s="199" t="s">
        <v>180</v>
      </c>
      <c r="BE711" s="200" t="s">
        <v>181</v>
      </c>
      <c r="BF711" s="201" t="s">
        <v>14322</v>
      </c>
      <c r="BG711" s="202" t="s">
        <v>153</v>
      </c>
      <c r="BH711" s="203" t="s">
        <v>153</v>
      </c>
      <c r="BI711" s="204" t="s">
        <v>670</v>
      </c>
      <c r="BJ711" s="205" t="s">
        <v>14323</v>
      </c>
      <c r="BK711" s="206" t="s">
        <v>153</v>
      </c>
      <c r="BL711" s="207" t="s">
        <v>153</v>
      </c>
      <c r="BM711" s="208" t="s">
        <v>14324</v>
      </c>
      <c r="BN711" s="209" t="s">
        <v>153</v>
      </c>
      <c r="BO711" s="210" t="s">
        <v>14325</v>
      </c>
      <c r="BP711" s="211" t="s">
        <v>14326</v>
      </c>
      <c r="BQ711" s="212">
        <v>35334</v>
      </c>
      <c r="BR711" s="213" t="s">
        <v>153</v>
      </c>
      <c r="BS711" s="214" t="s">
        <v>153</v>
      </c>
      <c r="BT711" s="215" t="s">
        <v>153</v>
      </c>
      <c r="BU711" s="216" t="s">
        <v>153</v>
      </c>
      <c r="BV711" s="217" t="s">
        <v>188</v>
      </c>
      <c r="BW711" s="218" t="s">
        <v>153</v>
      </c>
      <c r="BX711" s="219" t="s">
        <v>153</v>
      </c>
      <c r="BY711" s="220" t="s">
        <v>165</v>
      </c>
      <c r="BZ711" s="221" t="s">
        <v>153</v>
      </c>
      <c r="CA711" s="222" t="s">
        <v>190</v>
      </c>
      <c r="CB711" s="223">
        <v>44378</v>
      </c>
      <c r="CC711" s="224">
        <v>6618.01</v>
      </c>
      <c r="CD711" s="225" t="s">
        <v>186</v>
      </c>
      <c r="CE711" s="226">
        <v>8626.19</v>
      </c>
      <c r="CF711" s="227" t="s">
        <v>187</v>
      </c>
      <c r="CG711" s="228" t="s">
        <v>226</v>
      </c>
      <c r="CH711" s="229" t="s">
        <v>153</v>
      </c>
      <c r="CI711" s="230" t="s">
        <v>153</v>
      </c>
      <c r="CJ711" s="231" t="s">
        <v>225</v>
      </c>
      <c r="CK711" s="232">
        <v>44378</v>
      </c>
      <c r="CL711" s="233" t="s">
        <v>153</v>
      </c>
      <c r="CM711" s="234" t="s">
        <v>153</v>
      </c>
      <c r="CN711" s="235" t="s">
        <v>190</v>
      </c>
      <c r="CO711" s="236">
        <v>0.47</v>
      </c>
      <c r="CP711" s="237">
        <v>93</v>
      </c>
      <c r="CQ711" s="238">
        <v>-0.03</v>
      </c>
      <c r="CR711" s="239">
        <v>-6.15</v>
      </c>
      <c r="CS711" s="240">
        <v>0.85</v>
      </c>
      <c r="CT711" s="241">
        <v>95</v>
      </c>
      <c r="CU711" s="242">
        <v>0.1</v>
      </c>
      <c r="CV711" s="243">
        <v>86</v>
      </c>
      <c r="CW711" s="244" t="s">
        <v>153</v>
      </c>
      <c r="CX711" s="245" t="s">
        <v>153</v>
      </c>
      <c r="CY711" s="246">
        <v>0.85</v>
      </c>
      <c r="CZ711" s="247">
        <v>97</v>
      </c>
      <c r="DA711" s="248">
        <v>0.1</v>
      </c>
      <c r="DB711" s="249">
        <v>86</v>
      </c>
      <c r="DC711" s="250">
        <v>15.26</v>
      </c>
      <c r="DD711" s="251">
        <v>95</v>
      </c>
      <c r="DE711" s="252">
        <v>0.1</v>
      </c>
      <c r="DF711" s="253">
        <v>0.65</v>
      </c>
      <c r="DG711" s="254">
        <v>28.88</v>
      </c>
      <c r="DH711" s="255">
        <v>97</v>
      </c>
      <c r="DI711" s="256">
        <v>1.64</v>
      </c>
      <c r="DJ711" s="257">
        <v>59</v>
      </c>
      <c r="DK711" s="258" t="s">
        <v>153</v>
      </c>
      <c r="DL711" s="259" t="s">
        <v>153</v>
      </c>
      <c r="DM711" s="260">
        <v>28.88</v>
      </c>
      <c r="DN711" s="261">
        <v>97</v>
      </c>
      <c r="DO711" s="262">
        <v>1.64</v>
      </c>
      <c r="DP711" s="263">
        <v>59</v>
      </c>
      <c r="DQ711" s="264" t="s">
        <v>153</v>
      </c>
      <c r="DR711" s="265" t="s">
        <v>153</v>
      </c>
      <c r="DS711" s="266" t="s">
        <v>153</v>
      </c>
      <c r="DT711" s="267">
        <v>460</v>
      </c>
      <c r="DU711" s="268">
        <v>4</v>
      </c>
      <c r="DV711" s="269">
        <v>0.88</v>
      </c>
      <c r="DW711" s="270">
        <v>515</v>
      </c>
      <c r="DX711" s="271">
        <v>0</v>
      </c>
      <c r="DY711" s="272">
        <v>0</v>
      </c>
      <c r="DZ711" s="273" t="s">
        <v>191</v>
      </c>
      <c r="EA711" s="274">
        <v>44378</v>
      </c>
      <c r="EB711" s="275">
        <v>8626.19</v>
      </c>
      <c r="EC711" s="276">
        <v>44378</v>
      </c>
      <c r="ED711" s="277" t="s">
        <v>226</v>
      </c>
      <c r="EE711" s="279" t="str">
        <f>HYPERLINK("https://my.pitchbook.com?c=57508-75", "View company online")</f>
        <v>View company online</v>
      </c>
    </row>
    <row r="712" spans="1:135" x14ac:dyDescent="0.45">
      <c r="A712" s="10" t="s">
        <v>14327</v>
      </c>
      <c r="B712" s="11" t="s">
        <v>14328</v>
      </c>
      <c r="C712" s="12" t="s">
        <v>153</v>
      </c>
      <c r="D712" s="13" t="s">
        <v>153</v>
      </c>
      <c r="E712" s="14" t="s">
        <v>153</v>
      </c>
      <c r="F712" s="15" t="s">
        <v>153</v>
      </c>
      <c r="G712" s="16" t="s">
        <v>14329</v>
      </c>
      <c r="H712" s="17" t="s">
        <v>153</v>
      </c>
      <c r="I712" s="18" t="s">
        <v>14327</v>
      </c>
      <c r="J712" s="19" t="s">
        <v>14330</v>
      </c>
      <c r="K712" s="20" t="s">
        <v>882</v>
      </c>
      <c r="L712" s="21" t="s">
        <v>2888</v>
      </c>
      <c r="M712" s="22" t="s">
        <v>2889</v>
      </c>
      <c r="N712" s="23" t="s">
        <v>14098</v>
      </c>
      <c r="O712" s="24" t="s">
        <v>3141</v>
      </c>
      <c r="P712" s="25" t="s">
        <v>14331</v>
      </c>
      <c r="Q712" s="26" t="s">
        <v>564</v>
      </c>
      <c r="R712" s="27" t="s">
        <v>153</v>
      </c>
      <c r="S712" s="28" t="s">
        <v>290</v>
      </c>
      <c r="T712" s="29" t="s">
        <v>205</v>
      </c>
      <c r="U712" s="30" t="s">
        <v>165</v>
      </c>
      <c r="V712" s="31" t="s">
        <v>14332</v>
      </c>
      <c r="W712" s="32">
        <v>500</v>
      </c>
      <c r="X712" s="33" t="s">
        <v>14333</v>
      </c>
      <c r="Y712" s="34" t="s">
        <v>153</v>
      </c>
      <c r="Z712" s="35" t="s">
        <v>153</v>
      </c>
      <c r="AA712" s="36">
        <v>1980</v>
      </c>
      <c r="AB712" s="37" t="s">
        <v>153</v>
      </c>
      <c r="AC712" s="38" t="s">
        <v>153</v>
      </c>
      <c r="AD712" s="39" t="s">
        <v>153</v>
      </c>
      <c r="AE712" s="40" t="s">
        <v>153</v>
      </c>
      <c r="AF712" s="41" t="s">
        <v>153</v>
      </c>
      <c r="AG712" s="42" t="s">
        <v>153</v>
      </c>
      <c r="AH712" s="43" t="s">
        <v>153</v>
      </c>
      <c r="AI712" s="44" t="s">
        <v>153</v>
      </c>
      <c r="AJ712" s="45" t="s">
        <v>153</v>
      </c>
      <c r="AK712" s="46" t="s">
        <v>153</v>
      </c>
      <c r="AL712" s="47" t="s">
        <v>153</v>
      </c>
      <c r="AM712" s="48" t="s">
        <v>153</v>
      </c>
      <c r="AN712" s="49" t="s">
        <v>153</v>
      </c>
      <c r="AO712" s="50" t="s">
        <v>153</v>
      </c>
      <c r="AP712" s="51" t="s">
        <v>153</v>
      </c>
      <c r="AQ712" s="52" t="s">
        <v>153</v>
      </c>
      <c r="AR712" s="53" t="s">
        <v>153</v>
      </c>
      <c r="AS712" s="54" t="s">
        <v>153</v>
      </c>
      <c r="AT712" s="55" t="s">
        <v>14334</v>
      </c>
      <c r="AU712" s="56" t="s">
        <v>14335</v>
      </c>
      <c r="AV712" s="57" t="s">
        <v>153</v>
      </c>
      <c r="AW712" s="58" t="s">
        <v>14336</v>
      </c>
      <c r="AX712" s="59" t="s">
        <v>10715</v>
      </c>
      <c r="AY712" s="60" t="s">
        <v>14337</v>
      </c>
      <c r="AZ712" s="61" t="s">
        <v>2546</v>
      </c>
      <c r="BA712" s="62" t="s">
        <v>14338</v>
      </c>
      <c r="BB712" s="63" t="s">
        <v>14339</v>
      </c>
      <c r="BC712" s="64" t="s">
        <v>153</v>
      </c>
      <c r="BD712" s="65" t="s">
        <v>2547</v>
      </c>
      <c r="BE712" s="66" t="s">
        <v>2547</v>
      </c>
      <c r="BF712" s="67" t="s">
        <v>14340</v>
      </c>
      <c r="BG712" s="68" t="s">
        <v>153</v>
      </c>
      <c r="BH712" s="69" t="s">
        <v>153</v>
      </c>
      <c r="BI712" s="70" t="s">
        <v>14115</v>
      </c>
      <c r="BJ712" s="71" t="s">
        <v>14341</v>
      </c>
      <c r="BK712" s="72" t="s">
        <v>14342</v>
      </c>
      <c r="BL712" s="73" t="s">
        <v>153</v>
      </c>
      <c r="BM712" s="74" t="s">
        <v>14343</v>
      </c>
      <c r="BN712" s="75" t="s">
        <v>14344</v>
      </c>
      <c r="BO712" s="76" t="s">
        <v>153</v>
      </c>
      <c r="BP712" s="77" t="s">
        <v>5525</v>
      </c>
      <c r="BQ712" s="78">
        <v>40544</v>
      </c>
      <c r="BR712" s="79">
        <v>3100</v>
      </c>
      <c r="BS712" s="80" t="s">
        <v>186</v>
      </c>
      <c r="BT712" s="81">
        <v>3100</v>
      </c>
      <c r="BU712" s="82" t="s">
        <v>187</v>
      </c>
      <c r="BV712" s="83" t="s">
        <v>188</v>
      </c>
      <c r="BW712" s="84" t="s">
        <v>1525</v>
      </c>
      <c r="BX712" s="85" t="s">
        <v>153</v>
      </c>
      <c r="BY712" s="86" t="s">
        <v>165</v>
      </c>
      <c r="BZ712" s="87" t="s">
        <v>153</v>
      </c>
      <c r="CA712" s="88" t="s">
        <v>190</v>
      </c>
      <c r="CB712" s="89">
        <v>41753</v>
      </c>
      <c r="CC712" s="90">
        <v>6610.65</v>
      </c>
      <c r="CD712" s="91" t="s">
        <v>186</v>
      </c>
      <c r="CE712" s="92">
        <v>6610.65</v>
      </c>
      <c r="CF712" s="93" t="s">
        <v>186</v>
      </c>
      <c r="CG712" s="94" t="s">
        <v>1524</v>
      </c>
      <c r="CH712" s="95" t="s">
        <v>1525</v>
      </c>
      <c r="CI712" s="96" t="s">
        <v>153</v>
      </c>
      <c r="CJ712" s="97" t="s">
        <v>225</v>
      </c>
      <c r="CK712" s="98">
        <v>41753</v>
      </c>
      <c r="CL712" s="99" t="s">
        <v>153</v>
      </c>
      <c r="CM712" s="100" t="s">
        <v>153</v>
      </c>
      <c r="CN712" s="101" t="s">
        <v>190</v>
      </c>
      <c r="CO712" s="102" t="s">
        <v>153</v>
      </c>
      <c r="CP712" s="103" t="s">
        <v>153</v>
      </c>
      <c r="CQ712" s="104" t="s">
        <v>153</v>
      </c>
      <c r="CR712" s="105" t="s">
        <v>153</v>
      </c>
      <c r="CS712" s="106" t="s">
        <v>153</v>
      </c>
      <c r="CT712" s="107" t="s">
        <v>153</v>
      </c>
      <c r="CU712" s="108" t="s">
        <v>153</v>
      </c>
      <c r="CV712" s="109" t="s">
        <v>153</v>
      </c>
      <c r="CW712" s="110" t="s">
        <v>153</v>
      </c>
      <c r="CX712" s="111" t="s">
        <v>153</v>
      </c>
      <c r="CY712" s="112" t="s">
        <v>153</v>
      </c>
      <c r="CZ712" s="113" t="s">
        <v>153</v>
      </c>
      <c r="DA712" s="114" t="s">
        <v>153</v>
      </c>
      <c r="DB712" s="115" t="s">
        <v>153</v>
      </c>
      <c r="DC712" s="116" t="s">
        <v>153</v>
      </c>
      <c r="DD712" s="117" t="s">
        <v>153</v>
      </c>
      <c r="DE712" s="118" t="s">
        <v>153</v>
      </c>
      <c r="DF712" s="119" t="s">
        <v>153</v>
      </c>
      <c r="DG712" s="120" t="s">
        <v>153</v>
      </c>
      <c r="DH712" s="121" t="s">
        <v>153</v>
      </c>
      <c r="DI712" s="122" t="s">
        <v>153</v>
      </c>
      <c r="DJ712" s="123" t="s">
        <v>153</v>
      </c>
      <c r="DK712" s="124" t="s">
        <v>153</v>
      </c>
      <c r="DL712" s="125" t="s">
        <v>153</v>
      </c>
      <c r="DM712" s="126" t="s">
        <v>153</v>
      </c>
      <c r="DN712" s="127" t="s">
        <v>153</v>
      </c>
      <c r="DO712" s="128" t="s">
        <v>153</v>
      </c>
      <c r="DP712" s="129" t="s">
        <v>153</v>
      </c>
      <c r="DQ712" s="130" t="s">
        <v>153</v>
      </c>
      <c r="DR712" s="131" t="s">
        <v>153</v>
      </c>
      <c r="DS712" s="132" t="s">
        <v>153</v>
      </c>
      <c r="DT712" s="133" t="s">
        <v>153</v>
      </c>
      <c r="DU712" s="134" t="s">
        <v>153</v>
      </c>
      <c r="DV712" s="135" t="s">
        <v>153</v>
      </c>
      <c r="DW712" s="136" t="s">
        <v>153</v>
      </c>
      <c r="DX712" s="137" t="s">
        <v>153</v>
      </c>
      <c r="DY712" s="138" t="s">
        <v>153</v>
      </c>
      <c r="DZ712" s="139" t="s">
        <v>191</v>
      </c>
      <c r="EA712" s="140">
        <v>44147</v>
      </c>
      <c r="EB712" s="141">
        <v>6610.65</v>
      </c>
      <c r="EC712" s="142">
        <v>41753</v>
      </c>
      <c r="ED712" s="143" t="s">
        <v>1524</v>
      </c>
      <c r="EE712" s="278" t="str">
        <f>HYPERLINK("https://my.pitchbook.com?c=41890-60", "View company online")</f>
        <v>View company online</v>
      </c>
    </row>
    <row r="713" spans="1:135" x14ac:dyDescent="0.45">
      <c r="A713" s="144" t="s">
        <v>14345</v>
      </c>
      <c r="B713" s="145" t="s">
        <v>14346</v>
      </c>
      <c r="C713" s="146" t="s">
        <v>153</v>
      </c>
      <c r="D713" s="147" t="s">
        <v>153</v>
      </c>
      <c r="E713" s="148" t="s">
        <v>14347</v>
      </c>
      <c r="F713" s="149" t="s">
        <v>153</v>
      </c>
      <c r="G713" s="150" t="s">
        <v>14348</v>
      </c>
      <c r="H713" s="151" t="s">
        <v>153</v>
      </c>
      <c r="I713" s="152" t="s">
        <v>14345</v>
      </c>
      <c r="J713" s="153" t="s">
        <v>14349</v>
      </c>
      <c r="K713" s="154" t="s">
        <v>559</v>
      </c>
      <c r="L713" s="155" t="s">
        <v>3055</v>
      </c>
      <c r="M713" s="156" t="s">
        <v>12929</v>
      </c>
      <c r="N713" s="157" t="s">
        <v>12930</v>
      </c>
      <c r="O713" s="158" t="s">
        <v>1088</v>
      </c>
      <c r="P713" s="159" t="s">
        <v>14350</v>
      </c>
      <c r="Q713" s="160" t="s">
        <v>204</v>
      </c>
      <c r="R713" s="161" t="s">
        <v>153</v>
      </c>
      <c r="S713" s="162" t="s">
        <v>290</v>
      </c>
      <c r="T713" s="163" t="s">
        <v>164</v>
      </c>
      <c r="U713" s="164" t="s">
        <v>237</v>
      </c>
      <c r="V713" s="165" t="s">
        <v>14351</v>
      </c>
      <c r="W713" s="166">
        <v>2042</v>
      </c>
      <c r="X713" s="167" t="s">
        <v>14352</v>
      </c>
      <c r="Y713" s="168" t="s">
        <v>153</v>
      </c>
      <c r="Z713" s="169" t="s">
        <v>153</v>
      </c>
      <c r="AA713" s="170">
        <v>1983</v>
      </c>
      <c r="AB713" s="171" t="s">
        <v>14353</v>
      </c>
      <c r="AC713" s="172" t="s">
        <v>153</v>
      </c>
      <c r="AD713" s="173" t="s">
        <v>153</v>
      </c>
      <c r="AE713" s="174" t="s">
        <v>153</v>
      </c>
      <c r="AF713" s="175" t="s">
        <v>153</v>
      </c>
      <c r="AG713" s="176" t="s">
        <v>153</v>
      </c>
      <c r="AH713" s="177" t="s">
        <v>153</v>
      </c>
      <c r="AI713" s="178" t="s">
        <v>153</v>
      </c>
      <c r="AJ713" s="179" t="s">
        <v>153</v>
      </c>
      <c r="AK713" s="180" t="s">
        <v>153</v>
      </c>
      <c r="AL713" s="181" t="s">
        <v>153</v>
      </c>
      <c r="AM713" s="182" t="s">
        <v>153</v>
      </c>
      <c r="AN713" s="183" t="s">
        <v>623</v>
      </c>
      <c r="AO713" s="184" t="s">
        <v>14354</v>
      </c>
      <c r="AP713" s="185" t="s">
        <v>14355</v>
      </c>
      <c r="AQ713" s="186" t="s">
        <v>4398</v>
      </c>
      <c r="AR713" s="187" t="s">
        <v>14356</v>
      </c>
      <c r="AS713" s="188" t="s">
        <v>14357</v>
      </c>
      <c r="AT713" s="189" t="s">
        <v>2479</v>
      </c>
      <c r="AU713" s="190" t="s">
        <v>14358</v>
      </c>
      <c r="AV713" s="191" t="s">
        <v>1577</v>
      </c>
      <c r="AW713" s="192" t="s">
        <v>2481</v>
      </c>
      <c r="AX713" s="193" t="s">
        <v>2482</v>
      </c>
      <c r="AY713" s="194" t="s">
        <v>14359</v>
      </c>
      <c r="AZ713" s="195" t="s">
        <v>215</v>
      </c>
      <c r="BA713" s="196" t="s">
        <v>14357</v>
      </c>
      <c r="BB713" s="197" t="s">
        <v>153</v>
      </c>
      <c r="BC713" s="198" t="s">
        <v>153</v>
      </c>
      <c r="BD713" s="199" t="s">
        <v>216</v>
      </c>
      <c r="BE713" s="200" t="s">
        <v>217</v>
      </c>
      <c r="BF713" s="201" t="s">
        <v>14360</v>
      </c>
      <c r="BG713" s="202" t="s">
        <v>153</v>
      </c>
      <c r="BH713" s="203" t="s">
        <v>153</v>
      </c>
      <c r="BI713" s="204" t="s">
        <v>14353</v>
      </c>
      <c r="BJ713" s="205" t="s">
        <v>153</v>
      </c>
      <c r="BK713" s="206" t="s">
        <v>153</v>
      </c>
      <c r="BL713" s="207" t="s">
        <v>153</v>
      </c>
      <c r="BM713" s="208" t="s">
        <v>153</v>
      </c>
      <c r="BN713" s="209" t="s">
        <v>153</v>
      </c>
      <c r="BO713" s="210" t="s">
        <v>14361</v>
      </c>
      <c r="BP713" s="211" t="s">
        <v>14362</v>
      </c>
      <c r="BQ713" s="212">
        <v>34382</v>
      </c>
      <c r="BR713" s="213" t="s">
        <v>153</v>
      </c>
      <c r="BS713" s="214" t="s">
        <v>153</v>
      </c>
      <c r="BT713" s="215" t="s">
        <v>153</v>
      </c>
      <c r="BU713" s="216" t="s">
        <v>153</v>
      </c>
      <c r="BV713" s="217" t="s">
        <v>251</v>
      </c>
      <c r="BW713" s="218" t="s">
        <v>153</v>
      </c>
      <c r="BX713" s="219" t="s">
        <v>153</v>
      </c>
      <c r="BY713" s="220" t="s">
        <v>252</v>
      </c>
      <c r="BZ713" s="221" t="s">
        <v>153</v>
      </c>
      <c r="CA713" s="222" t="s">
        <v>190</v>
      </c>
      <c r="CB713" s="223">
        <v>44013</v>
      </c>
      <c r="CC713" s="224">
        <v>6600</v>
      </c>
      <c r="CD713" s="225" t="s">
        <v>186</v>
      </c>
      <c r="CE713" s="226">
        <v>6600</v>
      </c>
      <c r="CF713" s="227" t="s">
        <v>187</v>
      </c>
      <c r="CG713" s="228" t="s">
        <v>226</v>
      </c>
      <c r="CH713" s="229" t="s">
        <v>153</v>
      </c>
      <c r="CI713" s="230" t="s">
        <v>153</v>
      </c>
      <c r="CJ713" s="231" t="s">
        <v>225</v>
      </c>
      <c r="CK713" s="232">
        <v>44013</v>
      </c>
      <c r="CL713" s="233" t="s">
        <v>153</v>
      </c>
      <c r="CM713" s="234" t="s">
        <v>153</v>
      </c>
      <c r="CN713" s="235" t="s">
        <v>190</v>
      </c>
      <c r="CO713" s="236">
        <v>1.61</v>
      </c>
      <c r="CP713" s="237">
        <v>98</v>
      </c>
      <c r="CQ713" s="238">
        <v>0</v>
      </c>
      <c r="CR713" s="239">
        <v>-0.22</v>
      </c>
      <c r="CS713" s="240">
        <v>3.26</v>
      </c>
      <c r="CT713" s="241">
        <v>99</v>
      </c>
      <c r="CU713" s="242">
        <v>-0.04</v>
      </c>
      <c r="CV713" s="243">
        <v>34</v>
      </c>
      <c r="CW713" s="244">
        <v>5.97</v>
      </c>
      <c r="CX713" s="245">
        <v>95</v>
      </c>
      <c r="CY713" s="246">
        <v>0.55000000000000004</v>
      </c>
      <c r="CZ713" s="247">
        <v>95</v>
      </c>
      <c r="DA713" s="248">
        <v>-0.04</v>
      </c>
      <c r="DB713" s="249">
        <v>34</v>
      </c>
      <c r="DC713" s="250">
        <v>25.15</v>
      </c>
      <c r="DD713" s="251">
        <v>97</v>
      </c>
      <c r="DE713" s="252">
        <v>-0.04</v>
      </c>
      <c r="DF713" s="253">
        <v>-0.15</v>
      </c>
      <c r="DG713" s="254">
        <v>47.61</v>
      </c>
      <c r="DH713" s="255">
        <v>98</v>
      </c>
      <c r="DI713" s="256">
        <v>2.69</v>
      </c>
      <c r="DJ713" s="257">
        <v>68</v>
      </c>
      <c r="DK713" s="258">
        <v>29.21</v>
      </c>
      <c r="DL713" s="259">
        <v>93</v>
      </c>
      <c r="DM713" s="260">
        <v>66</v>
      </c>
      <c r="DN713" s="261">
        <v>99</v>
      </c>
      <c r="DO713" s="262">
        <v>2.69</v>
      </c>
      <c r="DP713" s="263">
        <v>68</v>
      </c>
      <c r="DQ713" s="264">
        <v>17188</v>
      </c>
      <c r="DR713" s="265">
        <v>496</v>
      </c>
      <c r="DS713" s="266">
        <v>2.97</v>
      </c>
      <c r="DT713" s="267">
        <v>1057</v>
      </c>
      <c r="DU713" s="268">
        <v>3</v>
      </c>
      <c r="DV713" s="269">
        <v>0.28000000000000003</v>
      </c>
      <c r="DW713" s="270">
        <v>846</v>
      </c>
      <c r="DX713" s="271">
        <v>-1</v>
      </c>
      <c r="DY713" s="272">
        <v>-0.12</v>
      </c>
      <c r="DZ713" s="273" t="s">
        <v>191</v>
      </c>
      <c r="EA713" s="274">
        <v>44380</v>
      </c>
      <c r="EB713" s="275">
        <v>6600</v>
      </c>
      <c r="EC713" s="276">
        <v>44013</v>
      </c>
      <c r="ED713" s="277" t="s">
        <v>226</v>
      </c>
      <c r="EE713" s="279" t="str">
        <f>HYPERLINK("https://my.pitchbook.com?c=12491-47", "View company online")</f>
        <v>View company online</v>
      </c>
    </row>
    <row r="714" spans="1:135" x14ac:dyDescent="0.45">
      <c r="A714" s="10" t="s">
        <v>14363</v>
      </c>
      <c r="B714" s="11" t="s">
        <v>14364</v>
      </c>
      <c r="C714" s="12" t="s">
        <v>153</v>
      </c>
      <c r="D714" s="13" t="s">
        <v>153</v>
      </c>
      <c r="E714" s="14" t="s">
        <v>153</v>
      </c>
      <c r="F714" s="15" t="s">
        <v>153</v>
      </c>
      <c r="G714" s="16" t="s">
        <v>14365</v>
      </c>
      <c r="H714" s="17" t="s">
        <v>153</v>
      </c>
      <c r="I714" s="18" t="s">
        <v>14363</v>
      </c>
      <c r="J714" s="19" t="s">
        <v>14366</v>
      </c>
      <c r="K714" s="20" t="s">
        <v>157</v>
      </c>
      <c r="L714" s="21" t="s">
        <v>2713</v>
      </c>
      <c r="M714" s="22" t="s">
        <v>2714</v>
      </c>
      <c r="N714" s="23" t="s">
        <v>14367</v>
      </c>
      <c r="O714" s="24" t="s">
        <v>153</v>
      </c>
      <c r="P714" s="25" t="s">
        <v>14368</v>
      </c>
      <c r="Q714" s="26" t="s">
        <v>204</v>
      </c>
      <c r="R714" s="27" t="s">
        <v>153</v>
      </c>
      <c r="S714" s="28" t="s">
        <v>290</v>
      </c>
      <c r="T714" s="29" t="s">
        <v>291</v>
      </c>
      <c r="U714" s="30" t="s">
        <v>237</v>
      </c>
      <c r="V714" s="31" t="s">
        <v>14369</v>
      </c>
      <c r="W714" s="32" t="s">
        <v>153</v>
      </c>
      <c r="X714" s="33" t="s">
        <v>153</v>
      </c>
      <c r="Y714" s="34" t="s">
        <v>14370</v>
      </c>
      <c r="Z714" s="35" t="s">
        <v>14371</v>
      </c>
      <c r="AA714" s="36">
        <v>1988</v>
      </c>
      <c r="AB714" s="37" t="s">
        <v>14372</v>
      </c>
      <c r="AC714" s="38" t="s">
        <v>153</v>
      </c>
      <c r="AD714" s="39" t="s">
        <v>153</v>
      </c>
      <c r="AE714" s="40">
        <v>7002.55</v>
      </c>
      <c r="AF714" s="41">
        <v>833.05</v>
      </c>
      <c r="AG714" s="42">
        <v>212.87</v>
      </c>
      <c r="AH714" s="43">
        <v>6032.24</v>
      </c>
      <c r="AI714" s="44">
        <v>390.97</v>
      </c>
      <c r="AJ714" s="45">
        <v>275.62</v>
      </c>
      <c r="AK714" s="46">
        <v>5252.28</v>
      </c>
      <c r="AL714" s="47">
        <v>125.91</v>
      </c>
      <c r="AM714" s="48">
        <v>1.55</v>
      </c>
      <c r="AN714" s="49" t="s">
        <v>376</v>
      </c>
      <c r="AO714" s="50" t="s">
        <v>14373</v>
      </c>
      <c r="AP714" s="51" t="s">
        <v>14374</v>
      </c>
      <c r="AQ714" s="52" t="s">
        <v>512</v>
      </c>
      <c r="AR714" s="53" t="s">
        <v>14375</v>
      </c>
      <c r="AS714" s="54" t="s">
        <v>14376</v>
      </c>
      <c r="AT714" s="55" t="s">
        <v>7916</v>
      </c>
      <c r="AU714" s="56" t="s">
        <v>14377</v>
      </c>
      <c r="AV714" s="57" t="s">
        <v>14378</v>
      </c>
      <c r="AW714" s="58" t="s">
        <v>7919</v>
      </c>
      <c r="AX714" s="59" t="s">
        <v>153</v>
      </c>
      <c r="AY714" s="60" t="s">
        <v>14379</v>
      </c>
      <c r="AZ714" s="61" t="s">
        <v>7921</v>
      </c>
      <c r="BA714" s="62" t="s">
        <v>14376</v>
      </c>
      <c r="BB714" s="63" t="s">
        <v>14380</v>
      </c>
      <c r="BC714" s="64" t="s">
        <v>14381</v>
      </c>
      <c r="BD714" s="65" t="s">
        <v>1406</v>
      </c>
      <c r="BE714" s="66" t="s">
        <v>7536</v>
      </c>
      <c r="BF714" s="67" t="s">
        <v>14382</v>
      </c>
      <c r="BG714" s="68" t="s">
        <v>153</v>
      </c>
      <c r="BH714" s="69" t="s">
        <v>153</v>
      </c>
      <c r="BI714" s="70" t="s">
        <v>14372</v>
      </c>
      <c r="BJ714" s="71" t="s">
        <v>14383</v>
      </c>
      <c r="BK714" s="72" t="s">
        <v>153</v>
      </c>
      <c r="BL714" s="73" t="s">
        <v>153</v>
      </c>
      <c r="BM714" s="74" t="s">
        <v>14384</v>
      </c>
      <c r="BN714" s="75" t="s">
        <v>153</v>
      </c>
      <c r="BO714" s="76" t="s">
        <v>14385</v>
      </c>
      <c r="BP714" s="77" t="s">
        <v>14386</v>
      </c>
      <c r="BQ714" s="78">
        <v>34557</v>
      </c>
      <c r="BR714" s="79" t="s">
        <v>153</v>
      </c>
      <c r="BS714" s="80" t="s">
        <v>153</v>
      </c>
      <c r="BT714" s="81" t="s">
        <v>153</v>
      </c>
      <c r="BU714" s="82" t="s">
        <v>153</v>
      </c>
      <c r="BV714" s="83" t="s">
        <v>251</v>
      </c>
      <c r="BW714" s="84" t="s">
        <v>153</v>
      </c>
      <c r="BX714" s="85" t="s">
        <v>153</v>
      </c>
      <c r="BY714" s="86" t="s">
        <v>252</v>
      </c>
      <c r="BZ714" s="87" t="s">
        <v>153</v>
      </c>
      <c r="CA714" s="88" t="s">
        <v>190</v>
      </c>
      <c r="CB714" s="89">
        <v>41491</v>
      </c>
      <c r="CC714" s="90">
        <v>6600</v>
      </c>
      <c r="CD714" s="91" t="s">
        <v>153</v>
      </c>
      <c r="CE714" s="92">
        <v>6600</v>
      </c>
      <c r="CF714" s="93" t="s">
        <v>153</v>
      </c>
      <c r="CG714" s="94" t="s">
        <v>226</v>
      </c>
      <c r="CH714" s="95" t="s">
        <v>729</v>
      </c>
      <c r="CI714" s="96" t="s">
        <v>153</v>
      </c>
      <c r="CJ714" s="97" t="s">
        <v>225</v>
      </c>
      <c r="CK714" s="98">
        <v>41491</v>
      </c>
      <c r="CL714" s="99" t="s">
        <v>153</v>
      </c>
      <c r="CM714" s="100" t="s">
        <v>153</v>
      </c>
      <c r="CN714" s="101" t="s">
        <v>190</v>
      </c>
      <c r="CO714" s="102">
        <v>0.73</v>
      </c>
      <c r="CP714" s="103">
        <v>95</v>
      </c>
      <c r="CQ714" s="104">
        <v>-0.01</v>
      </c>
      <c r="CR714" s="105">
        <v>-1.43</v>
      </c>
      <c r="CS714" s="106">
        <v>0.73</v>
      </c>
      <c r="CT714" s="107">
        <v>94</v>
      </c>
      <c r="CU714" s="108" t="s">
        <v>153</v>
      </c>
      <c r="CV714" s="109" t="s">
        <v>153</v>
      </c>
      <c r="CW714" s="110" t="s">
        <v>153</v>
      </c>
      <c r="CX714" s="111" t="s">
        <v>153</v>
      </c>
      <c r="CY714" s="112">
        <v>0.73</v>
      </c>
      <c r="CZ714" s="113">
        <v>96</v>
      </c>
      <c r="DA714" s="114" t="s">
        <v>153</v>
      </c>
      <c r="DB714" s="115" t="s">
        <v>153</v>
      </c>
      <c r="DC714" s="116">
        <v>41.19</v>
      </c>
      <c r="DD714" s="117">
        <v>98</v>
      </c>
      <c r="DE714" s="118">
        <v>0.56000000000000005</v>
      </c>
      <c r="DF714" s="119">
        <v>1.38</v>
      </c>
      <c r="DG714" s="120">
        <v>41.19</v>
      </c>
      <c r="DH714" s="121">
        <v>98</v>
      </c>
      <c r="DI714" s="122" t="s">
        <v>153</v>
      </c>
      <c r="DJ714" s="123" t="s">
        <v>153</v>
      </c>
      <c r="DK714" s="124" t="s">
        <v>153</v>
      </c>
      <c r="DL714" s="125" t="s">
        <v>153</v>
      </c>
      <c r="DM714" s="126">
        <v>41.19</v>
      </c>
      <c r="DN714" s="127">
        <v>98</v>
      </c>
      <c r="DO714" s="128" t="s">
        <v>153</v>
      </c>
      <c r="DP714" s="129" t="s">
        <v>153</v>
      </c>
      <c r="DQ714" s="130" t="s">
        <v>153</v>
      </c>
      <c r="DR714" s="131" t="s">
        <v>153</v>
      </c>
      <c r="DS714" s="132" t="s">
        <v>153</v>
      </c>
      <c r="DT714" s="133">
        <v>655</v>
      </c>
      <c r="DU714" s="134">
        <v>9</v>
      </c>
      <c r="DV714" s="135">
        <v>1.39</v>
      </c>
      <c r="DW714" s="136" t="s">
        <v>153</v>
      </c>
      <c r="DX714" s="137" t="s">
        <v>153</v>
      </c>
      <c r="DY714" s="138" t="s">
        <v>153</v>
      </c>
      <c r="DZ714" s="139" t="s">
        <v>191</v>
      </c>
      <c r="EA714" s="140">
        <v>44217</v>
      </c>
      <c r="EB714" s="141">
        <v>6600</v>
      </c>
      <c r="EC714" s="142">
        <v>41491</v>
      </c>
      <c r="ED714" s="143" t="s">
        <v>226</v>
      </c>
      <c r="EE714" s="278" t="str">
        <f>HYPERLINK("https://my.pitchbook.com?c=60435-73", "View company online")</f>
        <v>View company online</v>
      </c>
    </row>
    <row r="715" spans="1:135" x14ac:dyDescent="0.45">
      <c r="A715" s="144" t="s">
        <v>14387</v>
      </c>
      <c r="B715" s="145" t="s">
        <v>14388</v>
      </c>
      <c r="C715" s="146" t="s">
        <v>153</v>
      </c>
      <c r="D715" s="147" t="s">
        <v>153</v>
      </c>
      <c r="E715" s="148" t="s">
        <v>14389</v>
      </c>
      <c r="F715" s="149" t="s">
        <v>153</v>
      </c>
      <c r="G715" s="150" t="s">
        <v>14390</v>
      </c>
      <c r="H715" s="151" t="s">
        <v>14391</v>
      </c>
      <c r="I715" s="152" t="s">
        <v>14387</v>
      </c>
      <c r="J715" s="153" t="s">
        <v>14392</v>
      </c>
      <c r="K715" s="154" t="s">
        <v>157</v>
      </c>
      <c r="L715" s="155" t="s">
        <v>2713</v>
      </c>
      <c r="M715" s="156" t="s">
        <v>14393</v>
      </c>
      <c r="N715" s="157" t="s">
        <v>14394</v>
      </c>
      <c r="O715" s="158" t="s">
        <v>6325</v>
      </c>
      <c r="P715" s="159" t="s">
        <v>14395</v>
      </c>
      <c r="Q715" s="160" t="s">
        <v>289</v>
      </c>
      <c r="R715" s="161">
        <v>91.02</v>
      </c>
      <c r="S715" s="162" t="s">
        <v>290</v>
      </c>
      <c r="T715" s="163" t="s">
        <v>291</v>
      </c>
      <c r="U715" s="164" t="s">
        <v>452</v>
      </c>
      <c r="V715" s="165" t="s">
        <v>14396</v>
      </c>
      <c r="W715" s="166">
        <v>495</v>
      </c>
      <c r="X715" s="167" t="s">
        <v>14397</v>
      </c>
      <c r="Y715" s="168" t="s">
        <v>295</v>
      </c>
      <c r="Z715" s="169" t="s">
        <v>14398</v>
      </c>
      <c r="AA715" s="170">
        <v>1996</v>
      </c>
      <c r="AB715" s="171" t="s">
        <v>153</v>
      </c>
      <c r="AC715" s="172" t="s">
        <v>570</v>
      </c>
      <c r="AD715" s="173" t="s">
        <v>1264</v>
      </c>
      <c r="AE715" s="174">
        <v>795.72</v>
      </c>
      <c r="AF715" s="175">
        <v>614.07000000000005</v>
      </c>
      <c r="AG715" s="176">
        <v>196.42</v>
      </c>
      <c r="AH715" s="177">
        <v>3281.83</v>
      </c>
      <c r="AI715" s="178">
        <v>243.7</v>
      </c>
      <c r="AJ715" s="179">
        <v>217.88</v>
      </c>
      <c r="AK715" s="180">
        <v>5945.17</v>
      </c>
      <c r="AL715" s="181">
        <v>-507.62</v>
      </c>
      <c r="AM715" s="182">
        <v>35.51</v>
      </c>
      <c r="AN715" s="183" t="s">
        <v>376</v>
      </c>
      <c r="AO715" s="184" t="s">
        <v>14399</v>
      </c>
      <c r="AP715" s="185" t="s">
        <v>14400</v>
      </c>
      <c r="AQ715" s="186" t="s">
        <v>994</v>
      </c>
      <c r="AR715" s="187" t="s">
        <v>14401</v>
      </c>
      <c r="AS715" s="188" t="s">
        <v>14402</v>
      </c>
      <c r="AT715" s="189" t="s">
        <v>4535</v>
      </c>
      <c r="AU715" s="190" t="s">
        <v>14403</v>
      </c>
      <c r="AV715" s="191" t="s">
        <v>153</v>
      </c>
      <c r="AW715" s="192" t="s">
        <v>4538</v>
      </c>
      <c r="AX715" s="193" t="s">
        <v>308</v>
      </c>
      <c r="AY715" s="194" t="s">
        <v>4539</v>
      </c>
      <c r="AZ715" s="195" t="s">
        <v>215</v>
      </c>
      <c r="BA715" s="196" t="s">
        <v>14402</v>
      </c>
      <c r="BB715" s="197" t="s">
        <v>14404</v>
      </c>
      <c r="BC715" s="198" t="s">
        <v>14405</v>
      </c>
      <c r="BD715" s="199" t="s">
        <v>216</v>
      </c>
      <c r="BE715" s="200" t="s">
        <v>217</v>
      </c>
      <c r="BF715" s="201" t="s">
        <v>14406</v>
      </c>
      <c r="BG715" s="202" t="s">
        <v>153</v>
      </c>
      <c r="BH715" s="203" t="s">
        <v>153</v>
      </c>
      <c r="BI715" s="204" t="s">
        <v>153</v>
      </c>
      <c r="BJ715" s="205" t="s">
        <v>14407</v>
      </c>
      <c r="BK715" s="206" t="s">
        <v>8284</v>
      </c>
      <c r="BL715" s="207" t="s">
        <v>153</v>
      </c>
      <c r="BM715" s="208" t="s">
        <v>14408</v>
      </c>
      <c r="BN715" s="209" t="s">
        <v>8286</v>
      </c>
      <c r="BO715" s="210" t="s">
        <v>14409</v>
      </c>
      <c r="BP715" s="211" t="s">
        <v>14410</v>
      </c>
      <c r="BQ715" s="212">
        <v>35765</v>
      </c>
      <c r="BR715" s="213" t="s">
        <v>153</v>
      </c>
      <c r="BS715" s="214" t="s">
        <v>153</v>
      </c>
      <c r="BT715" s="215" t="s">
        <v>153</v>
      </c>
      <c r="BU715" s="216" t="s">
        <v>153</v>
      </c>
      <c r="BV715" s="217" t="s">
        <v>1007</v>
      </c>
      <c r="BW715" s="218" t="s">
        <v>1007</v>
      </c>
      <c r="BX715" s="219" t="s">
        <v>153</v>
      </c>
      <c r="BY715" s="220" t="s">
        <v>472</v>
      </c>
      <c r="BZ715" s="221" t="s">
        <v>153</v>
      </c>
      <c r="CA715" s="222" t="s">
        <v>190</v>
      </c>
      <c r="CB715" s="223">
        <v>44386</v>
      </c>
      <c r="CC715" s="224">
        <v>6600</v>
      </c>
      <c r="CD715" s="225" t="s">
        <v>186</v>
      </c>
      <c r="CE715" s="226">
        <v>6600</v>
      </c>
      <c r="CF715" s="227" t="s">
        <v>187</v>
      </c>
      <c r="CG715" s="228" t="s">
        <v>188</v>
      </c>
      <c r="CH715" s="229" t="s">
        <v>930</v>
      </c>
      <c r="CI715" s="230" t="s">
        <v>153</v>
      </c>
      <c r="CJ715" s="231" t="s">
        <v>165</v>
      </c>
      <c r="CK715" s="232">
        <v>44386</v>
      </c>
      <c r="CL715" s="233" t="s">
        <v>153</v>
      </c>
      <c r="CM715" s="234" t="s">
        <v>1607</v>
      </c>
      <c r="CN715" s="235" t="s">
        <v>1278</v>
      </c>
      <c r="CO715" s="236">
        <v>-1.74</v>
      </c>
      <c r="CP715" s="237">
        <v>2</v>
      </c>
      <c r="CQ715" s="238">
        <v>0</v>
      </c>
      <c r="CR715" s="239">
        <v>-0.08</v>
      </c>
      <c r="CS715" s="240">
        <v>0.28000000000000003</v>
      </c>
      <c r="CT715" s="241">
        <v>91</v>
      </c>
      <c r="CU715" s="242">
        <v>-0.05</v>
      </c>
      <c r="CV715" s="243">
        <v>32</v>
      </c>
      <c r="CW715" s="244">
        <v>0.05</v>
      </c>
      <c r="CX715" s="245">
        <v>76</v>
      </c>
      <c r="CY715" s="246">
        <v>0.51</v>
      </c>
      <c r="CZ715" s="247">
        <v>94</v>
      </c>
      <c r="DA715" s="248">
        <v>-0.05</v>
      </c>
      <c r="DB715" s="249">
        <v>32</v>
      </c>
      <c r="DC715" s="250">
        <v>288.85000000000002</v>
      </c>
      <c r="DD715" s="251">
        <v>100</v>
      </c>
      <c r="DE715" s="252">
        <v>0.09</v>
      </c>
      <c r="DF715" s="253">
        <v>0.03</v>
      </c>
      <c r="DG715" s="254">
        <v>837.71</v>
      </c>
      <c r="DH715" s="255">
        <v>100</v>
      </c>
      <c r="DI715" s="256">
        <v>15.47</v>
      </c>
      <c r="DJ715" s="257">
        <v>90</v>
      </c>
      <c r="DK715" s="258">
        <v>1437.42</v>
      </c>
      <c r="DL715" s="259">
        <v>100</v>
      </c>
      <c r="DM715" s="260">
        <v>238</v>
      </c>
      <c r="DN715" s="261">
        <v>100</v>
      </c>
      <c r="DO715" s="262">
        <v>15.47</v>
      </c>
      <c r="DP715" s="263">
        <v>90</v>
      </c>
      <c r="DQ715" s="264">
        <v>849964</v>
      </c>
      <c r="DR715" s="265">
        <v>8892</v>
      </c>
      <c r="DS715" s="266">
        <v>1.06</v>
      </c>
      <c r="DT715" s="267">
        <v>3805</v>
      </c>
      <c r="DU715" s="268">
        <v>5</v>
      </c>
      <c r="DV715" s="269">
        <v>0.13</v>
      </c>
      <c r="DW715" s="270">
        <v>4857</v>
      </c>
      <c r="DX715" s="271">
        <v>6</v>
      </c>
      <c r="DY715" s="272">
        <v>0.12</v>
      </c>
      <c r="DZ715" s="273" t="s">
        <v>191</v>
      </c>
      <c r="EA715" s="274">
        <v>44400</v>
      </c>
      <c r="EB715" s="275">
        <v>6600</v>
      </c>
      <c r="EC715" s="276">
        <v>44386</v>
      </c>
      <c r="ED715" s="277" t="s">
        <v>188</v>
      </c>
      <c r="EE715" s="279" t="str">
        <f>HYPERLINK("https://my.pitchbook.com?c=13960-90", "View company online")</f>
        <v>View company online</v>
      </c>
    </row>
    <row r="716" spans="1:135" x14ac:dyDescent="0.45">
      <c r="A716" s="10" t="s">
        <v>14411</v>
      </c>
      <c r="B716" s="11" t="s">
        <v>14412</v>
      </c>
      <c r="C716" s="12" t="s">
        <v>153</v>
      </c>
      <c r="D716" s="13" t="s">
        <v>153</v>
      </c>
      <c r="E716" s="14" t="s">
        <v>14413</v>
      </c>
      <c r="F716" s="15" t="s">
        <v>14414</v>
      </c>
      <c r="G716" s="16" t="s">
        <v>14415</v>
      </c>
      <c r="H716" s="17" t="s">
        <v>153</v>
      </c>
      <c r="I716" s="18" t="s">
        <v>14411</v>
      </c>
      <c r="J716" s="19" t="s">
        <v>14416</v>
      </c>
      <c r="K716" s="20" t="s">
        <v>198</v>
      </c>
      <c r="L716" s="21" t="s">
        <v>199</v>
      </c>
      <c r="M716" s="22" t="s">
        <v>344</v>
      </c>
      <c r="N716" s="23" t="s">
        <v>1283</v>
      </c>
      <c r="O716" s="24" t="s">
        <v>399</v>
      </c>
      <c r="P716" s="25" t="s">
        <v>14417</v>
      </c>
      <c r="Q716" s="26" t="s">
        <v>204</v>
      </c>
      <c r="R716" s="27" t="s">
        <v>153</v>
      </c>
      <c r="S716" s="28" t="s">
        <v>163</v>
      </c>
      <c r="T716" s="29" t="s">
        <v>164</v>
      </c>
      <c r="U716" s="30" t="s">
        <v>237</v>
      </c>
      <c r="V716" s="31" t="s">
        <v>153</v>
      </c>
      <c r="W716" s="32">
        <v>24769</v>
      </c>
      <c r="X716" s="33" t="s">
        <v>14418</v>
      </c>
      <c r="Y716" s="34" t="s">
        <v>153</v>
      </c>
      <c r="Z716" s="35" t="s">
        <v>153</v>
      </c>
      <c r="AA716" s="36">
        <v>1947</v>
      </c>
      <c r="AB716" s="37" t="s">
        <v>4120</v>
      </c>
      <c r="AC716" s="38" t="s">
        <v>153</v>
      </c>
      <c r="AD716" s="39" t="s">
        <v>153</v>
      </c>
      <c r="AE716" s="40" t="s">
        <v>153</v>
      </c>
      <c r="AF716" s="41" t="s">
        <v>153</v>
      </c>
      <c r="AG716" s="42" t="s">
        <v>153</v>
      </c>
      <c r="AH716" s="43" t="s">
        <v>153</v>
      </c>
      <c r="AI716" s="44" t="s">
        <v>153</v>
      </c>
      <c r="AJ716" s="45" t="s">
        <v>153</v>
      </c>
      <c r="AK716" s="46" t="s">
        <v>153</v>
      </c>
      <c r="AL716" s="47" t="s">
        <v>153</v>
      </c>
      <c r="AM716" s="48" t="s">
        <v>153</v>
      </c>
      <c r="AN716" s="49" t="s">
        <v>330</v>
      </c>
      <c r="AO716" s="50" t="s">
        <v>14419</v>
      </c>
      <c r="AP716" s="51" t="s">
        <v>14420</v>
      </c>
      <c r="AQ716" s="52" t="s">
        <v>14421</v>
      </c>
      <c r="AR716" s="53" t="s">
        <v>14422</v>
      </c>
      <c r="AS716" s="54" t="s">
        <v>14423</v>
      </c>
      <c r="AT716" s="55" t="s">
        <v>3509</v>
      </c>
      <c r="AU716" s="56" t="s">
        <v>14424</v>
      </c>
      <c r="AV716" s="57" t="s">
        <v>14425</v>
      </c>
      <c r="AW716" s="58" t="s">
        <v>3512</v>
      </c>
      <c r="AX716" s="59" t="s">
        <v>153</v>
      </c>
      <c r="AY716" s="60" t="s">
        <v>14426</v>
      </c>
      <c r="AZ716" s="61" t="s">
        <v>3061</v>
      </c>
      <c r="BA716" s="62" t="s">
        <v>14427</v>
      </c>
      <c r="BB716" s="63" t="s">
        <v>14428</v>
      </c>
      <c r="BC716" s="64" t="s">
        <v>153</v>
      </c>
      <c r="BD716" s="65" t="s">
        <v>216</v>
      </c>
      <c r="BE716" s="66" t="s">
        <v>217</v>
      </c>
      <c r="BF716" s="67" t="s">
        <v>14429</v>
      </c>
      <c r="BG716" s="68" t="s">
        <v>153</v>
      </c>
      <c r="BH716" s="69" t="s">
        <v>153</v>
      </c>
      <c r="BI716" s="70" t="s">
        <v>4120</v>
      </c>
      <c r="BJ716" s="71" t="s">
        <v>4106</v>
      </c>
      <c r="BK716" s="72" t="s">
        <v>153</v>
      </c>
      <c r="BL716" s="73" t="s">
        <v>153</v>
      </c>
      <c r="BM716" s="74" t="s">
        <v>153</v>
      </c>
      <c r="BN716" s="75" t="s">
        <v>153</v>
      </c>
      <c r="BO716" s="76" t="s">
        <v>153</v>
      </c>
      <c r="BP716" s="77" t="s">
        <v>14430</v>
      </c>
      <c r="BQ716" s="78">
        <v>32874</v>
      </c>
      <c r="BR716" s="79" t="s">
        <v>153</v>
      </c>
      <c r="BS716" s="80" t="s">
        <v>153</v>
      </c>
      <c r="BT716" s="81" t="s">
        <v>153</v>
      </c>
      <c r="BU716" s="82" t="s">
        <v>153</v>
      </c>
      <c r="BV716" s="83" t="s">
        <v>226</v>
      </c>
      <c r="BW716" s="84" t="s">
        <v>153</v>
      </c>
      <c r="BX716" s="85" t="s">
        <v>153</v>
      </c>
      <c r="BY716" s="86" t="s">
        <v>318</v>
      </c>
      <c r="BZ716" s="87" t="s">
        <v>153</v>
      </c>
      <c r="CA716" s="88" t="s">
        <v>190</v>
      </c>
      <c r="CB716" s="89">
        <v>40345</v>
      </c>
      <c r="CC716" s="90">
        <v>6600</v>
      </c>
      <c r="CD716" s="91" t="s">
        <v>186</v>
      </c>
      <c r="CE716" s="92">
        <v>16790</v>
      </c>
      <c r="CF716" s="93" t="s">
        <v>186</v>
      </c>
      <c r="CG716" s="94" t="s">
        <v>906</v>
      </c>
      <c r="CH716" s="95" t="s">
        <v>153</v>
      </c>
      <c r="CI716" s="96" t="s">
        <v>153</v>
      </c>
      <c r="CJ716" s="97" t="s">
        <v>225</v>
      </c>
      <c r="CK716" s="98">
        <v>40345</v>
      </c>
      <c r="CL716" s="99" t="s">
        <v>153</v>
      </c>
      <c r="CM716" s="100" t="s">
        <v>153</v>
      </c>
      <c r="CN716" s="101" t="s">
        <v>190</v>
      </c>
      <c r="CO716" s="102" t="s">
        <v>153</v>
      </c>
      <c r="CP716" s="103" t="s">
        <v>153</v>
      </c>
      <c r="CQ716" s="104" t="s">
        <v>153</v>
      </c>
      <c r="CR716" s="105" t="s">
        <v>153</v>
      </c>
      <c r="CS716" s="106" t="s">
        <v>153</v>
      </c>
      <c r="CT716" s="107" t="s">
        <v>153</v>
      </c>
      <c r="CU716" s="108" t="s">
        <v>153</v>
      </c>
      <c r="CV716" s="109" t="s">
        <v>153</v>
      </c>
      <c r="CW716" s="110" t="s">
        <v>153</v>
      </c>
      <c r="CX716" s="111" t="s">
        <v>153</v>
      </c>
      <c r="CY716" s="112" t="s">
        <v>153</v>
      </c>
      <c r="CZ716" s="113" t="s">
        <v>153</v>
      </c>
      <c r="DA716" s="114" t="s">
        <v>153</v>
      </c>
      <c r="DB716" s="115" t="s">
        <v>153</v>
      </c>
      <c r="DC716" s="116" t="s">
        <v>153</v>
      </c>
      <c r="DD716" s="117" t="s">
        <v>153</v>
      </c>
      <c r="DE716" s="118" t="s">
        <v>153</v>
      </c>
      <c r="DF716" s="119" t="s">
        <v>153</v>
      </c>
      <c r="DG716" s="120" t="s">
        <v>153</v>
      </c>
      <c r="DH716" s="121" t="s">
        <v>153</v>
      </c>
      <c r="DI716" s="122" t="s">
        <v>153</v>
      </c>
      <c r="DJ716" s="123" t="s">
        <v>153</v>
      </c>
      <c r="DK716" s="124" t="s">
        <v>153</v>
      </c>
      <c r="DL716" s="125" t="s">
        <v>153</v>
      </c>
      <c r="DM716" s="126" t="s">
        <v>153</v>
      </c>
      <c r="DN716" s="127" t="s">
        <v>153</v>
      </c>
      <c r="DO716" s="128" t="s">
        <v>153</v>
      </c>
      <c r="DP716" s="129" t="s">
        <v>153</v>
      </c>
      <c r="DQ716" s="130" t="s">
        <v>153</v>
      </c>
      <c r="DR716" s="131" t="s">
        <v>153</v>
      </c>
      <c r="DS716" s="132" t="s">
        <v>153</v>
      </c>
      <c r="DT716" s="133" t="s">
        <v>153</v>
      </c>
      <c r="DU716" s="134" t="s">
        <v>153</v>
      </c>
      <c r="DV716" s="135" t="s">
        <v>153</v>
      </c>
      <c r="DW716" s="136" t="s">
        <v>153</v>
      </c>
      <c r="DX716" s="137" t="s">
        <v>153</v>
      </c>
      <c r="DY716" s="138" t="s">
        <v>153</v>
      </c>
      <c r="DZ716" s="139" t="s">
        <v>191</v>
      </c>
      <c r="EA716" s="140">
        <v>44217</v>
      </c>
      <c r="EB716" s="141">
        <v>16790</v>
      </c>
      <c r="EC716" s="142">
        <v>40345</v>
      </c>
      <c r="ED716" s="143" t="s">
        <v>906</v>
      </c>
      <c r="EE716" s="278" t="str">
        <f>HYPERLINK("https://my.pitchbook.com?c=42133-51", "View company online")</f>
        <v>View company online</v>
      </c>
    </row>
    <row r="717" spans="1:135" x14ac:dyDescent="0.45">
      <c r="A717" s="144" t="s">
        <v>14431</v>
      </c>
      <c r="B717" s="145" t="s">
        <v>14432</v>
      </c>
      <c r="C717" s="146" t="s">
        <v>153</v>
      </c>
      <c r="D717" s="147" t="s">
        <v>153</v>
      </c>
      <c r="E717" s="148" t="s">
        <v>14433</v>
      </c>
      <c r="F717" s="149" t="s">
        <v>14434</v>
      </c>
      <c r="G717" s="150" t="s">
        <v>14435</v>
      </c>
      <c r="H717" s="151" t="s">
        <v>14436</v>
      </c>
      <c r="I717" s="152" t="s">
        <v>14431</v>
      </c>
      <c r="J717" s="153" t="s">
        <v>14437</v>
      </c>
      <c r="K717" s="154" t="s">
        <v>882</v>
      </c>
      <c r="L717" s="155" t="s">
        <v>883</v>
      </c>
      <c r="M717" s="156" t="s">
        <v>2243</v>
      </c>
      <c r="N717" s="157" t="s">
        <v>14438</v>
      </c>
      <c r="O717" s="158" t="s">
        <v>755</v>
      </c>
      <c r="P717" s="159" t="s">
        <v>14439</v>
      </c>
      <c r="Q717" s="160" t="s">
        <v>564</v>
      </c>
      <c r="R717" s="161">
        <v>546.44000000000005</v>
      </c>
      <c r="S717" s="162" t="s">
        <v>290</v>
      </c>
      <c r="T717" s="163" t="s">
        <v>1392</v>
      </c>
      <c r="U717" s="164" t="s">
        <v>1063</v>
      </c>
      <c r="V717" s="165" t="s">
        <v>14440</v>
      </c>
      <c r="W717" s="166">
        <v>10200</v>
      </c>
      <c r="X717" s="167" t="s">
        <v>14441</v>
      </c>
      <c r="Y717" s="168" t="s">
        <v>153</v>
      </c>
      <c r="Z717" s="169" t="s">
        <v>153</v>
      </c>
      <c r="AA717" s="170">
        <v>1852</v>
      </c>
      <c r="AB717" s="171" t="s">
        <v>14442</v>
      </c>
      <c r="AC717" s="172" t="s">
        <v>153</v>
      </c>
      <c r="AD717" s="173" t="s">
        <v>153</v>
      </c>
      <c r="AE717" s="174" t="s">
        <v>153</v>
      </c>
      <c r="AF717" s="175" t="s">
        <v>153</v>
      </c>
      <c r="AG717" s="176" t="s">
        <v>153</v>
      </c>
      <c r="AH717" s="177" t="s">
        <v>153</v>
      </c>
      <c r="AI717" s="178" t="s">
        <v>153</v>
      </c>
      <c r="AJ717" s="179" t="s">
        <v>153</v>
      </c>
      <c r="AK717" s="180" t="s">
        <v>153</v>
      </c>
      <c r="AL717" s="181" t="s">
        <v>153</v>
      </c>
      <c r="AM717" s="182" t="s">
        <v>153</v>
      </c>
      <c r="AN717" s="183" t="s">
        <v>2675</v>
      </c>
      <c r="AO717" s="184" t="s">
        <v>14443</v>
      </c>
      <c r="AP717" s="185" t="s">
        <v>14444</v>
      </c>
      <c r="AQ717" s="186" t="s">
        <v>302</v>
      </c>
      <c r="AR717" s="187" t="s">
        <v>14445</v>
      </c>
      <c r="AS717" s="188" t="s">
        <v>14446</v>
      </c>
      <c r="AT717" s="189" t="s">
        <v>14447</v>
      </c>
      <c r="AU717" s="190" t="s">
        <v>14448</v>
      </c>
      <c r="AV717" s="191" t="s">
        <v>14449</v>
      </c>
      <c r="AW717" s="192" t="s">
        <v>14450</v>
      </c>
      <c r="AX717" s="193" t="s">
        <v>2727</v>
      </c>
      <c r="AY717" s="194" t="s">
        <v>6062</v>
      </c>
      <c r="AZ717" s="195" t="s">
        <v>215</v>
      </c>
      <c r="BA717" s="196" t="s">
        <v>14446</v>
      </c>
      <c r="BB717" s="197" t="s">
        <v>153</v>
      </c>
      <c r="BC717" s="198" t="s">
        <v>14451</v>
      </c>
      <c r="BD717" s="199" t="s">
        <v>216</v>
      </c>
      <c r="BE717" s="200" t="s">
        <v>217</v>
      </c>
      <c r="BF717" s="201" t="s">
        <v>14452</v>
      </c>
      <c r="BG717" s="202" t="s">
        <v>153</v>
      </c>
      <c r="BH717" s="203" t="s">
        <v>153</v>
      </c>
      <c r="BI717" s="204" t="s">
        <v>14442</v>
      </c>
      <c r="BJ717" s="205" t="s">
        <v>14453</v>
      </c>
      <c r="BK717" s="206" t="s">
        <v>14454</v>
      </c>
      <c r="BL717" s="207" t="s">
        <v>153</v>
      </c>
      <c r="BM717" s="208" t="s">
        <v>14455</v>
      </c>
      <c r="BN717" s="209" t="s">
        <v>14456</v>
      </c>
      <c r="BO717" s="210" t="s">
        <v>14457</v>
      </c>
      <c r="BP717" s="211" t="s">
        <v>14458</v>
      </c>
      <c r="BQ717" s="212">
        <v>38084</v>
      </c>
      <c r="BR717" s="213">
        <v>1680</v>
      </c>
      <c r="BS717" s="214" t="s">
        <v>186</v>
      </c>
      <c r="BT717" s="215">
        <v>1680</v>
      </c>
      <c r="BU717" s="216" t="s">
        <v>186</v>
      </c>
      <c r="BV717" s="217" t="s">
        <v>188</v>
      </c>
      <c r="BW717" s="218" t="s">
        <v>153</v>
      </c>
      <c r="BX717" s="219" t="s">
        <v>153</v>
      </c>
      <c r="BY717" s="220" t="s">
        <v>165</v>
      </c>
      <c r="BZ717" s="221" t="s">
        <v>14459</v>
      </c>
      <c r="CA717" s="222" t="s">
        <v>190</v>
      </c>
      <c r="CB717" s="223">
        <v>43060</v>
      </c>
      <c r="CC717" s="224">
        <v>6600</v>
      </c>
      <c r="CD717" s="225" t="s">
        <v>186</v>
      </c>
      <c r="CE717" s="226">
        <v>6600</v>
      </c>
      <c r="CF717" s="227" t="s">
        <v>187</v>
      </c>
      <c r="CG717" s="228" t="s">
        <v>188</v>
      </c>
      <c r="CH717" s="229" t="s">
        <v>189</v>
      </c>
      <c r="CI717" s="230" t="s">
        <v>930</v>
      </c>
      <c r="CJ717" s="231" t="s">
        <v>165</v>
      </c>
      <c r="CK717" s="232">
        <v>43060</v>
      </c>
      <c r="CL717" s="233" t="s">
        <v>153</v>
      </c>
      <c r="CM717" s="234" t="s">
        <v>153</v>
      </c>
      <c r="CN717" s="235" t="s">
        <v>190</v>
      </c>
      <c r="CO717" s="236" t="s">
        <v>153</v>
      </c>
      <c r="CP717" s="237" t="s">
        <v>153</v>
      </c>
      <c r="CQ717" s="238" t="s">
        <v>153</v>
      </c>
      <c r="CR717" s="239" t="s">
        <v>153</v>
      </c>
      <c r="CS717" s="240" t="s">
        <v>153</v>
      </c>
      <c r="CT717" s="241" t="s">
        <v>153</v>
      </c>
      <c r="CU717" s="242" t="s">
        <v>153</v>
      </c>
      <c r="CV717" s="243" t="s">
        <v>153</v>
      </c>
      <c r="CW717" s="244" t="s">
        <v>153</v>
      </c>
      <c r="CX717" s="245" t="s">
        <v>153</v>
      </c>
      <c r="CY717" s="246" t="s">
        <v>153</v>
      </c>
      <c r="CZ717" s="247" t="s">
        <v>153</v>
      </c>
      <c r="DA717" s="248" t="s">
        <v>153</v>
      </c>
      <c r="DB717" s="249" t="s">
        <v>153</v>
      </c>
      <c r="DC717" s="250" t="s">
        <v>153</v>
      </c>
      <c r="DD717" s="251" t="s">
        <v>153</v>
      </c>
      <c r="DE717" s="252" t="s">
        <v>153</v>
      </c>
      <c r="DF717" s="253" t="s">
        <v>153</v>
      </c>
      <c r="DG717" s="254" t="s">
        <v>153</v>
      </c>
      <c r="DH717" s="255" t="s">
        <v>153</v>
      </c>
      <c r="DI717" s="256" t="s">
        <v>153</v>
      </c>
      <c r="DJ717" s="257" t="s">
        <v>153</v>
      </c>
      <c r="DK717" s="258" t="s">
        <v>153</v>
      </c>
      <c r="DL717" s="259" t="s">
        <v>153</v>
      </c>
      <c r="DM717" s="260" t="s">
        <v>153</v>
      </c>
      <c r="DN717" s="261" t="s">
        <v>153</v>
      </c>
      <c r="DO717" s="262" t="s">
        <v>153</v>
      </c>
      <c r="DP717" s="263" t="s">
        <v>153</v>
      </c>
      <c r="DQ717" s="264" t="s">
        <v>153</v>
      </c>
      <c r="DR717" s="265" t="s">
        <v>153</v>
      </c>
      <c r="DS717" s="266" t="s">
        <v>153</v>
      </c>
      <c r="DT717" s="267" t="s">
        <v>153</v>
      </c>
      <c r="DU717" s="268" t="s">
        <v>153</v>
      </c>
      <c r="DV717" s="269" t="s">
        <v>153</v>
      </c>
      <c r="DW717" s="270" t="s">
        <v>153</v>
      </c>
      <c r="DX717" s="271" t="s">
        <v>153</v>
      </c>
      <c r="DY717" s="272" t="s">
        <v>153</v>
      </c>
      <c r="DZ717" s="273" t="s">
        <v>191</v>
      </c>
      <c r="EA717" s="274">
        <v>44385</v>
      </c>
      <c r="EB717" s="275">
        <v>6600</v>
      </c>
      <c r="EC717" s="276">
        <v>43060</v>
      </c>
      <c r="ED717" s="277" t="s">
        <v>188</v>
      </c>
      <c r="EE717" s="279" t="str">
        <f>HYPERLINK("https://my.pitchbook.com?c=10317-52", "View company online")</f>
        <v>View company online</v>
      </c>
    </row>
    <row r="718" spans="1:135" x14ac:dyDescent="0.45">
      <c r="A718" s="10" t="s">
        <v>14460</v>
      </c>
      <c r="B718" s="11" t="s">
        <v>14461</v>
      </c>
      <c r="C718" s="12" t="s">
        <v>153</v>
      </c>
      <c r="D718" s="13" t="s">
        <v>153</v>
      </c>
      <c r="E718" s="14" t="s">
        <v>14462</v>
      </c>
      <c r="F718" s="15" t="s">
        <v>153</v>
      </c>
      <c r="G718" s="16" t="s">
        <v>14463</v>
      </c>
      <c r="H718" s="17" t="s">
        <v>14464</v>
      </c>
      <c r="I718" s="18" t="s">
        <v>14460</v>
      </c>
      <c r="J718" s="19" t="s">
        <v>14465</v>
      </c>
      <c r="K718" s="20" t="s">
        <v>157</v>
      </c>
      <c r="L718" s="21" t="s">
        <v>2713</v>
      </c>
      <c r="M718" s="22" t="s">
        <v>2922</v>
      </c>
      <c r="N718" s="23" t="s">
        <v>14466</v>
      </c>
      <c r="O718" s="24" t="s">
        <v>2839</v>
      </c>
      <c r="P718" s="25" t="s">
        <v>14467</v>
      </c>
      <c r="Q718" s="26" t="s">
        <v>289</v>
      </c>
      <c r="R718" s="27">
        <v>830.9</v>
      </c>
      <c r="S718" s="28" t="s">
        <v>290</v>
      </c>
      <c r="T718" s="29" t="s">
        <v>291</v>
      </c>
      <c r="U718" s="30" t="s">
        <v>5485</v>
      </c>
      <c r="V718" s="31" t="s">
        <v>14468</v>
      </c>
      <c r="W718" s="32">
        <v>14986</v>
      </c>
      <c r="X718" s="33" t="s">
        <v>14469</v>
      </c>
      <c r="Y718" s="34" t="s">
        <v>3097</v>
      </c>
      <c r="Z718" s="35" t="s">
        <v>14470</v>
      </c>
      <c r="AA718" s="36">
        <v>2008</v>
      </c>
      <c r="AB718" s="37" t="s">
        <v>153</v>
      </c>
      <c r="AC718" s="38" t="s">
        <v>153</v>
      </c>
      <c r="AD718" s="39" t="s">
        <v>1794</v>
      </c>
      <c r="AE718" s="40">
        <v>10130.6</v>
      </c>
      <c r="AF718" s="41">
        <v>4391.1000000000004</v>
      </c>
      <c r="AG718" s="42">
        <v>404.26</v>
      </c>
      <c r="AH718" s="43">
        <v>23483.29</v>
      </c>
      <c r="AI718" s="44">
        <v>895.67</v>
      </c>
      <c r="AJ718" s="45">
        <v>642.74</v>
      </c>
      <c r="AK718" s="46">
        <v>29810.18</v>
      </c>
      <c r="AL718" s="47">
        <v>-707.71</v>
      </c>
      <c r="AM718" s="48">
        <v>31.19</v>
      </c>
      <c r="AN718" s="49" t="s">
        <v>376</v>
      </c>
      <c r="AO718" s="50" t="s">
        <v>14471</v>
      </c>
      <c r="AP718" s="51" t="s">
        <v>14472</v>
      </c>
      <c r="AQ718" s="52" t="s">
        <v>14473</v>
      </c>
      <c r="AR718" s="53" t="s">
        <v>14474</v>
      </c>
      <c r="AS718" s="54" t="s">
        <v>153</v>
      </c>
      <c r="AT718" s="55" t="s">
        <v>3075</v>
      </c>
      <c r="AU718" s="56" t="s">
        <v>14475</v>
      </c>
      <c r="AV718" s="57" t="s">
        <v>153</v>
      </c>
      <c r="AW718" s="58" t="s">
        <v>3076</v>
      </c>
      <c r="AX718" s="59" t="s">
        <v>153</v>
      </c>
      <c r="AY718" s="60" t="s">
        <v>14476</v>
      </c>
      <c r="AZ718" s="61" t="s">
        <v>352</v>
      </c>
      <c r="BA718" s="62" t="s">
        <v>153</v>
      </c>
      <c r="BB718" s="63" t="s">
        <v>14477</v>
      </c>
      <c r="BC718" s="64" t="s">
        <v>153</v>
      </c>
      <c r="BD718" s="65" t="s">
        <v>180</v>
      </c>
      <c r="BE718" s="66" t="s">
        <v>181</v>
      </c>
      <c r="BF718" s="67" t="s">
        <v>14478</v>
      </c>
      <c r="BG718" s="68" t="s">
        <v>14479</v>
      </c>
      <c r="BH718" s="69">
        <v>2</v>
      </c>
      <c r="BI718" s="70" t="s">
        <v>153</v>
      </c>
      <c r="BJ718" s="71" t="s">
        <v>14480</v>
      </c>
      <c r="BK718" s="72" t="s">
        <v>153</v>
      </c>
      <c r="BL718" s="73" t="s">
        <v>14481</v>
      </c>
      <c r="BM718" s="74" t="s">
        <v>14482</v>
      </c>
      <c r="BN718" s="75" t="s">
        <v>153</v>
      </c>
      <c r="BO718" s="76" t="s">
        <v>14483</v>
      </c>
      <c r="BP718" s="77" t="s">
        <v>14484</v>
      </c>
      <c r="BQ718" s="78">
        <v>40234</v>
      </c>
      <c r="BR718" s="79" t="s">
        <v>153</v>
      </c>
      <c r="BS718" s="80" t="s">
        <v>153</v>
      </c>
      <c r="BT718" s="81" t="s">
        <v>153</v>
      </c>
      <c r="BU718" s="82" t="s">
        <v>153</v>
      </c>
      <c r="BV718" s="83" t="s">
        <v>471</v>
      </c>
      <c r="BW718" s="84" t="s">
        <v>153</v>
      </c>
      <c r="BX718" s="85" t="s">
        <v>153</v>
      </c>
      <c r="BY718" s="86" t="s">
        <v>472</v>
      </c>
      <c r="BZ718" s="87" t="s">
        <v>153</v>
      </c>
      <c r="CA718" s="88" t="s">
        <v>190</v>
      </c>
      <c r="CB718" s="89">
        <v>44244</v>
      </c>
      <c r="CC718" s="90">
        <v>6600</v>
      </c>
      <c r="CD718" s="91" t="s">
        <v>186</v>
      </c>
      <c r="CE718" s="92">
        <v>314284.57</v>
      </c>
      <c r="CF718" s="93" t="s">
        <v>187</v>
      </c>
      <c r="CG718" s="94" t="s">
        <v>906</v>
      </c>
      <c r="CH718" s="95" t="s">
        <v>153</v>
      </c>
      <c r="CI718" s="96" t="s">
        <v>153</v>
      </c>
      <c r="CJ718" s="97" t="s">
        <v>225</v>
      </c>
      <c r="CK718" s="98">
        <v>44244</v>
      </c>
      <c r="CL718" s="99" t="s">
        <v>153</v>
      </c>
      <c r="CM718" s="100" t="s">
        <v>153</v>
      </c>
      <c r="CN718" s="101" t="s">
        <v>1278</v>
      </c>
      <c r="CO718" s="102">
        <v>0.46</v>
      </c>
      <c r="CP718" s="103">
        <v>93</v>
      </c>
      <c r="CQ718" s="104">
        <v>0.13</v>
      </c>
      <c r="CR718" s="105">
        <v>40.909999999999997</v>
      </c>
      <c r="CS718" s="106">
        <v>0.96</v>
      </c>
      <c r="CT718" s="107">
        <v>95</v>
      </c>
      <c r="CU718" s="108">
        <v>0.01</v>
      </c>
      <c r="CV718" s="109">
        <v>77</v>
      </c>
      <c r="CW718" s="110">
        <v>2.42</v>
      </c>
      <c r="CX718" s="111">
        <v>87</v>
      </c>
      <c r="CY718" s="112">
        <v>-0.49</v>
      </c>
      <c r="CZ718" s="113">
        <v>2</v>
      </c>
      <c r="DA718" s="114">
        <v>0.01</v>
      </c>
      <c r="DB718" s="115">
        <v>77</v>
      </c>
      <c r="DC718" s="116">
        <v>1213.1600000000001</v>
      </c>
      <c r="DD718" s="117">
        <v>100</v>
      </c>
      <c r="DE718" s="118">
        <v>0.31</v>
      </c>
      <c r="DF718" s="119">
        <v>0.03</v>
      </c>
      <c r="DG718" s="120">
        <v>3155.84</v>
      </c>
      <c r="DH718" s="121">
        <v>100</v>
      </c>
      <c r="DI718" s="122">
        <v>78.599999999999994</v>
      </c>
      <c r="DJ718" s="123">
        <v>97</v>
      </c>
      <c r="DK718" s="124">
        <v>5641.69</v>
      </c>
      <c r="DL718" s="125">
        <v>100</v>
      </c>
      <c r="DM718" s="126">
        <v>670</v>
      </c>
      <c r="DN718" s="127">
        <v>100</v>
      </c>
      <c r="DO718" s="128">
        <v>78.599999999999994</v>
      </c>
      <c r="DP718" s="129">
        <v>97</v>
      </c>
      <c r="DQ718" s="130">
        <v>3330849</v>
      </c>
      <c r="DR718" s="131">
        <v>53793</v>
      </c>
      <c r="DS718" s="132">
        <v>1.64</v>
      </c>
      <c r="DT718" s="133">
        <v>10714</v>
      </c>
      <c r="DU718" s="134">
        <v>15</v>
      </c>
      <c r="DV718" s="135">
        <v>0.14000000000000001</v>
      </c>
      <c r="DW718" s="136">
        <v>24680</v>
      </c>
      <c r="DX718" s="137">
        <v>24</v>
      </c>
      <c r="DY718" s="138">
        <v>0.1</v>
      </c>
      <c r="DZ718" s="139" t="s">
        <v>191</v>
      </c>
      <c r="EA718" s="140">
        <v>44390</v>
      </c>
      <c r="EB718" s="141">
        <v>314284.57</v>
      </c>
      <c r="EC718" s="142">
        <v>44244</v>
      </c>
      <c r="ED718" s="143" t="s">
        <v>906</v>
      </c>
      <c r="EE718" s="278" t="str">
        <f>HYPERLINK("https://my.pitchbook.com?c=53796-70", "View company online")</f>
        <v>View company online</v>
      </c>
    </row>
    <row r="719" spans="1:135" x14ac:dyDescent="0.45">
      <c r="A719" s="144" t="s">
        <v>14485</v>
      </c>
      <c r="B719" s="145" t="s">
        <v>14486</v>
      </c>
      <c r="C719" s="146" t="s">
        <v>153</v>
      </c>
      <c r="D719" s="147" t="s">
        <v>153</v>
      </c>
      <c r="E719" s="148" t="s">
        <v>153</v>
      </c>
      <c r="F719" s="149" t="s">
        <v>153</v>
      </c>
      <c r="G719" s="150" t="s">
        <v>153</v>
      </c>
      <c r="H719" s="151" t="s">
        <v>153</v>
      </c>
      <c r="I719" s="152" t="s">
        <v>14485</v>
      </c>
      <c r="J719" s="153" t="s">
        <v>14487</v>
      </c>
      <c r="K719" s="154" t="s">
        <v>257</v>
      </c>
      <c r="L719" s="155" t="s">
        <v>258</v>
      </c>
      <c r="M719" s="156" t="s">
        <v>259</v>
      </c>
      <c r="N719" s="157" t="s">
        <v>14488</v>
      </c>
      <c r="O719" s="158" t="s">
        <v>153</v>
      </c>
      <c r="P719" s="159" t="s">
        <v>14489</v>
      </c>
      <c r="Q719" s="160" t="s">
        <v>204</v>
      </c>
      <c r="R719" s="161" t="s">
        <v>153</v>
      </c>
      <c r="S719" s="162" t="s">
        <v>290</v>
      </c>
      <c r="T719" s="163" t="s">
        <v>205</v>
      </c>
      <c r="U719" s="164" t="s">
        <v>206</v>
      </c>
      <c r="V719" s="165" t="s">
        <v>153</v>
      </c>
      <c r="W719" s="166" t="s">
        <v>153</v>
      </c>
      <c r="X719" s="167" t="s">
        <v>153</v>
      </c>
      <c r="Y719" s="168" t="s">
        <v>153</v>
      </c>
      <c r="Z719" s="169" t="s">
        <v>153</v>
      </c>
      <c r="AA719" s="170" t="s">
        <v>153</v>
      </c>
      <c r="AB719" s="171" t="s">
        <v>153</v>
      </c>
      <c r="AC719" s="172" t="s">
        <v>153</v>
      </c>
      <c r="AD719" s="173" t="s">
        <v>153</v>
      </c>
      <c r="AE719" s="174" t="s">
        <v>153</v>
      </c>
      <c r="AF719" s="175" t="s">
        <v>153</v>
      </c>
      <c r="AG719" s="176" t="s">
        <v>153</v>
      </c>
      <c r="AH719" s="177" t="s">
        <v>153</v>
      </c>
      <c r="AI719" s="178" t="s">
        <v>153</v>
      </c>
      <c r="AJ719" s="179" t="s">
        <v>153</v>
      </c>
      <c r="AK719" s="180" t="s">
        <v>153</v>
      </c>
      <c r="AL719" s="181" t="s">
        <v>153</v>
      </c>
      <c r="AM719" s="182" t="s">
        <v>153</v>
      </c>
      <c r="AN719" s="183" t="s">
        <v>918</v>
      </c>
      <c r="AO719" s="184" t="s">
        <v>153</v>
      </c>
      <c r="AP719" s="185" t="s">
        <v>153</v>
      </c>
      <c r="AQ719" s="186" t="s">
        <v>153</v>
      </c>
      <c r="AR719" s="187" t="s">
        <v>153</v>
      </c>
      <c r="AS719" s="188" t="s">
        <v>153</v>
      </c>
      <c r="AT719" s="189" t="s">
        <v>14490</v>
      </c>
      <c r="AU719" s="190" t="s">
        <v>14491</v>
      </c>
      <c r="AV719" s="191" t="s">
        <v>153</v>
      </c>
      <c r="AW719" s="192" t="s">
        <v>14492</v>
      </c>
      <c r="AX719" s="193" t="s">
        <v>153</v>
      </c>
      <c r="AY719" s="194" t="s">
        <v>14493</v>
      </c>
      <c r="AZ719" s="195" t="s">
        <v>352</v>
      </c>
      <c r="BA719" s="196" t="s">
        <v>153</v>
      </c>
      <c r="BB719" s="197" t="s">
        <v>153</v>
      </c>
      <c r="BC719" s="198" t="s">
        <v>153</v>
      </c>
      <c r="BD719" s="199" t="s">
        <v>180</v>
      </c>
      <c r="BE719" s="200" t="s">
        <v>181</v>
      </c>
      <c r="BF719" s="201" t="s">
        <v>14494</v>
      </c>
      <c r="BG719" s="202" t="s">
        <v>153</v>
      </c>
      <c r="BH719" s="203" t="s">
        <v>153</v>
      </c>
      <c r="BI719" s="204" t="s">
        <v>3443</v>
      </c>
      <c r="BJ719" s="205" t="s">
        <v>14495</v>
      </c>
      <c r="BK719" s="206" t="s">
        <v>153</v>
      </c>
      <c r="BL719" s="207" t="s">
        <v>153</v>
      </c>
      <c r="BM719" s="208" t="s">
        <v>14496</v>
      </c>
      <c r="BN719" s="209" t="s">
        <v>153</v>
      </c>
      <c r="BO719" s="210" t="s">
        <v>153</v>
      </c>
      <c r="BP719" s="211" t="s">
        <v>14497</v>
      </c>
      <c r="BQ719" s="212">
        <v>42736</v>
      </c>
      <c r="BR719" s="213">
        <v>6564.66</v>
      </c>
      <c r="BS719" s="214" t="s">
        <v>186</v>
      </c>
      <c r="BT719" s="215">
        <v>6564.66</v>
      </c>
      <c r="BU719" s="216" t="s">
        <v>187</v>
      </c>
      <c r="BV719" s="217" t="s">
        <v>226</v>
      </c>
      <c r="BW719" s="218" t="s">
        <v>729</v>
      </c>
      <c r="BX719" s="219" t="s">
        <v>153</v>
      </c>
      <c r="BY719" s="220" t="s">
        <v>225</v>
      </c>
      <c r="BZ719" s="221" t="s">
        <v>153</v>
      </c>
      <c r="CA719" s="222" t="s">
        <v>190</v>
      </c>
      <c r="CB719" s="223">
        <v>42736</v>
      </c>
      <c r="CC719" s="224">
        <v>6564.66</v>
      </c>
      <c r="CD719" s="225" t="s">
        <v>186</v>
      </c>
      <c r="CE719" s="226">
        <v>6564.66</v>
      </c>
      <c r="CF719" s="227" t="s">
        <v>187</v>
      </c>
      <c r="CG719" s="228" t="s">
        <v>226</v>
      </c>
      <c r="CH719" s="229" t="s">
        <v>729</v>
      </c>
      <c r="CI719" s="230" t="s">
        <v>153</v>
      </c>
      <c r="CJ719" s="231" t="s">
        <v>225</v>
      </c>
      <c r="CK719" s="232">
        <v>42736</v>
      </c>
      <c r="CL719" s="233" t="s">
        <v>153</v>
      </c>
      <c r="CM719" s="234" t="s">
        <v>153</v>
      </c>
      <c r="CN719" s="235" t="s">
        <v>190</v>
      </c>
      <c r="CO719" s="236" t="s">
        <v>153</v>
      </c>
      <c r="CP719" s="237" t="s">
        <v>153</v>
      </c>
      <c r="CQ719" s="238" t="s">
        <v>153</v>
      </c>
      <c r="CR719" s="239" t="s">
        <v>153</v>
      </c>
      <c r="CS719" s="240" t="s">
        <v>153</v>
      </c>
      <c r="CT719" s="241" t="s">
        <v>153</v>
      </c>
      <c r="CU719" s="242" t="s">
        <v>153</v>
      </c>
      <c r="CV719" s="243" t="s">
        <v>153</v>
      </c>
      <c r="CW719" s="244" t="s">
        <v>153</v>
      </c>
      <c r="CX719" s="245" t="s">
        <v>153</v>
      </c>
      <c r="CY719" s="246" t="s">
        <v>153</v>
      </c>
      <c r="CZ719" s="247" t="s">
        <v>153</v>
      </c>
      <c r="DA719" s="248" t="s">
        <v>153</v>
      </c>
      <c r="DB719" s="249" t="s">
        <v>153</v>
      </c>
      <c r="DC719" s="250" t="s">
        <v>153</v>
      </c>
      <c r="DD719" s="251" t="s">
        <v>153</v>
      </c>
      <c r="DE719" s="252" t="s">
        <v>153</v>
      </c>
      <c r="DF719" s="253" t="s">
        <v>153</v>
      </c>
      <c r="DG719" s="254" t="s">
        <v>153</v>
      </c>
      <c r="DH719" s="255" t="s">
        <v>153</v>
      </c>
      <c r="DI719" s="256" t="s">
        <v>153</v>
      </c>
      <c r="DJ719" s="257" t="s">
        <v>153</v>
      </c>
      <c r="DK719" s="258" t="s">
        <v>153</v>
      </c>
      <c r="DL719" s="259" t="s">
        <v>153</v>
      </c>
      <c r="DM719" s="260" t="s">
        <v>153</v>
      </c>
      <c r="DN719" s="261" t="s">
        <v>153</v>
      </c>
      <c r="DO719" s="262" t="s">
        <v>153</v>
      </c>
      <c r="DP719" s="263" t="s">
        <v>153</v>
      </c>
      <c r="DQ719" s="264" t="s">
        <v>153</v>
      </c>
      <c r="DR719" s="265" t="s">
        <v>153</v>
      </c>
      <c r="DS719" s="266" t="s">
        <v>153</v>
      </c>
      <c r="DT719" s="267" t="s">
        <v>153</v>
      </c>
      <c r="DU719" s="268" t="s">
        <v>153</v>
      </c>
      <c r="DV719" s="269" t="s">
        <v>153</v>
      </c>
      <c r="DW719" s="270" t="s">
        <v>153</v>
      </c>
      <c r="DX719" s="271" t="s">
        <v>153</v>
      </c>
      <c r="DY719" s="272" t="s">
        <v>153</v>
      </c>
      <c r="DZ719" s="273" t="s">
        <v>191</v>
      </c>
      <c r="EA719" s="274">
        <v>44365</v>
      </c>
      <c r="EB719" s="275">
        <v>6564.66</v>
      </c>
      <c r="EC719" s="276">
        <v>42736</v>
      </c>
      <c r="ED719" s="277" t="s">
        <v>226</v>
      </c>
      <c r="EE719" s="279" t="str">
        <f>HYPERLINK("https://my.pitchbook.com?c=151985-80", "View company online")</f>
        <v>View company online</v>
      </c>
    </row>
    <row r="720" spans="1:135" x14ac:dyDescent="0.45">
      <c r="A720" s="10" t="s">
        <v>14498</v>
      </c>
      <c r="B720" s="11" t="s">
        <v>14499</v>
      </c>
      <c r="C720" s="12" t="s">
        <v>153</v>
      </c>
      <c r="D720" s="13" t="s">
        <v>153</v>
      </c>
      <c r="E720" s="14" t="s">
        <v>153</v>
      </c>
      <c r="F720" s="15" t="s">
        <v>153</v>
      </c>
      <c r="G720" s="16" t="s">
        <v>14500</v>
      </c>
      <c r="H720" s="17" t="s">
        <v>14501</v>
      </c>
      <c r="I720" s="18" t="s">
        <v>14498</v>
      </c>
      <c r="J720" s="19" t="s">
        <v>14502</v>
      </c>
      <c r="K720" s="20" t="s">
        <v>198</v>
      </c>
      <c r="L720" s="21" t="s">
        <v>1589</v>
      </c>
      <c r="M720" s="22" t="s">
        <v>1590</v>
      </c>
      <c r="N720" s="23" t="s">
        <v>4872</v>
      </c>
      <c r="O720" s="24" t="s">
        <v>1592</v>
      </c>
      <c r="P720" s="25" t="s">
        <v>14503</v>
      </c>
      <c r="Q720" s="26" t="s">
        <v>204</v>
      </c>
      <c r="R720" s="27" t="s">
        <v>153</v>
      </c>
      <c r="S720" s="28" t="s">
        <v>163</v>
      </c>
      <c r="T720" s="29" t="s">
        <v>205</v>
      </c>
      <c r="U720" s="30" t="s">
        <v>237</v>
      </c>
      <c r="V720" s="31" t="s">
        <v>153</v>
      </c>
      <c r="W720" s="32">
        <v>5000</v>
      </c>
      <c r="X720" s="33" t="s">
        <v>14504</v>
      </c>
      <c r="Y720" s="34" t="s">
        <v>153</v>
      </c>
      <c r="Z720" s="35" t="s">
        <v>153</v>
      </c>
      <c r="AA720" s="36">
        <v>1959</v>
      </c>
      <c r="AB720" s="37" t="s">
        <v>153</v>
      </c>
      <c r="AC720" s="38" t="s">
        <v>153</v>
      </c>
      <c r="AD720" s="39" t="s">
        <v>153</v>
      </c>
      <c r="AE720" s="40" t="s">
        <v>153</v>
      </c>
      <c r="AF720" s="41" t="s">
        <v>153</v>
      </c>
      <c r="AG720" s="42" t="s">
        <v>153</v>
      </c>
      <c r="AH720" s="43" t="s">
        <v>153</v>
      </c>
      <c r="AI720" s="44" t="s">
        <v>153</v>
      </c>
      <c r="AJ720" s="45" t="s">
        <v>153</v>
      </c>
      <c r="AK720" s="46" t="s">
        <v>153</v>
      </c>
      <c r="AL720" s="47" t="s">
        <v>153</v>
      </c>
      <c r="AM720" s="48" t="s">
        <v>153</v>
      </c>
      <c r="AN720" s="49" t="s">
        <v>330</v>
      </c>
      <c r="AO720" s="50" t="s">
        <v>14505</v>
      </c>
      <c r="AP720" s="51" t="s">
        <v>14506</v>
      </c>
      <c r="AQ720" s="52" t="s">
        <v>3871</v>
      </c>
      <c r="AR720" s="53" t="s">
        <v>153</v>
      </c>
      <c r="AS720" s="54" t="s">
        <v>153</v>
      </c>
      <c r="AT720" s="55" t="s">
        <v>2033</v>
      </c>
      <c r="AU720" s="56" t="s">
        <v>14507</v>
      </c>
      <c r="AV720" s="57" t="s">
        <v>153</v>
      </c>
      <c r="AW720" s="58" t="s">
        <v>2036</v>
      </c>
      <c r="AX720" s="59" t="s">
        <v>308</v>
      </c>
      <c r="AY720" s="60" t="s">
        <v>13114</v>
      </c>
      <c r="AZ720" s="61" t="s">
        <v>215</v>
      </c>
      <c r="BA720" s="62" t="s">
        <v>153</v>
      </c>
      <c r="BB720" s="63" t="s">
        <v>153</v>
      </c>
      <c r="BC720" s="64" t="s">
        <v>153</v>
      </c>
      <c r="BD720" s="65" t="s">
        <v>216</v>
      </c>
      <c r="BE720" s="66" t="s">
        <v>217</v>
      </c>
      <c r="BF720" s="67" t="s">
        <v>14508</v>
      </c>
      <c r="BG720" s="68" t="s">
        <v>153</v>
      </c>
      <c r="BH720" s="69" t="s">
        <v>153</v>
      </c>
      <c r="BI720" s="70" t="s">
        <v>12031</v>
      </c>
      <c r="BJ720" s="71" t="s">
        <v>153</v>
      </c>
      <c r="BK720" s="72" t="s">
        <v>153</v>
      </c>
      <c r="BL720" s="73" t="s">
        <v>153</v>
      </c>
      <c r="BM720" s="74" t="s">
        <v>153</v>
      </c>
      <c r="BN720" s="75" t="s">
        <v>153</v>
      </c>
      <c r="BO720" s="76" t="s">
        <v>14509</v>
      </c>
      <c r="BP720" s="77" t="s">
        <v>14510</v>
      </c>
      <c r="BQ720" s="78">
        <v>26451</v>
      </c>
      <c r="BR720" s="79" t="s">
        <v>153</v>
      </c>
      <c r="BS720" s="80" t="s">
        <v>153</v>
      </c>
      <c r="BT720" s="81" t="s">
        <v>153</v>
      </c>
      <c r="BU720" s="82" t="s">
        <v>153</v>
      </c>
      <c r="BV720" s="83" t="s">
        <v>251</v>
      </c>
      <c r="BW720" s="84" t="s">
        <v>153</v>
      </c>
      <c r="BX720" s="85" t="s">
        <v>153</v>
      </c>
      <c r="BY720" s="86" t="s">
        <v>252</v>
      </c>
      <c r="BZ720" s="87" t="s">
        <v>153</v>
      </c>
      <c r="CA720" s="88" t="s">
        <v>190</v>
      </c>
      <c r="CB720" s="89">
        <v>40809</v>
      </c>
      <c r="CC720" s="90">
        <v>6560</v>
      </c>
      <c r="CD720" s="91" t="s">
        <v>186</v>
      </c>
      <c r="CE720" s="92">
        <v>6560</v>
      </c>
      <c r="CF720" s="93" t="s">
        <v>187</v>
      </c>
      <c r="CG720" s="94" t="s">
        <v>226</v>
      </c>
      <c r="CH720" s="95" t="s">
        <v>153</v>
      </c>
      <c r="CI720" s="96" t="s">
        <v>153</v>
      </c>
      <c r="CJ720" s="97" t="s">
        <v>225</v>
      </c>
      <c r="CK720" s="98">
        <v>40809</v>
      </c>
      <c r="CL720" s="99" t="s">
        <v>153</v>
      </c>
      <c r="CM720" s="100" t="s">
        <v>153</v>
      </c>
      <c r="CN720" s="101" t="s">
        <v>190</v>
      </c>
      <c r="CO720" s="102" t="s">
        <v>153</v>
      </c>
      <c r="CP720" s="103" t="s">
        <v>153</v>
      </c>
      <c r="CQ720" s="104" t="s">
        <v>153</v>
      </c>
      <c r="CR720" s="105" t="s">
        <v>153</v>
      </c>
      <c r="CS720" s="106" t="s">
        <v>153</v>
      </c>
      <c r="CT720" s="107" t="s">
        <v>153</v>
      </c>
      <c r="CU720" s="108" t="s">
        <v>153</v>
      </c>
      <c r="CV720" s="109" t="s">
        <v>153</v>
      </c>
      <c r="CW720" s="110" t="s">
        <v>153</v>
      </c>
      <c r="CX720" s="111" t="s">
        <v>153</v>
      </c>
      <c r="CY720" s="112" t="s">
        <v>153</v>
      </c>
      <c r="CZ720" s="113" t="s">
        <v>153</v>
      </c>
      <c r="DA720" s="114" t="s">
        <v>153</v>
      </c>
      <c r="DB720" s="115" t="s">
        <v>153</v>
      </c>
      <c r="DC720" s="116" t="s">
        <v>153</v>
      </c>
      <c r="DD720" s="117" t="s">
        <v>153</v>
      </c>
      <c r="DE720" s="118" t="s">
        <v>153</v>
      </c>
      <c r="DF720" s="119" t="s">
        <v>153</v>
      </c>
      <c r="DG720" s="120" t="s">
        <v>153</v>
      </c>
      <c r="DH720" s="121" t="s">
        <v>153</v>
      </c>
      <c r="DI720" s="122" t="s">
        <v>153</v>
      </c>
      <c r="DJ720" s="123" t="s">
        <v>153</v>
      </c>
      <c r="DK720" s="124" t="s">
        <v>153</v>
      </c>
      <c r="DL720" s="125" t="s">
        <v>153</v>
      </c>
      <c r="DM720" s="126" t="s">
        <v>153</v>
      </c>
      <c r="DN720" s="127" t="s">
        <v>153</v>
      </c>
      <c r="DO720" s="128" t="s">
        <v>153</v>
      </c>
      <c r="DP720" s="129" t="s">
        <v>153</v>
      </c>
      <c r="DQ720" s="130" t="s">
        <v>153</v>
      </c>
      <c r="DR720" s="131" t="s">
        <v>153</v>
      </c>
      <c r="DS720" s="132" t="s">
        <v>153</v>
      </c>
      <c r="DT720" s="133" t="s">
        <v>153</v>
      </c>
      <c r="DU720" s="134" t="s">
        <v>153</v>
      </c>
      <c r="DV720" s="135" t="s">
        <v>153</v>
      </c>
      <c r="DW720" s="136" t="s">
        <v>153</v>
      </c>
      <c r="DX720" s="137" t="s">
        <v>153</v>
      </c>
      <c r="DY720" s="138" t="s">
        <v>153</v>
      </c>
      <c r="DZ720" s="139" t="s">
        <v>191</v>
      </c>
      <c r="EA720" s="140">
        <v>44217</v>
      </c>
      <c r="EB720" s="141">
        <v>6560</v>
      </c>
      <c r="EC720" s="142">
        <v>40809</v>
      </c>
      <c r="ED720" s="143" t="s">
        <v>226</v>
      </c>
      <c r="EE720" s="278" t="str">
        <f>HYPERLINK("https://my.pitchbook.com?c=41205-34", "View company online")</f>
        <v>View company online</v>
      </c>
    </row>
    <row r="721" spans="1:135" x14ac:dyDescent="0.45">
      <c r="A721" s="144" t="s">
        <v>14511</v>
      </c>
      <c r="B721" s="145" t="s">
        <v>14512</v>
      </c>
      <c r="C721" s="146" t="s">
        <v>153</v>
      </c>
      <c r="D721" s="147" t="s">
        <v>153</v>
      </c>
      <c r="E721" s="148" t="s">
        <v>14513</v>
      </c>
      <c r="F721" s="149" t="s">
        <v>14514</v>
      </c>
      <c r="G721" s="150" t="s">
        <v>14515</v>
      </c>
      <c r="H721" s="151" t="s">
        <v>14516</v>
      </c>
      <c r="I721" s="152" t="s">
        <v>14511</v>
      </c>
      <c r="J721" s="153" t="s">
        <v>14517</v>
      </c>
      <c r="K721" s="154" t="s">
        <v>232</v>
      </c>
      <c r="L721" s="155" t="s">
        <v>2162</v>
      </c>
      <c r="M721" s="156" t="s">
        <v>2773</v>
      </c>
      <c r="N721" s="157" t="s">
        <v>14518</v>
      </c>
      <c r="O721" s="158" t="s">
        <v>8895</v>
      </c>
      <c r="P721" s="159" t="s">
        <v>14519</v>
      </c>
      <c r="Q721" s="160" t="s">
        <v>564</v>
      </c>
      <c r="R721" s="161">
        <v>2094.7199999999998</v>
      </c>
      <c r="S721" s="162" t="s">
        <v>290</v>
      </c>
      <c r="T721" s="163" t="s">
        <v>291</v>
      </c>
      <c r="U721" s="164" t="s">
        <v>452</v>
      </c>
      <c r="V721" s="165" t="s">
        <v>14520</v>
      </c>
      <c r="W721" s="166">
        <v>1921</v>
      </c>
      <c r="X721" s="167" t="s">
        <v>14521</v>
      </c>
      <c r="Y721" s="168" t="s">
        <v>372</v>
      </c>
      <c r="Z721" s="169" t="s">
        <v>14522</v>
      </c>
      <c r="AA721" s="170">
        <v>2001</v>
      </c>
      <c r="AB721" s="171" t="s">
        <v>153</v>
      </c>
      <c r="AC721" s="172" t="s">
        <v>508</v>
      </c>
      <c r="AD721" s="173" t="s">
        <v>622</v>
      </c>
      <c r="AE721" s="174">
        <v>4815.47</v>
      </c>
      <c r="AF721" s="175" t="s">
        <v>153</v>
      </c>
      <c r="AG721" s="176">
        <v>180.7</v>
      </c>
      <c r="AH721" s="177">
        <v>5298.36</v>
      </c>
      <c r="AI721" s="178">
        <v>297.33</v>
      </c>
      <c r="AJ721" s="179">
        <v>232.04</v>
      </c>
      <c r="AK721" s="180">
        <v>4160.88</v>
      </c>
      <c r="AL721" s="181">
        <v>548.08000000000004</v>
      </c>
      <c r="AM721" s="182">
        <v>-6.01</v>
      </c>
      <c r="AN721" s="183" t="s">
        <v>376</v>
      </c>
      <c r="AO721" s="184" t="s">
        <v>14523</v>
      </c>
      <c r="AP721" s="185" t="s">
        <v>14524</v>
      </c>
      <c r="AQ721" s="186" t="s">
        <v>14525</v>
      </c>
      <c r="AR721" s="187" t="s">
        <v>14526</v>
      </c>
      <c r="AS721" s="188" t="s">
        <v>14527</v>
      </c>
      <c r="AT721" s="189" t="s">
        <v>4094</v>
      </c>
      <c r="AU721" s="190" t="s">
        <v>14528</v>
      </c>
      <c r="AV721" s="191" t="s">
        <v>14529</v>
      </c>
      <c r="AW721" s="192" t="s">
        <v>4097</v>
      </c>
      <c r="AX721" s="193" t="s">
        <v>153</v>
      </c>
      <c r="AY721" s="194" t="s">
        <v>4098</v>
      </c>
      <c r="AZ721" s="195" t="s">
        <v>4099</v>
      </c>
      <c r="BA721" s="196" t="s">
        <v>14530</v>
      </c>
      <c r="BB721" s="197" t="s">
        <v>14531</v>
      </c>
      <c r="BC721" s="198" t="s">
        <v>153</v>
      </c>
      <c r="BD721" s="199" t="s">
        <v>216</v>
      </c>
      <c r="BE721" s="200" t="s">
        <v>217</v>
      </c>
      <c r="BF721" s="201" t="s">
        <v>14532</v>
      </c>
      <c r="BG721" s="202" t="s">
        <v>153</v>
      </c>
      <c r="BH721" s="203" t="s">
        <v>153</v>
      </c>
      <c r="BI721" s="204" t="s">
        <v>153</v>
      </c>
      <c r="BJ721" s="205" t="s">
        <v>14533</v>
      </c>
      <c r="BK721" s="206" t="s">
        <v>14534</v>
      </c>
      <c r="BL721" s="207" t="s">
        <v>153</v>
      </c>
      <c r="BM721" s="208" t="s">
        <v>14535</v>
      </c>
      <c r="BN721" s="209" t="s">
        <v>14536</v>
      </c>
      <c r="BO721" s="210" t="s">
        <v>14537</v>
      </c>
      <c r="BP721" s="211" t="s">
        <v>14538</v>
      </c>
      <c r="BQ721" s="212">
        <v>37215</v>
      </c>
      <c r="BR721" s="213">
        <v>1600</v>
      </c>
      <c r="BS721" s="214" t="s">
        <v>186</v>
      </c>
      <c r="BT721" s="215" t="s">
        <v>153</v>
      </c>
      <c r="BU721" s="216" t="s">
        <v>153</v>
      </c>
      <c r="BV721" s="217" t="s">
        <v>709</v>
      </c>
      <c r="BW721" s="218" t="s">
        <v>3593</v>
      </c>
      <c r="BX721" s="219" t="s">
        <v>153</v>
      </c>
      <c r="BY721" s="220" t="s">
        <v>165</v>
      </c>
      <c r="BZ721" s="221" t="s">
        <v>153</v>
      </c>
      <c r="CA721" s="222" t="s">
        <v>190</v>
      </c>
      <c r="CB721" s="223">
        <v>42220</v>
      </c>
      <c r="CC721" s="224">
        <v>6559.99</v>
      </c>
      <c r="CD721" s="225" t="s">
        <v>186</v>
      </c>
      <c r="CE721" s="226">
        <v>6559.99</v>
      </c>
      <c r="CF721" s="227" t="s">
        <v>186</v>
      </c>
      <c r="CG721" s="228" t="s">
        <v>226</v>
      </c>
      <c r="CH721" s="229" t="s">
        <v>153</v>
      </c>
      <c r="CI721" s="230" t="s">
        <v>153</v>
      </c>
      <c r="CJ721" s="231" t="s">
        <v>225</v>
      </c>
      <c r="CK721" s="232">
        <v>42220</v>
      </c>
      <c r="CL721" s="233" t="s">
        <v>153</v>
      </c>
      <c r="CM721" s="234" t="s">
        <v>153</v>
      </c>
      <c r="CN721" s="235" t="s">
        <v>394</v>
      </c>
      <c r="CO721" s="236">
        <v>2.19</v>
      </c>
      <c r="CP721" s="237">
        <v>98</v>
      </c>
      <c r="CQ721" s="238">
        <v>0</v>
      </c>
      <c r="CR721" s="239">
        <v>-0.1</v>
      </c>
      <c r="CS721" s="240">
        <v>4.24</v>
      </c>
      <c r="CT721" s="241">
        <v>100</v>
      </c>
      <c r="CU721" s="242">
        <v>0.15</v>
      </c>
      <c r="CV721" s="243">
        <v>89</v>
      </c>
      <c r="CW721" s="244">
        <v>7.6</v>
      </c>
      <c r="CX721" s="245">
        <v>97</v>
      </c>
      <c r="CY721" s="246">
        <v>0.88</v>
      </c>
      <c r="CZ721" s="247">
        <v>97</v>
      </c>
      <c r="DA721" s="248">
        <v>0.15</v>
      </c>
      <c r="DB721" s="249">
        <v>89</v>
      </c>
      <c r="DC721" s="250">
        <v>17.559999999999999</v>
      </c>
      <c r="DD721" s="251">
        <v>95</v>
      </c>
      <c r="DE721" s="252">
        <v>0.12</v>
      </c>
      <c r="DF721" s="253">
        <v>0.68</v>
      </c>
      <c r="DG721" s="254">
        <v>32.22</v>
      </c>
      <c r="DH721" s="255">
        <v>97</v>
      </c>
      <c r="DI721" s="256">
        <v>2.9</v>
      </c>
      <c r="DJ721" s="257">
        <v>69</v>
      </c>
      <c r="DK721" s="258">
        <v>10.5</v>
      </c>
      <c r="DL721" s="259">
        <v>86</v>
      </c>
      <c r="DM721" s="260">
        <v>53.94</v>
      </c>
      <c r="DN721" s="261">
        <v>98</v>
      </c>
      <c r="DO721" s="262">
        <v>2.9</v>
      </c>
      <c r="DP721" s="263">
        <v>69</v>
      </c>
      <c r="DQ721" s="264">
        <v>6109</v>
      </c>
      <c r="DR721" s="265">
        <v>433</v>
      </c>
      <c r="DS721" s="266">
        <v>7.63</v>
      </c>
      <c r="DT721" s="267">
        <v>860</v>
      </c>
      <c r="DU721" s="268">
        <v>8</v>
      </c>
      <c r="DV721" s="269">
        <v>0.94</v>
      </c>
      <c r="DW721" s="270">
        <v>912</v>
      </c>
      <c r="DX721" s="271">
        <v>0</v>
      </c>
      <c r="DY721" s="272">
        <v>0</v>
      </c>
      <c r="DZ721" s="273" t="s">
        <v>191</v>
      </c>
      <c r="EA721" s="274">
        <v>44389</v>
      </c>
      <c r="EB721" s="275">
        <v>6559.99</v>
      </c>
      <c r="EC721" s="276">
        <v>42220</v>
      </c>
      <c r="ED721" s="277" t="s">
        <v>226</v>
      </c>
      <c r="EE721" s="279" t="str">
        <f>HYPERLINK("https://my.pitchbook.com?c=12363-85", "View company online")</f>
        <v>View company online</v>
      </c>
    </row>
    <row r="722" spans="1:135" x14ac:dyDescent="0.45">
      <c r="A722" s="10" t="s">
        <v>14539</v>
      </c>
      <c r="B722" s="11" t="s">
        <v>14540</v>
      </c>
      <c r="C722" s="12" t="s">
        <v>153</v>
      </c>
      <c r="D722" s="13" t="s">
        <v>153</v>
      </c>
      <c r="E722" s="14" t="s">
        <v>153</v>
      </c>
      <c r="F722" s="15" t="s">
        <v>14541</v>
      </c>
      <c r="G722" s="16" t="s">
        <v>14542</v>
      </c>
      <c r="H722" s="17" t="s">
        <v>14543</v>
      </c>
      <c r="I722" s="18" t="s">
        <v>14539</v>
      </c>
      <c r="J722" s="19" t="s">
        <v>14544</v>
      </c>
      <c r="K722" s="20" t="s">
        <v>157</v>
      </c>
      <c r="L722" s="21" t="s">
        <v>421</v>
      </c>
      <c r="M722" s="22" t="s">
        <v>422</v>
      </c>
      <c r="N722" s="23" t="s">
        <v>3773</v>
      </c>
      <c r="O722" s="24" t="s">
        <v>399</v>
      </c>
      <c r="P722" s="25" t="s">
        <v>14545</v>
      </c>
      <c r="Q722" s="26" t="s">
        <v>289</v>
      </c>
      <c r="R722" s="27">
        <v>2808</v>
      </c>
      <c r="S722" s="28" t="s">
        <v>290</v>
      </c>
      <c r="T722" s="29" t="s">
        <v>164</v>
      </c>
      <c r="U722" s="30" t="s">
        <v>941</v>
      </c>
      <c r="V722" s="31" t="s">
        <v>14546</v>
      </c>
      <c r="W722" s="32">
        <v>12500</v>
      </c>
      <c r="X722" s="33" t="s">
        <v>14547</v>
      </c>
      <c r="Y722" s="34" t="s">
        <v>153</v>
      </c>
      <c r="Z722" s="35" t="s">
        <v>153</v>
      </c>
      <c r="AA722" s="36">
        <v>1985</v>
      </c>
      <c r="AB722" s="37" t="s">
        <v>14548</v>
      </c>
      <c r="AC722" s="38" t="s">
        <v>153</v>
      </c>
      <c r="AD722" s="39" t="s">
        <v>153</v>
      </c>
      <c r="AE722" s="40" t="s">
        <v>153</v>
      </c>
      <c r="AF722" s="41" t="s">
        <v>153</v>
      </c>
      <c r="AG722" s="42" t="s">
        <v>153</v>
      </c>
      <c r="AH722" s="43" t="s">
        <v>153</v>
      </c>
      <c r="AI722" s="44" t="s">
        <v>153</v>
      </c>
      <c r="AJ722" s="45" t="s">
        <v>153</v>
      </c>
      <c r="AK722" s="46" t="s">
        <v>153</v>
      </c>
      <c r="AL722" s="47" t="s">
        <v>153</v>
      </c>
      <c r="AM722" s="48" t="s">
        <v>153</v>
      </c>
      <c r="AN722" s="49" t="s">
        <v>825</v>
      </c>
      <c r="AO722" s="50" t="s">
        <v>14549</v>
      </c>
      <c r="AP722" s="51" t="s">
        <v>14550</v>
      </c>
      <c r="AQ722" s="52" t="s">
        <v>171</v>
      </c>
      <c r="AR722" s="53" t="s">
        <v>14551</v>
      </c>
      <c r="AS722" s="54" t="s">
        <v>14552</v>
      </c>
      <c r="AT722" s="55" t="s">
        <v>9514</v>
      </c>
      <c r="AU722" s="56" t="s">
        <v>14553</v>
      </c>
      <c r="AV722" s="57" t="s">
        <v>3421</v>
      </c>
      <c r="AW722" s="58" t="s">
        <v>9516</v>
      </c>
      <c r="AX722" s="59" t="s">
        <v>308</v>
      </c>
      <c r="AY722" s="60" t="s">
        <v>14554</v>
      </c>
      <c r="AZ722" s="61" t="s">
        <v>215</v>
      </c>
      <c r="BA722" s="62" t="s">
        <v>14552</v>
      </c>
      <c r="BB722" s="63" t="s">
        <v>14555</v>
      </c>
      <c r="BC722" s="64" t="s">
        <v>153</v>
      </c>
      <c r="BD722" s="65" t="s">
        <v>216</v>
      </c>
      <c r="BE722" s="66" t="s">
        <v>217</v>
      </c>
      <c r="BF722" s="67" t="s">
        <v>14556</v>
      </c>
      <c r="BG722" s="68" t="s">
        <v>14548</v>
      </c>
      <c r="BH722" s="69">
        <v>1</v>
      </c>
      <c r="BI722" s="70" t="s">
        <v>153</v>
      </c>
      <c r="BJ722" s="71" t="s">
        <v>14557</v>
      </c>
      <c r="BK722" s="72" t="s">
        <v>153</v>
      </c>
      <c r="BL722" s="73" t="s">
        <v>14558</v>
      </c>
      <c r="BM722" s="74" t="s">
        <v>14559</v>
      </c>
      <c r="BN722" s="75" t="s">
        <v>153</v>
      </c>
      <c r="BO722" s="76" t="s">
        <v>14560</v>
      </c>
      <c r="BP722" s="77" t="s">
        <v>14561</v>
      </c>
      <c r="BQ722" s="78" t="s">
        <v>153</v>
      </c>
      <c r="BR722" s="79" t="s">
        <v>153</v>
      </c>
      <c r="BS722" s="80" t="s">
        <v>153</v>
      </c>
      <c r="BT722" s="81" t="s">
        <v>153</v>
      </c>
      <c r="BU722" s="82" t="s">
        <v>153</v>
      </c>
      <c r="BV722" s="83" t="s">
        <v>471</v>
      </c>
      <c r="BW722" s="84" t="s">
        <v>153</v>
      </c>
      <c r="BX722" s="85" t="s">
        <v>153</v>
      </c>
      <c r="BY722" s="86" t="s">
        <v>472</v>
      </c>
      <c r="BZ722" s="87" t="s">
        <v>153</v>
      </c>
      <c r="CA722" s="88" t="s">
        <v>190</v>
      </c>
      <c r="CB722" s="89">
        <v>38434</v>
      </c>
      <c r="CC722" s="90">
        <v>6550</v>
      </c>
      <c r="CD722" s="91" t="s">
        <v>186</v>
      </c>
      <c r="CE722" s="92">
        <v>36592.199999999997</v>
      </c>
      <c r="CF722" s="93" t="s">
        <v>187</v>
      </c>
      <c r="CG722" s="94" t="s">
        <v>906</v>
      </c>
      <c r="CH722" s="95" t="s">
        <v>153</v>
      </c>
      <c r="CI722" s="96" t="s">
        <v>153</v>
      </c>
      <c r="CJ722" s="97" t="s">
        <v>225</v>
      </c>
      <c r="CK722" s="98">
        <v>38434</v>
      </c>
      <c r="CL722" s="99" t="s">
        <v>153</v>
      </c>
      <c r="CM722" s="100" t="s">
        <v>153</v>
      </c>
      <c r="CN722" s="101" t="s">
        <v>190</v>
      </c>
      <c r="CO722" s="102" t="s">
        <v>153</v>
      </c>
      <c r="CP722" s="103" t="s">
        <v>153</v>
      </c>
      <c r="CQ722" s="104" t="s">
        <v>153</v>
      </c>
      <c r="CR722" s="105" t="s">
        <v>153</v>
      </c>
      <c r="CS722" s="106" t="s">
        <v>153</v>
      </c>
      <c r="CT722" s="107" t="s">
        <v>153</v>
      </c>
      <c r="CU722" s="108" t="s">
        <v>153</v>
      </c>
      <c r="CV722" s="109" t="s">
        <v>153</v>
      </c>
      <c r="CW722" s="110" t="s">
        <v>153</v>
      </c>
      <c r="CX722" s="111" t="s">
        <v>153</v>
      </c>
      <c r="CY722" s="112" t="s">
        <v>153</v>
      </c>
      <c r="CZ722" s="113" t="s">
        <v>153</v>
      </c>
      <c r="DA722" s="114" t="s">
        <v>153</v>
      </c>
      <c r="DB722" s="115" t="s">
        <v>153</v>
      </c>
      <c r="DC722" s="116" t="s">
        <v>153</v>
      </c>
      <c r="DD722" s="117" t="s">
        <v>153</v>
      </c>
      <c r="DE722" s="118" t="s">
        <v>153</v>
      </c>
      <c r="DF722" s="119" t="s">
        <v>153</v>
      </c>
      <c r="DG722" s="120" t="s">
        <v>153</v>
      </c>
      <c r="DH722" s="121" t="s">
        <v>153</v>
      </c>
      <c r="DI722" s="122" t="s">
        <v>153</v>
      </c>
      <c r="DJ722" s="123" t="s">
        <v>153</v>
      </c>
      <c r="DK722" s="124" t="s">
        <v>153</v>
      </c>
      <c r="DL722" s="125" t="s">
        <v>153</v>
      </c>
      <c r="DM722" s="126" t="s">
        <v>153</v>
      </c>
      <c r="DN722" s="127" t="s">
        <v>153</v>
      </c>
      <c r="DO722" s="128" t="s">
        <v>153</v>
      </c>
      <c r="DP722" s="129" t="s">
        <v>153</v>
      </c>
      <c r="DQ722" s="130" t="s">
        <v>153</v>
      </c>
      <c r="DR722" s="131" t="s">
        <v>153</v>
      </c>
      <c r="DS722" s="132" t="s">
        <v>153</v>
      </c>
      <c r="DT722" s="133" t="s">
        <v>153</v>
      </c>
      <c r="DU722" s="134" t="s">
        <v>153</v>
      </c>
      <c r="DV722" s="135" t="s">
        <v>153</v>
      </c>
      <c r="DW722" s="136" t="s">
        <v>153</v>
      </c>
      <c r="DX722" s="137" t="s">
        <v>153</v>
      </c>
      <c r="DY722" s="138" t="s">
        <v>153</v>
      </c>
      <c r="DZ722" s="139" t="s">
        <v>191</v>
      </c>
      <c r="EA722" s="140">
        <v>44391</v>
      </c>
      <c r="EB722" s="141">
        <v>36592.199999999997</v>
      </c>
      <c r="EC722" s="142">
        <v>38434</v>
      </c>
      <c r="ED722" s="143" t="s">
        <v>906</v>
      </c>
      <c r="EE722" s="278" t="str">
        <f>HYPERLINK("https://my.pitchbook.com?c=53738-56", "View company online")</f>
        <v>View company online</v>
      </c>
    </row>
    <row r="723" spans="1:135" x14ac:dyDescent="0.45">
      <c r="A723" s="144" t="s">
        <v>14562</v>
      </c>
      <c r="B723" s="145" t="s">
        <v>14563</v>
      </c>
      <c r="C723" s="146" t="s">
        <v>153</v>
      </c>
      <c r="D723" s="147" t="s">
        <v>153</v>
      </c>
      <c r="E723" s="148" t="s">
        <v>153</v>
      </c>
      <c r="F723" s="149" t="s">
        <v>14564</v>
      </c>
      <c r="G723" s="150" t="s">
        <v>14565</v>
      </c>
      <c r="H723" s="151" t="s">
        <v>14566</v>
      </c>
      <c r="I723" s="152" t="s">
        <v>14562</v>
      </c>
      <c r="J723" s="153" t="s">
        <v>14567</v>
      </c>
      <c r="K723" s="154" t="s">
        <v>198</v>
      </c>
      <c r="L723" s="155" t="s">
        <v>1589</v>
      </c>
      <c r="M723" s="156" t="s">
        <v>2022</v>
      </c>
      <c r="N723" s="157" t="s">
        <v>14568</v>
      </c>
      <c r="O723" s="158" t="s">
        <v>1592</v>
      </c>
      <c r="P723" s="159" t="s">
        <v>14569</v>
      </c>
      <c r="Q723" s="160" t="s">
        <v>289</v>
      </c>
      <c r="R723" s="161">
        <v>10980.83</v>
      </c>
      <c r="S723" s="162" t="s">
        <v>290</v>
      </c>
      <c r="T723" s="163" t="s">
        <v>291</v>
      </c>
      <c r="U723" s="164" t="s">
        <v>452</v>
      </c>
      <c r="V723" s="165" t="s">
        <v>14570</v>
      </c>
      <c r="W723" s="166">
        <v>17354</v>
      </c>
      <c r="X723" s="167" t="s">
        <v>14571</v>
      </c>
      <c r="Y723" s="168" t="s">
        <v>1674</v>
      </c>
      <c r="Z723" s="169" t="s">
        <v>14572</v>
      </c>
      <c r="AA723" s="170">
        <v>2000</v>
      </c>
      <c r="AB723" s="171" t="s">
        <v>153</v>
      </c>
      <c r="AC723" s="172" t="s">
        <v>153</v>
      </c>
      <c r="AD723" s="173" t="s">
        <v>153</v>
      </c>
      <c r="AE723" s="174">
        <v>3906.98</v>
      </c>
      <c r="AF723" s="175">
        <v>920.91</v>
      </c>
      <c r="AG723" s="176">
        <v>715.55</v>
      </c>
      <c r="AH723" s="177">
        <v>32253.27</v>
      </c>
      <c r="AI723" s="178">
        <v>1952.54</v>
      </c>
      <c r="AJ723" s="179">
        <v>639.85</v>
      </c>
      <c r="AK723" s="180">
        <v>32342.31</v>
      </c>
      <c r="AL723" s="181">
        <v>-6371.11</v>
      </c>
      <c r="AM723" s="182">
        <v>25.4</v>
      </c>
      <c r="AN723" s="183" t="s">
        <v>168</v>
      </c>
      <c r="AO723" s="184" t="s">
        <v>14573</v>
      </c>
      <c r="AP723" s="185" t="s">
        <v>14574</v>
      </c>
      <c r="AQ723" s="186" t="s">
        <v>8827</v>
      </c>
      <c r="AR723" s="187" t="s">
        <v>14575</v>
      </c>
      <c r="AS723" s="188" t="s">
        <v>14576</v>
      </c>
      <c r="AT723" s="189" t="s">
        <v>4202</v>
      </c>
      <c r="AU723" s="190" t="s">
        <v>14577</v>
      </c>
      <c r="AV723" s="191" t="s">
        <v>14578</v>
      </c>
      <c r="AW723" s="192" t="s">
        <v>4205</v>
      </c>
      <c r="AX723" s="193" t="s">
        <v>153</v>
      </c>
      <c r="AY723" s="194" t="s">
        <v>14579</v>
      </c>
      <c r="AZ723" s="195" t="s">
        <v>1519</v>
      </c>
      <c r="BA723" s="196" t="s">
        <v>14576</v>
      </c>
      <c r="BB723" s="197" t="s">
        <v>14580</v>
      </c>
      <c r="BC723" s="198" t="s">
        <v>14581</v>
      </c>
      <c r="BD723" s="199" t="s">
        <v>1406</v>
      </c>
      <c r="BE723" s="200" t="s">
        <v>1407</v>
      </c>
      <c r="BF723" s="201" t="s">
        <v>14582</v>
      </c>
      <c r="BG723" s="202" t="s">
        <v>14583</v>
      </c>
      <c r="BH723" s="203">
        <v>4</v>
      </c>
      <c r="BI723" s="204" t="s">
        <v>153</v>
      </c>
      <c r="BJ723" s="205" t="s">
        <v>14584</v>
      </c>
      <c r="BK723" s="206" t="s">
        <v>153</v>
      </c>
      <c r="BL723" s="207" t="s">
        <v>14585</v>
      </c>
      <c r="BM723" s="208" t="s">
        <v>14586</v>
      </c>
      <c r="BN723" s="209" t="s">
        <v>153</v>
      </c>
      <c r="BO723" s="210" t="s">
        <v>14587</v>
      </c>
      <c r="BP723" s="211" t="s">
        <v>14588</v>
      </c>
      <c r="BQ723" s="212">
        <v>37135</v>
      </c>
      <c r="BR723" s="213" t="s">
        <v>153</v>
      </c>
      <c r="BS723" s="214" t="s">
        <v>153</v>
      </c>
      <c r="BT723" s="215" t="s">
        <v>153</v>
      </c>
      <c r="BU723" s="216" t="s">
        <v>153</v>
      </c>
      <c r="BV723" s="217" t="s">
        <v>471</v>
      </c>
      <c r="BW723" s="218" t="s">
        <v>1811</v>
      </c>
      <c r="BX723" s="219" t="s">
        <v>153</v>
      </c>
      <c r="BY723" s="220" t="s">
        <v>472</v>
      </c>
      <c r="BZ723" s="221" t="s">
        <v>153</v>
      </c>
      <c r="CA723" s="222" t="s">
        <v>190</v>
      </c>
      <c r="CB723" s="223">
        <v>44028</v>
      </c>
      <c r="CC723" s="224">
        <v>6537.96</v>
      </c>
      <c r="CD723" s="225" t="s">
        <v>187</v>
      </c>
      <c r="CE723" s="226" t="s">
        <v>153</v>
      </c>
      <c r="CF723" s="227" t="s">
        <v>153</v>
      </c>
      <c r="CG723" s="228" t="s">
        <v>5747</v>
      </c>
      <c r="CH723" s="229" t="s">
        <v>153</v>
      </c>
      <c r="CI723" s="230" t="s">
        <v>153</v>
      </c>
      <c r="CJ723" s="231" t="s">
        <v>252</v>
      </c>
      <c r="CK723" s="232">
        <v>44028</v>
      </c>
      <c r="CL723" s="233" t="s">
        <v>153</v>
      </c>
      <c r="CM723" s="234" t="s">
        <v>153</v>
      </c>
      <c r="CN723" s="235" t="s">
        <v>190</v>
      </c>
      <c r="CO723" s="236">
        <v>-1.51</v>
      </c>
      <c r="CP723" s="237">
        <v>2</v>
      </c>
      <c r="CQ723" s="238">
        <v>-0.09</v>
      </c>
      <c r="CR723" s="239">
        <v>-6.53</v>
      </c>
      <c r="CS723" s="240">
        <v>-1.51</v>
      </c>
      <c r="CT723" s="241">
        <v>3</v>
      </c>
      <c r="CU723" s="242" t="s">
        <v>153</v>
      </c>
      <c r="CV723" s="243" t="s">
        <v>153</v>
      </c>
      <c r="CW723" s="244">
        <v>-2.35</v>
      </c>
      <c r="CX723" s="245">
        <v>11</v>
      </c>
      <c r="CY723" s="246">
        <v>-0.67</v>
      </c>
      <c r="CZ723" s="247">
        <v>2</v>
      </c>
      <c r="DA723" s="248" t="s">
        <v>153</v>
      </c>
      <c r="DB723" s="249" t="s">
        <v>153</v>
      </c>
      <c r="DC723" s="250">
        <v>66.97</v>
      </c>
      <c r="DD723" s="251">
        <v>99</v>
      </c>
      <c r="DE723" s="252">
        <v>-0.47</v>
      </c>
      <c r="DF723" s="253">
        <v>-0.7</v>
      </c>
      <c r="DG723" s="254">
        <v>66.97</v>
      </c>
      <c r="DH723" s="255">
        <v>99</v>
      </c>
      <c r="DI723" s="256" t="s">
        <v>153</v>
      </c>
      <c r="DJ723" s="257" t="s">
        <v>153</v>
      </c>
      <c r="DK723" s="258">
        <v>31.26</v>
      </c>
      <c r="DL723" s="259">
        <v>93</v>
      </c>
      <c r="DM723" s="260">
        <v>102.69</v>
      </c>
      <c r="DN723" s="261">
        <v>99</v>
      </c>
      <c r="DO723" s="262" t="s">
        <v>153</v>
      </c>
      <c r="DP723" s="263" t="s">
        <v>153</v>
      </c>
      <c r="DQ723" s="264">
        <v>18552</v>
      </c>
      <c r="DR723" s="265">
        <v>-63</v>
      </c>
      <c r="DS723" s="266">
        <v>-0.34</v>
      </c>
      <c r="DT723" s="267">
        <v>1649</v>
      </c>
      <c r="DU723" s="268">
        <v>-17</v>
      </c>
      <c r="DV723" s="269">
        <v>-1.02</v>
      </c>
      <c r="DW723" s="270" t="s">
        <v>153</v>
      </c>
      <c r="DX723" s="271" t="s">
        <v>153</v>
      </c>
      <c r="DY723" s="272" t="s">
        <v>153</v>
      </c>
      <c r="DZ723" s="273" t="s">
        <v>191</v>
      </c>
      <c r="EA723" s="274">
        <v>44356</v>
      </c>
      <c r="EB723" s="275" t="s">
        <v>153</v>
      </c>
      <c r="EC723" s="276" t="s">
        <v>153</v>
      </c>
      <c r="ED723" s="277" t="s">
        <v>153</v>
      </c>
      <c r="EE723" s="279" t="str">
        <f>HYPERLINK("https://my.pitchbook.com?c=10991-53", "View company online")</f>
        <v>View company online</v>
      </c>
    </row>
    <row r="724" spans="1:135" x14ac:dyDescent="0.45">
      <c r="A724" s="10" t="s">
        <v>14589</v>
      </c>
      <c r="B724" s="11" t="s">
        <v>14590</v>
      </c>
      <c r="C724" s="12" t="s">
        <v>153</v>
      </c>
      <c r="D724" s="13" t="s">
        <v>153</v>
      </c>
      <c r="E724" s="14" t="s">
        <v>153</v>
      </c>
      <c r="F724" s="15" t="s">
        <v>153</v>
      </c>
      <c r="G724" s="16" t="s">
        <v>153</v>
      </c>
      <c r="H724" s="17" t="s">
        <v>153</v>
      </c>
      <c r="I724" s="18" t="s">
        <v>14589</v>
      </c>
      <c r="J724" s="19" t="s">
        <v>14591</v>
      </c>
      <c r="K724" s="20" t="s">
        <v>232</v>
      </c>
      <c r="L724" s="21" t="s">
        <v>1016</v>
      </c>
      <c r="M724" s="22" t="s">
        <v>2416</v>
      </c>
      <c r="N724" s="23" t="s">
        <v>5606</v>
      </c>
      <c r="O724" s="24" t="s">
        <v>153</v>
      </c>
      <c r="P724" s="25" t="s">
        <v>14592</v>
      </c>
      <c r="Q724" s="26" t="s">
        <v>204</v>
      </c>
      <c r="R724" s="27" t="s">
        <v>153</v>
      </c>
      <c r="S724" s="28" t="s">
        <v>163</v>
      </c>
      <c r="T724" s="29" t="s">
        <v>205</v>
      </c>
      <c r="U724" s="30" t="s">
        <v>206</v>
      </c>
      <c r="V724" s="31" t="s">
        <v>153</v>
      </c>
      <c r="W724" s="32" t="s">
        <v>153</v>
      </c>
      <c r="X724" s="33" t="s">
        <v>153</v>
      </c>
      <c r="Y724" s="34" t="s">
        <v>153</v>
      </c>
      <c r="Z724" s="35" t="s">
        <v>153</v>
      </c>
      <c r="AA724" s="36" t="s">
        <v>153</v>
      </c>
      <c r="AB724" s="37" t="s">
        <v>153</v>
      </c>
      <c r="AC724" s="38" t="s">
        <v>153</v>
      </c>
      <c r="AD724" s="39" t="s">
        <v>153</v>
      </c>
      <c r="AE724" s="40" t="s">
        <v>153</v>
      </c>
      <c r="AF724" s="41" t="s">
        <v>153</v>
      </c>
      <c r="AG724" s="42" t="s">
        <v>153</v>
      </c>
      <c r="AH724" s="43" t="s">
        <v>153</v>
      </c>
      <c r="AI724" s="44" t="s">
        <v>153</v>
      </c>
      <c r="AJ724" s="45" t="s">
        <v>153</v>
      </c>
      <c r="AK724" s="46" t="s">
        <v>153</v>
      </c>
      <c r="AL724" s="47" t="s">
        <v>153</v>
      </c>
      <c r="AM724" s="48" t="s">
        <v>153</v>
      </c>
      <c r="AN724" s="49" t="s">
        <v>153</v>
      </c>
      <c r="AO724" s="50" t="s">
        <v>153</v>
      </c>
      <c r="AP724" s="51" t="s">
        <v>153</v>
      </c>
      <c r="AQ724" s="52" t="s">
        <v>153</v>
      </c>
      <c r="AR724" s="53" t="s">
        <v>153</v>
      </c>
      <c r="AS724" s="54" t="s">
        <v>153</v>
      </c>
      <c r="AT724" s="55" t="s">
        <v>5756</v>
      </c>
      <c r="AU724" s="56" t="s">
        <v>14593</v>
      </c>
      <c r="AV724" s="57" t="s">
        <v>153</v>
      </c>
      <c r="AW724" s="58" t="s">
        <v>5758</v>
      </c>
      <c r="AX724" s="59" t="s">
        <v>153</v>
      </c>
      <c r="AY724" s="60" t="s">
        <v>14594</v>
      </c>
      <c r="AZ724" s="61" t="s">
        <v>352</v>
      </c>
      <c r="BA724" s="62" t="s">
        <v>153</v>
      </c>
      <c r="BB724" s="63" t="s">
        <v>153</v>
      </c>
      <c r="BC724" s="64" t="s">
        <v>153</v>
      </c>
      <c r="BD724" s="65" t="s">
        <v>180</v>
      </c>
      <c r="BE724" s="66" t="s">
        <v>181</v>
      </c>
      <c r="BF724" s="67" t="s">
        <v>14595</v>
      </c>
      <c r="BG724" s="68" t="s">
        <v>153</v>
      </c>
      <c r="BH724" s="69" t="s">
        <v>153</v>
      </c>
      <c r="BI724" s="70" t="s">
        <v>14596</v>
      </c>
      <c r="BJ724" s="71" t="s">
        <v>14597</v>
      </c>
      <c r="BK724" s="72" t="s">
        <v>153</v>
      </c>
      <c r="BL724" s="73" t="s">
        <v>153</v>
      </c>
      <c r="BM724" s="74" t="s">
        <v>14598</v>
      </c>
      <c r="BN724" s="75" t="s">
        <v>153</v>
      </c>
      <c r="BO724" s="76" t="s">
        <v>153</v>
      </c>
      <c r="BP724" s="77" t="s">
        <v>153</v>
      </c>
      <c r="BQ724" s="78">
        <v>43787</v>
      </c>
      <c r="BR724" s="79">
        <v>6529.28</v>
      </c>
      <c r="BS724" s="80" t="s">
        <v>186</v>
      </c>
      <c r="BT724" s="81">
        <v>6529.28</v>
      </c>
      <c r="BU724" s="82" t="s">
        <v>187</v>
      </c>
      <c r="BV724" s="83" t="s">
        <v>226</v>
      </c>
      <c r="BW724" s="84" t="s">
        <v>729</v>
      </c>
      <c r="BX724" s="85" t="s">
        <v>153</v>
      </c>
      <c r="BY724" s="86" t="s">
        <v>225</v>
      </c>
      <c r="BZ724" s="87" t="s">
        <v>153</v>
      </c>
      <c r="CA724" s="88" t="s">
        <v>190</v>
      </c>
      <c r="CB724" s="89">
        <v>43787</v>
      </c>
      <c r="CC724" s="90">
        <v>6529.28</v>
      </c>
      <c r="CD724" s="91" t="s">
        <v>186</v>
      </c>
      <c r="CE724" s="92">
        <v>6529.28</v>
      </c>
      <c r="CF724" s="93" t="s">
        <v>187</v>
      </c>
      <c r="CG724" s="94" t="s">
        <v>226</v>
      </c>
      <c r="CH724" s="95" t="s">
        <v>729</v>
      </c>
      <c r="CI724" s="96" t="s">
        <v>153</v>
      </c>
      <c r="CJ724" s="97" t="s">
        <v>225</v>
      </c>
      <c r="CK724" s="98">
        <v>43787</v>
      </c>
      <c r="CL724" s="99" t="s">
        <v>153</v>
      </c>
      <c r="CM724" s="100" t="s">
        <v>153</v>
      </c>
      <c r="CN724" s="101" t="s">
        <v>190</v>
      </c>
      <c r="CO724" s="102" t="s">
        <v>153</v>
      </c>
      <c r="CP724" s="103" t="s">
        <v>153</v>
      </c>
      <c r="CQ724" s="104" t="s">
        <v>153</v>
      </c>
      <c r="CR724" s="105" t="s">
        <v>153</v>
      </c>
      <c r="CS724" s="106" t="s">
        <v>153</v>
      </c>
      <c r="CT724" s="107" t="s">
        <v>153</v>
      </c>
      <c r="CU724" s="108" t="s">
        <v>153</v>
      </c>
      <c r="CV724" s="109" t="s">
        <v>153</v>
      </c>
      <c r="CW724" s="110" t="s">
        <v>153</v>
      </c>
      <c r="CX724" s="111" t="s">
        <v>153</v>
      </c>
      <c r="CY724" s="112" t="s">
        <v>153</v>
      </c>
      <c r="CZ724" s="113" t="s">
        <v>153</v>
      </c>
      <c r="DA724" s="114" t="s">
        <v>153</v>
      </c>
      <c r="DB724" s="115" t="s">
        <v>153</v>
      </c>
      <c r="DC724" s="116" t="s">
        <v>153</v>
      </c>
      <c r="DD724" s="117" t="s">
        <v>153</v>
      </c>
      <c r="DE724" s="118" t="s">
        <v>153</v>
      </c>
      <c r="DF724" s="119" t="s">
        <v>153</v>
      </c>
      <c r="DG724" s="120" t="s">
        <v>153</v>
      </c>
      <c r="DH724" s="121" t="s">
        <v>153</v>
      </c>
      <c r="DI724" s="122" t="s">
        <v>153</v>
      </c>
      <c r="DJ724" s="123" t="s">
        <v>153</v>
      </c>
      <c r="DK724" s="124" t="s">
        <v>153</v>
      </c>
      <c r="DL724" s="125" t="s">
        <v>153</v>
      </c>
      <c r="DM724" s="126" t="s">
        <v>153</v>
      </c>
      <c r="DN724" s="127" t="s">
        <v>153</v>
      </c>
      <c r="DO724" s="128" t="s">
        <v>153</v>
      </c>
      <c r="DP724" s="129" t="s">
        <v>153</v>
      </c>
      <c r="DQ724" s="130" t="s">
        <v>153</v>
      </c>
      <c r="DR724" s="131" t="s">
        <v>153</v>
      </c>
      <c r="DS724" s="132" t="s">
        <v>153</v>
      </c>
      <c r="DT724" s="133" t="s">
        <v>153</v>
      </c>
      <c r="DU724" s="134" t="s">
        <v>153</v>
      </c>
      <c r="DV724" s="135" t="s">
        <v>153</v>
      </c>
      <c r="DW724" s="136" t="s">
        <v>153</v>
      </c>
      <c r="DX724" s="137" t="s">
        <v>153</v>
      </c>
      <c r="DY724" s="138" t="s">
        <v>153</v>
      </c>
      <c r="DZ724" s="139" t="s">
        <v>191</v>
      </c>
      <c r="EA724" s="140">
        <v>43990</v>
      </c>
      <c r="EB724" s="141">
        <v>6529.28</v>
      </c>
      <c r="EC724" s="142">
        <v>43787</v>
      </c>
      <c r="ED724" s="143" t="s">
        <v>226</v>
      </c>
      <c r="EE724" s="278" t="str">
        <f>HYPERLINK("https://my.pitchbook.com?c=265775-86", "View company online")</f>
        <v>View company online</v>
      </c>
    </row>
    <row r="725" spans="1:135" x14ac:dyDescent="0.45">
      <c r="A725" s="144" t="s">
        <v>14599</v>
      </c>
      <c r="B725" s="145" t="s">
        <v>14600</v>
      </c>
      <c r="C725" s="146" t="s">
        <v>153</v>
      </c>
      <c r="D725" s="147" t="s">
        <v>153</v>
      </c>
      <c r="E725" s="148" t="s">
        <v>14601</v>
      </c>
      <c r="F725" s="149" t="s">
        <v>14602</v>
      </c>
      <c r="G725" s="150" t="s">
        <v>14603</v>
      </c>
      <c r="H725" s="151" t="s">
        <v>14604</v>
      </c>
      <c r="I725" s="152" t="s">
        <v>14599</v>
      </c>
      <c r="J725" s="153" t="s">
        <v>14605</v>
      </c>
      <c r="K725" s="154" t="s">
        <v>157</v>
      </c>
      <c r="L725" s="155" t="s">
        <v>2713</v>
      </c>
      <c r="M725" s="156" t="s">
        <v>4514</v>
      </c>
      <c r="N725" s="157" t="s">
        <v>14606</v>
      </c>
      <c r="O725" s="158" t="s">
        <v>2839</v>
      </c>
      <c r="P725" s="159" t="s">
        <v>14607</v>
      </c>
      <c r="Q725" s="160" t="s">
        <v>162</v>
      </c>
      <c r="R725" s="161" t="s">
        <v>153</v>
      </c>
      <c r="S725" s="162" t="s">
        <v>290</v>
      </c>
      <c r="T725" s="163" t="s">
        <v>1392</v>
      </c>
      <c r="U725" s="164" t="s">
        <v>2000</v>
      </c>
      <c r="V725" s="165" t="s">
        <v>14608</v>
      </c>
      <c r="W725" s="166">
        <v>26000</v>
      </c>
      <c r="X725" s="167" t="s">
        <v>14609</v>
      </c>
      <c r="Y725" s="168" t="s">
        <v>153</v>
      </c>
      <c r="Z725" s="169" t="s">
        <v>153</v>
      </c>
      <c r="AA725" s="170">
        <v>1997</v>
      </c>
      <c r="AB725" s="171" t="s">
        <v>153</v>
      </c>
      <c r="AC725" s="172" t="s">
        <v>153</v>
      </c>
      <c r="AD725" s="173" t="s">
        <v>153</v>
      </c>
      <c r="AE725" s="174" t="s">
        <v>153</v>
      </c>
      <c r="AF725" s="175" t="s">
        <v>153</v>
      </c>
      <c r="AG725" s="176" t="s">
        <v>153</v>
      </c>
      <c r="AH725" s="177" t="s">
        <v>153</v>
      </c>
      <c r="AI725" s="178" t="s">
        <v>153</v>
      </c>
      <c r="AJ725" s="179" t="s">
        <v>153</v>
      </c>
      <c r="AK725" s="180" t="s">
        <v>153</v>
      </c>
      <c r="AL725" s="181" t="s">
        <v>153</v>
      </c>
      <c r="AM725" s="182" t="s">
        <v>153</v>
      </c>
      <c r="AN725" s="183" t="s">
        <v>168</v>
      </c>
      <c r="AO725" s="184" t="s">
        <v>14610</v>
      </c>
      <c r="AP725" s="185" t="s">
        <v>14611</v>
      </c>
      <c r="AQ725" s="186" t="s">
        <v>4061</v>
      </c>
      <c r="AR725" s="187" t="s">
        <v>14612</v>
      </c>
      <c r="AS725" s="188" t="s">
        <v>14613</v>
      </c>
      <c r="AT725" s="189" t="s">
        <v>3755</v>
      </c>
      <c r="AU725" s="190" t="s">
        <v>14614</v>
      </c>
      <c r="AV725" s="191" t="s">
        <v>14615</v>
      </c>
      <c r="AW725" s="192" t="s">
        <v>3758</v>
      </c>
      <c r="AX725" s="193" t="s">
        <v>14616</v>
      </c>
      <c r="AY725" s="194" t="s">
        <v>153</v>
      </c>
      <c r="AZ725" s="195" t="s">
        <v>3761</v>
      </c>
      <c r="BA725" s="196" t="s">
        <v>14613</v>
      </c>
      <c r="BB725" s="197" t="s">
        <v>153</v>
      </c>
      <c r="BC725" s="198" t="s">
        <v>153</v>
      </c>
      <c r="BD725" s="199" t="s">
        <v>1406</v>
      </c>
      <c r="BE725" s="200" t="s">
        <v>1407</v>
      </c>
      <c r="BF725" s="201" t="s">
        <v>14617</v>
      </c>
      <c r="BG725" s="202" t="s">
        <v>14618</v>
      </c>
      <c r="BH725" s="203">
        <v>5</v>
      </c>
      <c r="BI725" s="204" t="s">
        <v>153</v>
      </c>
      <c r="BJ725" s="205" t="s">
        <v>7902</v>
      </c>
      <c r="BK725" s="206" t="s">
        <v>14619</v>
      </c>
      <c r="BL725" s="207" t="s">
        <v>14620</v>
      </c>
      <c r="BM725" s="208" t="s">
        <v>7903</v>
      </c>
      <c r="BN725" s="209" t="s">
        <v>14621</v>
      </c>
      <c r="BO725" s="210" t="s">
        <v>153</v>
      </c>
      <c r="BP725" s="211" t="s">
        <v>14622</v>
      </c>
      <c r="BQ725" s="212">
        <v>40725</v>
      </c>
      <c r="BR725" s="213">
        <v>7.0000000000000007E-2</v>
      </c>
      <c r="BS725" s="214" t="s">
        <v>186</v>
      </c>
      <c r="BT725" s="215">
        <v>7.0000000000000007E-2</v>
      </c>
      <c r="BU725" s="216" t="s">
        <v>187</v>
      </c>
      <c r="BV725" s="217" t="s">
        <v>226</v>
      </c>
      <c r="BW725" s="218" t="s">
        <v>153</v>
      </c>
      <c r="BX725" s="219" t="s">
        <v>153</v>
      </c>
      <c r="BY725" s="220" t="s">
        <v>225</v>
      </c>
      <c r="BZ725" s="221" t="s">
        <v>153</v>
      </c>
      <c r="CA725" s="222" t="s">
        <v>190</v>
      </c>
      <c r="CB725" s="223">
        <v>42254</v>
      </c>
      <c r="CC725" s="224">
        <v>6522.77</v>
      </c>
      <c r="CD725" s="225" t="s">
        <v>186</v>
      </c>
      <c r="CE725" s="226">
        <v>6522.77</v>
      </c>
      <c r="CF725" s="227" t="s">
        <v>187</v>
      </c>
      <c r="CG725" s="228" t="s">
        <v>188</v>
      </c>
      <c r="CH725" s="229" t="s">
        <v>729</v>
      </c>
      <c r="CI725" s="230" t="s">
        <v>153</v>
      </c>
      <c r="CJ725" s="231" t="s">
        <v>165</v>
      </c>
      <c r="CK725" s="232">
        <v>42254</v>
      </c>
      <c r="CL725" s="233" t="s">
        <v>153</v>
      </c>
      <c r="CM725" s="234" t="s">
        <v>14623</v>
      </c>
      <c r="CN725" s="235" t="s">
        <v>190</v>
      </c>
      <c r="CO725" s="236">
        <v>0.6</v>
      </c>
      <c r="CP725" s="237">
        <v>94</v>
      </c>
      <c r="CQ725" s="238">
        <v>0.59</v>
      </c>
      <c r="CR725" s="239">
        <v>5198.4799999999996</v>
      </c>
      <c r="CS725" s="240">
        <v>1.32</v>
      </c>
      <c r="CT725" s="241">
        <v>96</v>
      </c>
      <c r="CU725" s="242">
        <v>-0.12</v>
      </c>
      <c r="CV725" s="243">
        <v>15</v>
      </c>
      <c r="CW725" s="244">
        <v>2.59</v>
      </c>
      <c r="CX725" s="245">
        <v>88</v>
      </c>
      <c r="CY725" s="246">
        <v>0.06</v>
      </c>
      <c r="CZ725" s="247">
        <v>90</v>
      </c>
      <c r="DA725" s="248">
        <v>-0.12</v>
      </c>
      <c r="DB725" s="249">
        <v>15</v>
      </c>
      <c r="DC725" s="250">
        <v>116.15</v>
      </c>
      <c r="DD725" s="251">
        <v>100</v>
      </c>
      <c r="DE725" s="252">
        <v>6.01</v>
      </c>
      <c r="DF725" s="253">
        <v>5.46</v>
      </c>
      <c r="DG725" s="254">
        <v>189.2</v>
      </c>
      <c r="DH725" s="255">
        <v>100</v>
      </c>
      <c r="DI725" s="256">
        <v>43.11</v>
      </c>
      <c r="DJ725" s="257">
        <v>95</v>
      </c>
      <c r="DK725" s="258">
        <v>107.65</v>
      </c>
      <c r="DL725" s="259">
        <v>97</v>
      </c>
      <c r="DM725" s="260">
        <v>270.75</v>
      </c>
      <c r="DN725" s="261">
        <v>100</v>
      </c>
      <c r="DO725" s="262">
        <v>43.11</v>
      </c>
      <c r="DP725" s="263">
        <v>95</v>
      </c>
      <c r="DQ725" s="264">
        <v>63129</v>
      </c>
      <c r="DR725" s="265">
        <v>2586</v>
      </c>
      <c r="DS725" s="266">
        <v>4.2699999999999996</v>
      </c>
      <c r="DT725" s="267">
        <v>4175</v>
      </c>
      <c r="DU725" s="268">
        <v>407</v>
      </c>
      <c r="DV725" s="269">
        <v>10.8</v>
      </c>
      <c r="DW725" s="270">
        <v>13535</v>
      </c>
      <c r="DX725" s="271">
        <v>-1</v>
      </c>
      <c r="DY725" s="272">
        <v>-0.01</v>
      </c>
      <c r="DZ725" s="273" t="s">
        <v>191</v>
      </c>
      <c r="EA725" s="274">
        <v>44390</v>
      </c>
      <c r="EB725" s="275">
        <v>6522.77</v>
      </c>
      <c r="EC725" s="276">
        <v>42254</v>
      </c>
      <c r="ED725" s="277" t="s">
        <v>188</v>
      </c>
      <c r="EE725" s="279" t="str">
        <f>HYPERLINK("https://my.pitchbook.com?c=114917-05", "View company online")</f>
        <v>View company online</v>
      </c>
    </row>
    <row r="726" spans="1:135" x14ac:dyDescent="0.45">
      <c r="A726" s="10" t="s">
        <v>14624</v>
      </c>
      <c r="B726" s="11" t="s">
        <v>14625</v>
      </c>
      <c r="C726" s="12" t="s">
        <v>153</v>
      </c>
      <c r="D726" s="13" t="s">
        <v>153</v>
      </c>
      <c r="E726" s="14" t="s">
        <v>14626</v>
      </c>
      <c r="F726" s="15" t="s">
        <v>153</v>
      </c>
      <c r="G726" s="16" t="s">
        <v>14627</v>
      </c>
      <c r="H726" s="17" t="s">
        <v>14628</v>
      </c>
      <c r="I726" s="18" t="s">
        <v>14624</v>
      </c>
      <c r="J726" s="19" t="s">
        <v>14629</v>
      </c>
      <c r="K726" s="20" t="s">
        <v>198</v>
      </c>
      <c r="L726" s="21" t="s">
        <v>1589</v>
      </c>
      <c r="M726" s="22" t="s">
        <v>2022</v>
      </c>
      <c r="N726" s="23" t="s">
        <v>14630</v>
      </c>
      <c r="O726" s="24" t="s">
        <v>14631</v>
      </c>
      <c r="P726" s="25" t="s">
        <v>14632</v>
      </c>
      <c r="Q726" s="26" t="s">
        <v>204</v>
      </c>
      <c r="R726" s="27">
        <v>183.7</v>
      </c>
      <c r="S726" s="28" t="s">
        <v>163</v>
      </c>
      <c r="T726" s="29" t="s">
        <v>205</v>
      </c>
      <c r="U726" s="30" t="s">
        <v>482</v>
      </c>
      <c r="V726" s="31" t="s">
        <v>14633</v>
      </c>
      <c r="W726" s="32" t="s">
        <v>153</v>
      </c>
      <c r="X726" s="33" t="s">
        <v>153</v>
      </c>
      <c r="Y726" s="34" t="s">
        <v>153</v>
      </c>
      <c r="Z726" s="35" t="s">
        <v>153</v>
      </c>
      <c r="AA726" s="36">
        <v>1981</v>
      </c>
      <c r="AB726" s="37" t="s">
        <v>153</v>
      </c>
      <c r="AC726" s="38" t="s">
        <v>153</v>
      </c>
      <c r="AD726" s="39" t="s">
        <v>153</v>
      </c>
      <c r="AE726" s="40" t="s">
        <v>153</v>
      </c>
      <c r="AF726" s="41" t="s">
        <v>153</v>
      </c>
      <c r="AG726" s="42" t="s">
        <v>153</v>
      </c>
      <c r="AH726" s="43" t="s">
        <v>153</v>
      </c>
      <c r="AI726" s="44" t="s">
        <v>153</v>
      </c>
      <c r="AJ726" s="45" t="s">
        <v>153</v>
      </c>
      <c r="AK726" s="46" t="s">
        <v>153</v>
      </c>
      <c r="AL726" s="47" t="s">
        <v>153</v>
      </c>
      <c r="AM726" s="48" t="s">
        <v>153</v>
      </c>
      <c r="AN726" s="49" t="s">
        <v>153</v>
      </c>
      <c r="AO726" s="50" t="s">
        <v>14634</v>
      </c>
      <c r="AP726" s="51" t="s">
        <v>14635</v>
      </c>
      <c r="AQ726" s="52" t="s">
        <v>8727</v>
      </c>
      <c r="AR726" s="53" t="s">
        <v>153</v>
      </c>
      <c r="AS726" s="54" t="s">
        <v>153</v>
      </c>
      <c r="AT726" s="55" t="s">
        <v>1379</v>
      </c>
      <c r="AU726" s="56" t="s">
        <v>14636</v>
      </c>
      <c r="AV726" s="57" t="s">
        <v>153</v>
      </c>
      <c r="AW726" s="58" t="s">
        <v>1380</v>
      </c>
      <c r="AX726" s="59" t="s">
        <v>308</v>
      </c>
      <c r="AY726" s="60" t="s">
        <v>4229</v>
      </c>
      <c r="AZ726" s="61" t="s">
        <v>215</v>
      </c>
      <c r="BA726" s="62" t="s">
        <v>153</v>
      </c>
      <c r="BB726" s="63" t="s">
        <v>153</v>
      </c>
      <c r="BC726" s="64" t="s">
        <v>153</v>
      </c>
      <c r="BD726" s="65" t="s">
        <v>216</v>
      </c>
      <c r="BE726" s="66" t="s">
        <v>217</v>
      </c>
      <c r="BF726" s="67" t="s">
        <v>14637</v>
      </c>
      <c r="BG726" s="68" t="s">
        <v>153</v>
      </c>
      <c r="BH726" s="69" t="s">
        <v>153</v>
      </c>
      <c r="BI726" s="70" t="s">
        <v>1602</v>
      </c>
      <c r="BJ726" s="71" t="s">
        <v>14638</v>
      </c>
      <c r="BK726" s="72" t="s">
        <v>153</v>
      </c>
      <c r="BL726" s="73" t="s">
        <v>153</v>
      </c>
      <c r="BM726" s="74" t="s">
        <v>14639</v>
      </c>
      <c r="BN726" s="75" t="s">
        <v>153</v>
      </c>
      <c r="BO726" s="76" t="s">
        <v>14640</v>
      </c>
      <c r="BP726" s="77" t="s">
        <v>14641</v>
      </c>
      <c r="BQ726" s="78" t="s">
        <v>153</v>
      </c>
      <c r="BR726" s="79">
        <v>6</v>
      </c>
      <c r="BS726" s="80" t="s">
        <v>186</v>
      </c>
      <c r="BT726" s="81" t="s">
        <v>153</v>
      </c>
      <c r="BU726" s="82" t="s">
        <v>153</v>
      </c>
      <c r="BV726" s="83" t="s">
        <v>1007</v>
      </c>
      <c r="BW726" s="84" t="s">
        <v>1007</v>
      </c>
      <c r="BX726" s="85" t="s">
        <v>153</v>
      </c>
      <c r="BY726" s="86" t="s">
        <v>472</v>
      </c>
      <c r="BZ726" s="87" t="s">
        <v>153</v>
      </c>
      <c r="CA726" s="88" t="s">
        <v>190</v>
      </c>
      <c r="CB726" s="89">
        <v>41765</v>
      </c>
      <c r="CC726" s="90">
        <v>6518</v>
      </c>
      <c r="CD726" s="91" t="s">
        <v>186</v>
      </c>
      <c r="CE726" s="92">
        <v>6518</v>
      </c>
      <c r="CF726" s="93" t="s">
        <v>186</v>
      </c>
      <c r="CG726" s="94" t="s">
        <v>226</v>
      </c>
      <c r="CH726" s="95" t="s">
        <v>153</v>
      </c>
      <c r="CI726" s="96" t="s">
        <v>153</v>
      </c>
      <c r="CJ726" s="97" t="s">
        <v>225</v>
      </c>
      <c r="CK726" s="98">
        <v>41765</v>
      </c>
      <c r="CL726" s="99" t="s">
        <v>153</v>
      </c>
      <c r="CM726" s="100" t="s">
        <v>1607</v>
      </c>
      <c r="CN726" s="101" t="s">
        <v>190</v>
      </c>
      <c r="CO726" s="102" t="s">
        <v>153</v>
      </c>
      <c r="CP726" s="103" t="s">
        <v>153</v>
      </c>
      <c r="CQ726" s="104" t="s">
        <v>153</v>
      </c>
      <c r="CR726" s="105" t="s">
        <v>153</v>
      </c>
      <c r="CS726" s="106" t="s">
        <v>153</v>
      </c>
      <c r="CT726" s="107" t="s">
        <v>153</v>
      </c>
      <c r="CU726" s="108" t="s">
        <v>153</v>
      </c>
      <c r="CV726" s="109" t="s">
        <v>153</v>
      </c>
      <c r="CW726" s="110" t="s">
        <v>153</v>
      </c>
      <c r="CX726" s="111" t="s">
        <v>153</v>
      </c>
      <c r="CY726" s="112" t="s">
        <v>153</v>
      </c>
      <c r="CZ726" s="113" t="s">
        <v>153</v>
      </c>
      <c r="DA726" s="114" t="s">
        <v>153</v>
      </c>
      <c r="DB726" s="115" t="s">
        <v>153</v>
      </c>
      <c r="DC726" s="116" t="s">
        <v>153</v>
      </c>
      <c r="DD726" s="117" t="s">
        <v>153</v>
      </c>
      <c r="DE726" s="118" t="s">
        <v>153</v>
      </c>
      <c r="DF726" s="119" t="s">
        <v>153</v>
      </c>
      <c r="DG726" s="120" t="s">
        <v>153</v>
      </c>
      <c r="DH726" s="121" t="s">
        <v>153</v>
      </c>
      <c r="DI726" s="122" t="s">
        <v>153</v>
      </c>
      <c r="DJ726" s="123" t="s">
        <v>153</v>
      </c>
      <c r="DK726" s="124" t="s">
        <v>153</v>
      </c>
      <c r="DL726" s="125" t="s">
        <v>153</v>
      </c>
      <c r="DM726" s="126" t="s">
        <v>153</v>
      </c>
      <c r="DN726" s="127" t="s">
        <v>153</v>
      </c>
      <c r="DO726" s="128" t="s">
        <v>153</v>
      </c>
      <c r="DP726" s="129" t="s">
        <v>153</v>
      </c>
      <c r="DQ726" s="130" t="s">
        <v>153</v>
      </c>
      <c r="DR726" s="131" t="s">
        <v>153</v>
      </c>
      <c r="DS726" s="132" t="s">
        <v>153</v>
      </c>
      <c r="DT726" s="133" t="s">
        <v>153</v>
      </c>
      <c r="DU726" s="134" t="s">
        <v>153</v>
      </c>
      <c r="DV726" s="135" t="s">
        <v>153</v>
      </c>
      <c r="DW726" s="136" t="s">
        <v>153</v>
      </c>
      <c r="DX726" s="137" t="s">
        <v>153</v>
      </c>
      <c r="DY726" s="138" t="s">
        <v>153</v>
      </c>
      <c r="DZ726" s="139" t="s">
        <v>191</v>
      </c>
      <c r="EA726" s="140">
        <v>44273</v>
      </c>
      <c r="EB726" s="141">
        <v>6518</v>
      </c>
      <c r="EC726" s="142">
        <v>41765</v>
      </c>
      <c r="ED726" s="143" t="s">
        <v>226</v>
      </c>
      <c r="EE726" s="278" t="str">
        <f>HYPERLINK("https://my.pitchbook.com?c=50926-96", "View company online")</f>
        <v>View company online</v>
      </c>
    </row>
    <row r="727" spans="1:135" x14ac:dyDescent="0.45">
      <c r="A727" s="144" t="s">
        <v>14642</v>
      </c>
      <c r="B727" s="145" t="s">
        <v>14643</v>
      </c>
      <c r="C727" s="146" t="s">
        <v>153</v>
      </c>
      <c r="D727" s="147" t="s">
        <v>153</v>
      </c>
      <c r="E727" s="148" t="s">
        <v>153</v>
      </c>
      <c r="F727" s="149" t="s">
        <v>153</v>
      </c>
      <c r="G727" s="150" t="s">
        <v>14644</v>
      </c>
      <c r="H727" s="151" t="s">
        <v>14645</v>
      </c>
      <c r="I727" s="152" t="s">
        <v>14642</v>
      </c>
      <c r="J727" s="153" t="s">
        <v>14646</v>
      </c>
      <c r="K727" s="154" t="s">
        <v>882</v>
      </c>
      <c r="L727" s="155" t="s">
        <v>883</v>
      </c>
      <c r="M727" s="156" t="s">
        <v>1369</v>
      </c>
      <c r="N727" s="157" t="s">
        <v>14647</v>
      </c>
      <c r="O727" s="158" t="s">
        <v>14648</v>
      </c>
      <c r="P727" s="159" t="s">
        <v>14649</v>
      </c>
      <c r="Q727" s="160" t="s">
        <v>162</v>
      </c>
      <c r="R727" s="161" t="s">
        <v>153</v>
      </c>
      <c r="S727" s="162" t="s">
        <v>290</v>
      </c>
      <c r="T727" s="163" t="s">
        <v>205</v>
      </c>
      <c r="U727" s="164" t="s">
        <v>2000</v>
      </c>
      <c r="V727" s="165" t="s">
        <v>14650</v>
      </c>
      <c r="W727" s="166">
        <v>43000</v>
      </c>
      <c r="X727" s="167" t="s">
        <v>14651</v>
      </c>
      <c r="Y727" s="168" t="s">
        <v>153</v>
      </c>
      <c r="Z727" s="169" t="s">
        <v>153</v>
      </c>
      <c r="AA727" s="170">
        <v>1919</v>
      </c>
      <c r="AB727" s="171" t="s">
        <v>153</v>
      </c>
      <c r="AC727" s="172" t="s">
        <v>153</v>
      </c>
      <c r="AD727" s="173" t="s">
        <v>153</v>
      </c>
      <c r="AE727" s="174" t="s">
        <v>153</v>
      </c>
      <c r="AF727" s="175" t="s">
        <v>153</v>
      </c>
      <c r="AG727" s="176" t="s">
        <v>153</v>
      </c>
      <c r="AH727" s="177" t="s">
        <v>153</v>
      </c>
      <c r="AI727" s="178" t="s">
        <v>153</v>
      </c>
      <c r="AJ727" s="179" t="s">
        <v>153</v>
      </c>
      <c r="AK727" s="180" t="s">
        <v>153</v>
      </c>
      <c r="AL727" s="181" t="s">
        <v>153</v>
      </c>
      <c r="AM727" s="182" t="s">
        <v>153</v>
      </c>
      <c r="AN727" s="183" t="s">
        <v>1442</v>
      </c>
      <c r="AO727" s="184" t="s">
        <v>153</v>
      </c>
      <c r="AP727" s="185" t="s">
        <v>153</v>
      </c>
      <c r="AQ727" s="186" t="s">
        <v>153</v>
      </c>
      <c r="AR727" s="187" t="s">
        <v>153</v>
      </c>
      <c r="AS727" s="188" t="s">
        <v>153</v>
      </c>
      <c r="AT727" s="189" t="s">
        <v>677</v>
      </c>
      <c r="AU727" s="190" t="s">
        <v>14652</v>
      </c>
      <c r="AV727" s="191" t="s">
        <v>14653</v>
      </c>
      <c r="AW727" s="192" t="s">
        <v>679</v>
      </c>
      <c r="AX727" s="193" t="s">
        <v>153</v>
      </c>
      <c r="AY727" s="194" t="s">
        <v>14654</v>
      </c>
      <c r="AZ727" s="195" t="s">
        <v>681</v>
      </c>
      <c r="BA727" s="196" t="s">
        <v>153</v>
      </c>
      <c r="BB727" s="197" t="s">
        <v>153</v>
      </c>
      <c r="BC727" s="198" t="s">
        <v>153</v>
      </c>
      <c r="BD727" s="199" t="s">
        <v>180</v>
      </c>
      <c r="BE727" s="200" t="s">
        <v>684</v>
      </c>
      <c r="BF727" s="201" t="s">
        <v>14655</v>
      </c>
      <c r="BG727" s="202" t="s">
        <v>153</v>
      </c>
      <c r="BH727" s="203" t="s">
        <v>153</v>
      </c>
      <c r="BI727" s="204" t="s">
        <v>14656</v>
      </c>
      <c r="BJ727" s="205" t="s">
        <v>1748</v>
      </c>
      <c r="BK727" s="206" t="s">
        <v>14657</v>
      </c>
      <c r="BL727" s="207" t="s">
        <v>153</v>
      </c>
      <c r="BM727" s="208" t="s">
        <v>1750</v>
      </c>
      <c r="BN727" s="209" t="s">
        <v>14658</v>
      </c>
      <c r="BO727" s="210" t="s">
        <v>153</v>
      </c>
      <c r="BP727" s="211" t="s">
        <v>14659</v>
      </c>
      <c r="BQ727" s="212">
        <v>42202</v>
      </c>
      <c r="BR727" s="213">
        <v>3344.99</v>
      </c>
      <c r="BS727" s="214" t="s">
        <v>186</v>
      </c>
      <c r="BT727" s="215">
        <v>3344.99</v>
      </c>
      <c r="BU727" s="216" t="s">
        <v>187</v>
      </c>
      <c r="BV727" s="217" t="s">
        <v>226</v>
      </c>
      <c r="BW727" s="218" t="s">
        <v>729</v>
      </c>
      <c r="BX727" s="219" t="s">
        <v>153</v>
      </c>
      <c r="BY727" s="220" t="s">
        <v>225</v>
      </c>
      <c r="BZ727" s="221" t="s">
        <v>153</v>
      </c>
      <c r="CA727" s="222" t="s">
        <v>394</v>
      </c>
      <c r="CB727" s="223">
        <v>43587</v>
      </c>
      <c r="CC727" s="224">
        <v>6512.39</v>
      </c>
      <c r="CD727" s="225" t="s">
        <v>187</v>
      </c>
      <c r="CE727" s="226">
        <v>6512.39</v>
      </c>
      <c r="CF727" s="227" t="s">
        <v>187</v>
      </c>
      <c r="CG727" s="228" t="s">
        <v>188</v>
      </c>
      <c r="CH727" s="229" t="s">
        <v>189</v>
      </c>
      <c r="CI727" s="230" t="s">
        <v>729</v>
      </c>
      <c r="CJ727" s="231" t="s">
        <v>165</v>
      </c>
      <c r="CK727" s="232">
        <v>43587</v>
      </c>
      <c r="CL727" s="233" t="s">
        <v>153</v>
      </c>
      <c r="CM727" s="234" t="s">
        <v>153</v>
      </c>
      <c r="CN727" s="235" t="s">
        <v>190</v>
      </c>
      <c r="CO727" s="236" t="s">
        <v>153</v>
      </c>
      <c r="CP727" s="237" t="s">
        <v>153</v>
      </c>
      <c r="CQ727" s="238" t="s">
        <v>153</v>
      </c>
      <c r="CR727" s="239" t="s">
        <v>153</v>
      </c>
      <c r="CS727" s="240" t="s">
        <v>153</v>
      </c>
      <c r="CT727" s="241" t="s">
        <v>153</v>
      </c>
      <c r="CU727" s="242" t="s">
        <v>153</v>
      </c>
      <c r="CV727" s="243" t="s">
        <v>153</v>
      </c>
      <c r="CW727" s="244" t="s">
        <v>153</v>
      </c>
      <c r="CX727" s="245" t="s">
        <v>153</v>
      </c>
      <c r="CY727" s="246" t="s">
        <v>153</v>
      </c>
      <c r="CZ727" s="247" t="s">
        <v>153</v>
      </c>
      <c r="DA727" s="248" t="s">
        <v>153</v>
      </c>
      <c r="DB727" s="249" t="s">
        <v>153</v>
      </c>
      <c r="DC727" s="250" t="s">
        <v>153</v>
      </c>
      <c r="DD727" s="251" t="s">
        <v>153</v>
      </c>
      <c r="DE727" s="252" t="s">
        <v>153</v>
      </c>
      <c r="DF727" s="253" t="s">
        <v>153</v>
      </c>
      <c r="DG727" s="254" t="s">
        <v>153</v>
      </c>
      <c r="DH727" s="255" t="s">
        <v>153</v>
      </c>
      <c r="DI727" s="256" t="s">
        <v>153</v>
      </c>
      <c r="DJ727" s="257" t="s">
        <v>153</v>
      </c>
      <c r="DK727" s="258" t="s">
        <v>153</v>
      </c>
      <c r="DL727" s="259" t="s">
        <v>153</v>
      </c>
      <c r="DM727" s="260" t="s">
        <v>153</v>
      </c>
      <c r="DN727" s="261" t="s">
        <v>153</v>
      </c>
      <c r="DO727" s="262" t="s">
        <v>153</v>
      </c>
      <c r="DP727" s="263" t="s">
        <v>153</v>
      </c>
      <c r="DQ727" s="264" t="s">
        <v>153</v>
      </c>
      <c r="DR727" s="265" t="s">
        <v>153</v>
      </c>
      <c r="DS727" s="266" t="s">
        <v>153</v>
      </c>
      <c r="DT727" s="267" t="s">
        <v>153</v>
      </c>
      <c r="DU727" s="268" t="s">
        <v>153</v>
      </c>
      <c r="DV727" s="269" t="s">
        <v>153</v>
      </c>
      <c r="DW727" s="270" t="s">
        <v>153</v>
      </c>
      <c r="DX727" s="271" t="s">
        <v>153</v>
      </c>
      <c r="DY727" s="272" t="s">
        <v>153</v>
      </c>
      <c r="DZ727" s="273" t="s">
        <v>191</v>
      </c>
      <c r="EA727" s="274">
        <v>44392</v>
      </c>
      <c r="EB727" s="275">
        <v>6512.39</v>
      </c>
      <c r="EC727" s="276">
        <v>43587</v>
      </c>
      <c r="ED727" s="277" t="s">
        <v>188</v>
      </c>
      <c r="EE727" s="279" t="str">
        <f>HYPERLINK("https://my.pitchbook.com?c=106946-92", "View company online")</f>
        <v>View company online</v>
      </c>
    </row>
    <row r="728" spans="1:135" x14ac:dyDescent="0.45">
      <c r="A728" s="10" t="s">
        <v>14660</v>
      </c>
      <c r="B728" s="11" t="s">
        <v>14661</v>
      </c>
      <c r="C728" s="12" t="s">
        <v>153</v>
      </c>
      <c r="D728" s="13" t="s">
        <v>153</v>
      </c>
      <c r="E728" s="14" t="s">
        <v>153</v>
      </c>
      <c r="F728" s="15" t="s">
        <v>153</v>
      </c>
      <c r="G728" s="16" t="s">
        <v>14662</v>
      </c>
      <c r="H728" s="17" t="s">
        <v>153</v>
      </c>
      <c r="I728" s="18" t="s">
        <v>14660</v>
      </c>
      <c r="J728" s="19" t="s">
        <v>14663</v>
      </c>
      <c r="K728" s="20" t="s">
        <v>232</v>
      </c>
      <c r="L728" s="21" t="s">
        <v>362</v>
      </c>
      <c r="M728" s="22" t="s">
        <v>1978</v>
      </c>
      <c r="N728" s="23" t="s">
        <v>14664</v>
      </c>
      <c r="O728" s="24" t="s">
        <v>261</v>
      </c>
      <c r="P728" s="25" t="s">
        <v>14665</v>
      </c>
      <c r="Q728" s="26" t="s">
        <v>204</v>
      </c>
      <c r="R728" s="27" t="s">
        <v>153</v>
      </c>
      <c r="S728" s="28" t="s">
        <v>163</v>
      </c>
      <c r="T728" s="29" t="s">
        <v>205</v>
      </c>
      <c r="U728" s="30" t="s">
        <v>237</v>
      </c>
      <c r="V728" s="31" t="s">
        <v>14666</v>
      </c>
      <c r="W728" s="32">
        <v>1001</v>
      </c>
      <c r="X728" s="33" t="s">
        <v>14667</v>
      </c>
      <c r="Y728" s="34" t="s">
        <v>153</v>
      </c>
      <c r="Z728" s="35" t="s">
        <v>153</v>
      </c>
      <c r="AA728" s="36" t="s">
        <v>153</v>
      </c>
      <c r="AB728" s="37" t="s">
        <v>153</v>
      </c>
      <c r="AC728" s="38" t="s">
        <v>153</v>
      </c>
      <c r="AD728" s="39" t="s">
        <v>153</v>
      </c>
      <c r="AE728" s="40" t="s">
        <v>153</v>
      </c>
      <c r="AF728" s="41" t="s">
        <v>153</v>
      </c>
      <c r="AG728" s="42" t="s">
        <v>153</v>
      </c>
      <c r="AH728" s="43" t="s">
        <v>153</v>
      </c>
      <c r="AI728" s="44" t="s">
        <v>153</v>
      </c>
      <c r="AJ728" s="45" t="s">
        <v>153</v>
      </c>
      <c r="AK728" s="46" t="s">
        <v>153</v>
      </c>
      <c r="AL728" s="47" t="s">
        <v>153</v>
      </c>
      <c r="AM728" s="48" t="s">
        <v>153</v>
      </c>
      <c r="AN728" s="49" t="s">
        <v>696</v>
      </c>
      <c r="AO728" s="50" t="s">
        <v>14668</v>
      </c>
      <c r="AP728" s="51" t="s">
        <v>14669</v>
      </c>
      <c r="AQ728" s="52" t="s">
        <v>4061</v>
      </c>
      <c r="AR728" s="53" t="s">
        <v>14670</v>
      </c>
      <c r="AS728" s="54" t="s">
        <v>153</v>
      </c>
      <c r="AT728" s="55" t="s">
        <v>433</v>
      </c>
      <c r="AU728" s="56" t="s">
        <v>12150</v>
      </c>
      <c r="AV728" s="57" t="s">
        <v>153</v>
      </c>
      <c r="AW728" s="58" t="s">
        <v>436</v>
      </c>
      <c r="AX728" s="59" t="s">
        <v>436</v>
      </c>
      <c r="AY728" s="60" t="s">
        <v>1626</v>
      </c>
      <c r="AZ728" s="61" t="s">
        <v>215</v>
      </c>
      <c r="BA728" s="62" t="s">
        <v>153</v>
      </c>
      <c r="BB728" s="63" t="s">
        <v>153</v>
      </c>
      <c r="BC728" s="64" t="s">
        <v>153</v>
      </c>
      <c r="BD728" s="65" t="s">
        <v>216</v>
      </c>
      <c r="BE728" s="66" t="s">
        <v>217</v>
      </c>
      <c r="BF728" s="67" t="s">
        <v>14671</v>
      </c>
      <c r="BG728" s="68" t="s">
        <v>153</v>
      </c>
      <c r="BH728" s="69" t="s">
        <v>153</v>
      </c>
      <c r="BI728" s="70" t="s">
        <v>14672</v>
      </c>
      <c r="BJ728" s="71" t="s">
        <v>153</v>
      </c>
      <c r="BK728" s="72" t="s">
        <v>153</v>
      </c>
      <c r="BL728" s="73" t="s">
        <v>153</v>
      </c>
      <c r="BM728" s="74" t="s">
        <v>153</v>
      </c>
      <c r="BN728" s="75" t="s">
        <v>153</v>
      </c>
      <c r="BO728" s="76" t="s">
        <v>153</v>
      </c>
      <c r="BP728" s="77" t="s">
        <v>14673</v>
      </c>
      <c r="BQ728" s="78">
        <v>34362</v>
      </c>
      <c r="BR728" s="79" t="s">
        <v>153</v>
      </c>
      <c r="BS728" s="80" t="s">
        <v>153</v>
      </c>
      <c r="BT728" s="81" t="s">
        <v>153</v>
      </c>
      <c r="BU728" s="82" t="s">
        <v>153</v>
      </c>
      <c r="BV728" s="83" t="s">
        <v>251</v>
      </c>
      <c r="BW728" s="84" t="s">
        <v>153</v>
      </c>
      <c r="BX728" s="85" t="s">
        <v>153</v>
      </c>
      <c r="BY728" s="86" t="s">
        <v>252</v>
      </c>
      <c r="BZ728" s="87" t="s">
        <v>153</v>
      </c>
      <c r="CA728" s="88" t="s">
        <v>190</v>
      </c>
      <c r="CB728" s="89">
        <v>38261</v>
      </c>
      <c r="CC728" s="90">
        <v>6504.2</v>
      </c>
      <c r="CD728" s="91" t="s">
        <v>186</v>
      </c>
      <c r="CE728" s="92">
        <v>6504.2</v>
      </c>
      <c r="CF728" s="93" t="s">
        <v>186</v>
      </c>
      <c r="CG728" s="94" t="s">
        <v>226</v>
      </c>
      <c r="CH728" s="95" t="s">
        <v>153</v>
      </c>
      <c r="CI728" s="96" t="s">
        <v>153</v>
      </c>
      <c r="CJ728" s="97" t="s">
        <v>225</v>
      </c>
      <c r="CK728" s="98">
        <v>38261</v>
      </c>
      <c r="CL728" s="99" t="s">
        <v>153</v>
      </c>
      <c r="CM728" s="100" t="s">
        <v>153</v>
      </c>
      <c r="CN728" s="101" t="s">
        <v>190</v>
      </c>
      <c r="CO728" s="102" t="s">
        <v>153</v>
      </c>
      <c r="CP728" s="103" t="s">
        <v>153</v>
      </c>
      <c r="CQ728" s="104" t="s">
        <v>153</v>
      </c>
      <c r="CR728" s="105" t="s">
        <v>153</v>
      </c>
      <c r="CS728" s="106" t="s">
        <v>153</v>
      </c>
      <c r="CT728" s="107" t="s">
        <v>153</v>
      </c>
      <c r="CU728" s="108" t="s">
        <v>153</v>
      </c>
      <c r="CV728" s="109" t="s">
        <v>153</v>
      </c>
      <c r="CW728" s="110" t="s">
        <v>153</v>
      </c>
      <c r="CX728" s="111" t="s">
        <v>153</v>
      </c>
      <c r="CY728" s="112" t="s">
        <v>153</v>
      </c>
      <c r="CZ728" s="113" t="s">
        <v>153</v>
      </c>
      <c r="DA728" s="114" t="s">
        <v>153</v>
      </c>
      <c r="DB728" s="115" t="s">
        <v>153</v>
      </c>
      <c r="DC728" s="116" t="s">
        <v>153</v>
      </c>
      <c r="DD728" s="117" t="s">
        <v>153</v>
      </c>
      <c r="DE728" s="118" t="s">
        <v>153</v>
      </c>
      <c r="DF728" s="119" t="s">
        <v>153</v>
      </c>
      <c r="DG728" s="120" t="s">
        <v>153</v>
      </c>
      <c r="DH728" s="121" t="s">
        <v>153</v>
      </c>
      <c r="DI728" s="122" t="s">
        <v>153</v>
      </c>
      <c r="DJ728" s="123" t="s">
        <v>153</v>
      </c>
      <c r="DK728" s="124" t="s">
        <v>153</v>
      </c>
      <c r="DL728" s="125" t="s">
        <v>153</v>
      </c>
      <c r="DM728" s="126" t="s">
        <v>153</v>
      </c>
      <c r="DN728" s="127" t="s">
        <v>153</v>
      </c>
      <c r="DO728" s="128" t="s">
        <v>153</v>
      </c>
      <c r="DP728" s="129" t="s">
        <v>153</v>
      </c>
      <c r="DQ728" s="130" t="s">
        <v>153</v>
      </c>
      <c r="DR728" s="131" t="s">
        <v>153</v>
      </c>
      <c r="DS728" s="132" t="s">
        <v>153</v>
      </c>
      <c r="DT728" s="133" t="s">
        <v>153</v>
      </c>
      <c r="DU728" s="134" t="s">
        <v>153</v>
      </c>
      <c r="DV728" s="135" t="s">
        <v>153</v>
      </c>
      <c r="DW728" s="136" t="s">
        <v>153</v>
      </c>
      <c r="DX728" s="137" t="s">
        <v>153</v>
      </c>
      <c r="DY728" s="138" t="s">
        <v>153</v>
      </c>
      <c r="DZ728" s="139" t="s">
        <v>191</v>
      </c>
      <c r="EA728" s="140">
        <v>44147</v>
      </c>
      <c r="EB728" s="141">
        <v>6504.2</v>
      </c>
      <c r="EC728" s="142">
        <v>38261</v>
      </c>
      <c r="ED728" s="143" t="s">
        <v>226</v>
      </c>
      <c r="EE728" s="278" t="str">
        <f>HYPERLINK("https://my.pitchbook.com?c=91432-72", "View company online")</f>
        <v>View company online</v>
      </c>
    </row>
    <row r="729" spans="1:135" x14ac:dyDescent="0.45">
      <c r="A729" s="144" t="s">
        <v>14674</v>
      </c>
      <c r="B729" s="145" t="s">
        <v>14675</v>
      </c>
      <c r="C729" s="146" t="s">
        <v>153</v>
      </c>
      <c r="D729" s="147" t="s">
        <v>153</v>
      </c>
      <c r="E729" s="148" t="s">
        <v>14676</v>
      </c>
      <c r="F729" s="149" t="s">
        <v>153</v>
      </c>
      <c r="G729" s="150" t="s">
        <v>153</v>
      </c>
      <c r="H729" s="151" t="s">
        <v>153</v>
      </c>
      <c r="I729" s="152" t="s">
        <v>14674</v>
      </c>
      <c r="J729" s="153" t="s">
        <v>14677</v>
      </c>
      <c r="K729" s="154" t="s">
        <v>232</v>
      </c>
      <c r="L729" s="155" t="s">
        <v>2162</v>
      </c>
      <c r="M729" s="156" t="s">
        <v>4087</v>
      </c>
      <c r="N729" s="157" t="s">
        <v>14678</v>
      </c>
      <c r="O729" s="158" t="s">
        <v>755</v>
      </c>
      <c r="P729" s="159" t="s">
        <v>14679</v>
      </c>
      <c r="Q729" s="160" t="s">
        <v>289</v>
      </c>
      <c r="R729" s="161">
        <v>168</v>
      </c>
      <c r="S729" s="162" t="s">
        <v>163</v>
      </c>
      <c r="T729" s="163" t="s">
        <v>205</v>
      </c>
      <c r="U729" s="164" t="s">
        <v>452</v>
      </c>
      <c r="V729" s="165" t="s">
        <v>14680</v>
      </c>
      <c r="W729" s="166">
        <v>6500</v>
      </c>
      <c r="X729" s="167" t="s">
        <v>14681</v>
      </c>
      <c r="Y729" s="168" t="s">
        <v>153</v>
      </c>
      <c r="Z729" s="169" t="s">
        <v>153</v>
      </c>
      <c r="AA729" s="170">
        <v>1986</v>
      </c>
      <c r="AB729" s="171" t="s">
        <v>153</v>
      </c>
      <c r="AC729" s="172" t="s">
        <v>153</v>
      </c>
      <c r="AD729" s="173" t="s">
        <v>153</v>
      </c>
      <c r="AE729" s="174" t="s">
        <v>153</v>
      </c>
      <c r="AF729" s="175" t="s">
        <v>153</v>
      </c>
      <c r="AG729" s="176" t="s">
        <v>153</v>
      </c>
      <c r="AH729" s="177" t="s">
        <v>153</v>
      </c>
      <c r="AI729" s="178" t="s">
        <v>153</v>
      </c>
      <c r="AJ729" s="179" t="s">
        <v>153</v>
      </c>
      <c r="AK729" s="180" t="s">
        <v>153</v>
      </c>
      <c r="AL729" s="181" t="s">
        <v>153</v>
      </c>
      <c r="AM729" s="182" t="s">
        <v>153</v>
      </c>
      <c r="AN729" s="183" t="s">
        <v>4923</v>
      </c>
      <c r="AO729" s="184" t="s">
        <v>153</v>
      </c>
      <c r="AP729" s="185" t="s">
        <v>153</v>
      </c>
      <c r="AQ729" s="186" t="s">
        <v>153</v>
      </c>
      <c r="AR729" s="187" t="s">
        <v>153</v>
      </c>
      <c r="AS729" s="188" t="s">
        <v>153</v>
      </c>
      <c r="AT729" s="189" t="s">
        <v>1984</v>
      </c>
      <c r="AU729" s="190" t="s">
        <v>14682</v>
      </c>
      <c r="AV729" s="191" t="s">
        <v>153</v>
      </c>
      <c r="AW729" s="192" t="s">
        <v>1986</v>
      </c>
      <c r="AX729" s="193" t="s">
        <v>1128</v>
      </c>
      <c r="AY729" s="194" t="s">
        <v>14683</v>
      </c>
      <c r="AZ729" s="195" t="s">
        <v>215</v>
      </c>
      <c r="BA729" s="196" t="s">
        <v>14684</v>
      </c>
      <c r="BB729" s="197" t="s">
        <v>14685</v>
      </c>
      <c r="BC729" s="198" t="s">
        <v>153</v>
      </c>
      <c r="BD729" s="199" t="s">
        <v>216</v>
      </c>
      <c r="BE729" s="200" t="s">
        <v>217</v>
      </c>
      <c r="BF729" s="201" t="s">
        <v>14686</v>
      </c>
      <c r="BG729" s="202" t="s">
        <v>153</v>
      </c>
      <c r="BH729" s="203" t="s">
        <v>153</v>
      </c>
      <c r="BI729" s="204" t="s">
        <v>2428</v>
      </c>
      <c r="BJ729" s="205" t="s">
        <v>14687</v>
      </c>
      <c r="BK729" s="206" t="s">
        <v>153</v>
      </c>
      <c r="BL729" s="207" t="s">
        <v>153</v>
      </c>
      <c r="BM729" s="208" t="s">
        <v>14688</v>
      </c>
      <c r="BN729" s="209" t="s">
        <v>153</v>
      </c>
      <c r="BO729" s="210" t="s">
        <v>153</v>
      </c>
      <c r="BP729" s="211" t="s">
        <v>14689</v>
      </c>
      <c r="BQ729" s="212">
        <v>35346</v>
      </c>
      <c r="BR729" s="213">
        <v>18</v>
      </c>
      <c r="BS729" s="214" t="s">
        <v>186</v>
      </c>
      <c r="BT729" s="215" t="s">
        <v>153</v>
      </c>
      <c r="BU729" s="216" t="s">
        <v>153</v>
      </c>
      <c r="BV729" s="217" t="s">
        <v>251</v>
      </c>
      <c r="BW729" s="218" t="s">
        <v>153</v>
      </c>
      <c r="BX729" s="219" t="s">
        <v>153</v>
      </c>
      <c r="BY729" s="220" t="s">
        <v>252</v>
      </c>
      <c r="BZ729" s="221" t="s">
        <v>153</v>
      </c>
      <c r="CA729" s="222" t="s">
        <v>190</v>
      </c>
      <c r="CB729" s="223">
        <v>38070</v>
      </c>
      <c r="CC729" s="224">
        <v>6500</v>
      </c>
      <c r="CD729" s="225" t="s">
        <v>186</v>
      </c>
      <c r="CE729" s="226">
        <v>6500</v>
      </c>
      <c r="CF729" s="227" t="s">
        <v>186</v>
      </c>
      <c r="CG729" s="228" t="s">
        <v>226</v>
      </c>
      <c r="CH729" s="229" t="s">
        <v>153</v>
      </c>
      <c r="CI729" s="230" t="s">
        <v>153</v>
      </c>
      <c r="CJ729" s="231" t="s">
        <v>225</v>
      </c>
      <c r="CK729" s="232">
        <v>38070</v>
      </c>
      <c r="CL729" s="233" t="s">
        <v>153</v>
      </c>
      <c r="CM729" s="234" t="s">
        <v>153</v>
      </c>
      <c r="CN729" s="235" t="s">
        <v>190</v>
      </c>
      <c r="CO729" s="236" t="s">
        <v>153</v>
      </c>
      <c r="CP729" s="237" t="s">
        <v>153</v>
      </c>
      <c r="CQ729" s="238" t="s">
        <v>153</v>
      </c>
      <c r="CR729" s="239" t="s">
        <v>153</v>
      </c>
      <c r="CS729" s="240" t="s">
        <v>153</v>
      </c>
      <c r="CT729" s="241" t="s">
        <v>153</v>
      </c>
      <c r="CU729" s="242" t="s">
        <v>153</v>
      </c>
      <c r="CV729" s="243" t="s">
        <v>153</v>
      </c>
      <c r="CW729" s="244" t="s">
        <v>153</v>
      </c>
      <c r="CX729" s="245" t="s">
        <v>153</v>
      </c>
      <c r="CY729" s="246" t="s">
        <v>153</v>
      </c>
      <c r="CZ729" s="247" t="s">
        <v>153</v>
      </c>
      <c r="DA729" s="248" t="s">
        <v>153</v>
      </c>
      <c r="DB729" s="249" t="s">
        <v>153</v>
      </c>
      <c r="DC729" s="250" t="s">
        <v>153</v>
      </c>
      <c r="DD729" s="251" t="s">
        <v>153</v>
      </c>
      <c r="DE729" s="252" t="s">
        <v>153</v>
      </c>
      <c r="DF729" s="253" t="s">
        <v>153</v>
      </c>
      <c r="DG729" s="254" t="s">
        <v>153</v>
      </c>
      <c r="DH729" s="255" t="s">
        <v>153</v>
      </c>
      <c r="DI729" s="256" t="s">
        <v>153</v>
      </c>
      <c r="DJ729" s="257" t="s">
        <v>153</v>
      </c>
      <c r="DK729" s="258" t="s">
        <v>153</v>
      </c>
      <c r="DL729" s="259" t="s">
        <v>153</v>
      </c>
      <c r="DM729" s="260" t="s">
        <v>153</v>
      </c>
      <c r="DN729" s="261" t="s">
        <v>153</v>
      </c>
      <c r="DO729" s="262" t="s">
        <v>153</v>
      </c>
      <c r="DP729" s="263" t="s">
        <v>153</v>
      </c>
      <c r="DQ729" s="264" t="s">
        <v>153</v>
      </c>
      <c r="DR729" s="265" t="s">
        <v>153</v>
      </c>
      <c r="DS729" s="266" t="s">
        <v>153</v>
      </c>
      <c r="DT729" s="267" t="s">
        <v>153</v>
      </c>
      <c r="DU729" s="268" t="s">
        <v>153</v>
      </c>
      <c r="DV729" s="269" t="s">
        <v>153</v>
      </c>
      <c r="DW729" s="270" t="s">
        <v>153</v>
      </c>
      <c r="DX729" s="271" t="s">
        <v>153</v>
      </c>
      <c r="DY729" s="272" t="s">
        <v>153</v>
      </c>
      <c r="DZ729" s="273" t="s">
        <v>191</v>
      </c>
      <c r="EA729" s="274">
        <v>44217</v>
      </c>
      <c r="EB729" s="275">
        <v>6500</v>
      </c>
      <c r="EC729" s="276">
        <v>38070</v>
      </c>
      <c r="ED729" s="277" t="s">
        <v>226</v>
      </c>
      <c r="EE729" s="279" t="str">
        <f>HYPERLINK("https://my.pitchbook.com?c=12131-29", "View company online")</f>
        <v>View company online</v>
      </c>
    </row>
    <row r="730" spans="1:135" x14ac:dyDescent="0.45">
      <c r="A730" s="10" t="s">
        <v>14690</v>
      </c>
      <c r="B730" s="11" t="s">
        <v>14691</v>
      </c>
      <c r="C730" s="12" t="s">
        <v>153</v>
      </c>
      <c r="D730" s="13" t="s">
        <v>153</v>
      </c>
      <c r="E730" s="14" t="s">
        <v>153</v>
      </c>
      <c r="F730" s="15" t="s">
        <v>153</v>
      </c>
      <c r="G730" s="16" t="s">
        <v>14692</v>
      </c>
      <c r="H730" s="17" t="s">
        <v>14693</v>
      </c>
      <c r="I730" s="18" t="s">
        <v>14690</v>
      </c>
      <c r="J730" s="19" t="s">
        <v>14694</v>
      </c>
      <c r="K730" s="20" t="s">
        <v>198</v>
      </c>
      <c r="L730" s="21" t="s">
        <v>984</v>
      </c>
      <c r="M730" s="22" t="s">
        <v>8397</v>
      </c>
      <c r="N730" s="23" t="s">
        <v>14695</v>
      </c>
      <c r="O730" s="24" t="s">
        <v>14696</v>
      </c>
      <c r="P730" s="25" t="s">
        <v>14697</v>
      </c>
      <c r="Q730" s="26" t="s">
        <v>289</v>
      </c>
      <c r="R730" s="27">
        <v>333.47</v>
      </c>
      <c r="S730" s="28" t="s">
        <v>163</v>
      </c>
      <c r="T730" s="29" t="s">
        <v>164</v>
      </c>
      <c r="U730" s="30" t="s">
        <v>472</v>
      </c>
      <c r="V730" s="31" t="s">
        <v>14698</v>
      </c>
      <c r="W730" s="32">
        <v>935</v>
      </c>
      <c r="X730" s="33" t="s">
        <v>14699</v>
      </c>
      <c r="Y730" s="34" t="s">
        <v>153</v>
      </c>
      <c r="Z730" s="35" t="s">
        <v>153</v>
      </c>
      <c r="AA730" s="36">
        <v>2013</v>
      </c>
      <c r="AB730" s="37" t="s">
        <v>14700</v>
      </c>
      <c r="AC730" s="38" t="s">
        <v>153</v>
      </c>
      <c r="AD730" s="39" t="s">
        <v>428</v>
      </c>
      <c r="AE730" s="40" t="s">
        <v>153</v>
      </c>
      <c r="AF730" s="41" t="s">
        <v>153</v>
      </c>
      <c r="AG730" s="42" t="s">
        <v>153</v>
      </c>
      <c r="AH730" s="43" t="s">
        <v>153</v>
      </c>
      <c r="AI730" s="44" t="s">
        <v>153</v>
      </c>
      <c r="AJ730" s="45" t="s">
        <v>153</v>
      </c>
      <c r="AK730" s="46" t="s">
        <v>153</v>
      </c>
      <c r="AL730" s="47" t="s">
        <v>153</v>
      </c>
      <c r="AM730" s="48" t="s">
        <v>153</v>
      </c>
      <c r="AN730" s="49" t="s">
        <v>1765</v>
      </c>
      <c r="AO730" s="50" t="s">
        <v>14701</v>
      </c>
      <c r="AP730" s="51" t="s">
        <v>14702</v>
      </c>
      <c r="AQ730" s="52" t="s">
        <v>2291</v>
      </c>
      <c r="AR730" s="53" t="s">
        <v>14703</v>
      </c>
      <c r="AS730" s="54" t="s">
        <v>14704</v>
      </c>
      <c r="AT730" s="55" t="s">
        <v>10776</v>
      </c>
      <c r="AU730" s="56" t="s">
        <v>14705</v>
      </c>
      <c r="AV730" s="57" t="s">
        <v>14706</v>
      </c>
      <c r="AW730" s="58" t="s">
        <v>10778</v>
      </c>
      <c r="AX730" s="59" t="s">
        <v>4741</v>
      </c>
      <c r="AY730" s="60" t="s">
        <v>10779</v>
      </c>
      <c r="AZ730" s="61" t="s">
        <v>215</v>
      </c>
      <c r="BA730" s="62" t="s">
        <v>14704</v>
      </c>
      <c r="BB730" s="63" t="s">
        <v>14707</v>
      </c>
      <c r="BC730" s="64" t="s">
        <v>14708</v>
      </c>
      <c r="BD730" s="65" t="s">
        <v>216</v>
      </c>
      <c r="BE730" s="66" t="s">
        <v>217</v>
      </c>
      <c r="BF730" s="67" t="s">
        <v>14709</v>
      </c>
      <c r="BG730" s="68" t="s">
        <v>153</v>
      </c>
      <c r="BH730" s="69" t="s">
        <v>153</v>
      </c>
      <c r="BI730" s="70" t="s">
        <v>14700</v>
      </c>
      <c r="BJ730" s="71" t="s">
        <v>14710</v>
      </c>
      <c r="BK730" s="72" t="s">
        <v>14711</v>
      </c>
      <c r="BL730" s="73" t="s">
        <v>153</v>
      </c>
      <c r="BM730" s="74" t="s">
        <v>14712</v>
      </c>
      <c r="BN730" s="75" t="s">
        <v>153</v>
      </c>
      <c r="BO730" s="76" t="s">
        <v>14713</v>
      </c>
      <c r="BP730" s="77" t="s">
        <v>14714</v>
      </c>
      <c r="BQ730" s="78">
        <v>41883</v>
      </c>
      <c r="BR730" s="79">
        <v>2.4</v>
      </c>
      <c r="BS730" s="80" t="s">
        <v>186</v>
      </c>
      <c r="BT730" s="81">
        <v>10.57</v>
      </c>
      <c r="BU730" s="82" t="s">
        <v>186</v>
      </c>
      <c r="BV730" s="83" t="s">
        <v>1007</v>
      </c>
      <c r="BW730" s="84" t="s">
        <v>8653</v>
      </c>
      <c r="BX730" s="85" t="s">
        <v>153</v>
      </c>
      <c r="BY730" s="86" t="s">
        <v>472</v>
      </c>
      <c r="BZ730" s="87" t="s">
        <v>153</v>
      </c>
      <c r="CA730" s="88" t="s">
        <v>190</v>
      </c>
      <c r="CB730" s="89">
        <v>44319</v>
      </c>
      <c r="CC730" s="90">
        <v>6500</v>
      </c>
      <c r="CD730" s="91" t="s">
        <v>186</v>
      </c>
      <c r="CE730" s="92">
        <v>6500</v>
      </c>
      <c r="CF730" s="93" t="s">
        <v>186</v>
      </c>
      <c r="CG730" s="94" t="s">
        <v>226</v>
      </c>
      <c r="CH730" s="95" t="s">
        <v>153</v>
      </c>
      <c r="CI730" s="96" t="s">
        <v>153</v>
      </c>
      <c r="CJ730" s="97" t="s">
        <v>225</v>
      </c>
      <c r="CK730" s="98">
        <v>44319</v>
      </c>
      <c r="CL730" s="99" t="s">
        <v>153</v>
      </c>
      <c r="CM730" s="100" t="s">
        <v>153</v>
      </c>
      <c r="CN730" s="101" t="s">
        <v>190</v>
      </c>
      <c r="CO730" s="102" t="s">
        <v>153</v>
      </c>
      <c r="CP730" s="103" t="s">
        <v>153</v>
      </c>
      <c r="CQ730" s="104" t="s">
        <v>153</v>
      </c>
      <c r="CR730" s="105" t="s">
        <v>153</v>
      </c>
      <c r="CS730" s="106" t="s">
        <v>153</v>
      </c>
      <c r="CT730" s="107" t="s">
        <v>153</v>
      </c>
      <c r="CU730" s="108" t="s">
        <v>153</v>
      </c>
      <c r="CV730" s="109" t="s">
        <v>153</v>
      </c>
      <c r="CW730" s="110" t="s">
        <v>153</v>
      </c>
      <c r="CX730" s="111" t="s">
        <v>153</v>
      </c>
      <c r="CY730" s="112" t="s">
        <v>153</v>
      </c>
      <c r="CZ730" s="113" t="s">
        <v>153</v>
      </c>
      <c r="DA730" s="114" t="s">
        <v>153</v>
      </c>
      <c r="DB730" s="115" t="s">
        <v>153</v>
      </c>
      <c r="DC730" s="116" t="s">
        <v>153</v>
      </c>
      <c r="DD730" s="117" t="s">
        <v>153</v>
      </c>
      <c r="DE730" s="118" t="s">
        <v>153</v>
      </c>
      <c r="DF730" s="119" t="s">
        <v>153</v>
      </c>
      <c r="DG730" s="120" t="s">
        <v>153</v>
      </c>
      <c r="DH730" s="121" t="s">
        <v>153</v>
      </c>
      <c r="DI730" s="122" t="s">
        <v>153</v>
      </c>
      <c r="DJ730" s="123" t="s">
        <v>153</v>
      </c>
      <c r="DK730" s="124" t="s">
        <v>153</v>
      </c>
      <c r="DL730" s="125" t="s">
        <v>153</v>
      </c>
      <c r="DM730" s="126" t="s">
        <v>153</v>
      </c>
      <c r="DN730" s="127" t="s">
        <v>153</v>
      </c>
      <c r="DO730" s="128" t="s">
        <v>153</v>
      </c>
      <c r="DP730" s="129" t="s">
        <v>153</v>
      </c>
      <c r="DQ730" s="130" t="s">
        <v>153</v>
      </c>
      <c r="DR730" s="131" t="s">
        <v>153</v>
      </c>
      <c r="DS730" s="132" t="s">
        <v>153</v>
      </c>
      <c r="DT730" s="133" t="s">
        <v>153</v>
      </c>
      <c r="DU730" s="134" t="s">
        <v>153</v>
      </c>
      <c r="DV730" s="135" t="s">
        <v>153</v>
      </c>
      <c r="DW730" s="136" t="s">
        <v>153</v>
      </c>
      <c r="DX730" s="137" t="s">
        <v>153</v>
      </c>
      <c r="DY730" s="138" t="s">
        <v>153</v>
      </c>
      <c r="DZ730" s="139" t="s">
        <v>191</v>
      </c>
      <c r="EA730" s="140">
        <v>44389</v>
      </c>
      <c r="EB730" s="141">
        <v>6500</v>
      </c>
      <c r="EC730" s="142">
        <v>44319</v>
      </c>
      <c r="ED730" s="143" t="s">
        <v>226</v>
      </c>
      <c r="EE730" s="278" t="str">
        <f>HYPERLINK("https://my.pitchbook.com?c=64648-00", "View company online")</f>
        <v>View company online</v>
      </c>
    </row>
    <row r="731" spans="1:135" x14ac:dyDescent="0.45">
      <c r="A731" s="144" t="s">
        <v>14715</v>
      </c>
      <c r="B731" s="145" t="s">
        <v>14716</v>
      </c>
      <c r="C731" s="146" t="s">
        <v>153</v>
      </c>
      <c r="D731" s="147" t="s">
        <v>153</v>
      </c>
      <c r="E731" s="148" t="s">
        <v>153</v>
      </c>
      <c r="F731" s="149" t="s">
        <v>153</v>
      </c>
      <c r="G731" s="150" t="s">
        <v>14717</v>
      </c>
      <c r="H731" s="151" t="s">
        <v>153</v>
      </c>
      <c r="I731" s="152" t="s">
        <v>14715</v>
      </c>
      <c r="J731" s="153" t="s">
        <v>14718</v>
      </c>
      <c r="K731" s="154" t="s">
        <v>257</v>
      </c>
      <c r="L731" s="155" t="s">
        <v>258</v>
      </c>
      <c r="M731" s="156" t="s">
        <v>14719</v>
      </c>
      <c r="N731" s="157" t="s">
        <v>14720</v>
      </c>
      <c r="O731" s="158" t="s">
        <v>1139</v>
      </c>
      <c r="P731" s="159" t="s">
        <v>14721</v>
      </c>
      <c r="Q731" s="160" t="s">
        <v>289</v>
      </c>
      <c r="R731" s="161">
        <v>133.28</v>
      </c>
      <c r="S731" s="162" t="s">
        <v>163</v>
      </c>
      <c r="T731" s="163" t="s">
        <v>205</v>
      </c>
      <c r="U731" s="164" t="s">
        <v>452</v>
      </c>
      <c r="V731" s="165" t="s">
        <v>153</v>
      </c>
      <c r="W731" s="166">
        <v>203</v>
      </c>
      <c r="X731" s="167" t="s">
        <v>14722</v>
      </c>
      <c r="Y731" s="168" t="s">
        <v>153</v>
      </c>
      <c r="Z731" s="169" t="s">
        <v>153</v>
      </c>
      <c r="AA731" s="170">
        <v>1995</v>
      </c>
      <c r="AB731" s="171" t="s">
        <v>153</v>
      </c>
      <c r="AC731" s="172" t="s">
        <v>153</v>
      </c>
      <c r="AD731" s="173" t="s">
        <v>153</v>
      </c>
      <c r="AE731" s="174" t="s">
        <v>153</v>
      </c>
      <c r="AF731" s="175" t="s">
        <v>153</v>
      </c>
      <c r="AG731" s="176" t="s">
        <v>153</v>
      </c>
      <c r="AH731" s="177" t="s">
        <v>153</v>
      </c>
      <c r="AI731" s="178" t="s">
        <v>153</v>
      </c>
      <c r="AJ731" s="179" t="s">
        <v>153</v>
      </c>
      <c r="AK731" s="180" t="s">
        <v>153</v>
      </c>
      <c r="AL731" s="181" t="s">
        <v>153</v>
      </c>
      <c r="AM731" s="182" t="s">
        <v>153</v>
      </c>
      <c r="AN731" s="183" t="s">
        <v>1595</v>
      </c>
      <c r="AO731" s="184" t="s">
        <v>153</v>
      </c>
      <c r="AP731" s="185" t="s">
        <v>153</v>
      </c>
      <c r="AQ731" s="186" t="s">
        <v>153</v>
      </c>
      <c r="AR731" s="187" t="s">
        <v>153</v>
      </c>
      <c r="AS731" s="188" t="s">
        <v>153</v>
      </c>
      <c r="AT731" s="189" t="s">
        <v>4791</v>
      </c>
      <c r="AU731" s="190" t="s">
        <v>14723</v>
      </c>
      <c r="AV731" s="191" t="s">
        <v>153</v>
      </c>
      <c r="AW731" s="192" t="s">
        <v>4793</v>
      </c>
      <c r="AX731" s="193" t="s">
        <v>385</v>
      </c>
      <c r="AY731" s="194" t="s">
        <v>4794</v>
      </c>
      <c r="AZ731" s="195" t="s">
        <v>215</v>
      </c>
      <c r="BA731" s="196" t="s">
        <v>153</v>
      </c>
      <c r="BB731" s="197" t="s">
        <v>153</v>
      </c>
      <c r="BC731" s="198" t="s">
        <v>153</v>
      </c>
      <c r="BD731" s="199" t="s">
        <v>216</v>
      </c>
      <c r="BE731" s="200" t="s">
        <v>217</v>
      </c>
      <c r="BF731" s="201" t="s">
        <v>14724</v>
      </c>
      <c r="BG731" s="202" t="s">
        <v>153</v>
      </c>
      <c r="BH731" s="203" t="s">
        <v>153</v>
      </c>
      <c r="BI731" s="204" t="s">
        <v>750</v>
      </c>
      <c r="BJ731" s="205" t="s">
        <v>14725</v>
      </c>
      <c r="BK731" s="206" t="s">
        <v>153</v>
      </c>
      <c r="BL731" s="207" t="s">
        <v>153</v>
      </c>
      <c r="BM731" s="208" t="s">
        <v>14726</v>
      </c>
      <c r="BN731" s="209" t="s">
        <v>153</v>
      </c>
      <c r="BO731" s="210" t="s">
        <v>14727</v>
      </c>
      <c r="BP731" s="211" t="s">
        <v>14728</v>
      </c>
      <c r="BQ731" s="212">
        <v>35016</v>
      </c>
      <c r="BR731" s="213" t="s">
        <v>153</v>
      </c>
      <c r="BS731" s="214" t="s">
        <v>153</v>
      </c>
      <c r="BT731" s="215" t="s">
        <v>153</v>
      </c>
      <c r="BU731" s="216" t="s">
        <v>153</v>
      </c>
      <c r="BV731" s="217" t="s">
        <v>1007</v>
      </c>
      <c r="BW731" s="218" t="s">
        <v>1007</v>
      </c>
      <c r="BX731" s="219" t="s">
        <v>153</v>
      </c>
      <c r="BY731" s="220" t="s">
        <v>472</v>
      </c>
      <c r="BZ731" s="221" t="s">
        <v>153</v>
      </c>
      <c r="CA731" s="222" t="s">
        <v>190</v>
      </c>
      <c r="CB731" s="223">
        <v>42391</v>
      </c>
      <c r="CC731" s="224">
        <v>6500</v>
      </c>
      <c r="CD731" s="225" t="s">
        <v>186</v>
      </c>
      <c r="CE731" s="226">
        <v>6500</v>
      </c>
      <c r="CF731" s="227" t="s">
        <v>186</v>
      </c>
      <c r="CG731" s="228" t="s">
        <v>226</v>
      </c>
      <c r="CH731" s="229" t="s">
        <v>153</v>
      </c>
      <c r="CI731" s="230" t="s">
        <v>153</v>
      </c>
      <c r="CJ731" s="231" t="s">
        <v>225</v>
      </c>
      <c r="CK731" s="232">
        <v>42391</v>
      </c>
      <c r="CL731" s="233" t="s">
        <v>153</v>
      </c>
      <c r="CM731" s="234" t="s">
        <v>321</v>
      </c>
      <c r="CN731" s="235" t="s">
        <v>190</v>
      </c>
      <c r="CO731" s="236" t="s">
        <v>153</v>
      </c>
      <c r="CP731" s="237" t="s">
        <v>153</v>
      </c>
      <c r="CQ731" s="238" t="s">
        <v>153</v>
      </c>
      <c r="CR731" s="239" t="s">
        <v>153</v>
      </c>
      <c r="CS731" s="240" t="s">
        <v>153</v>
      </c>
      <c r="CT731" s="241" t="s">
        <v>153</v>
      </c>
      <c r="CU731" s="242" t="s">
        <v>153</v>
      </c>
      <c r="CV731" s="243" t="s">
        <v>153</v>
      </c>
      <c r="CW731" s="244" t="s">
        <v>153</v>
      </c>
      <c r="CX731" s="245" t="s">
        <v>153</v>
      </c>
      <c r="CY731" s="246" t="s">
        <v>153</v>
      </c>
      <c r="CZ731" s="247" t="s">
        <v>153</v>
      </c>
      <c r="DA731" s="248" t="s">
        <v>153</v>
      </c>
      <c r="DB731" s="249" t="s">
        <v>153</v>
      </c>
      <c r="DC731" s="250" t="s">
        <v>153</v>
      </c>
      <c r="DD731" s="251" t="s">
        <v>153</v>
      </c>
      <c r="DE731" s="252" t="s">
        <v>153</v>
      </c>
      <c r="DF731" s="253" t="s">
        <v>153</v>
      </c>
      <c r="DG731" s="254" t="s">
        <v>153</v>
      </c>
      <c r="DH731" s="255" t="s">
        <v>153</v>
      </c>
      <c r="DI731" s="256" t="s">
        <v>153</v>
      </c>
      <c r="DJ731" s="257" t="s">
        <v>153</v>
      </c>
      <c r="DK731" s="258" t="s">
        <v>153</v>
      </c>
      <c r="DL731" s="259" t="s">
        <v>153</v>
      </c>
      <c r="DM731" s="260" t="s">
        <v>153</v>
      </c>
      <c r="DN731" s="261" t="s">
        <v>153</v>
      </c>
      <c r="DO731" s="262" t="s">
        <v>153</v>
      </c>
      <c r="DP731" s="263" t="s">
        <v>153</v>
      </c>
      <c r="DQ731" s="264" t="s">
        <v>153</v>
      </c>
      <c r="DR731" s="265" t="s">
        <v>153</v>
      </c>
      <c r="DS731" s="266" t="s">
        <v>153</v>
      </c>
      <c r="DT731" s="267" t="s">
        <v>153</v>
      </c>
      <c r="DU731" s="268" t="s">
        <v>153</v>
      </c>
      <c r="DV731" s="269" t="s">
        <v>153</v>
      </c>
      <c r="DW731" s="270" t="s">
        <v>153</v>
      </c>
      <c r="DX731" s="271" t="s">
        <v>153</v>
      </c>
      <c r="DY731" s="272" t="s">
        <v>153</v>
      </c>
      <c r="DZ731" s="273" t="s">
        <v>191</v>
      </c>
      <c r="EA731" s="274">
        <v>44217</v>
      </c>
      <c r="EB731" s="275">
        <v>6500</v>
      </c>
      <c r="EC731" s="276">
        <v>42391</v>
      </c>
      <c r="ED731" s="277" t="s">
        <v>226</v>
      </c>
      <c r="EE731" s="279" t="str">
        <f>HYPERLINK("https://my.pitchbook.com?c=13096-72", "View company online")</f>
        <v>View company online</v>
      </c>
    </row>
    <row r="732" spans="1:135" x14ac:dyDescent="0.45">
      <c r="A732" s="10" t="s">
        <v>14729</v>
      </c>
      <c r="B732" s="11" t="s">
        <v>14730</v>
      </c>
      <c r="C732" s="12" t="s">
        <v>153</v>
      </c>
      <c r="D732" s="13" t="s">
        <v>153</v>
      </c>
      <c r="E732" s="14" t="s">
        <v>153</v>
      </c>
      <c r="F732" s="15" t="s">
        <v>153</v>
      </c>
      <c r="G732" s="16" t="s">
        <v>14731</v>
      </c>
      <c r="H732" s="17" t="s">
        <v>153</v>
      </c>
      <c r="I732" s="18" t="s">
        <v>14729</v>
      </c>
      <c r="J732" s="19" t="s">
        <v>14732</v>
      </c>
      <c r="K732" s="20" t="s">
        <v>198</v>
      </c>
      <c r="L732" s="21" t="s">
        <v>199</v>
      </c>
      <c r="M732" s="22" t="s">
        <v>3167</v>
      </c>
      <c r="N732" s="23" t="s">
        <v>14733</v>
      </c>
      <c r="O732" s="24" t="s">
        <v>399</v>
      </c>
      <c r="P732" s="25" t="s">
        <v>14734</v>
      </c>
      <c r="Q732" s="26" t="s">
        <v>289</v>
      </c>
      <c r="R732" s="27">
        <v>4</v>
      </c>
      <c r="S732" s="28" t="s">
        <v>163</v>
      </c>
      <c r="T732" s="29" t="s">
        <v>205</v>
      </c>
      <c r="U732" s="30" t="s">
        <v>472</v>
      </c>
      <c r="V732" s="31" t="s">
        <v>14735</v>
      </c>
      <c r="W732" s="32">
        <v>240</v>
      </c>
      <c r="X732" s="33" t="s">
        <v>14736</v>
      </c>
      <c r="Y732" s="34" t="s">
        <v>153</v>
      </c>
      <c r="Z732" s="35" t="s">
        <v>153</v>
      </c>
      <c r="AA732" s="36">
        <v>1995</v>
      </c>
      <c r="AB732" s="37" t="s">
        <v>153</v>
      </c>
      <c r="AC732" s="38" t="s">
        <v>153</v>
      </c>
      <c r="AD732" s="39" t="s">
        <v>153</v>
      </c>
      <c r="AE732" s="40" t="s">
        <v>153</v>
      </c>
      <c r="AF732" s="41" t="s">
        <v>153</v>
      </c>
      <c r="AG732" s="42" t="s">
        <v>153</v>
      </c>
      <c r="AH732" s="43" t="s">
        <v>153</v>
      </c>
      <c r="AI732" s="44" t="s">
        <v>153</v>
      </c>
      <c r="AJ732" s="45" t="s">
        <v>153</v>
      </c>
      <c r="AK732" s="46" t="s">
        <v>153</v>
      </c>
      <c r="AL732" s="47" t="s">
        <v>153</v>
      </c>
      <c r="AM732" s="48" t="s">
        <v>153</v>
      </c>
      <c r="AN732" s="49" t="s">
        <v>153</v>
      </c>
      <c r="AO732" s="50" t="s">
        <v>14737</v>
      </c>
      <c r="AP732" s="51" t="s">
        <v>14738</v>
      </c>
      <c r="AQ732" s="52" t="s">
        <v>968</v>
      </c>
      <c r="AR732" s="53" t="s">
        <v>153</v>
      </c>
      <c r="AS732" s="54" t="s">
        <v>153</v>
      </c>
      <c r="AT732" s="55" t="s">
        <v>2378</v>
      </c>
      <c r="AU732" s="56" t="s">
        <v>14739</v>
      </c>
      <c r="AV732" s="57" t="s">
        <v>153</v>
      </c>
      <c r="AW732" s="58" t="s">
        <v>2380</v>
      </c>
      <c r="AX732" s="59" t="s">
        <v>308</v>
      </c>
      <c r="AY732" s="60" t="s">
        <v>14740</v>
      </c>
      <c r="AZ732" s="61" t="s">
        <v>215</v>
      </c>
      <c r="BA732" s="62" t="s">
        <v>153</v>
      </c>
      <c r="BB732" s="63" t="s">
        <v>153</v>
      </c>
      <c r="BC732" s="64" t="s">
        <v>153</v>
      </c>
      <c r="BD732" s="65" t="s">
        <v>216</v>
      </c>
      <c r="BE732" s="66" t="s">
        <v>217</v>
      </c>
      <c r="BF732" s="67" t="s">
        <v>14741</v>
      </c>
      <c r="BG732" s="68" t="s">
        <v>153</v>
      </c>
      <c r="BH732" s="69" t="s">
        <v>153</v>
      </c>
      <c r="BI732" s="70" t="s">
        <v>14742</v>
      </c>
      <c r="BJ732" s="71" t="s">
        <v>14743</v>
      </c>
      <c r="BK732" s="72" t="s">
        <v>153</v>
      </c>
      <c r="BL732" s="73" t="s">
        <v>153</v>
      </c>
      <c r="BM732" s="74" t="s">
        <v>14744</v>
      </c>
      <c r="BN732" s="75" t="s">
        <v>153</v>
      </c>
      <c r="BO732" s="76" t="s">
        <v>153</v>
      </c>
      <c r="BP732" s="77" t="s">
        <v>14745</v>
      </c>
      <c r="BQ732" s="78">
        <v>35282</v>
      </c>
      <c r="BR732" s="79">
        <v>4</v>
      </c>
      <c r="BS732" s="80" t="s">
        <v>186</v>
      </c>
      <c r="BT732" s="81" t="s">
        <v>153</v>
      </c>
      <c r="BU732" s="82" t="s">
        <v>153</v>
      </c>
      <c r="BV732" s="83" t="s">
        <v>471</v>
      </c>
      <c r="BW732" s="84" t="s">
        <v>153</v>
      </c>
      <c r="BX732" s="85" t="s">
        <v>153</v>
      </c>
      <c r="BY732" s="86" t="s">
        <v>472</v>
      </c>
      <c r="BZ732" s="87" t="s">
        <v>153</v>
      </c>
      <c r="CA732" s="88" t="s">
        <v>190</v>
      </c>
      <c r="CB732" s="89">
        <v>36901</v>
      </c>
      <c r="CC732" s="90">
        <v>6500</v>
      </c>
      <c r="CD732" s="91" t="s">
        <v>186</v>
      </c>
      <c r="CE732" s="92">
        <v>6500</v>
      </c>
      <c r="CF732" s="93" t="s">
        <v>186</v>
      </c>
      <c r="CG732" s="94" t="s">
        <v>226</v>
      </c>
      <c r="CH732" s="95" t="s">
        <v>729</v>
      </c>
      <c r="CI732" s="96" t="s">
        <v>153</v>
      </c>
      <c r="CJ732" s="97" t="s">
        <v>225</v>
      </c>
      <c r="CK732" s="98">
        <v>36901</v>
      </c>
      <c r="CL732" s="99" t="s">
        <v>153</v>
      </c>
      <c r="CM732" s="100" t="s">
        <v>153</v>
      </c>
      <c r="CN732" s="101" t="s">
        <v>190</v>
      </c>
      <c r="CO732" s="102" t="s">
        <v>153</v>
      </c>
      <c r="CP732" s="103" t="s">
        <v>153</v>
      </c>
      <c r="CQ732" s="104" t="s">
        <v>153</v>
      </c>
      <c r="CR732" s="105" t="s">
        <v>153</v>
      </c>
      <c r="CS732" s="106" t="s">
        <v>153</v>
      </c>
      <c r="CT732" s="107" t="s">
        <v>153</v>
      </c>
      <c r="CU732" s="108" t="s">
        <v>153</v>
      </c>
      <c r="CV732" s="109" t="s">
        <v>153</v>
      </c>
      <c r="CW732" s="110" t="s">
        <v>153</v>
      </c>
      <c r="CX732" s="111" t="s">
        <v>153</v>
      </c>
      <c r="CY732" s="112" t="s">
        <v>153</v>
      </c>
      <c r="CZ732" s="113" t="s">
        <v>153</v>
      </c>
      <c r="DA732" s="114" t="s">
        <v>153</v>
      </c>
      <c r="DB732" s="115" t="s">
        <v>153</v>
      </c>
      <c r="DC732" s="116" t="s">
        <v>153</v>
      </c>
      <c r="DD732" s="117" t="s">
        <v>153</v>
      </c>
      <c r="DE732" s="118" t="s">
        <v>153</v>
      </c>
      <c r="DF732" s="119" t="s">
        <v>153</v>
      </c>
      <c r="DG732" s="120" t="s">
        <v>153</v>
      </c>
      <c r="DH732" s="121" t="s">
        <v>153</v>
      </c>
      <c r="DI732" s="122" t="s">
        <v>153</v>
      </c>
      <c r="DJ732" s="123" t="s">
        <v>153</v>
      </c>
      <c r="DK732" s="124" t="s">
        <v>153</v>
      </c>
      <c r="DL732" s="125" t="s">
        <v>153</v>
      </c>
      <c r="DM732" s="126" t="s">
        <v>153</v>
      </c>
      <c r="DN732" s="127" t="s">
        <v>153</v>
      </c>
      <c r="DO732" s="128" t="s">
        <v>153</v>
      </c>
      <c r="DP732" s="129" t="s">
        <v>153</v>
      </c>
      <c r="DQ732" s="130" t="s">
        <v>153</v>
      </c>
      <c r="DR732" s="131" t="s">
        <v>153</v>
      </c>
      <c r="DS732" s="132" t="s">
        <v>153</v>
      </c>
      <c r="DT732" s="133" t="s">
        <v>153</v>
      </c>
      <c r="DU732" s="134" t="s">
        <v>153</v>
      </c>
      <c r="DV732" s="135" t="s">
        <v>153</v>
      </c>
      <c r="DW732" s="136" t="s">
        <v>153</v>
      </c>
      <c r="DX732" s="137" t="s">
        <v>153</v>
      </c>
      <c r="DY732" s="138" t="s">
        <v>153</v>
      </c>
      <c r="DZ732" s="139" t="s">
        <v>191</v>
      </c>
      <c r="EA732" s="140">
        <v>44257</v>
      </c>
      <c r="EB732" s="141">
        <v>6500</v>
      </c>
      <c r="EC732" s="142">
        <v>36901</v>
      </c>
      <c r="ED732" s="143" t="s">
        <v>226</v>
      </c>
      <c r="EE732" s="278" t="str">
        <f>HYPERLINK("https://my.pitchbook.com?c=51161-77", "View company online")</f>
        <v>View company online</v>
      </c>
    </row>
    <row r="733" spans="1:135" x14ac:dyDescent="0.45">
      <c r="A733" s="144" t="s">
        <v>14746</v>
      </c>
      <c r="B733" s="145" t="s">
        <v>14747</v>
      </c>
      <c r="C733" s="146" t="s">
        <v>153</v>
      </c>
      <c r="D733" s="147" t="s">
        <v>153</v>
      </c>
      <c r="E733" s="148" t="s">
        <v>153</v>
      </c>
      <c r="F733" s="149" t="s">
        <v>14748</v>
      </c>
      <c r="G733" s="150" t="s">
        <v>14749</v>
      </c>
      <c r="H733" s="151" t="s">
        <v>153</v>
      </c>
      <c r="I733" s="152" t="s">
        <v>14746</v>
      </c>
      <c r="J733" s="153" t="s">
        <v>14750</v>
      </c>
      <c r="K733" s="154" t="s">
        <v>232</v>
      </c>
      <c r="L733" s="155" t="s">
        <v>1016</v>
      </c>
      <c r="M733" s="156" t="s">
        <v>1017</v>
      </c>
      <c r="N733" s="157" t="s">
        <v>14751</v>
      </c>
      <c r="O733" s="158" t="s">
        <v>153</v>
      </c>
      <c r="P733" s="159" t="s">
        <v>14752</v>
      </c>
      <c r="Q733" s="160" t="s">
        <v>204</v>
      </c>
      <c r="R733" s="161" t="s">
        <v>153</v>
      </c>
      <c r="S733" s="162" t="s">
        <v>290</v>
      </c>
      <c r="T733" s="163" t="s">
        <v>205</v>
      </c>
      <c r="U733" s="164" t="s">
        <v>206</v>
      </c>
      <c r="V733" s="165" t="s">
        <v>14753</v>
      </c>
      <c r="W733" s="166" t="s">
        <v>153</v>
      </c>
      <c r="X733" s="167" t="s">
        <v>153</v>
      </c>
      <c r="Y733" s="168" t="s">
        <v>153</v>
      </c>
      <c r="Z733" s="169" t="s">
        <v>153</v>
      </c>
      <c r="AA733" s="170">
        <v>1931</v>
      </c>
      <c r="AB733" s="171" t="s">
        <v>153</v>
      </c>
      <c r="AC733" s="172" t="s">
        <v>153</v>
      </c>
      <c r="AD733" s="173" t="s">
        <v>153</v>
      </c>
      <c r="AE733" s="174" t="s">
        <v>153</v>
      </c>
      <c r="AF733" s="175" t="s">
        <v>153</v>
      </c>
      <c r="AG733" s="176" t="s">
        <v>153</v>
      </c>
      <c r="AH733" s="177" t="s">
        <v>153</v>
      </c>
      <c r="AI733" s="178" t="s">
        <v>153</v>
      </c>
      <c r="AJ733" s="179" t="s">
        <v>153</v>
      </c>
      <c r="AK733" s="180" t="s">
        <v>153</v>
      </c>
      <c r="AL733" s="181" t="s">
        <v>153</v>
      </c>
      <c r="AM733" s="182" t="s">
        <v>153</v>
      </c>
      <c r="AN733" s="183" t="s">
        <v>153</v>
      </c>
      <c r="AO733" s="184" t="s">
        <v>153</v>
      </c>
      <c r="AP733" s="185" t="s">
        <v>153</v>
      </c>
      <c r="AQ733" s="186" t="s">
        <v>153</v>
      </c>
      <c r="AR733" s="187" t="s">
        <v>153</v>
      </c>
      <c r="AS733" s="188" t="s">
        <v>153</v>
      </c>
      <c r="AT733" s="189" t="s">
        <v>433</v>
      </c>
      <c r="AU733" s="190" t="s">
        <v>14754</v>
      </c>
      <c r="AV733" s="191" t="s">
        <v>14755</v>
      </c>
      <c r="AW733" s="192" t="s">
        <v>436</v>
      </c>
      <c r="AX733" s="193" t="s">
        <v>436</v>
      </c>
      <c r="AY733" s="194" t="s">
        <v>14756</v>
      </c>
      <c r="AZ733" s="195" t="s">
        <v>215</v>
      </c>
      <c r="BA733" s="196" t="s">
        <v>153</v>
      </c>
      <c r="BB733" s="197" t="s">
        <v>153</v>
      </c>
      <c r="BC733" s="198" t="s">
        <v>153</v>
      </c>
      <c r="BD733" s="199" t="s">
        <v>216</v>
      </c>
      <c r="BE733" s="200" t="s">
        <v>217</v>
      </c>
      <c r="BF733" s="201" t="s">
        <v>14757</v>
      </c>
      <c r="BG733" s="202" t="s">
        <v>153</v>
      </c>
      <c r="BH733" s="203" t="s">
        <v>153</v>
      </c>
      <c r="BI733" s="204" t="s">
        <v>4716</v>
      </c>
      <c r="BJ733" s="205" t="s">
        <v>153</v>
      </c>
      <c r="BK733" s="206" t="s">
        <v>153</v>
      </c>
      <c r="BL733" s="207" t="s">
        <v>153</v>
      </c>
      <c r="BM733" s="208" t="s">
        <v>153</v>
      </c>
      <c r="BN733" s="209" t="s">
        <v>153</v>
      </c>
      <c r="BO733" s="210" t="s">
        <v>153</v>
      </c>
      <c r="BP733" s="211" t="s">
        <v>13928</v>
      </c>
      <c r="BQ733" s="212">
        <v>36780</v>
      </c>
      <c r="BR733" s="213">
        <v>6500</v>
      </c>
      <c r="BS733" s="214" t="s">
        <v>186</v>
      </c>
      <c r="BT733" s="215">
        <v>6500</v>
      </c>
      <c r="BU733" s="216" t="s">
        <v>187</v>
      </c>
      <c r="BV733" s="217" t="s">
        <v>226</v>
      </c>
      <c r="BW733" s="218" t="s">
        <v>153</v>
      </c>
      <c r="BX733" s="219" t="s">
        <v>153</v>
      </c>
      <c r="BY733" s="220" t="s">
        <v>225</v>
      </c>
      <c r="BZ733" s="221" t="s">
        <v>153</v>
      </c>
      <c r="CA733" s="222" t="s">
        <v>190</v>
      </c>
      <c r="CB733" s="223">
        <v>36780</v>
      </c>
      <c r="CC733" s="224">
        <v>6500</v>
      </c>
      <c r="CD733" s="225" t="s">
        <v>186</v>
      </c>
      <c r="CE733" s="226">
        <v>6500</v>
      </c>
      <c r="CF733" s="227" t="s">
        <v>187</v>
      </c>
      <c r="CG733" s="228" t="s">
        <v>226</v>
      </c>
      <c r="CH733" s="229" t="s">
        <v>153</v>
      </c>
      <c r="CI733" s="230" t="s">
        <v>153</v>
      </c>
      <c r="CJ733" s="231" t="s">
        <v>225</v>
      </c>
      <c r="CK733" s="232">
        <v>36780</v>
      </c>
      <c r="CL733" s="233" t="s">
        <v>153</v>
      </c>
      <c r="CM733" s="234" t="s">
        <v>153</v>
      </c>
      <c r="CN733" s="235" t="s">
        <v>190</v>
      </c>
      <c r="CO733" s="236" t="s">
        <v>153</v>
      </c>
      <c r="CP733" s="237" t="s">
        <v>153</v>
      </c>
      <c r="CQ733" s="238" t="s">
        <v>153</v>
      </c>
      <c r="CR733" s="239" t="s">
        <v>153</v>
      </c>
      <c r="CS733" s="240" t="s">
        <v>153</v>
      </c>
      <c r="CT733" s="241" t="s">
        <v>153</v>
      </c>
      <c r="CU733" s="242" t="s">
        <v>153</v>
      </c>
      <c r="CV733" s="243" t="s">
        <v>153</v>
      </c>
      <c r="CW733" s="244" t="s">
        <v>153</v>
      </c>
      <c r="CX733" s="245" t="s">
        <v>153</v>
      </c>
      <c r="CY733" s="246" t="s">
        <v>153</v>
      </c>
      <c r="CZ733" s="247" t="s">
        <v>153</v>
      </c>
      <c r="DA733" s="248" t="s">
        <v>153</v>
      </c>
      <c r="DB733" s="249" t="s">
        <v>153</v>
      </c>
      <c r="DC733" s="250" t="s">
        <v>153</v>
      </c>
      <c r="DD733" s="251" t="s">
        <v>153</v>
      </c>
      <c r="DE733" s="252" t="s">
        <v>153</v>
      </c>
      <c r="DF733" s="253" t="s">
        <v>153</v>
      </c>
      <c r="DG733" s="254" t="s">
        <v>153</v>
      </c>
      <c r="DH733" s="255" t="s">
        <v>153</v>
      </c>
      <c r="DI733" s="256" t="s">
        <v>153</v>
      </c>
      <c r="DJ733" s="257" t="s">
        <v>153</v>
      </c>
      <c r="DK733" s="258" t="s">
        <v>153</v>
      </c>
      <c r="DL733" s="259" t="s">
        <v>153</v>
      </c>
      <c r="DM733" s="260" t="s">
        <v>153</v>
      </c>
      <c r="DN733" s="261" t="s">
        <v>153</v>
      </c>
      <c r="DO733" s="262" t="s">
        <v>153</v>
      </c>
      <c r="DP733" s="263" t="s">
        <v>153</v>
      </c>
      <c r="DQ733" s="264" t="s">
        <v>153</v>
      </c>
      <c r="DR733" s="265" t="s">
        <v>153</v>
      </c>
      <c r="DS733" s="266" t="s">
        <v>153</v>
      </c>
      <c r="DT733" s="267" t="s">
        <v>153</v>
      </c>
      <c r="DU733" s="268" t="s">
        <v>153</v>
      </c>
      <c r="DV733" s="269" t="s">
        <v>153</v>
      </c>
      <c r="DW733" s="270" t="s">
        <v>153</v>
      </c>
      <c r="DX733" s="271" t="s">
        <v>153</v>
      </c>
      <c r="DY733" s="272" t="s">
        <v>153</v>
      </c>
      <c r="DZ733" s="273" t="s">
        <v>191</v>
      </c>
      <c r="EA733" s="274">
        <v>44103</v>
      </c>
      <c r="EB733" s="275">
        <v>6500</v>
      </c>
      <c r="EC733" s="276">
        <v>36780</v>
      </c>
      <c r="ED733" s="277" t="s">
        <v>226</v>
      </c>
      <c r="EE733" s="279" t="str">
        <f>HYPERLINK("https://my.pitchbook.com?c=11098-81", "View company online")</f>
        <v>View company online</v>
      </c>
    </row>
    <row r="734" spans="1:135" x14ac:dyDescent="0.45">
      <c r="A734" s="10" t="s">
        <v>14758</v>
      </c>
      <c r="B734" s="11" t="s">
        <v>14759</v>
      </c>
      <c r="C734" s="12" t="s">
        <v>153</v>
      </c>
      <c r="D734" s="13" t="s">
        <v>153</v>
      </c>
      <c r="E734" s="14" t="s">
        <v>153</v>
      </c>
      <c r="F734" s="15" t="s">
        <v>153</v>
      </c>
      <c r="G734" s="16" t="s">
        <v>14760</v>
      </c>
      <c r="H734" s="17" t="s">
        <v>14761</v>
      </c>
      <c r="I734" s="18" t="s">
        <v>14758</v>
      </c>
      <c r="J734" s="19" t="s">
        <v>14762</v>
      </c>
      <c r="K734" s="20" t="s">
        <v>232</v>
      </c>
      <c r="L734" s="21" t="s">
        <v>362</v>
      </c>
      <c r="M734" s="22" t="s">
        <v>363</v>
      </c>
      <c r="N734" s="23" t="s">
        <v>14763</v>
      </c>
      <c r="O734" s="24" t="s">
        <v>796</v>
      </c>
      <c r="P734" s="25" t="s">
        <v>14764</v>
      </c>
      <c r="Q734" s="26" t="s">
        <v>204</v>
      </c>
      <c r="R734" s="27" t="s">
        <v>153</v>
      </c>
      <c r="S734" s="28" t="s">
        <v>290</v>
      </c>
      <c r="T734" s="29" t="s">
        <v>164</v>
      </c>
      <c r="U734" s="30" t="s">
        <v>237</v>
      </c>
      <c r="V734" s="31" t="s">
        <v>14765</v>
      </c>
      <c r="W734" s="32">
        <v>2500</v>
      </c>
      <c r="X734" s="33" t="s">
        <v>14766</v>
      </c>
      <c r="Y734" s="34" t="s">
        <v>153</v>
      </c>
      <c r="Z734" s="35" t="s">
        <v>153</v>
      </c>
      <c r="AA734" s="36">
        <v>1899</v>
      </c>
      <c r="AB734" s="37" t="s">
        <v>14767</v>
      </c>
      <c r="AC734" s="38" t="s">
        <v>153</v>
      </c>
      <c r="AD734" s="39" t="s">
        <v>153</v>
      </c>
      <c r="AE734" s="40" t="s">
        <v>153</v>
      </c>
      <c r="AF734" s="41" t="s">
        <v>153</v>
      </c>
      <c r="AG734" s="42" t="s">
        <v>153</v>
      </c>
      <c r="AH734" s="43" t="s">
        <v>153</v>
      </c>
      <c r="AI734" s="44" t="s">
        <v>153</v>
      </c>
      <c r="AJ734" s="45" t="s">
        <v>153</v>
      </c>
      <c r="AK734" s="46" t="s">
        <v>153</v>
      </c>
      <c r="AL734" s="47" t="s">
        <v>153</v>
      </c>
      <c r="AM734" s="48" t="s">
        <v>153</v>
      </c>
      <c r="AN734" s="49" t="s">
        <v>1570</v>
      </c>
      <c r="AO734" s="50" t="s">
        <v>14768</v>
      </c>
      <c r="AP734" s="51" t="s">
        <v>14769</v>
      </c>
      <c r="AQ734" s="52" t="s">
        <v>14770</v>
      </c>
      <c r="AR734" s="53" t="s">
        <v>14771</v>
      </c>
      <c r="AS734" s="54" t="s">
        <v>14772</v>
      </c>
      <c r="AT734" s="55" t="s">
        <v>4174</v>
      </c>
      <c r="AU734" s="56" t="s">
        <v>14773</v>
      </c>
      <c r="AV734" s="57" t="s">
        <v>14774</v>
      </c>
      <c r="AW734" s="58" t="s">
        <v>4176</v>
      </c>
      <c r="AX734" s="59" t="s">
        <v>4177</v>
      </c>
      <c r="AY734" s="60" t="s">
        <v>14775</v>
      </c>
      <c r="AZ734" s="61" t="s">
        <v>215</v>
      </c>
      <c r="BA734" s="62" t="s">
        <v>14772</v>
      </c>
      <c r="BB734" s="63" t="s">
        <v>153</v>
      </c>
      <c r="BC734" s="64" t="s">
        <v>14776</v>
      </c>
      <c r="BD734" s="65" t="s">
        <v>216</v>
      </c>
      <c r="BE734" s="66" t="s">
        <v>217</v>
      </c>
      <c r="BF734" s="67" t="s">
        <v>14777</v>
      </c>
      <c r="BG734" s="68" t="s">
        <v>153</v>
      </c>
      <c r="BH734" s="69" t="s">
        <v>153</v>
      </c>
      <c r="BI734" s="70" t="s">
        <v>14767</v>
      </c>
      <c r="BJ734" s="71" t="s">
        <v>153</v>
      </c>
      <c r="BK734" s="72" t="s">
        <v>153</v>
      </c>
      <c r="BL734" s="73" t="s">
        <v>153</v>
      </c>
      <c r="BM734" s="74" t="s">
        <v>153</v>
      </c>
      <c r="BN734" s="75" t="s">
        <v>153</v>
      </c>
      <c r="BO734" s="76" t="s">
        <v>14778</v>
      </c>
      <c r="BP734" s="77" t="s">
        <v>14779</v>
      </c>
      <c r="BQ734" s="78">
        <v>28503</v>
      </c>
      <c r="BR734" s="79" t="s">
        <v>153</v>
      </c>
      <c r="BS734" s="80" t="s">
        <v>153</v>
      </c>
      <c r="BT734" s="81" t="s">
        <v>153</v>
      </c>
      <c r="BU734" s="82" t="s">
        <v>153</v>
      </c>
      <c r="BV734" s="83" t="s">
        <v>251</v>
      </c>
      <c r="BW734" s="84" t="s">
        <v>153</v>
      </c>
      <c r="BX734" s="85" t="s">
        <v>153</v>
      </c>
      <c r="BY734" s="86" t="s">
        <v>252</v>
      </c>
      <c r="BZ734" s="87" t="s">
        <v>153</v>
      </c>
      <c r="CA734" s="88" t="s">
        <v>190</v>
      </c>
      <c r="CB734" s="89">
        <v>42552</v>
      </c>
      <c r="CC734" s="90">
        <v>6500</v>
      </c>
      <c r="CD734" s="91" t="s">
        <v>186</v>
      </c>
      <c r="CE734" s="92">
        <v>6500</v>
      </c>
      <c r="CF734" s="93" t="s">
        <v>187</v>
      </c>
      <c r="CG734" s="94" t="s">
        <v>226</v>
      </c>
      <c r="CH734" s="95" t="s">
        <v>153</v>
      </c>
      <c r="CI734" s="96" t="s">
        <v>153</v>
      </c>
      <c r="CJ734" s="97" t="s">
        <v>225</v>
      </c>
      <c r="CK734" s="98">
        <v>42552</v>
      </c>
      <c r="CL734" s="99" t="s">
        <v>153</v>
      </c>
      <c r="CM734" s="100" t="s">
        <v>153</v>
      </c>
      <c r="CN734" s="101" t="s">
        <v>190</v>
      </c>
      <c r="CO734" s="102">
        <v>0.85</v>
      </c>
      <c r="CP734" s="103">
        <v>95</v>
      </c>
      <c r="CQ734" s="104">
        <v>-0.08</v>
      </c>
      <c r="CR734" s="105">
        <v>-8.82</v>
      </c>
      <c r="CS734" s="106">
        <v>0.85</v>
      </c>
      <c r="CT734" s="107">
        <v>95</v>
      </c>
      <c r="CU734" s="108" t="s">
        <v>153</v>
      </c>
      <c r="CV734" s="109" t="s">
        <v>153</v>
      </c>
      <c r="CW734" s="110">
        <v>1.06</v>
      </c>
      <c r="CX734" s="111">
        <v>82</v>
      </c>
      <c r="CY734" s="112">
        <v>0.64</v>
      </c>
      <c r="CZ734" s="113">
        <v>95</v>
      </c>
      <c r="DA734" s="114" t="s">
        <v>153</v>
      </c>
      <c r="DB734" s="115" t="s">
        <v>153</v>
      </c>
      <c r="DC734" s="116">
        <v>47</v>
      </c>
      <c r="DD734" s="117">
        <v>98</v>
      </c>
      <c r="DE734" s="118">
        <v>0.09</v>
      </c>
      <c r="DF734" s="119">
        <v>0.2</v>
      </c>
      <c r="DG734" s="120">
        <v>47</v>
      </c>
      <c r="DH734" s="121">
        <v>98</v>
      </c>
      <c r="DI734" s="122" t="s">
        <v>153</v>
      </c>
      <c r="DJ734" s="123" t="s">
        <v>153</v>
      </c>
      <c r="DK734" s="124">
        <v>47.26</v>
      </c>
      <c r="DL734" s="125">
        <v>95</v>
      </c>
      <c r="DM734" s="126">
        <v>46.75</v>
      </c>
      <c r="DN734" s="127">
        <v>98</v>
      </c>
      <c r="DO734" s="128" t="s">
        <v>153</v>
      </c>
      <c r="DP734" s="129" t="s">
        <v>153</v>
      </c>
      <c r="DQ734" s="130">
        <v>27922</v>
      </c>
      <c r="DR734" s="131">
        <v>374</v>
      </c>
      <c r="DS734" s="132">
        <v>1.36</v>
      </c>
      <c r="DT734" s="133">
        <v>746</v>
      </c>
      <c r="DU734" s="134">
        <v>3</v>
      </c>
      <c r="DV734" s="135">
        <v>0.4</v>
      </c>
      <c r="DW734" s="136" t="s">
        <v>153</v>
      </c>
      <c r="DX734" s="137" t="s">
        <v>153</v>
      </c>
      <c r="DY734" s="138" t="s">
        <v>153</v>
      </c>
      <c r="DZ734" s="139" t="s">
        <v>191</v>
      </c>
      <c r="EA734" s="140">
        <v>44341</v>
      </c>
      <c r="EB734" s="141">
        <v>6500</v>
      </c>
      <c r="EC734" s="142">
        <v>42552</v>
      </c>
      <c r="ED734" s="143" t="s">
        <v>226</v>
      </c>
      <c r="EE734" s="278" t="str">
        <f>HYPERLINK("https://my.pitchbook.com?c=10897-93", "View company online")</f>
        <v>View company online</v>
      </c>
    </row>
    <row r="735" spans="1:135" x14ac:dyDescent="0.45">
      <c r="A735" s="144" t="s">
        <v>14780</v>
      </c>
      <c r="B735" s="145" t="s">
        <v>14781</v>
      </c>
      <c r="C735" s="146" t="s">
        <v>153</v>
      </c>
      <c r="D735" s="147" t="s">
        <v>153</v>
      </c>
      <c r="E735" s="148" t="s">
        <v>14782</v>
      </c>
      <c r="F735" s="149" t="s">
        <v>153</v>
      </c>
      <c r="G735" s="150" t="s">
        <v>14783</v>
      </c>
      <c r="H735" s="151" t="s">
        <v>153</v>
      </c>
      <c r="I735" s="152" t="s">
        <v>14780</v>
      </c>
      <c r="J735" s="153" t="s">
        <v>14784</v>
      </c>
      <c r="K735" s="154" t="s">
        <v>232</v>
      </c>
      <c r="L735" s="155" t="s">
        <v>2162</v>
      </c>
      <c r="M735" s="156" t="s">
        <v>5138</v>
      </c>
      <c r="N735" s="157" t="s">
        <v>5139</v>
      </c>
      <c r="O735" s="158" t="s">
        <v>153</v>
      </c>
      <c r="P735" s="159" t="s">
        <v>14785</v>
      </c>
      <c r="Q735" s="160" t="s">
        <v>162</v>
      </c>
      <c r="R735" s="161" t="s">
        <v>153</v>
      </c>
      <c r="S735" s="162" t="s">
        <v>290</v>
      </c>
      <c r="T735" s="163" t="s">
        <v>1392</v>
      </c>
      <c r="U735" s="164" t="s">
        <v>369</v>
      </c>
      <c r="V735" s="165" t="s">
        <v>14786</v>
      </c>
      <c r="W735" s="166">
        <v>630</v>
      </c>
      <c r="X735" s="167" t="s">
        <v>14787</v>
      </c>
      <c r="Y735" s="168" t="s">
        <v>153</v>
      </c>
      <c r="Z735" s="169" t="s">
        <v>153</v>
      </c>
      <c r="AA735" s="170">
        <v>1977</v>
      </c>
      <c r="AB735" s="171" t="s">
        <v>153</v>
      </c>
      <c r="AC735" s="172" t="s">
        <v>153</v>
      </c>
      <c r="AD735" s="173" t="s">
        <v>153</v>
      </c>
      <c r="AE735" s="174" t="s">
        <v>153</v>
      </c>
      <c r="AF735" s="175" t="s">
        <v>153</v>
      </c>
      <c r="AG735" s="176" t="s">
        <v>153</v>
      </c>
      <c r="AH735" s="177" t="s">
        <v>153</v>
      </c>
      <c r="AI735" s="178" t="s">
        <v>153</v>
      </c>
      <c r="AJ735" s="179" t="s">
        <v>153</v>
      </c>
      <c r="AK735" s="180" t="s">
        <v>153</v>
      </c>
      <c r="AL735" s="181" t="s">
        <v>153</v>
      </c>
      <c r="AM735" s="182" t="s">
        <v>153</v>
      </c>
      <c r="AN735" s="183" t="s">
        <v>330</v>
      </c>
      <c r="AO735" s="184" t="s">
        <v>14788</v>
      </c>
      <c r="AP735" s="185" t="s">
        <v>14789</v>
      </c>
      <c r="AQ735" s="186" t="s">
        <v>512</v>
      </c>
      <c r="AR735" s="187" t="s">
        <v>14790</v>
      </c>
      <c r="AS735" s="188" t="s">
        <v>14791</v>
      </c>
      <c r="AT735" s="189" t="s">
        <v>433</v>
      </c>
      <c r="AU735" s="190" t="s">
        <v>14792</v>
      </c>
      <c r="AV735" s="191" t="s">
        <v>14793</v>
      </c>
      <c r="AW735" s="192" t="s">
        <v>436</v>
      </c>
      <c r="AX735" s="193" t="s">
        <v>436</v>
      </c>
      <c r="AY735" s="194" t="s">
        <v>14794</v>
      </c>
      <c r="AZ735" s="195" t="s">
        <v>215</v>
      </c>
      <c r="BA735" s="196" t="s">
        <v>14791</v>
      </c>
      <c r="BB735" s="197" t="s">
        <v>14795</v>
      </c>
      <c r="BC735" s="198" t="s">
        <v>153</v>
      </c>
      <c r="BD735" s="199" t="s">
        <v>216</v>
      </c>
      <c r="BE735" s="200" t="s">
        <v>217</v>
      </c>
      <c r="BF735" s="201" t="s">
        <v>14796</v>
      </c>
      <c r="BG735" s="202" t="s">
        <v>14797</v>
      </c>
      <c r="BH735" s="203">
        <v>1</v>
      </c>
      <c r="BI735" s="204" t="s">
        <v>153</v>
      </c>
      <c r="BJ735" s="205" t="s">
        <v>2640</v>
      </c>
      <c r="BK735" s="206" t="s">
        <v>14798</v>
      </c>
      <c r="BL735" s="207" t="s">
        <v>14799</v>
      </c>
      <c r="BM735" s="208" t="s">
        <v>14800</v>
      </c>
      <c r="BN735" s="209" t="s">
        <v>14801</v>
      </c>
      <c r="BO735" s="210" t="s">
        <v>1511</v>
      </c>
      <c r="BP735" s="211" t="s">
        <v>14802</v>
      </c>
      <c r="BQ735" s="212">
        <v>32874</v>
      </c>
      <c r="BR735" s="213" t="s">
        <v>153</v>
      </c>
      <c r="BS735" s="214" t="s">
        <v>153</v>
      </c>
      <c r="BT735" s="215" t="s">
        <v>153</v>
      </c>
      <c r="BU735" s="216" t="s">
        <v>153</v>
      </c>
      <c r="BV735" s="217" t="s">
        <v>225</v>
      </c>
      <c r="BW735" s="218" t="s">
        <v>225</v>
      </c>
      <c r="BX735" s="219" t="s">
        <v>153</v>
      </c>
      <c r="BY735" s="220" t="s">
        <v>225</v>
      </c>
      <c r="BZ735" s="221" t="s">
        <v>153</v>
      </c>
      <c r="CA735" s="222" t="s">
        <v>190</v>
      </c>
      <c r="CB735" s="223">
        <v>42144</v>
      </c>
      <c r="CC735" s="224">
        <v>6500</v>
      </c>
      <c r="CD735" s="225" t="s">
        <v>187</v>
      </c>
      <c r="CE735" s="226">
        <v>6500</v>
      </c>
      <c r="CF735" s="227" t="s">
        <v>187</v>
      </c>
      <c r="CG735" s="228" t="s">
        <v>226</v>
      </c>
      <c r="CH735" s="229" t="s">
        <v>153</v>
      </c>
      <c r="CI735" s="230" t="s">
        <v>153</v>
      </c>
      <c r="CJ735" s="231" t="s">
        <v>225</v>
      </c>
      <c r="CK735" s="232">
        <v>42144</v>
      </c>
      <c r="CL735" s="233" t="s">
        <v>153</v>
      </c>
      <c r="CM735" s="234" t="s">
        <v>153</v>
      </c>
      <c r="CN735" s="235" t="s">
        <v>394</v>
      </c>
      <c r="CO735" s="236">
        <v>-0.08</v>
      </c>
      <c r="CP735" s="237">
        <v>8</v>
      </c>
      <c r="CQ735" s="238">
        <v>-0.03</v>
      </c>
      <c r="CR735" s="239">
        <v>-78.260000000000005</v>
      </c>
      <c r="CS735" s="240">
        <v>-0.28999999999999998</v>
      </c>
      <c r="CT735" s="241">
        <v>6</v>
      </c>
      <c r="CU735" s="242">
        <v>0.14000000000000001</v>
      </c>
      <c r="CV735" s="243">
        <v>88</v>
      </c>
      <c r="CW735" s="244">
        <v>-1.18</v>
      </c>
      <c r="CX735" s="245">
        <v>16</v>
      </c>
      <c r="CY735" s="246">
        <v>0.6</v>
      </c>
      <c r="CZ735" s="247">
        <v>95</v>
      </c>
      <c r="DA735" s="248">
        <v>0.14000000000000001</v>
      </c>
      <c r="DB735" s="249">
        <v>88</v>
      </c>
      <c r="DC735" s="250">
        <v>5.52</v>
      </c>
      <c r="DD735" s="251">
        <v>86</v>
      </c>
      <c r="DE735" s="252">
        <v>0</v>
      </c>
      <c r="DF735" s="253">
        <v>0.06</v>
      </c>
      <c r="DG735" s="254">
        <v>10.47</v>
      </c>
      <c r="DH735" s="255">
        <v>92</v>
      </c>
      <c r="DI735" s="256">
        <v>0.57999999999999996</v>
      </c>
      <c r="DJ735" s="257">
        <v>41</v>
      </c>
      <c r="DK735" s="258">
        <v>2.2400000000000002</v>
      </c>
      <c r="DL735" s="259">
        <v>66</v>
      </c>
      <c r="DM735" s="260">
        <v>18.690000000000001</v>
      </c>
      <c r="DN735" s="261">
        <v>95</v>
      </c>
      <c r="DO735" s="262">
        <v>0.57999999999999996</v>
      </c>
      <c r="DP735" s="263">
        <v>41</v>
      </c>
      <c r="DQ735" s="264">
        <v>1364</v>
      </c>
      <c r="DR735" s="265">
        <v>-127</v>
      </c>
      <c r="DS735" s="266">
        <v>-8.52</v>
      </c>
      <c r="DT735" s="267">
        <v>299</v>
      </c>
      <c r="DU735" s="268">
        <v>0</v>
      </c>
      <c r="DV735" s="269">
        <v>0</v>
      </c>
      <c r="DW735" s="270">
        <v>182</v>
      </c>
      <c r="DX735" s="271">
        <v>0</v>
      </c>
      <c r="DY735" s="272">
        <v>0</v>
      </c>
      <c r="DZ735" s="273" t="s">
        <v>191</v>
      </c>
      <c r="EA735" s="274">
        <v>44376</v>
      </c>
      <c r="EB735" s="275">
        <v>6500</v>
      </c>
      <c r="EC735" s="276">
        <v>42144</v>
      </c>
      <c r="ED735" s="277" t="s">
        <v>226</v>
      </c>
      <c r="EE735" s="279" t="str">
        <f>HYPERLINK("https://my.pitchbook.com?c=41098-15", "View company online")</f>
        <v>View company online</v>
      </c>
    </row>
    <row r="736" spans="1:135" x14ac:dyDescent="0.45">
      <c r="A736" s="10" t="s">
        <v>14803</v>
      </c>
      <c r="B736" s="11" t="s">
        <v>14804</v>
      </c>
      <c r="C736" s="12" t="s">
        <v>153</v>
      </c>
      <c r="D736" s="13" t="s">
        <v>153</v>
      </c>
      <c r="E736" s="14" t="s">
        <v>153</v>
      </c>
      <c r="F736" s="15" t="s">
        <v>153</v>
      </c>
      <c r="G736" s="16" t="s">
        <v>153</v>
      </c>
      <c r="H736" s="17" t="s">
        <v>153</v>
      </c>
      <c r="I736" s="18" t="s">
        <v>14803</v>
      </c>
      <c r="J736" s="19" t="s">
        <v>14805</v>
      </c>
      <c r="K736" s="20" t="s">
        <v>882</v>
      </c>
      <c r="L736" s="21" t="s">
        <v>883</v>
      </c>
      <c r="M736" s="22" t="s">
        <v>2243</v>
      </c>
      <c r="N736" s="23" t="s">
        <v>14806</v>
      </c>
      <c r="O736" s="24" t="s">
        <v>1234</v>
      </c>
      <c r="P736" s="25" t="s">
        <v>14807</v>
      </c>
      <c r="Q736" s="26" t="s">
        <v>564</v>
      </c>
      <c r="R736" s="27" t="s">
        <v>153</v>
      </c>
      <c r="S736" s="28" t="s">
        <v>163</v>
      </c>
      <c r="T736" s="29" t="s">
        <v>205</v>
      </c>
      <c r="U736" s="30" t="s">
        <v>165</v>
      </c>
      <c r="V736" s="31" t="s">
        <v>14808</v>
      </c>
      <c r="W736" s="32">
        <v>150</v>
      </c>
      <c r="X736" s="33" t="s">
        <v>14809</v>
      </c>
      <c r="Y736" s="34" t="s">
        <v>153</v>
      </c>
      <c r="Z736" s="35" t="s">
        <v>153</v>
      </c>
      <c r="AA736" s="36">
        <v>1996</v>
      </c>
      <c r="AB736" s="37" t="s">
        <v>153</v>
      </c>
      <c r="AC736" s="38" t="s">
        <v>153</v>
      </c>
      <c r="AD736" s="39" t="s">
        <v>153</v>
      </c>
      <c r="AE736" s="40" t="s">
        <v>153</v>
      </c>
      <c r="AF736" s="41" t="s">
        <v>153</v>
      </c>
      <c r="AG736" s="42" t="s">
        <v>153</v>
      </c>
      <c r="AH736" s="43" t="s">
        <v>153</v>
      </c>
      <c r="AI736" s="44" t="s">
        <v>153</v>
      </c>
      <c r="AJ736" s="45" t="s">
        <v>153</v>
      </c>
      <c r="AK736" s="46" t="s">
        <v>153</v>
      </c>
      <c r="AL736" s="47" t="s">
        <v>153</v>
      </c>
      <c r="AM736" s="48" t="s">
        <v>153</v>
      </c>
      <c r="AN736" s="49" t="s">
        <v>153</v>
      </c>
      <c r="AO736" s="50" t="s">
        <v>14810</v>
      </c>
      <c r="AP736" s="51" t="s">
        <v>14811</v>
      </c>
      <c r="AQ736" s="52" t="s">
        <v>573</v>
      </c>
      <c r="AR736" s="53" t="s">
        <v>153</v>
      </c>
      <c r="AS736" s="54" t="s">
        <v>153</v>
      </c>
      <c r="AT736" s="55" t="s">
        <v>14812</v>
      </c>
      <c r="AU736" s="56" t="s">
        <v>14813</v>
      </c>
      <c r="AV736" s="57" t="s">
        <v>153</v>
      </c>
      <c r="AW736" s="58" t="s">
        <v>14814</v>
      </c>
      <c r="AX736" s="59" t="s">
        <v>5243</v>
      </c>
      <c r="AY736" s="60" t="s">
        <v>14815</v>
      </c>
      <c r="AZ736" s="61" t="s">
        <v>215</v>
      </c>
      <c r="BA736" s="62" t="s">
        <v>153</v>
      </c>
      <c r="BB736" s="63" t="s">
        <v>153</v>
      </c>
      <c r="BC736" s="64" t="s">
        <v>153</v>
      </c>
      <c r="BD736" s="65" t="s">
        <v>216</v>
      </c>
      <c r="BE736" s="66" t="s">
        <v>217</v>
      </c>
      <c r="BF736" s="67" t="s">
        <v>14816</v>
      </c>
      <c r="BG736" s="68" t="s">
        <v>153</v>
      </c>
      <c r="BH736" s="69" t="s">
        <v>153</v>
      </c>
      <c r="BI736" s="70" t="s">
        <v>14817</v>
      </c>
      <c r="BJ736" s="71" t="s">
        <v>14818</v>
      </c>
      <c r="BK736" s="72" t="s">
        <v>14819</v>
      </c>
      <c r="BL736" s="73" t="s">
        <v>153</v>
      </c>
      <c r="BM736" s="74" t="s">
        <v>14820</v>
      </c>
      <c r="BN736" s="75" t="s">
        <v>14821</v>
      </c>
      <c r="BO736" s="76" t="s">
        <v>153</v>
      </c>
      <c r="BP736" s="77" t="s">
        <v>153</v>
      </c>
      <c r="BQ736" s="78">
        <v>40630</v>
      </c>
      <c r="BR736" s="79">
        <v>6500</v>
      </c>
      <c r="BS736" s="80" t="s">
        <v>186</v>
      </c>
      <c r="BT736" s="81">
        <v>6500</v>
      </c>
      <c r="BU736" s="82" t="s">
        <v>186</v>
      </c>
      <c r="BV736" s="83" t="s">
        <v>188</v>
      </c>
      <c r="BW736" s="84" t="s">
        <v>189</v>
      </c>
      <c r="BX736" s="85" t="s">
        <v>729</v>
      </c>
      <c r="BY736" s="86" t="s">
        <v>165</v>
      </c>
      <c r="BZ736" s="87" t="s">
        <v>153</v>
      </c>
      <c r="CA736" s="88" t="s">
        <v>190</v>
      </c>
      <c r="CB736" s="89">
        <v>40630</v>
      </c>
      <c r="CC736" s="90">
        <v>6500</v>
      </c>
      <c r="CD736" s="91" t="s">
        <v>186</v>
      </c>
      <c r="CE736" s="92">
        <v>6500</v>
      </c>
      <c r="CF736" s="93" t="s">
        <v>186</v>
      </c>
      <c r="CG736" s="94" t="s">
        <v>188</v>
      </c>
      <c r="CH736" s="95" t="s">
        <v>189</v>
      </c>
      <c r="CI736" s="96" t="s">
        <v>729</v>
      </c>
      <c r="CJ736" s="97" t="s">
        <v>165</v>
      </c>
      <c r="CK736" s="98">
        <v>40630</v>
      </c>
      <c r="CL736" s="99" t="s">
        <v>153</v>
      </c>
      <c r="CM736" s="100" t="s">
        <v>153</v>
      </c>
      <c r="CN736" s="101" t="s">
        <v>190</v>
      </c>
      <c r="CO736" s="102" t="s">
        <v>153</v>
      </c>
      <c r="CP736" s="103" t="s">
        <v>153</v>
      </c>
      <c r="CQ736" s="104" t="s">
        <v>153</v>
      </c>
      <c r="CR736" s="105" t="s">
        <v>153</v>
      </c>
      <c r="CS736" s="106" t="s">
        <v>153</v>
      </c>
      <c r="CT736" s="107" t="s">
        <v>153</v>
      </c>
      <c r="CU736" s="108" t="s">
        <v>153</v>
      </c>
      <c r="CV736" s="109" t="s">
        <v>153</v>
      </c>
      <c r="CW736" s="110" t="s">
        <v>153</v>
      </c>
      <c r="CX736" s="111" t="s">
        <v>153</v>
      </c>
      <c r="CY736" s="112" t="s">
        <v>153</v>
      </c>
      <c r="CZ736" s="113" t="s">
        <v>153</v>
      </c>
      <c r="DA736" s="114" t="s">
        <v>153</v>
      </c>
      <c r="DB736" s="115" t="s">
        <v>153</v>
      </c>
      <c r="DC736" s="116" t="s">
        <v>153</v>
      </c>
      <c r="DD736" s="117" t="s">
        <v>153</v>
      </c>
      <c r="DE736" s="118" t="s">
        <v>153</v>
      </c>
      <c r="DF736" s="119" t="s">
        <v>153</v>
      </c>
      <c r="DG736" s="120" t="s">
        <v>153</v>
      </c>
      <c r="DH736" s="121" t="s">
        <v>153</v>
      </c>
      <c r="DI736" s="122" t="s">
        <v>153</v>
      </c>
      <c r="DJ736" s="123" t="s">
        <v>153</v>
      </c>
      <c r="DK736" s="124" t="s">
        <v>153</v>
      </c>
      <c r="DL736" s="125" t="s">
        <v>153</v>
      </c>
      <c r="DM736" s="126" t="s">
        <v>153</v>
      </c>
      <c r="DN736" s="127" t="s">
        <v>153</v>
      </c>
      <c r="DO736" s="128" t="s">
        <v>153</v>
      </c>
      <c r="DP736" s="129" t="s">
        <v>153</v>
      </c>
      <c r="DQ736" s="130" t="s">
        <v>153</v>
      </c>
      <c r="DR736" s="131" t="s">
        <v>153</v>
      </c>
      <c r="DS736" s="132" t="s">
        <v>153</v>
      </c>
      <c r="DT736" s="133" t="s">
        <v>153</v>
      </c>
      <c r="DU736" s="134" t="s">
        <v>153</v>
      </c>
      <c r="DV736" s="135" t="s">
        <v>153</v>
      </c>
      <c r="DW736" s="136" t="s">
        <v>153</v>
      </c>
      <c r="DX736" s="137" t="s">
        <v>153</v>
      </c>
      <c r="DY736" s="138" t="s">
        <v>153</v>
      </c>
      <c r="DZ736" s="139" t="s">
        <v>191</v>
      </c>
      <c r="EA736" s="140">
        <v>44169</v>
      </c>
      <c r="EB736" s="141">
        <v>6500</v>
      </c>
      <c r="EC736" s="142">
        <v>40630</v>
      </c>
      <c r="ED736" s="143" t="s">
        <v>188</v>
      </c>
      <c r="EE736" s="278" t="str">
        <f>HYPERLINK("https://my.pitchbook.com?c=109800-82", "View company online")</f>
        <v>View company online</v>
      </c>
    </row>
    <row r="737" spans="1:135" x14ac:dyDescent="0.45">
      <c r="A737" s="144" t="s">
        <v>14822</v>
      </c>
      <c r="B737" s="145" t="s">
        <v>14823</v>
      </c>
      <c r="C737" s="146" t="s">
        <v>153</v>
      </c>
      <c r="D737" s="147" t="s">
        <v>153</v>
      </c>
      <c r="E737" s="148" t="s">
        <v>153</v>
      </c>
      <c r="F737" s="149" t="s">
        <v>153</v>
      </c>
      <c r="G737" s="150" t="s">
        <v>14824</v>
      </c>
      <c r="H737" s="151" t="s">
        <v>153</v>
      </c>
      <c r="I737" s="152" t="s">
        <v>14822</v>
      </c>
      <c r="J737" s="153" t="s">
        <v>14825</v>
      </c>
      <c r="K737" s="154" t="s">
        <v>257</v>
      </c>
      <c r="L737" s="155" t="s">
        <v>530</v>
      </c>
      <c r="M737" s="156" t="s">
        <v>531</v>
      </c>
      <c r="N737" s="157" t="s">
        <v>14826</v>
      </c>
      <c r="O737" s="158" t="s">
        <v>153</v>
      </c>
      <c r="P737" s="159" t="s">
        <v>14827</v>
      </c>
      <c r="Q737" s="160" t="s">
        <v>204</v>
      </c>
      <c r="R737" s="161">
        <v>417.37</v>
      </c>
      <c r="S737" s="162" t="s">
        <v>290</v>
      </c>
      <c r="T737" s="163" t="s">
        <v>205</v>
      </c>
      <c r="U737" s="164" t="s">
        <v>237</v>
      </c>
      <c r="V737" s="165" t="s">
        <v>14828</v>
      </c>
      <c r="W737" s="166">
        <v>5500</v>
      </c>
      <c r="X737" s="167" t="s">
        <v>14829</v>
      </c>
      <c r="Y737" s="168" t="s">
        <v>153</v>
      </c>
      <c r="Z737" s="169" t="s">
        <v>153</v>
      </c>
      <c r="AA737" s="170">
        <v>1934</v>
      </c>
      <c r="AB737" s="171" t="s">
        <v>153</v>
      </c>
      <c r="AC737" s="172" t="s">
        <v>153</v>
      </c>
      <c r="AD737" s="173" t="s">
        <v>153</v>
      </c>
      <c r="AE737" s="174" t="s">
        <v>153</v>
      </c>
      <c r="AF737" s="175" t="s">
        <v>153</v>
      </c>
      <c r="AG737" s="176" t="s">
        <v>153</v>
      </c>
      <c r="AH737" s="177" t="s">
        <v>153</v>
      </c>
      <c r="AI737" s="178" t="s">
        <v>153</v>
      </c>
      <c r="AJ737" s="179" t="s">
        <v>153</v>
      </c>
      <c r="AK737" s="180" t="s">
        <v>153</v>
      </c>
      <c r="AL737" s="181" t="s">
        <v>153</v>
      </c>
      <c r="AM737" s="182" t="s">
        <v>153</v>
      </c>
      <c r="AN737" s="183" t="s">
        <v>3203</v>
      </c>
      <c r="AO737" s="184" t="s">
        <v>14830</v>
      </c>
      <c r="AP737" s="185" t="s">
        <v>14831</v>
      </c>
      <c r="AQ737" s="186" t="s">
        <v>1241</v>
      </c>
      <c r="AR737" s="187" t="s">
        <v>153</v>
      </c>
      <c r="AS737" s="188" t="s">
        <v>153</v>
      </c>
      <c r="AT737" s="189" t="s">
        <v>433</v>
      </c>
      <c r="AU737" s="190" t="s">
        <v>14832</v>
      </c>
      <c r="AV737" s="191" t="s">
        <v>153</v>
      </c>
      <c r="AW737" s="192" t="s">
        <v>436</v>
      </c>
      <c r="AX737" s="193" t="s">
        <v>436</v>
      </c>
      <c r="AY737" s="194" t="s">
        <v>515</v>
      </c>
      <c r="AZ737" s="195" t="s">
        <v>215</v>
      </c>
      <c r="BA737" s="196" t="s">
        <v>153</v>
      </c>
      <c r="BB737" s="197" t="s">
        <v>153</v>
      </c>
      <c r="BC737" s="198" t="s">
        <v>153</v>
      </c>
      <c r="BD737" s="199" t="s">
        <v>216</v>
      </c>
      <c r="BE737" s="200" t="s">
        <v>217</v>
      </c>
      <c r="BF737" s="201" t="s">
        <v>14833</v>
      </c>
      <c r="BG737" s="202" t="s">
        <v>153</v>
      </c>
      <c r="BH737" s="203" t="s">
        <v>153</v>
      </c>
      <c r="BI737" s="204" t="s">
        <v>4933</v>
      </c>
      <c r="BJ737" s="205" t="s">
        <v>153</v>
      </c>
      <c r="BK737" s="206" t="s">
        <v>153</v>
      </c>
      <c r="BL737" s="207" t="s">
        <v>153</v>
      </c>
      <c r="BM737" s="208" t="s">
        <v>153</v>
      </c>
      <c r="BN737" s="209" t="s">
        <v>153</v>
      </c>
      <c r="BO737" s="210" t="s">
        <v>153</v>
      </c>
      <c r="BP737" s="211" t="s">
        <v>14834</v>
      </c>
      <c r="BQ737" s="212">
        <v>37568</v>
      </c>
      <c r="BR737" s="213">
        <v>417.37</v>
      </c>
      <c r="BS737" s="214" t="s">
        <v>186</v>
      </c>
      <c r="BT737" s="215">
        <v>2057.5</v>
      </c>
      <c r="BU737" s="216" t="s">
        <v>187</v>
      </c>
      <c r="BV737" s="217" t="s">
        <v>251</v>
      </c>
      <c r="BW737" s="218" t="s">
        <v>153</v>
      </c>
      <c r="BX737" s="219" t="s">
        <v>153</v>
      </c>
      <c r="BY737" s="220" t="s">
        <v>252</v>
      </c>
      <c r="BZ737" s="221" t="s">
        <v>153</v>
      </c>
      <c r="CA737" s="222" t="s">
        <v>190</v>
      </c>
      <c r="CB737" s="223">
        <v>38687</v>
      </c>
      <c r="CC737" s="224">
        <v>6500</v>
      </c>
      <c r="CD737" s="225" t="s">
        <v>187</v>
      </c>
      <c r="CE737" s="226">
        <v>6500</v>
      </c>
      <c r="CF737" s="227" t="s">
        <v>187</v>
      </c>
      <c r="CG737" s="228" t="s">
        <v>226</v>
      </c>
      <c r="CH737" s="229" t="s">
        <v>153</v>
      </c>
      <c r="CI737" s="230" t="s">
        <v>153</v>
      </c>
      <c r="CJ737" s="231" t="s">
        <v>225</v>
      </c>
      <c r="CK737" s="232">
        <v>38687</v>
      </c>
      <c r="CL737" s="233" t="s">
        <v>153</v>
      </c>
      <c r="CM737" s="234" t="s">
        <v>153</v>
      </c>
      <c r="CN737" s="235" t="s">
        <v>190</v>
      </c>
      <c r="CO737" s="236" t="s">
        <v>153</v>
      </c>
      <c r="CP737" s="237" t="s">
        <v>153</v>
      </c>
      <c r="CQ737" s="238" t="s">
        <v>153</v>
      </c>
      <c r="CR737" s="239" t="s">
        <v>153</v>
      </c>
      <c r="CS737" s="240" t="s">
        <v>153</v>
      </c>
      <c r="CT737" s="241" t="s">
        <v>153</v>
      </c>
      <c r="CU737" s="242" t="s">
        <v>153</v>
      </c>
      <c r="CV737" s="243" t="s">
        <v>153</v>
      </c>
      <c r="CW737" s="244" t="s">
        <v>153</v>
      </c>
      <c r="CX737" s="245" t="s">
        <v>153</v>
      </c>
      <c r="CY737" s="246" t="s">
        <v>153</v>
      </c>
      <c r="CZ737" s="247" t="s">
        <v>153</v>
      </c>
      <c r="DA737" s="248" t="s">
        <v>153</v>
      </c>
      <c r="DB737" s="249" t="s">
        <v>153</v>
      </c>
      <c r="DC737" s="250" t="s">
        <v>153</v>
      </c>
      <c r="DD737" s="251" t="s">
        <v>153</v>
      </c>
      <c r="DE737" s="252" t="s">
        <v>153</v>
      </c>
      <c r="DF737" s="253" t="s">
        <v>153</v>
      </c>
      <c r="DG737" s="254" t="s">
        <v>153</v>
      </c>
      <c r="DH737" s="255" t="s">
        <v>153</v>
      </c>
      <c r="DI737" s="256" t="s">
        <v>153</v>
      </c>
      <c r="DJ737" s="257" t="s">
        <v>153</v>
      </c>
      <c r="DK737" s="258" t="s">
        <v>153</v>
      </c>
      <c r="DL737" s="259" t="s">
        <v>153</v>
      </c>
      <c r="DM737" s="260" t="s">
        <v>153</v>
      </c>
      <c r="DN737" s="261" t="s">
        <v>153</v>
      </c>
      <c r="DO737" s="262" t="s">
        <v>153</v>
      </c>
      <c r="DP737" s="263" t="s">
        <v>153</v>
      </c>
      <c r="DQ737" s="264" t="s">
        <v>153</v>
      </c>
      <c r="DR737" s="265" t="s">
        <v>153</v>
      </c>
      <c r="DS737" s="266" t="s">
        <v>153</v>
      </c>
      <c r="DT737" s="267" t="s">
        <v>153</v>
      </c>
      <c r="DU737" s="268" t="s">
        <v>153</v>
      </c>
      <c r="DV737" s="269" t="s">
        <v>153</v>
      </c>
      <c r="DW737" s="270" t="s">
        <v>153</v>
      </c>
      <c r="DX737" s="271" t="s">
        <v>153</v>
      </c>
      <c r="DY737" s="272" t="s">
        <v>153</v>
      </c>
      <c r="DZ737" s="273" t="s">
        <v>191</v>
      </c>
      <c r="EA737" s="274">
        <v>43940</v>
      </c>
      <c r="EB737" s="275">
        <v>6500</v>
      </c>
      <c r="EC737" s="276">
        <v>38687</v>
      </c>
      <c r="ED737" s="277" t="s">
        <v>226</v>
      </c>
      <c r="EE737" s="279" t="str">
        <f>HYPERLINK("https://my.pitchbook.com?c=41546-35", "View company online")</f>
        <v>View company online</v>
      </c>
    </row>
    <row r="738" spans="1:135" x14ac:dyDescent="0.45">
      <c r="A738" s="10" t="s">
        <v>14835</v>
      </c>
      <c r="B738" s="11" t="s">
        <v>14836</v>
      </c>
      <c r="C738" s="12" t="s">
        <v>153</v>
      </c>
      <c r="D738" s="13" t="s">
        <v>153</v>
      </c>
      <c r="E738" s="14" t="s">
        <v>153</v>
      </c>
      <c r="F738" s="15" t="s">
        <v>153</v>
      </c>
      <c r="G738" s="16" t="s">
        <v>14837</v>
      </c>
      <c r="H738" s="17" t="s">
        <v>153</v>
      </c>
      <c r="I738" s="18" t="s">
        <v>14835</v>
      </c>
      <c r="J738" s="19" t="s">
        <v>14838</v>
      </c>
      <c r="K738" s="20" t="s">
        <v>157</v>
      </c>
      <c r="L738" s="21" t="s">
        <v>421</v>
      </c>
      <c r="M738" s="22" t="s">
        <v>9126</v>
      </c>
      <c r="N738" s="23" t="s">
        <v>14839</v>
      </c>
      <c r="O738" s="24" t="s">
        <v>399</v>
      </c>
      <c r="P738" s="25" t="s">
        <v>14840</v>
      </c>
      <c r="Q738" s="26" t="s">
        <v>204</v>
      </c>
      <c r="R738" s="27" t="s">
        <v>153</v>
      </c>
      <c r="S738" s="28" t="s">
        <v>163</v>
      </c>
      <c r="T738" s="29" t="s">
        <v>205</v>
      </c>
      <c r="U738" s="30" t="s">
        <v>237</v>
      </c>
      <c r="V738" s="31" t="s">
        <v>153</v>
      </c>
      <c r="W738" s="32">
        <v>14726</v>
      </c>
      <c r="X738" s="33" t="s">
        <v>14841</v>
      </c>
      <c r="Y738" s="34" t="s">
        <v>153</v>
      </c>
      <c r="Z738" s="35" t="s">
        <v>153</v>
      </c>
      <c r="AA738" s="36">
        <v>1881</v>
      </c>
      <c r="AB738" s="37" t="s">
        <v>153</v>
      </c>
      <c r="AC738" s="38" t="s">
        <v>153</v>
      </c>
      <c r="AD738" s="39" t="s">
        <v>153</v>
      </c>
      <c r="AE738" s="40" t="s">
        <v>153</v>
      </c>
      <c r="AF738" s="41" t="s">
        <v>153</v>
      </c>
      <c r="AG738" s="42" t="s">
        <v>153</v>
      </c>
      <c r="AH738" s="43" t="s">
        <v>153</v>
      </c>
      <c r="AI738" s="44" t="s">
        <v>153</v>
      </c>
      <c r="AJ738" s="45" t="s">
        <v>153</v>
      </c>
      <c r="AK738" s="46" t="s">
        <v>153</v>
      </c>
      <c r="AL738" s="47" t="s">
        <v>153</v>
      </c>
      <c r="AM738" s="48" t="s">
        <v>153</v>
      </c>
      <c r="AN738" s="49" t="s">
        <v>266</v>
      </c>
      <c r="AO738" s="50" t="s">
        <v>153</v>
      </c>
      <c r="AP738" s="51" t="s">
        <v>153</v>
      </c>
      <c r="AQ738" s="52" t="s">
        <v>153</v>
      </c>
      <c r="AR738" s="53" t="s">
        <v>153</v>
      </c>
      <c r="AS738" s="54" t="s">
        <v>153</v>
      </c>
      <c r="AT738" s="55" t="s">
        <v>9514</v>
      </c>
      <c r="AU738" s="56" t="s">
        <v>14842</v>
      </c>
      <c r="AV738" s="57" t="s">
        <v>14843</v>
      </c>
      <c r="AW738" s="58" t="s">
        <v>9516</v>
      </c>
      <c r="AX738" s="59" t="s">
        <v>308</v>
      </c>
      <c r="AY738" s="60" t="s">
        <v>14844</v>
      </c>
      <c r="AZ738" s="61" t="s">
        <v>215</v>
      </c>
      <c r="BA738" s="62" t="s">
        <v>153</v>
      </c>
      <c r="BB738" s="63" t="s">
        <v>153</v>
      </c>
      <c r="BC738" s="64" t="s">
        <v>153</v>
      </c>
      <c r="BD738" s="65" t="s">
        <v>216</v>
      </c>
      <c r="BE738" s="66" t="s">
        <v>217</v>
      </c>
      <c r="BF738" s="67" t="s">
        <v>14845</v>
      </c>
      <c r="BG738" s="68" t="s">
        <v>153</v>
      </c>
      <c r="BH738" s="69" t="s">
        <v>153</v>
      </c>
      <c r="BI738" s="70" t="s">
        <v>14846</v>
      </c>
      <c r="BJ738" s="71" t="s">
        <v>153</v>
      </c>
      <c r="BK738" s="72" t="s">
        <v>153</v>
      </c>
      <c r="BL738" s="73" t="s">
        <v>153</v>
      </c>
      <c r="BM738" s="74" t="s">
        <v>153</v>
      </c>
      <c r="BN738" s="75" t="s">
        <v>153</v>
      </c>
      <c r="BO738" s="76" t="s">
        <v>153</v>
      </c>
      <c r="BP738" s="77" t="s">
        <v>3084</v>
      </c>
      <c r="BQ738" s="78">
        <v>36598</v>
      </c>
      <c r="BR738" s="79">
        <v>6460</v>
      </c>
      <c r="BS738" s="80" t="s">
        <v>186</v>
      </c>
      <c r="BT738" s="81">
        <v>6460</v>
      </c>
      <c r="BU738" s="82" t="s">
        <v>187</v>
      </c>
      <c r="BV738" s="83" t="s">
        <v>226</v>
      </c>
      <c r="BW738" s="84" t="s">
        <v>153</v>
      </c>
      <c r="BX738" s="85" t="s">
        <v>153</v>
      </c>
      <c r="BY738" s="86" t="s">
        <v>225</v>
      </c>
      <c r="BZ738" s="87" t="s">
        <v>153</v>
      </c>
      <c r="CA738" s="88" t="s">
        <v>190</v>
      </c>
      <c r="CB738" s="89">
        <v>36598</v>
      </c>
      <c r="CC738" s="90">
        <v>6460</v>
      </c>
      <c r="CD738" s="91" t="s">
        <v>186</v>
      </c>
      <c r="CE738" s="92">
        <v>6460</v>
      </c>
      <c r="CF738" s="93" t="s">
        <v>187</v>
      </c>
      <c r="CG738" s="94" t="s">
        <v>226</v>
      </c>
      <c r="CH738" s="95" t="s">
        <v>153</v>
      </c>
      <c r="CI738" s="96" t="s">
        <v>153</v>
      </c>
      <c r="CJ738" s="97" t="s">
        <v>225</v>
      </c>
      <c r="CK738" s="98">
        <v>36598</v>
      </c>
      <c r="CL738" s="99" t="s">
        <v>153</v>
      </c>
      <c r="CM738" s="100" t="s">
        <v>153</v>
      </c>
      <c r="CN738" s="101" t="s">
        <v>190</v>
      </c>
      <c r="CO738" s="102" t="s">
        <v>153</v>
      </c>
      <c r="CP738" s="103" t="s">
        <v>153</v>
      </c>
      <c r="CQ738" s="104" t="s">
        <v>153</v>
      </c>
      <c r="CR738" s="105" t="s">
        <v>153</v>
      </c>
      <c r="CS738" s="106" t="s">
        <v>153</v>
      </c>
      <c r="CT738" s="107" t="s">
        <v>153</v>
      </c>
      <c r="CU738" s="108" t="s">
        <v>153</v>
      </c>
      <c r="CV738" s="109" t="s">
        <v>153</v>
      </c>
      <c r="CW738" s="110" t="s">
        <v>153</v>
      </c>
      <c r="CX738" s="111" t="s">
        <v>153</v>
      </c>
      <c r="CY738" s="112" t="s">
        <v>153</v>
      </c>
      <c r="CZ738" s="113" t="s">
        <v>153</v>
      </c>
      <c r="DA738" s="114" t="s">
        <v>153</v>
      </c>
      <c r="DB738" s="115" t="s">
        <v>153</v>
      </c>
      <c r="DC738" s="116" t="s">
        <v>153</v>
      </c>
      <c r="DD738" s="117" t="s">
        <v>153</v>
      </c>
      <c r="DE738" s="118" t="s">
        <v>153</v>
      </c>
      <c r="DF738" s="119" t="s">
        <v>153</v>
      </c>
      <c r="DG738" s="120" t="s">
        <v>153</v>
      </c>
      <c r="DH738" s="121" t="s">
        <v>153</v>
      </c>
      <c r="DI738" s="122" t="s">
        <v>153</v>
      </c>
      <c r="DJ738" s="123" t="s">
        <v>153</v>
      </c>
      <c r="DK738" s="124" t="s">
        <v>153</v>
      </c>
      <c r="DL738" s="125" t="s">
        <v>153</v>
      </c>
      <c r="DM738" s="126" t="s">
        <v>153</v>
      </c>
      <c r="DN738" s="127" t="s">
        <v>153</v>
      </c>
      <c r="DO738" s="128" t="s">
        <v>153</v>
      </c>
      <c r="DP738" s="129" t="s">
        <v>153</v>
      </c>
      <c r="DQ738" s="130" t="s">
        <v>153</v>
      </c>
      <c r="DR738" s="131" t="s">
        <v>153</v>
      </c>
      <c r="DS738" s="132" t="s">
        <v>153</v>
      </c>
      <c r="DT738" s="133" t="s">
        <v>153</v>
      </c>
      <c r="DU738" s="134" t="s">
        <v>153</v>
      </c>
      <c r="DV738" s="135" t="s">
        <v>153</v>
      </c>
      <c r="DW738" s="136" t="s">
        <v>153</v>
      </c>
      <c r="DX738" s="137" t="s">
        <v>153</v>
      </c>
      <c r="DY738" s="138" t="s">
        <v>153</v>
      </c>
      <c r="DZ738" s="139" t="s">
        <v>191</v>
      </c>
      <c r="EA738" s="140">
        <v>44342</v>
      </c>
      <c r="EB738" s="141">
        <v>6460</v>
      </c>
      <c r="EC738" s="142">
        <v>36598</v>
      </c>
      <c r="ED738" s="143" t="s">
        <v>226</v>
      </c>
      <c r="EE738" s="278" t="str">
        <f>HYPERLINK("https://my.pitchbook.com?c=90915-40", "View company online")</f>
        <v>View company online</v>
      </c>
    </row>
    <row r="739" spans="1:135" x14ac:dyDescent="0.45">
      <c r="A739" s="144" t="s">
        <v>14847</v>
      </c>
      <c r="B739" s="145" t="s">
        <v>14848</v>
      </c>
      <c r="C739" s="146" t="s">
        <v>153</v>
      </c>
      <c r="D739" s="147" t="s">
        <v>153</v>
      </c>
      <c r="E739" s="148" t="s">
        <v>153</v>
      </c>
      <c r="F739" s="149" t="s">
        <v>14849</v>
      </c>
      <c r="G739" s="150" t="s">
        <v>14850</v>
      </c>
      <c r="H739" s="151" t="s">
        <v>153</v>
      </c>
      <c r="I739" s="152" t="s">
        <v>14847</v>
      </c>
      <c r="J739" s="153" t="s">
        <v>14851</v>
      </c>
      <c r="K739" s="154" t="s">
        <v>232</v>
      </c>
      <c r="L739" s="155" t="s">
        <v>2162</v>
      </c>
      <c r="M739" s="156" t="s">
        <v>14852</v>
      </c>
      <c r="N739" s="157" t="s">
        <v>14853</v>
      </c>
      <c r="O739" s="158" t="s">
        <v>153</v>
      </c>
      <c r="P739" s="159" t="s">
        <v>14854</v>
      </c>
      <c r="Q739" s="160" t="s">
        <v>162</v>
      </c>
      <c r="R739" s="161" t="s">
        <v>153</v>
      </c>
      <c r="S739" s="162" t="s">
        <v>163</v>
      </c>
      <c r="T739" s="163" t="s">
        <v>205</v>
      </c>
      <c r="U739" s="164" t="s">
        <v>165</v>
      </c>
      <c r="V739" s="165" t="s">
        <v>14855</v>
      </c>
      <c r="W739" s="166" t="s">
        <v>153</v>
      </c>
      <c r="X739" s="167" t="s">
        <v>153</v>
      </c>
      <c r="Y739" s="168" t="s">
        <v>153</v>
      </c>
      <c r="Z739" s="169" t="s">
        <v>153</v>
      </c>
      <c r="AA739" s="170">
        <v>1972</v>
      </c>
      <c r="AB739" s="171" t="s">
        <v>153</v>
      </c>
      <c r="AC739" s="172" t="s">
        <v>153</v>
      </c>
      <c r="AD739" s="173" t="s">
        <v>153</v>
      </c>
      <c r="AE739" s="174" t="s">
        <v>153</v>
      </c>
      <c r="AF739" s="175" t="s">
        <v>153</v>
      </c>
      <c r="AG739" s="176" t="s">
        <v>153</v>
      </c>
      <c r="AH739" s="177" t="s">
        <v>153</v>
      </c>
      <c r="AI739" s="178" t="s">
        <v>153</v>
      </c>
      <c r="AJ739" s="179" t="s">
        <v>153</v>
      </c>
      <c r="AK739" s="180" t="s">
        <v>153</v>
      </c>
      <c r="AL739" s="181" t="s">
        <v>153</v>
      </c>
      <c r="AM739" s="182" t="s">
        <v>153</v>
      </c>
      <c r="AN739" s="183" t="s">
        <v>484</v>
      </c>
      <c r="AO739" s="184" t="s">
        <v>153</v>
      </c>
      <c r="AP739" s="185" t="s">
        <v>153</v>
      </c>
      <c r="AQ739" s="186" t="s">
        <v>153</v>
      </c>
      <c r="AR739" s="187" t="s">
        <v>153</v>
      </c>
      <c r="AS739" s="188" t="s">
        <v>153</v>
      </c>
      <c r="AT739" s="189" t="s">
        <v>14856</v>
      </c>
      <c r="AU739" s="190" t="s">
        <v>14857</v>
      </c>
      <c r="AV739" s="191" t="s">
        <v>14858</v>
      </c>
      <c r="AW739" s="192" t="s">
        <v>14859</v>
      </c>
      <c r="AX739" s="193" t="s">
        <v>177</v>
      </c>
      <c r="AY739" s="194" t="s">
        <v>14860</v>
      </c>
      <c r="AZ739" s="195" t="s">
        <v>179</v>
      </c>
      <c r="BA739" s="196" t="s">
        <v>153</v>
      </c>
      <c r="BB739" s="197" t="s">
        <v>153</v>
      </c>
      <c r="BC739" s="198" t="s">
        <v>153</v>
      </c>
      <c r="BD739" s="199" t="s">
        <v>180</v>
      </c>
      <c r="BE739" s="200" t="s">
        <v>181</v>
      </c>
      <c r="BF739" s="201" t="s">
        <v>14861</v>
      </c>
      <c r="BG739" s="202" t="s">
        <v>153</v>
      </c>
      <c r="BH739" s="203" t="s">
        <v>153</v>
      </c>
      <c r="BI739" s="204" t="s">
        <v>14862</v>
      </c>
      <c r="BJ739" s="205" t="s">
        <v>14863</v>
      </c>
      <c r="BK739" s="206" t="s">
        <v>14864</v>
      </c>
      <c r="BL739" s="207" t="s">
        <v>153</v>
      </c>
      <c r="BM739" s="208" t="s">
        <v>14865</v>
      </c>
      <c r="BN739" s="209" t="s">
        <v>14866</v>
      </c>
      <c r="BO739" s="210" t="s">
        <v>153</v>
      </c>
      <c r="BP739" s="211" t="s">
        <v>153</v>
      </c>
      <c r="BQ739" s="212">
        <v>44243</v>
      </c>
      <c r="BR739" s="213">
        <v>6449.59</v>
      </c>
      <c r="BS739" s="214" t="s">
        <v>153</v>
      </c>
      <c r="BT739" s="215">
        <v>6449.59</v>
      </c>
      <c r="BU739" s="216" t="s">
        <v>186</v>
      </c>
      <c r="BV739" s="217" t="s">
        <v>188</v>
      </c>
      <c r="BW739" s="218" t="s">
        <v>189</v>
      </c>
      <c r="BX739" s="219" t="s">
        <v>729</v>
      </c>
      <c r="BY739" s="220" t="s">
        <v>165</v>
      </c>
      <c r="BZ739" s="221" t="s">
        <v>153</v>
      </c>
      <c r="CA739" s="222" t="s">
        <v>190</v>
      </c>
      <c r="CB739" s="223">
        <v>44243</v>
      </c>
      <c r="CC739" s="224">
        <v>6449.59</v>
      </c>
      <c r="CD739" s="225" t="s">
        <v>153</v>
      </c>
      <c r="CE739" s="226">
        <v>6449.59</v>
      </c>
      <c r="CF739" s="227" t="s">
        <v>186</v>
      </c>
      <c r="CG739" s="228" t="s">
        <v>188</v>
      </c>
      <c r="CH739" s="229" t="s">
        <v>189</v>
      </c>
      <c r="CI739" s="230" t="s">
        <v>729</v>
      </c>
      <c r="CJ739" s="231" t="s">
        <v>165</v>
      </c>
      <c r="CK739" s="232">
        <v>44243</v>
      </c>
      <c r="CL739" s="233" t="s">
        <v>153</v>
      </c>
      <c r="CM739" s="234" t="s">
        <v>153</v>
      </c>
      <c r="CN739" s="235" t="s">
        <v>190</v>
      </c>
      <c r="CO739" s="236" t="s">
        <v>153</v>
      </c>
      <c r="CP739" s="237" t="s">
        <v>153</v>
      </c>
      <c r="CQ739" s="238" t="s">
        <v>153</v>
      </c>
      <c r="CR739" s="239" t="s">
        <v>153</v>
      </c>
      <c r="CS739" s="240" t="s">
        <v>153</v>
      </c>
      <c r="CT739" s="241" t="s">
        <v>153</v>
      </c>
      <c r="CU739" s="242" t="s">
        <v>153</v>
      </c>
      <c r="CV739" s="243" t="s">
        <v>153</v>
      </c>
      <c r="CW739" s="244" t="s">
        <v>153</v>
      </c>
      <c r="CX739" s="245" t="s">
        <v>153</v>
      </c>
      <c r="CY739" s="246" t="s">
        <v>153</v>
      </c>
      <c r="CZ739" s="247" t="s">
        <v>153</v>
      </c>
      <c r="DA739" s="248" t="s">
        <v>153</v>
      </c>
      <c r="DB739" s="249" t="s">
        <v>153</v>
      </c>
      <c r="DC739" s="250" t="s">
        <v>153</v>
      </c>
      <c r="DD739" s="251" t="s">
        <v>153</v>
      </c>
      <c r="DE739" s="252" t="s">
        <v>153</v>
      </c>
      <c r="DF739" s="253" t="s">
        <v>153</v>
      </c>
      <c r="DG739" s="254" t="s">
        <v>153</v>
      </c>
      <c r="DH739" s="255" t="s">
        <v>153</v>
      </c>
      <c r="DI739" s="256" t="s">
        <v>153</v>
      </c>
      <c r="DJ739" s="257" t="s">
        <v>153</v>
      </c>
      <c r="DK739" s="258" t="s">
        <v>153</v>
      </c>
      <c r="DL739" s="259" t="s">
        <v>153</v>
      </c>
      <c r="DM739" s="260" t="s">
        <v>153</v>
      </c>
      <c r="DN739" s="261" t="s">
        <v>153</v>
      </c>
      <c r="DO739" s="262" t="s">
        <v>153</v>
      </c>
      <c r="DP739" s="263" t="s">
        <v>153</v>
      </c>
      <c r="DQ739" s="264" t="s">
        <v>153</v>
      </c>
      <c r="DR739" s="265" t="s">
        <v>153</v>
      </c>
      <c r="DS739" s="266" t="s">
        <v>153</v>
      </c>
      <c r="DT739" s="267" t="s">
        <v>153</v>
      </c>
      <c r="DU739" s="268" t="s">
        <v>153</v>
      </c>
      <c r="DV739" s="269" t="s">
        <v>153</v>
      </c>
      <c r="DW739" s="270" t="s">
        <v>153</v>
      </c>
      <c r="DX739" s="271" t="s">
        <v>153</v>
      </c>
      <c r="DY739" s="272" t="s">
        <v>153</v>
      </c>
      <c r="DZ739" s="273" t="s">
        <v>191</v>
      </c>
      <c r="EA739" s="274">
        <v>44386</v>
      </c>
      <c r="EB739" s="275">
        <v>6449.59</v>
      </c>
      <c r="EC739" s="276">
        <v>44243</v>
      </c>
      <c r="ED739" s="277" t="s">
        <v>188</v>
      </c>
      <c r="EE739" s="279" t="str">
        <f>HYPERLINK("https://my.pitchbook.com?c=61615-72", "View company online")</f>
        <v>View company online</v>
      </c>
    </row>
    <row r="740" spans="1:135" x14ac:dyDescent="0.45">
      <c r="A740" s="10" t="s">
        <v>14867</v>
      </c>
      <c r="B740" s="11" t="s">
        <v>14868</v>
      </c>
      <c r="C740" s="12" t="s">
        <v>153</v>
      </c>
      <c r="D740" s="13" t="s">
        <v>153</v>
      </c>
      <c r="E740" s="14" t="s">
        <v>153</v>
      </c>
      <c r="F740" s="15" t="s">
        <v>14869</v>
      </c>
      <c r="G740" s="16" t="s">
        <v>14870</v>
      </c>
      <c r="H740" s="17" t="s">
        <v>14871</v>
      </c>
      <c r="I740" s="18" t="s">
        <v>14867</v>
      </c>
      <c r="J740" s="19" t="s">
        <v>14872</v>
      </c>
      <c r="K740" s="20" t="s">
        <v>792</v>
      </c>
      <c r="L740" s="21" t="s">
        <v>841</v>
      </c>
      <c r="M740" s="22" t="s">
        <v>913</v>
      </c>
      <c r="N740" s="23" t="s">
        <v>10376</v>
      </c>
      <c r="O740" s="24" t="s">
        <v>1119</v>
      </c>
      <c r="P740" s="25" t="s">
        <v>14873</v>
      </c>
      <c r="Q740" s="26" t="s">
        <v>564</v>
      </c>
      <c r="R740" s="27">
        <v>1639.05</v>
      </c>
      <c r="S740" s="28" t="s">
        <v>368</v>
      </c>
      <c r="T740" s="29" t="s">
        <v>205</v>
      </c>
      <c r="U740" s="30" t="s">
        <v>1791</v>
      </c>
      <c r="V740" s="31" t="s">
        <v>14874</v>
      </c>
      <c r="W740" s="32">
        <v>224</v>
      </c>
      <c r="X740" s="33" t="s">
        <v>14875</v>
      </c>
      <c r="Y740" s="34" t="s">
        <v>153</v>
      </c>
      <c r="Z740" s="35" t="s">
        <v>153</v>
      </c>
      <c r="AA740" s="36">
        <v>2008</v>
      </c>
      <c r="AB740" s="37" t="s">
        <v>153</v>
      </c>
      <c r="AC740" s="38" t="s">
        <v>153</v>
      </c>
      <c r="AD740" s="39" t="s">
        <v>153</v>
      </c>
      <c r="AE740" s="40">
        <v>1773.78</v>
      </c>
      <c r="AF740" s="41">
        <v>648.64</v>
      </c>
      <c r="AG740" s="42">
        <v>-1605.29</v>
      </c>
      <c r="AH740" s="43">
        <v>3263.32</v>
      </c>
      <c r="AI740" s="44">
        <v>-1402.66</v>
      </c>
      <c r="AJ740" s="45">
        <v>-1991.91</v>
      </c>
      <c r="AK740" s="46" t="s">
        <v>153</v>
      </c>
      <c r="AL740" s="47">
        <v>1485.23</v>
      </c>
      <c r="AM740" s="48">
        <v>-19.37</v>
      </c>
      <c r="AN740" s="49" t="s">
        <v>168</v>
      </c>
      <c r="AO740" s="50" t="s">
        <v>14876</v>
      </c>
      <c r="AP740" s="51" t="s">
        <v>14877</v>
      </c>
      <c r="AQ740" s="52" t="s">
        <v>3871</v>
      </c>
      <c r="AR740" s="53" t="s">
        <v>14878</v>
      </c>
      <c r="AS740" s="54" t="s">
        <v>153</v>
      </c>
      <c r="AT740" s="55" t="s">
        <v>3419</v>
      </c>
      <c r="AU740" s="56" t="s">
        <v>14879</v>
      </c>
      <c r="AV740" s="57" t="s">
        <v>14880</v>
      </c>
      <c r="AW740" s="58" t="s">
        <v>3422</v>
      </c>
      <c r="AX740" s="59" t="s">
        <v>3423</v>
      </c>
      <c r="AY740" s="60" t="s">
        <v>14881</v>
      </c>
      <c r="AZ740" s="61" t="s">
        <v>1358</v>
      </c>
      <c r="BA740" s="62" t="s">
        <v>153</v>
      </c>
      <c r="BB740" s="63" t="s">
        <v>153</v>
      </c>
      <c r="BC740" s="64" t="s">
        <v>153</v>
      </c>
      <c r="BD740" s="65" t="s">
        <v>216</v>
      </c>
      <c r="BE740" s="66" t="s">
        <v>217</v>
      </c>
      <c r="BF740" s="67" t="s">
        <v>14882</v>
      </c>
      <c r="BG740" s="68" t="s">
        <v>153</v>
      </c>
      <c r="BH740" s="69" t="s">
        <v>153</v>
      </c>
      <c r="BI740" s="70" t="s">
        <v>14883</v>
      </c>
      <c r="BJ740" s="71" t="s">
        <v>14884</v>
      </c>
      <c r="BK740" s="72" t="s">
        <v>153</v>
      </c>
      <c r="BL740" s="73" t="s">
        <v>153</v>
      </c>
      <c r="BM740" s="74" t="s">
        <v>14885</v>
      </c>
      <c r="BN740" s="75" t="s">
        <v>153</v>
      </c>
      <c r="BO740" s="76" t="s">
        <v>14886</v>
      </c>
      <c r="BP740" s="77" t="s">
        <v>14887</v>
      </c>
      <c r="BQ740" s="78">
        <v>39569</v>
      </c>
      <c r="BR740" s="79">
        <v>300</v>
      </c>
      <c r="BS740" s="80" t="s">
        <v>186</v>
      </c>
      <c r="BT740" s="81">
        <v>300</v>
      </c>
      <c r="BU740" s="82" t="s">
        <v>153</v>
      </c>
      <c r="BV740" s="83" t="s">
        <v>188</v>
      </c>
      <c r="BW740" s="84" t="s">
        <v>3593</v>
      </c>
      <c r="BX740" s="85" t="s">
        <v>153</v>
      </c>
      <c r="BY740" s="86" t="s">
        <v>165</v>
      </c>
      <c r="BZ740" s="87" t="s">
        <v>153</v>
      </c>
      <c r="CA740" s="88" t="s">
        <v>190</v>
      </c>
      <c r="CB740" s="89">
        <v>44292</v>
      </c>
      <c r="CC740" s="90">
        <v>6448.35</v>
      </c>
      <c r="CD740" s="91" t="s">
        <v>186</v>
      </c>
      <c r="CE740" s="92">
        <v>6448.35</v>
      </c>
      <c r="CF740" s="93" t="s">
        <v>153</v>
      </c>
      <c r="CG740" s="94" t="s">
        <v>226</v>
      </c>
      <c r="CH740" s="95" t="s">
        <v>153</v>
      </c>
      <c r="CI740" s="96" t="s">
        <v>153</v>
      </c>
      <c r="CJ740" s="97" t="s">
        <v>225</v>
      </c>
      <c r="CK740" s="98">
        <v>44292</v>
      </c>
      <c r="CL740" s="99" t="s">
        <v>153</v>
      </c>
      <c r="CM740" s="100" t="s">
        <v>153</v>
      </c>
      <c r="CN740" s="101" t="s">
        <v>190</v>
      </c>
      <c r="CO740" s="102" t="s">
        <v>153</v>
      </c>
      <c r="CP740" s="103" t="s">
        <v>153</v>
      </c>
      <c r="CQ740" s="104" t="s">
        <v>153</v>
      </c>
      <c r="CR740" s="105" t="s">
        <v>153</v>
      </c>
      <c r="CS740" s="106" t="s">
        <v>153</v>
      </c>
      <c r="CT740" s="107" t="s">
        <v>153</v>
      </c>
      <c r="CU740" s="108" t="s">
        <v>153</v>
      </c>
      <c r="CV740" s="109" t="s">
        <v>153</v>
      </c>
      <c r="CW740" s="110" t="s">
        <v>153</v>
      </c>
      <c r="CX740" s="111" t="s">
        <v>153</v>
      </c>
      <c r="CY740" s="112" t="s">
        <v>153</v>
      </c>
      <c r="CZ740" s="113" t="s">
        <v>153</v>
      </c>
      <c r="DA740" s="114" t="s">
        <v>153</v>
      </c>
      <c r="DB740" s="115" t="s">
        <v>153</v>
      </c>
      <c r="DC740" s="116" t="s">
        <v>153</v>
      </c>
      <c r="DD740" s="117" t="s">
        <v>153</v>
      </c>
      <c r="DE740" s="118" t="s">
        <v>153</v>
      </c>
      <c r="DF740" s="119" t="s">
        <v>153</v>
      </c>
      <c r="DG740" s="120" t="s">
        <v>153</v>
      </c>
      <c r="DH740" s="121" t="s">
        <v>153</v>
      </c>
      <c r="DI740" s="122" t="s">
        <v>153</v>
      </c>
      <c r="DJ740" s="123" t="s">
        <v>153</v>
      </c>
      <c r="DK740" s="124" t="s">
        <v>153</v>
      </c>
      <c r="DL740" s="125" t="s">
        <v>153</v>
      </c>
      <c r="DM740" s="126" t="s">
        <v>153</v>
      </c>
      <c r="DN740" s="127" t="s">
        <v>153</v>
      </c>
      <c r="DO740" s="128" t="s">
        <v>153</v>
      </c>
      <c r="DP740" s="129" t="s">
        <v>153</v>
      </c>
      <c r="DQ740" s="130" t="s">
        <v>153</v>
      </c>
      <c r="DR740" s="131" t="s">
        <v>153</v>
      </c>
      <c r="DS740" s="132" t="s">
        <v>153</v>
      </c>
      <c r="DT740" s="133" t="s">
        <v>153</v>
      </c>
      <c r="DU740" s="134" t="s">
        <v>153</v>
      </c>
      <c r="DV740" s="135" t="s">
        <v>153</v>
      </c>
      <c r="DW740" s="136" t="s">
        <v>153</v>
      </c>
      <c r="DX740" s="137" t="s">
        <v>153</v>
      </c>
      <c r="DY740" s="138" t="s">
        <v>153</v>
      </c>
      <c r="DZ740" s="139" t="s">
        <v>191</v>
      </c>
      <c r="EA740" s="140">
        <v>44354</v>
      </c>
      <c r="EB740" s="141">
        <v>6448.35</v>
      </c>
      <c r="EC740" s="142">
        <v>44292</v>
      </c>
      <c r="ED740" s="143" t="s">
        <v>226</v>
      </c>
      <c r="EE740" s="278" t="str">
        <f>HYPERLINK("https://my.pitchbook.com?c=43025-50", "View company online")</f>
        <v>View company online</v>
      </c>
    </row>
    <row r="741" spans="1:135" x14ac:dyDescent="0.45">
      <c r="A741" s="144" t="s">
        <v>14888</v>
      </c>
      <c r="B741" s="145" t="s">
        <v>14889</v>
      </c>
      <c r="C741" s="146" t="s">
        <v>153</v>
      </c>
      <c r="D741" s="147" t="s">
        <v>153</v>
      </c>
      <c r="E741" s="148" t="s">
        <v>153</v>
      </c>
      <c r="F741" s="149" t="s">
        <v>153</v>
      </c>
      <c r="G741" s="150" t="s">
        <v>14890</v>
      </c>
      <c r="H741" s="151" t="s">
        <v>153</v>
      </c>
      <c r="I741" s="152" t="s">
        <v>14888</v>
      </c>
      <c r="J741" s="153" t="s">
        <v>14891</v>
      </c>
      <c r="K741" s="154" t="s">
        <v>232</v>
      </c>
      <c r="L741" s="155" t="s">
        <v>362</v>
      </c>
      <c r="M741" s="156" t="s">
        <v>4656</v>
      </c>
      <c r="N741" s="157" t="s">
        <v>4657</v>
      </c>
      <c r="O741" s="158" t="s">
        <v>153</v>
      </c>
      <c r="P741" s="159" t="s">
        <v>14892</v>
      </c>
      <c r="Q741" s="160" t="s">
        <v>204</v>
      </c>
      <c r="R741" s="161" t="s">
        <v>153</v>
      </c>
      <c r="S741" s="162" t="s">
        <v>290</v>
      </c>
      <c r="T741" s="163" t="s">
        <v>164</v>
      </c>
      <c r="U741" s="164" t="s">
        <v>237</v>
      </c>
      <c r="V741" s="165" t="s">
        <v>153</v>
      </c>
      <c r="W741" s="166">
        <v>1496</v>
      </c>
      <c r="X741" s="167" t="s">
        <v>14893</v>
      </c>
      <c r="Y741" s="168" t="s">
        <v>153</v>
      </c>
      <c r="Z741" s="169" t="s">
        <v>153</v>
      </c>
      <c r="AA741" s="170">
        <v>2000</v>
      </c>
      <c r="AB741" s="171" t="s">
        <v>14894</v>
      </c>
      <c r="AC741" s="172" t="s">
        <v>153</v>
      </c>
      <c r="AD741" s="173" t="s">
        <v>153</v>
      </c>
      <c r="AE741" s="174" t="s">
        <v>153</v>
      </c>
      <c r="AF741" s="175" t="s">
        <v>153</v>
      </c>
      <c r="AG741" s="176" t="s">
        <v>153</v>
      </c>
      <c r="AH741" s="177" t="s">
        <v>153</v>
      </c>
      <c r="AI741" s="178" t="s">
        <v>153</v>
      </c>
      <c r="AJ741" s="179" t="s">
        <v>153</v>
      </c>
      <c r="AK741" s="180" t="s">
        <v>153</v>
      </c>
      <c r="AL741" s="181" t="s">
        <v>153</v>
      </c>
      <c r="AM741" s="182" t="s">
        <v>153</v>
      </c>
      <c r="AN741" s="183" t="s">
        <v>918</v>
      </c>
      <c r="AO741" s="184" t="s">
        <v>14895</v>
      </c>
      <c r="AP741" s="185" t="s">
        <v>14896</v>
      </c>
      <c r="AQ741" s="186" t="s">
        <v>14897</v>
      </c>
      <c r="AR741" s="187" t="s">
        <v>14898</v>
      </c>
      <c r="AS741" s="188" t="s">
        <v>14899</v>
      </c>
      <c r="AT741" s="189" t="s">
        <v>14900</v>
      </c>
      <c r="AU741" s="190" t="s">
        <v>14901</v>
      </c>
      <c r="AV741" s="191" t="s">
        <v>14902</v>
      </c>
      <c r="AW741" s="192" t="s">
        <v>14903</v>
      </c>
      <c r="AX741" s="193" t="s">
        <v>153</v>
      </c>
      <c r="AY741" s="194" t="s">
        <v>14904</v>
      </c>
      <c r="AZ741" s="195" t="s">
        <v>335</v>
      </c>
      <c r="BA741" s="196" t="s">
        <v>14905</v>
      </c>
      <c r="BB741" s="197" t="s">
        <v>14906</v>
      </c>
      <c r="BC741" s="198" t="s">
        <v>14907</v>
      </c>
      <c r="BD741" s="199" t="s">
        <v>180</v>
      </c>
      <c r="BE741" s="200" t="s">
        <v>181</v>
      </c>
      <c r="BF741" s="201" t="s">
        <v>14908</v>
      </c>
      <c r="BG741" s="202" t="s">
        <v>153</v>
      </c>
      <c r="BH741" s="203" t="s">
        <v>153</v>
      </c>
      <c r="BI741" s="204" t="s">
        <v>14894</v>
      </c>
      <c r="BJ741" s="205" t="s">
        <v>153</v>
      </c>
      <c r="BK741" s="206" t="s">
        <v>153</v>
      </c>
      <c r="BL741" s="207" t="s">
        <v>153</v>
      </c>
      <c r="BM741" s="208" t="s">
        <v>153</v>
      </c>
      <c r="BN741" s="209" t="s">
        <v>153</v>
      </c>
      <c r="BO741" s="210" t="s">
        <v>153</v>
      </c>
      <c r="BP741" s="211" t="s">
        <v>14909</v>
      </c>
      <c r="BQ741" s="212">
        <v>42013</v>
      </c>
      <c r="BR741" s="213">
        <v>6447.1</v>
      </c>
      <c r="BS741" s="214" t="s">
        <v>186</v>
      </c>
      <c r="BT741" s="215">
        <v>7675.12</v>
      </c>
      <c r="BU741" s="216" t="s">
        <v>187</v>
      </c>
      <c r="BV741" s="217" t="s">
        <v>226</v>
      </c>
      <c r="BW741" s="218" t="s">
        <v>153</v>
      </c>
      <c r="BX741" s="219" t="s">
        <v>153</v>
      </c>
      <c r="BY741" s="220" t="s">
        <v>225</v>
      </c>
      <c r="BZ741" s="221" t="s">
        <v>153</v>
      </c>
      <c r="CA741" s="222" t="s">
        <v>190</v>
      </c>
      <c r="CB741" s="223">
        <v>42013</v>
      </c>
      <c r="CC741" s="224">
        <v>6447.1</v>
      </c>
      <c r="CD741" s="225" t="s">
        <v>186</v>
      </c>
      <c r="CE741" s="226">
        <v>7675.12</v>
      </c>
      <c r="CF741" s="227" t="s">
        <v>187</v>
      </c>
      <c r="CG741" s="228" t="s">
        <v>226</v>
      </c>
      <c r="CH741" s="229" t="s">
        <v>153</v>
      </c>
      <c r="CI741" s="230" t="s">
        <v>153</v>
      </c>
      <c r="CJ741" s="231" t="s">
        <v>225</v>
      </c>
      <c r="CK741" s="232">
        <v>42013</v>
      </c>
      <c r="CL741" s="233" t="s">
        <v>153</v>
      </c>
      <c r="CM741" s="234" t="s">
        <v>153</v>
      </c>
      <c r="CN741" s="235" t="s">
        <v>190</v>
      </c>
      <c r="CO741" s="236" t="s">
        <v>153</v>
      </c>
      <c r="CP741" s="237" t="s">
        <v>153</v>
      </c>
      <c r="CQ741" s="238" t="s">
        <v>153</v>
      </c>
      <c r="CR741" s="239" t="s">
        <v>153</v>
      </c>
      <c r="CS741" s="240" t="s">
        <v>153</v>
      </c>
      <c r="CT741" s="241" t="s">
        <v>153</v>
      </c>
      <c r="CU741" s="242" t="s">
        <v>153</v>
      </c>
      <c r="CV741" s="243" t="s">
        <v>153</v>
      </c>
      <c r="CW741" s="244" t="s">
        <v>153</v>
      </c>
      <c r="CX741" s="245" t="s">
        <v>153</v>
      </c>
      <c r="CY741" s="246" t="s">
        <v>153</v>
      </c>
      <c r="CZ741" s="247" t="s">
        <v>153</v>
      </c>
      <c r="DA741" s="248" t="s">
        <v>153</v>
      </c>
      <c r="DB741" s="249" t="s">
        <v>153</v>
      </c>
      <c r="DC741" s="250" t="s">
        <v>153</v>
      </c>
      <c r="DD741" s="251" t="s">
        <v>153</v>
      </c>
      <c r="DE741" s="252" t="s">
        <v>153</v>
      </c>
      <c r="DF741" s="253" t="s">
        <v>153</v>
      </c>
      <c r="DG741" s="254" t="s">
        <v>153</v>
      </c>
      <c r="DH741" s="255" t="s">
        <v>153</v>
      </c>
      <c r="DI741" s="256" t="s">
        <v>153</v>
      </c>
      <c r="DJ741" s="257" t="s">
        <v>153</v>
      </c>
      <c r="DK741" s="258" t="s">
        <v>153</v>
      </c>
      <c r="DL741" s="259" t="s">
        <v>153</v>
      </c>
      <c r="DM741" s="260" t="s">
        <v>153</v>
      </c>
      <c r="DN741" s="261" t="s">
        <v>153</v>
      </c>
      <c r="DO741" s="262" t="s">
        <v>153</v>
      </c>
      <c r="DP741" s="263" t="s">
        <v>153</v>
      </c>
      <c r="DQ741" s="264" t="s">
        <v>153</v>
      </c>
      <c r="DR741" s="265" t="s">
        <v>153</v>
      </c>
      <c r="DS741" s="266" t="s">
        <v>153</v>
      </c>
      <c r="DT741" s="267" t="s">
        <v>153</v>
      </c>
      <c r="DU741" s="268" t="s">
        <v>153</v>
      </c>
      <c r="DV741" s="269" t="s">
        <v>153</v>
      </c>
      <c r="DW741" s="270" t="s">
        <v>153</v>
      </c>
      <c r="DX741" s="271" t="s">
        <v>153</v>
      </c>
      <c r="DY741" s="272" t="s">
        <v>153</v>
      </c>
      <c r="DZ741" s="273" t="s">
        <v>191</v>
      </c>
      <c r="EA741" s="274">
        <v>44257</v>
      </c>
      <c r="EB741" s="275">
        <v>7675.12</v>
      </c>
      <c r="EC741" s="276">
        <v>42013</v>
      </c>
      <c r="ED741" s="277" t="s">
        <v>226</v>
      </c>
      <c r="EE741" s="279" t="str">
        <f>HYPERLINK("https://my.pitchbook.com?c=64047-79", "View company online")</f>
        <v>View company online</v>
      </c>
    </row>
    <row r="742" spans="1:135" x14ac:dyDescent="0.45">
      <c r="A742" s="10" t="s">
        <v>14910</v>
      </c>
      <c r="B742" s="11" t="s">
        <v>14911</v>
      </c>
      <c r="C742" s="12" t="s">
        <v>153</v>
      </c>
      <c r="D742" s="13" t="s">
        <v>153</v>
      </c>
      <c r="E742" s="14" t="s">
        <v>14912</v>
      </c>
      <c r="F742" s="15" t="s">
        <v>153</v>
      </c>
      <c r="G742" s="16" t="s">
        <v>14913</v>
      </c>
      <c r="H742" s="17" t="s">
        <v>14914</v>
      </c>
      <c r="I742" s="18" t="s">
        <v>14910</v>
      </c>
      <c r="J742" s="19" t="s">
        <v>14915</v>
      </c>
      <c r="K742" s="20" t="s">
        <v>198</v>
      </c>
      <c r="L742" s="21" t="s">
        <v>1846</v>
      </c>
      <c r="M742" s="22" t="s">
        <v>1847</v>
      </c>
      <c r="N742" s="23" t="s">
        <v>14916</v>
      </c>
      <c r="O742" s="24" t="s">
        <v>1849</v>
      </c>
      <c r="P742" s="25" t="s">
        <v>14917</v>
      </c>
      <c r="Q742" s="26" t="s">
        <v>289</v>
      </c>
      <c r="R742" s="27">
        <v>480.12</v>
      </c>
      <c r="S742" s="28" t="s">
        <v>368</v>
      </c>
      <c r="T742" s="29" t="s">
        <v>164</v>
      </c>
      <c r="U742" s="30" t="s">
        <v>482</v>
      </c>
      <c r="V742" s="31" t="s">
        <v>14918</v>
      </c>
      <c r="W742" s="32">
        <v>1700</v>
      </c>
      <c r="X742" s="33" t="s">
        <v>14919</v>
      </c>
      <c r="Y742" s="34" t="s">
        <v>153</v>
      </c>
      <c r="Z742" s="35" t="s">
        <v>153</v>
      </c>
      <c r="AA742" s="36">
        <v>2006</v>
      </c>
      <c r="AB742" s="37" t="s">
        <v>2286</v>
      </c>
      <c r="AC742" s="38" t="s">
        <v>153</v>
      </c>
      <c r="AD742" s="39" t="s">
        <v>153</v>
      </c>
      <c r="AE742" s="40" t="s">
        <v>153</v>
      </c>
      <c r="AF742" s="41" t="s">
        <v>153</v>
      </c>
      <c r="AG742" s="42" t="s">
        <v>153</v>
      </c>
      <c r="AH742" s="43" t="s">
        <v>153</v>
      </c>
      <c r="AI742" s="44" t="s">
        <v>153</v>
      </c>
      <c r="AJ742" s="45" t="s">
        <v>153</v>
      </c>
      <c r="AK742" s="46" t="s">
        <v>153</v>
      </c>
      <c r="AL742" s="47" t="s">
        <v>153</v>
      </c>
      <c r="AM742" s="48" t="s">
        <v>153</v>
      </c>
      <c r="AN742" s="49" t="s">
        <v>868</v>
      </c>
      <c r="AO742" s="50" t="s">
        <v>14920</v>
      </c>
      <c r="AP742" s="51" t="s">
        <v>14921</v>
      </c>
      <c r="AQ742" s="52" t="s">
        <v>14922</v>
      </c>
      <c r="AR742" s="53" t="s">
        <v>153</v>
      </c>
      <c r="AS742" s="54" t="s">
        <v>14923</v>
      </c>
      <c r="AT742" s="55" t="s">
        <v>997</v>
      </c>
      <c r="AU742" s="56" t="s">
        <v>14924</v>
      </c>
      <c r="AV742" s="57" t="s">
        <v>153</v>
      </c>
      <c r="AW742" s="58" t="s">
        <v>999</v>
      </c>
      <c r="AX742" s="59" t="s">
        <v>308</v>
      </c>
      <c r="AY742" s="60" t="s">
        <v>2294</v>
      </c>
      <c r="AZ742" s="61" t="s">
        <v>215</v>
      </c>
      <c r="BA742" s="62" t="s">
        <v>14925</v>
      </c>
      <c r="BB742" s="63" t="s">
        <v>153</v>
      </c>
      <c r="BC742" s="64" t="s">
        <v>153</v>
      </c>
      <c r="BD742" s="65" t="s">
        <v>216</v>
      </c>
      <c r="BE742" s="66" t="s">
        <v>217</v>
      </c>
      <c r="BF742" s="67" t="s">
        <v>14926</v>
      </c>
      <c r="BG742" s="68" t="s">
        <v>153</v>
      </c>
      <c r="BH742" s="69" t="s">
        <v>153</v>
      </c>
      <c r="BI742" s="70" t="s">
        <v>2286</v>
      </c>
      <c r="BJ742" s="71" t="s">
        <v>14927</v>
      </c>
      <c r="BK742" s="72" t="s">
        <v>14928</v>
      </c>
      <c r="BL742" s="73" t="s">
        <v>153</v>
      </c>
      <c r="BM742" s="74" t="s">
        <v>14929</v>
      </c>
      <c r="BN742" s="75" t="s">
        <v>153</v>
      </c>
      <c r="BO742" s="76" t="s">
        <v>14930</v>
      </c>
      <c r="BP742" s="77" t="s">
        <v>14931</v>
      </c>
      <c r="BQ742" s="78">
        <v>38940</v>
      </c>
      <c r="BR742" s="79">
        <v>4.05</v>
      </c>
      <c r="BS742" s="80" t="s">
        <v>186</v>
      </c>
      <c r="BT742" s="81">
        <v>9.35</v>
      </c>
      <c r="BU742" s="82" t="s">
        <v>186</v>
      </c>
      <c r="BV742" s="83" t="s">
        <v>471</v>
      </c>
      <c r="BW742" s="84" t="s">
        <v>1811</v>
      </c>
      <c r="BX742" s="85" t="s">
        <v>153</v>
      </c>
      <c r="BY742" s="86" t="s">
        <v>472</v>
      </c>
      <c r="BZ742" s="87" t="s">
        <v>153</v>
      </c>
      <c r="CA742" s="88" t="s">
        <v>190</v>
      </c>
      <c r="CB742" s="89">
        <v>43222</v>
      </c>
      <c r="CC742" s="90">
        <v>6425</v>
      </c>
      <c r="CD742" s="91" t="s">
        <v>186</v>
      </c>
      <c r="CE742" s="92">
        <v>6425</v>
      </c>
      <c r="CF742" s="93" t="s">
        <v>187</v>
      </c>
      <c r="CG742" s="94" t="s">
        <v>226</v>
      </c>
      <c r="CH742" s="95" t="s">
        <v>153</v>
      </c>
      <c r="CI742" s="96" t="s">
        <v>153</v>
      </c>
      <c r="CJ742" s="97" t="s">
        <v>225</v>
      </c>
      <c r="CK742" s="98">
        <v>43222</v>
      </c>
      <c r="CL742" s="99" t="s">
        <v>153</v>
      </c>
      <c r="CM742" s="100" t="s">
        <v>153</v>
      </c>
      <c r="CN742" s="101" t="s">
        <v>190</v>
      </c>
      <c r="CO742" s="102" t="s">
        <v>153</v>
      </c>
      <c r="CP742" s="103" t="s">
        <v>153</v>
      </c>
      <c r="CQ742" s="104" t="s">
        <v>153</v>
      </c>
      <c r="CR742" s="105" t="s">
        <v>153</v>
      </c>
      <c r="CS742" s="106" t="s">
        <v>153</v>
      </c>
      <c r="CT742" s="107" t="s">
        <v>153</v>
      </c>
      <c r="CU742" s="108" t="s">
        <v>153</v>
      </c>
      <c r="CV742" s="109" t="s">
        <v>153</v>
      </c>
      <c r="CW742" s="110" t="s">
        <v>153</v>
      </c>
      <c r="CX742" s="111" t="s">
        <v>153</v>
      </c>
      <c r="CY742" s="112" t="s">
        <v>153</v>
      </c>
      <c r="CZ742" s="113" t="s">
        <v>153</v>
      </c>
      <c r="DA742" s="114" t="s">
        <v>153</v>
      </c>
      <c r="DB742" s="115" t="s">
        <v>153</v>
      </c>
      <c r="DC742" s="116" t="s">
        <v>153</v>
      </c>
      <c r="DD742" s="117" t="s">
        <v>153</v>
      </c>
      <c r="DE742" s="118" t="s">
        <v>153</v>
      </c>
      <c r="DF742" s="119" t="s">
        <v>153</v>
      </c>
      <c r="DG742" s="120" t="s">
        <v>153</v>
      </c>
      <c r="DH742" s="121" t="s">
        <v>153</v>
      </c>
      <c r="DI742" s="122" t="s">
        <v>153</v>
      </c>
      <c r="DJ742" s="123" t="s">
        <v>153</v>
      </c>
      <c r="DK742" s="124" t="s">
        <v>153</v>
      </c>
      <c r="DL742" s="125" t="s">
        <v>153</v>
      </c>
      <c r="DM742" s="126" t="s">
        <v>153</v>
      </c>
      <c r="DN742" s="127" t="s">
        <v>153</v>
      </c>
      <c r="DO742" s="128" t="s">
        <v>153</v>
      </c>
      <c r="DP742" s="129" t="s">
        <v>153</v>
      </c>
      <c r="DQ742" s="130" t="s">
        <v>153</v>
      </c>
      <c r="DR742" s="131" t="s">
        <v>153</v>
      </c>
      <c r="DS742" s="132" t="s">
        <v>153</v>
      </c>
      <c r="DT742" s="133" t="s">
        <v>153</v>
      </c>
      <c r="DU742" s="134" t="s">
        <v>153</v>
      </c>
      <c r="DV742" s="135" t="s">
        <v>153</v>
      </c>
      <c r="DW742" s="136" t="s">
        <v>153</v>
      </c>
      <c r="DX742" s="137" t="s">
        <v>153</v>
      </c>
      <c r="DY742" s="138" t="s">
        <v>153</v>
      </c>
      <c r="DZ742" s="139" t="s">
        <v>191</v>
      </c>
      <c r="EA742" s="140">
        <v>44319</v>
      </c>
      <c r="EB742" s="141">
        <v>6425</v>
      </c>
      <c r="EC742" s="142">
        <v>43222</v>
      </c>
      <c r="ED742" s="143" t="s">
        <v>226</v>
      </c>
      <c r="EE742" s="278" t="str">
        <f>HYPERLINK("https://my.pitchbook.com?c=42708-25", "View company online")</f>
        <v>View company online</v>
      </c>
    </row>
    <row r="743" spans="1:135" x14ac:dyDescent="0.45">
      <c r="A743" s="144" t="s">
        <v>14932</v>
      </c>
      <c r="B743" s="145" t="s">
        <v>14933</v>
      </c>
      <c r="C743" s="146" t="s">
        <v>153</v>
      </c>
      <c r="D743" s="147" t="s">
        <v>153</v>
      </c>
      <c r="E743" s="148" t="s">
        <v>153</v>
      </c>
      <c r="F743" s="149" t="s">
        <v>14934</v>
      </c>
      <c r="G743" s="150" t="s">
        <v>14935</v>
      </c>
      <c r="H743" s="151" t="s">
        <v>153</v>
      </c>
      <c r="I743" s="152" t="s">
        <v>14932</v>
      </c>
      <c r="J743" s="153" t="s">
        <v>14936</v>
      </c>
      <c r="K743" s="154" t="s">
        <v>157</v>
      </c>
      <c r="L743" s="155" t="s">
        <v>158</v>
      </c>
      <c r="M743" s="156" t="s">
        <v>159</v>
      </c>
      <c r="N743" s="157" t="s">
        <v>3093</v>
      </c>
      <c r="O743" s="158" t="s">
        <v>153</v>
      </c>
      <c r="P743" s="159" t="s">
        <v>14937</v>
      </c>
      <c r="Q743" s="160" t="s">
        <v>204</v>
      </c>
      <c r="R743" s="161">
        <v>110.82</v>
      </c>
      <c r="S743" s="162" t="s">
        <v>163</v>
      </c>
      <c r="T743" s="163" t="s">
        <v>164</v>
      </c>
      <c r="U743" s="164" t="s">
        <v>5334</v>
      </c>
      <c r="V743" s="165" t="s">
        <v>14938</v>
      </c>
      <c r="W743" s="166">
        <v>20</v>
      </c>
      <c r="X743" s="167" t="s">
        <v>14939</v>
      </c>
      <c r="Y743" s="168" t="s">
        <v>153</v>
      </c>
      <c r="Z743" s="169" t="s">
        <v>153</v>
      </c>
      <c r="AA743" s="170">
        <v>2004</v>
      </c>
      <c r="AB743" s="171" t="s">
        <v>14940</v>
      </c>
      <c r="AC743" s="172" t="s">
        <v>153</v>
      </c>
      <c r="AD743" s="173" t="s">
        <v>428</v>
      </c>
      <c r="AE743" s="174">
        <v>11.48</v>
      </c>
      <c r="AF743" s="175" t="s">
        <v>153</v>
      </c>
      <c r="AG743" s="176" t="s">
        <v>153</v>
      </c>
      <c r="AH743" s="177" t="s">
        <v>153</v>
      </c>
      <c r="AI743" s="178">
        <v>4.8499999999999996</v>
      </c>
      <c r="AJ743" s="179">
        <v>4.6399999999999997</v>
      </c>
      <c r="AK743" s="180" t="s">
        <v>153</v>
      </c>
      <c r="AL743" s="181">
        <v>0</v>
      </c>
      <c r="AM743" s="182">
        <v>-9.85</v>
      </c>
      <c r="AN743" s="183" t="s">
        <v>168</v>
      </c>
      <c r="AO743" s="184" t="s">
        <v>14941</v>
      </c>
      <c r="AP743" s="185" t="s">
        <v>14942</v>
      </c>
      <c r="AQ743" s="186" t="s">
        <v>14943</v>
      </c>
      <c r="AR743" s="187" t="s">
        <v>153</v>
      </c>
      <c r="AS743" s="188" t="s">
        <v>14944</v>
      </c>
      <c r="AT743" s="189" t="s">
        <v>1071</v>
      </c>
      <c r="AU743" s="190" t="s">
        <v>14945</v>
      </c>
      <c r="AV743" s="191" t="s">
        <v>153</v>
      </c>
      <c r="AW743" s="192" t="s">
        <v>1074</v>
      </c>
      <c r="AX743" s="193" t="s">
        <v>177</v>
      </c>
      <c r="AY743" s="194" t="s">
        <v>14946</v>
      </c>
      <c r="AZ743" s="195" t="s">
        <v>179</v>
      </c>
      <c r="BA743" s="196" t="s">
        <v>14944</v>
      </c>
      <c r="BB743" s="197" t="s">
        <v>14947</v>
      </c>
      <c r="BC743" s="198" t="s">
        <v>14948</v>
      </c>
      <c r="BD743" s="199" t="s">
        <v>180</v>
      </c>
      <c r="BE743" s="200" t="s">
        <v>181</v>
      </c>
      <c r="BF743" s="201" t="s">
        <v>14949</v>
      </c>
      <c r="BG743" s="202" t="s">
        <v>12751</v>
      </c>
      <c r="BH743" s="203">
        <v>1</v>
      </c>
      <c r="BI743" s="204" t="s">
        <v>14940</v>
      </c>
      <c r="BJ743" s="205" t="s">
        <v>153</v>
      </c>
      <c r="BK743" s="206" t="s">
        <v>153</v>
      </c>
      <c r="BL743" s="207" t="s">
        <v>12753</v>
      </c>
      <c r="BM743" s="208" t="s">
        <v>153</v>
      </c>
      <c r="BN743" s="209" t="s">
        <v>153</v>
      </c>
      <c r="BO743" s="210" t="s">
        <v>14950</v>
      </c>
      <c r="BP743" s="211" t="s">
        <v>7970</v>
      </c>
      <c r="BQ743" s="212">
        <v>41584</v>
      </c>
      <c r="BR743" s="213">
        <v>110.82</v>
      </c>
      <c r="BS743" s="214" t="s">
        <v>186</v>
      </c>
      <c r="BT743" s="215" t="s">
        <v>153</v>
      </c>
      <c r="BU743" s="216" t="s">
        <v>153</v>
      </c>
      <c r="BV743" s="217" t="s">
        <v>13701</v>
      </c>
      <c r="BW743" s="218" t="s">
        <v>153</v>
      </c>
      <c r="BX743" s="219" t="s">
        <v>153</v>
      </c>
      <c r="BY743" s="220" t="s">
        <v>4290</v>
      </c>
      <c r="BZ743" s="221" t="s">
        <v>153</v>
      </c>
      <c r="CA743" s="222" t="s">
        <v>190</v>
      </c>
      <c r="CB743" s="223">
        <v>41851</v>
      </c>
      <c r="CC743" s="224">
        <v>6420</v>
      </c>
      <c r="CD743" s="225" t="s">
        <v>186</v>
      </c>
      <c r="CE743" s="226">
        <v>8560</v>
      </c>
      <c r="CF743" s="227" t="s">
        <v>187</v>
      </c>
      <c r="CG743" s="228" t="s">
        <v>226</v>
      </c>
      <c r="CH743" s="229" t="s">
        <v>153</v>
      </c>
      <c r="CI743" s="230" t="s">
        <v>153</v>
      </c>
      <c r="CJ743" s="231" t="s">
        <v>225</v>
      </c>
      <c r="CK743" s="232">
        <v>41851</v>
      </c>
      <c r="CL743" s="233" t="s">
        <v>153</v>
      </c>
      <c r="CM743" s="234" t="s">
        <v>153</v>
      </c>
      <c r="CN743" s="235" t="s">
        <v>190</v>
      </c>
      <c r="CO743" s="236">
        <v>0</v>
      </c>
      <c r="CP743" s="237">
        <v>11</v>
      </c>
      <c r="CQ743" s="238">
        <v>0</v>
      </c>
      <c r="CR743" s="239">
        <v>0</v>
      </c>
      <c r="CS743" s="240">
        <v>0</v>
      </c>
      <c r="CT743" s="241">
        <v>8</v>
      </c>
      <c r="CU743" s="242" t="s">
        <v>153</v>
      </c>
      <c r="CV743" s="243" t="s">
        <v>153</v>
      </c>
      <c r="CW743" s="244" t="s">
        <v>153</v>
      </c>
      <c r="CX743" s="245" t="s">
        <v>153</v>
      </c>
      <c r="CY743" s="246">
        <v>0</v>
      </c>
      <c r="CZ743" s="247">
        <v>5</v>
      </c>
      <c r="DA743" s="248" t="s">
        <v>153</v>
      </c>
      <c r="DB743" s="249" t="s">
        <v>153</v>
      </c>
      <c r="DC743" s="250">
        <v>2.94</v>
      </c>
      <c r="DD743" s="251">
        <v>76</v>
      </c>
      <c r="DE743" s="252">
        <v>0</v>
      </c>
      <c r="DF743" s="253">
        <v>0</v>
      </c>
      <c r="DG743" s="254">
        <v>2.94</v>
      </c>
      <c r="DH743" s="255">
        <v>75</v>
      </c>
      <c r="DI743" s="256" t="s">
        <v>153</v>
      </c>
      <c r="DJ743" s="257" t="s">
        <v>153</v>
      </c>
      <c r="DK743" s="258" t="s">
        <v>153</v>
      </c>
      <c r="DL743" s="259" t="s">
        <v>153</v>
      </c>
      <c r="DM743" s="260">
        <v>2.94</v>
      </c>
      <c r="DN743" s="261">
        <v>74</v>
      </c>
      <c r="DO743" s="262" t="s">
        <v>153</v>
      </c>
      <c r="DP743" s="263" t="s">
        <v>153</v>
      </c>
      <c r="DQ743" s="264" t="s">
        <v>153</v>
      </c>
      <c r="DR743" s="265" t="s">
        <v>153</v>
      </c>
      <c r="DS743" s="266" t="s">
        <v>153</v>
      </c>
      <c r="DT743" s="267">
        <v>47</v>
      </c>
      <c r="DU743" s="268">
        <v>0</v>
      </c>
      <c r="DV743" s="269">
        <v>0</v>
      </c>
      <c r="DW743" s="270" t="s">
        <v>153</v>
      </c>
      <c r="DX743" s="271" t="s">
        <v>153</v>
      </c>
      <c r="DY743" s="272" t="s">
        <v>153</v>
      </c>
      <c r="DZ743" s="273" t="s">
        <v>191</v>
      </c>
      <c r="EA743" s="274">
        <v>44329</v>
      </c>
      <c r="EB743" s="275">
        <v>8560</v>
      </c>
      <c r="EC743" s="276">
        <v>41851</v>
      </c>
      <c r="ED743" s="277" t="s">
        <v>226</v>
      </c>
      <c r="EE743" s="279" t="str">
        <f>HYPERLINK("https://my.pitchbook.com?c=51464-80", "View company online")</f>
        <v>View company online</v>
      </c>
    </row>
    <row r="744" spans="1:135" x14ac:dyDescent="0.45">
      <c r="A744" s="10" t="s">
        <v>14951</v>
      </c>
      <c r="B744" s="11" t="s">
        <v>14952</v>
      </c>
      <c r="C744" s="12" t="s">
        <v>153</v>
      </c>
      <c r="D744" s="13" t="s">
        <v>153</v>
      </c>
      <c r="E744" s="14" t="s">
        <v>153</v>
      </c>
      <c r="F744" s="15" t="s">
        <v>153</v>
      </c>
      <c r="G744" s="16" t="s">
        <v>153</v>
      </c>
      <c r="H744" s="17" t="s">
        <v>153</v>
      </c>
      <c r="I744" s="18" t="s">
        <v>14951</v>
      </c>
      <c r="J744" s="19" t="s">
        <v>14953</v>
      </c>
      <c r="K744" s="20" t="s">
        <v>198</v>
      </c>
      <c r="L744" s="21" t="s">
        <v>984</v>
      </c>
      <c r="M744" s="22" t="s">
        <v>14954</v>
      </c>
      <c r="N744" s="23" t="s">
        <v>14955</v>
      </c>
      <c r="O744" s="24" t="s">
        <v>399</v>
      </c>
      <c r="P744" s="25" t="s">
        <v>14956</v>
      </c>
      <c r="Q744" s="26" t="s">
        <v>204</v>
      </c>
      <c r="R744" s="27" t="s">
        <v>153</v>
      </c>
      <c r="S744" s="28" t="s">
        <v>163</v>
      </c>
      <c r="T744" s="29" t="s">
        <v>205</v>
      </c>
      <c r="U744" s="30" t="s">
        <v>206</v>
      </c>
      <c r="V744" s="31" t="s">
        <v>153</v>
      </c>
      <c r="W744" s="32" t="s">
        <v>153</v>
      </c>
      <c r="X744" s="33" t="s">
        <v>153</v>
      </c>
      <c r="Y744" s="34" t="s">
        <v>153</v>
      </c>
      <c r="Z744" s="35" t="s">
        <v>153</v>
      </c>
      <c r="AA744" s="36" t="s">
        <v>153</v>
      </c>
      <c r="AB744" s="37" t="s">
        <v>153</v>
      </c>
      <c r="AC744" s="38" t="s">
        <v>153</v>
      </c>
      <c r="AD744" s="39" t="s">
        <v>153</v>
      </c>
      <c r="AE744" s="40" t="s">
        <v>153</v>
      </c>
      <c r="AF744" s="41" t="s">
        <v>153</v>
      </c>
      <c r="AG744" s="42" t="s">
        <v>153</v>
      </c>
      <c r="AH744" s="43" t="s">
        <v>153</v>
      </c>
      <c r="AI744" s="44" t="s">
        <v>153</v>
      </c>
      <c r="AJ744" s="45" t="s">
        <v>153</v>
      </c>
      <c r="AK744" s="46" t="s">
        <v>153</v>
      </c>
      <c r="AL744" s="47" t="s">
        <v>153</v>
      </c>
      <c r="AM744" s="48" t="s">
        <v>153</v>
      </c>
      <c r="AN744" s="49" t="s">
        <v>153</v>
      </c>
      <c r="AO744" s="50" t="s">
        <v>153</v>
      </c>
      <c r="AP744" s="51" t="s">
        <v>153</v>
      </c>
      <c r="AQ744" s="52" t="s">
        <v>153</v>
      </c>
      <c r="AR744" s="53" t="s">
        <v>153</v>
      </c>
      <c r="AS744" s="54" t="s">
        <v>153</v>
      </c>
      <c r="AT744" s="55" t="s">
        <v>1519</v>
      </c>
      <c r="AU744" s="56" t="s">
        <v>153</v>
      </c>
      <c r="AV744" s="57" t="s">
        <v>153</v>
      </c>
      <c r="AW744" s="58" t="s">
        <v>153</v>
      </c>
      <c r="AX744" s="59" t="s">
        <v>153</v>
      </c>
      <c r="AY744" s="60" t="s">
        <v>153</v>
      </c>
      <c r="AZ744" s="61" t="s">
        <v>1519</v>
      </c>
      <c r="BA744" s="62" t="s">
        <v>153</v>
      </c>
      <c r="BB744" s="63" t="s">
        <v>153</v>
      </c>
      <c r="BC744" s="64" t="s">
        <v>153</v>
      </c>
      <c r="BD744" s="65" t="s">
        <v>1406</v>
      </c>
      <c r="BE744" s="66" t="s">
        <v>1407</v>
      </c>
      <c r="BF744" s="67" t="s">
        <v>14957</v>
      </c>
      <c r="BG744" s="68" t="s">
        <v>153</v>
      </c>
      <c r="BH744" s="69" t="s">
        <v>153</v>
      </c>
      <c r="BI744" s="70" t="s">
        <v>12053</v>
      </c>
      <c r="BJ744" s="71" t="s">
        <v>153</v>
      </c>
      <c r="BK744" s="72" t="s">
        <v>153</v>
      </c>
      <c r="BL744" s="73" t="s">
        <v>153</v>
      </c>
      <c r="BM744" s="74" t="s">
        <v>153</v>
      </c>
      <c r="BN744" s="75" t="s">
        <v>153</v>
      </c>
      <c r="BO744" s="76" t="s">
        <v>153</v>
      </c>
      <c r="BP744" s="77" t="s">
        <v>153</v>
      </c>
      <c r="BQ744" s="78">
        <v>42736</v>
      </c>
      <c r="BR744" s="79">
        <v>6400</v>
      </c>
      <c r="BS744" s="80" t="s">
        <v>186</v>
      </c>
      <c r="BT744" s="81">
        <v>6400</v>
      </c>
      <c r="BU744" s="82" t="s">
        <v>186</v>
      </c>
      <c r="BV744" s="83" t="s">
        <v>226</v>
      </c>
      <c r="BW744" s="84" t="s">
        <v>153</v>
      </c>
      <c r="BX744" s="85" t="s">
        <v>153</v>
      </c>
      <c r="BY744" s="86" t="s">
        <v>225</v>
      </c>
      <c r="BZ744" s="87" t="s">
        <v>153</v>
      </c>
      <c r="CA744" s="88" t="s">
        <v>190</v>
      </c>
      <c r="CB744" s="89">
        <v>42736</v>
      </c>
      <c r="CC744" s="90">
        <v>6400</v>
      </c>
      <c r="CD744" s="91" t="s">
        <v>186</v>
      </c>
      <c r="CE744" s="92">
        <v>6400</v>
      </c>
      <c r="CF744" s="93" t="s">
        <v>186</v>
      </c>
      <c r="CG744" s="94" t="s">
        <v>226</v>
      </c>
      <c r="CH744" s="95" t="s">
        <v>153</v>
      </c>
      <c r="CI744" s="96" t="s">
        <v>153</v>
      </c>
      <c r="CJ744" s="97" t="s">
        <v>225</v>
      </c>
      <c r="CK744" s="98">
        <v>42736</v>
      </c>
      <c r="CL744" s="99" t="s">
        <v>153</v>
      </c>
      <c r="CM744" s="100" t="s">
        <v>153</v>
      </c>
      <c r="CN744" s="101" t="s">
        <v>190</v>
      </c>
      <c r="CO744" s="102" t="s">
        <v>153</v>
      </c>
      <c r="CP744" s="103" t="s">
        <v>153</v>
      </c>
      <c r="CQ744" s="104" t="s">
        <v>153</v>
      </c>
      <c r="CR744" s="105" t="s">
        <v>153</v>
      </c>
      <c r="CS744" s="106" t="s">
        <v>153</v>
      </c>
      <c r="CT744" s="107" t="s">
        <v>153</v>
      </c>
      <c r="CU744" s="108" t="s">
        <v>153</v>
      </c>
      <c r="CV744" s="109" t="s">
        <v>153</v>
      </c>
      <c r="CW744" s="110" t="s">
        <v>153</v>
      </c>
      <c r="CX744" s="111" t="s">
        <v>153</v>
      </c>
      <c r="CY744" s="112" t="s">
        <v>153</v>
      </c>
      <c r="CZ744" s="113" t="s">
        <v>153</v>
      </c>
      <c r="DA744" s="114" t="s">
        <v>153</v>
      </c>
      <c r="DB744" s="115" t="s">
        <v>153</v>
      </c>
      <c r="DC744" s="116" t="s">
        <v>153</v>
      </c>
      <c r="DD744" s="117" t="s">
        <v>153</v>
      </c>
      <c r="DE744" s="118" t="s">
        <v>153</v>
      </c>
      <c r="DF744" s="119" t="s">
        <v>153</v>
      </c>
      <c r="DG744" s="120" t="s">
        <v>153</v>
      </c>
      <c r="DH744" s="121" t="s">
        <v>153</v>
      </c>
      <c r="DI744" s="122" t="s">
        <v>153</v>
      </c>
      <c r="DJ744" s="123" t="s">
        <v>153</v>
      </c>
      <c r="DK744" s="124" t="s">
        <v>153</v>
      </c>
      <c r="DL744" s="125" t="s">
        <v>153</v>
      </c>
      <c r="DM744" s="126" t="s">
        <v>153</v>
      </c>
      <c r="DN744" s="127" t="s">
        <v>153</v>
      </c>
      <c r="DO744" s="128" t="s">
        <v>153</v>
      </c>
      <c r="DP744" s="129" t="s">
        <v>153</v>
      </c>
      <c r="DQ744" s="130" t="s">
        <v>153</v>
      </c>
      <c r="DR744" s="131" t="s">
        <v>153</v>
      </c>
      <c r="DS744" s="132" t="s">
        <v>153</v>
      </c>
      <c r="DT744" s="133" t="s">
        <v>153</v>
      </c>
      <c r="DU744" s="134" t="s">
        <v>153</v>
      </c>
      <c r="DV744" s="135" t="s">
        <v>153</v>
      </c>
      <c r="DW744" s="136" t="s">
        <v>153</v>
      </c>
      <c r="DX744" s="137" t="s">
        <v>153</v>
      </c>
      <c r="DY744" s="138" t="s">
        <v>153</v>
      </c>
      <c r="DZ744" s="139" t="s">
        <v>191</v>
      </c>
      <c r="EA744" s="140">
        <v>43755</v>
      </c>
      <c r="EB744" s="141">
        <v>6400</v>
      </c>
      <c r="EC744" s="142">
        <v>42736</v>
      </c>
      <c r="ED744" s="143" t="s">
        <v>226</v>
      </c>
      <c r="EE744" s="278" t="str">
        <f>HYPERLINK("https://my.pitchbook.com?c=225853-48", "View company online")</f>
        <v>View company online</v>
      </c>
    </row>
    <row r="745" spans="1:135" x14ac:dyDescent="0.45">
      <c r="A745" s="144" t="s">
        <v>14958</v>
      </c>
      <c r="B745" s="145" t="s">
        <v>14959</v>
      </c>
      <c r="C745" s="146" t="s">
        <v>153</v>
      </c>
      <c r="D745" s="147" t="s">
        <v>153</v>
      </c>
      <c r="E745" s="148" t="s">
        <v>153</v>
      </c>
      <c r="F745" s="149" t="s">
        <v>153</v>
      </c>
      <c r="G745" s="150" t="s">
        <v>14960</v>
      </c>
      <c r="H745" s="151" t="s">
        <v>14961</v>
      </c>
      <c r="I745" s="152" t="s">
        <v>14958</v>
      </c>
      <c r="J745" s="153" t="s">
        <v>14962</v>
      </c>
      <c r="K745" s="154" t="s">
        <v>257</v>
      </c>
      <c r="L745" s="155" t="s">
        <v>478</v>
      </c>
      <c r="M745" s="156" t="s">
        <v>2670</v>
      </c>
      <c r="N745" s="157" t="s">
        <v>14963</v>
      </c>
      <c r="O745" s="158" t="s">
        <v>755</v>
      </c>
      <c r="P745" s="159" t="s">
        <v>14964</v>
      </c>
      <c r="Q745" s="160" t="s">
        <v>204</v>
      </c>
      <c r="R745" s="161" t="s">
        <v>153</v>
      </c>
      <c r="S745" s="162" t="s">
        <v>163</v>
      </c>
      <c r="T745" s="163" t="s">
        <v>205</v>
      </c>
      <c r="U745" s="164" t="s">
        <v>482</v>
      </c>
      <c r="V745" s="165" t="s">
        <v>153</v>
      </c>
      <c r="W745" s="166">
        <v>5160</v>
      </c>
      <c r="X745" s="167" t="s">
        <v>14965</v>
      </c>
      <c r="Y745" s="168" t="s">
        <v>153</v>
      </c>
      <c r="Z745" s="169" t="s">
        <v>153</v>
      </c>
      <c r="AA745" s="170">
        <v>1981</v>
      </c>
      <c r="AB745" s="171" t="s">
        <v>153</v>
      </c>
      <c r="AC745" s="172" t="s">
        <v>153</v>
      </c>
      <c r="AD745" s="173" t="s">
        <v>153</v>
      </c>
      <c r="AE745" s="174" t="s">
        <v>153</v>
      </c>
      <c r="AF745" s="175" t="s">
        <v>153</v>
      </c>
      <c r="AG745" s="176" t="s">
        <v>153</v>
      </c>
      <c r="AH745" s="177" t="s">
        <v>153</v>
      </c>
      <c r="AI745" s="178" t="s">
        <v>153</v>
      </c>
      <c r="AJ745" s="179" t="s">
        <v>153</v>
      </c>
      <c r="AK745" s="180" t="s">
        <v>153</v>
      </c>
      <c r="AL745" s="181" t="s">
        <v>153</v>
      </c>
      <c r="AM745" s="182" t="s">
        <v>153</v>
      </c>
      <c r="AN745" s="183" t="s">
        <v>14966</v>
      </c>
      <c r="AO745" s="184" t="s">
        <v>153</v>
      </c>
      <c r="AP745" s="185" t="s">
        <v>153</v>
      </c>
      <c r="AQ745" s="186" t="s">
        <v>153</v>
      </c>
      <c r="AR745" s="187" t="s">
        <v>153</v>
      </c>
      <c r="AS745" s="188" t="s">
        <v>153</v>
      </c>
      <c r="AT745" s="189" t="s">
        <v>14967</v>
      </c>
      <c r="AU745" s="190" t="s">
        <v>14968</v>
      </c>
      <c r="AV745" s="191" t="s">
        <v>153</v>
      </c>
      <c r="AW745" s="192" t="s">
        <v>14969</v>
      </c>
      <c r="AX745" s="193" t="s">
        <v>308</v>
      </c>
      <c r="AY745" s="194" t="s">
        <v>14970</v>
      </c>
      <c r="AZ745" s="195" t="s">
        <v>215</v>
      </c>
      <c r="BA745" s="196" t="s">
        <v>153</v>
      </c>
      <c r="BB745" s="197" t="s">
        <v>153</v>
      </c>
      <c r="BC745" s="198" t="s">
        <v>153</v>
      </c>
      <c r="BD745" s="199" t="s">
        <v>216</v>
      </c>
      <c r="BE745" s="200" t="s">
        <v>217</v>
      </c>
      <c r="BF745" s="201" t="s">
        <v>14971</v>
      </c>
      <c r="BG745" s="202" t="s">
        <v>153</v>
      </c>
      <c r="BH745" s="203" t="s">
        <v>153</v>
      </c>
      <c r="BI745" s="204" t="s">
        <v>5077</v>
      </c>
      <c r="BJ745" s="205" t="s">
        <v>14972</v>
      </c>
      <c r="BK745" s="206" t="s">
        <v>153</v>
      </c>
      <c r="BL745" s="207" t="s">
        <v>153</v>
      </c>
      <c r="BM745" s="208" t="s">
        <v>14973</v>
      </c>
      <c r="BN745" s="209" t="s">
        <v>153</v>
      </c>
      <c r="BO745" s="210" t="s">
        <v>14974</v>
      </c>
      <c r="BP745" s="211" t="s">
        <v>14975</v>
      </c>
      <c r="BQ745" s="212" t="s">
        <v>153</v>
      </c>
      <c r="BR745" s="213" t="s">
        <v>153</v>
      </c>
      <c r="BS745" s="214" t="s">
        <v>153</v>
      </c>
      <c r="BT745" s="215" t="s">
        <v>153</v>
      </c>
      <c r="BU745" s="216" t="s">
        <v>153</v>
      </c>
      <c r="BV745" s="217" t="s">
        <v>471</v>
      </c>
      <c r="BW745" s="218" t="s">
        <v>153</v>
      </c>
      <c r="BX745" s="219" t="s">
        <v>153</v>
      </c>
      <c r="BY745" s="220" t="s">
        <v>472</v>
      </c>
      <c r="BZ745" s="221" t="s">
        <v>153</v>
      </c>
      <c r="CA745" s="222" t="s">
        <v>190</v>
      </c>
      <c r="CB745" s="223">
        <v>39773</v>
      </c>
      <c r="CC745" s="224">
        <v>6400</v>
      </c>
      <c r="CD745" s="225" t="s">
        <v>186</v>
      </c>
      <c r="CE745" s="226">
        <v>6400</v>
      </c>
      <c r="CF745" s="227" t="s">
        <v>186</v>
      </c>
      <c r="CG745" s="228" t="s">
        <v>226</v>
      </c>
      <c r="CH745" s="229" t="s">
        <v>729</v>
      </c>
      <c r="CI745" s="230" t="s">
        <v>153</v>
      </c>
      <c r="CJ745" s="231" t="s">
        <v>225</v>
      </c>
      <c r="CK745" s="232">
        <v>39773</v>
      </c>
      <c r="CL745" s="233" t="s">
        <v>153</v>
      </c>
      <c r="CM745" s="234" t="s">
        <v>1607</v>
      </c>
      <c r="CN745" s="235" t="s">
        <v>190</v>
      </c>
      <c r="CO745" s="236" t="s">
        <v>153</v>
      </c>
      <c r="CP745" s="237" t="s">
        <v>153</v>
      </c>
      <c r="CQ745" s="238" t="s">
        <v>153</v>
      </c>
      <c r="CR745" s="239" t="s">
        <v>153</v>
      </c>
      <c r="CS745" s="240" t="s">
        <v>153</v>
      </c>
      <c r="CT745" s="241" t="s">
        <v>153</v>
      </c>
      <c r="CU745" s="242" t="s">
        <v>153</v>
      </c>
      <c r="CV745" s="243" t="s">
        <v>153</v>
      </c>
      <c r="CW745" s="244" t="s">
        <v>153</v>
      </c>
      <c r="CX745" s="245" t="s">
        <v>153</v>
      </c>
      <c r="CY745" s="246" t="s">
        <v>153</v>
      </c>
      <c r="CZ745" s="247" t="s">
        <v>153</v>
      </c>
      <c r="DA745" s="248" t="s">
        <v>153</v>
      </c>
      <c r="DB745" s="249" t="s">
        <v>153</v>
      </c>
      <c r="DC745" s="250" t="s">
        <v>153</v>
      </c>
      <c r="DD745" s="251" t="s">
        <v>153</v>
      </c>
      <c r="DE745" s="252" t="s">
        <v>153</v>
      </c>
      <c r="DF745" s="253" t="s">
        <v>153</v>
      </c>
      <c r="DG745" s="254" t="s">
        <v>153</v>
      </c>
      <c r="DH745" s="255" t="s">
        <v>153</v>
      </c>
      <c r="DI745" s="256" t="s">
        <v>153</v>
      </c>
      <c r="DJ745" s="257" t="s">
        <v>153</v>
      </c>
      <c r="DK745" s="258" t="s">
        <v>153</v>
      </c>
      <c r="DL745" s="259" t="s">
        <v>153</v>
      </c>
      <c r="DM745" s="260" t="s">
        <v>153</v>
      </c>
      <c r="DN745" s="261" t="s">
        <v>153</v>
      </c>
      <c r="DO745" s="262" t="s">
        <v>153</v>
      </c>
      <c r="DP745" s="263" t="s">
        <v>153</v>
      </c>
      <c r="DQ745" s="264" t="s">
        <v>153</v>
      </c>
      <c r="DR745" s="265" t="s">
        <v>153</v>
      </c>
      <c r="DS745" s="266" t="s">
        <v>153</v>
      </c>
      <c r="DT745" s="267" t="s">
        <v>153</v>
      </c>
      <c r="DU745" s="268" t="s">
        <v>153</v>
      </c>
      <c r="DV745" s="269" t="s">
        <v>153</v>
      </c>
      <c r="DW745" s="270" t="s">
        <v>153</v>
      </c>
      <c r="DX745" s="271" t="s">
        <v>153</v>
      </c>
      <c r="DY745" s="272" t="s">
        <v>153</v>
      </c>
      <c r="DZ745" s="273" t="s">
        <v>191</v>
      </c>
      <c r="EA745" s="274">
        <v>44231</v>
      </c>
      <c r="EB745" s="275">
        <v>6400</v>
      </c>
      <c r="EC745" s="276">
        <v>39773</v>
      </c>
      <c r="ED745" s="277" t="s">
        <v>226</v>
      </c>
      <c r="EE745" s="279" t="str">
        <f>HYPERLINK("https://my.pitchbook.com?c=41158-27", "View company online")</f>
        <v>View company online</v>
      </c>
    </row>
    <row r="746" spans="1:135" x14ac:dyDescent="0.45">
      <c r="A746" s="10" t="s">
        <v>14976</v>
      </c>
      <c r="B746" s="11" t="s">
        <v>14977</v>
      </c>
      <c r="C746" s="12" t="s">
        <v>153</v>
      </c>
      <c r="D746" s="13" t="s">
        <v>153</v>
      </c>
      <c r="E746" s="14" t="s">
        <v>153</v>
      </c>
      <c r="F746" s="15" t="s">
        <v>14978</v>
      </c>
      <c r="G746" s="16" t="s">
        <v>14979</v>
      </c>
      <c r="H746" s="17" t="s">
        <v>14980</v>
      </c>
      <c r="I746" s="18" t="s">
        <v>14976</v>
      </c>
      <c r="J746" s="19" t="s">
        <v>14981</v>
      </c>
      <c r="K746" s="20" t="s">
        <v>559</v>
      </c>
      <c r="L746" s="21" t="s">
        <v>560</v>
      </c>
      <c r="M746" s="22" t="s">
        <v>4639</v>
      </c>
      <c r="N746" s="23" t="s">
        <v>14982</v>
      </c>
      <c r="O746" s="24" t="s">
        <v>261</v>
      </c>
      <c r="P746" s="25" t="s">
        <v>153</v>
      </c>
      <c r="Q746" s="26" t="s">
        <v>204</v>
      </c>
      <c r="R746" s="27" t="s">
        <v>153</v>
      </c>
      <c r="S746" s="28" t="s">
        <v>290</v>
      </c>
      <c r="T746" s="29" t="s">
        <v>205</v>
      </c>
      <c r="U746" s="30" t="s">
        <v>237</v>
      </c>
      <c r="V746" s="31" t="s">
        <v>153</v>
      </c>
      <c r="W746" s="32">
        <v>4600</v>
      </c>
      <c r="X746" s="33" t="s">
        <v>14983</v>
      </c>
      <c r="Y746" s="34" t="s">
        <v>153</v>
      </c>
      <c r="Z746" s="35" t="s">
        <v>153</v>
      </c>
      <c r="AA746" s="36">
        <v>1907</v>
      </c>
      <c r="AB746" s="37" t="s">
        <v>14984</v>
      </c>
      <c r="AC746" s="38" t="s">
        <v>153</v>
      </c>
      <c r="AD746" s="39" t="s">
        <v>428</v>
      </c>
      <c r="AE746" s="40" t="s">
        <v>153</v>
      </c>
      <c r="AF746" s="41" t="s">
        <v>153</v>
      </c>
      <c r="AG746" s="42" t="s">
        <v>153</v>
      </c>
      <c r="AH746" s="43" t="s">
        <v>153</v>
      </c>
      <c r="AI746" s="44" t="s">
        <v>153</v>
      </c>
      <c r="AJ746" s="45" t="s">
        <v>153</v>
      </c>
      <c r="AK746" s="46" t="s">
        <v>153</v>
      </c>
      <c r="AL746" s="47" t="s">
        <v>153</v>
      </c>
      <c r="AM746" s="48" t="s">
        <v>153</v>
      </c>
      <c r="AN746" s="49" t="s">
        <v>1595</v>
      </c>
      <c r="AO746" s="50" t="s">
        <v>14985</v>
      </c>
      <c r="AP746" s="51" t="s">
        <v>14986</v>
      </c>
      <c r="AQ746" s="52" t="s">
        <v>2909</v>
      </c>
      <c r="AR746" s="53" t="s">
        <v>153</v>
      </c>
      <c r="AS746" s="54" t="s">
        <v>14987</v>
      </c>
      <c r="AT746" s="55" t="s">
        <v>14988</v>
      </c>
      <c r="AU746" s="56" t="s">
        <v>14989</v>
      </c>
      <c r="AV746" s="57" t="s">
        <v>153</v>
      </c>
      <c r="AW746" s="58" t="s">
        <v>14990</v>
      </c>
      <c r="AX746" s="59" t="s">
        <v>273</v>
      </c>
      <c r="AY746" s="60" t="s">
        <v>14991</v>
      </c>
      <c r="AZ746" s="61" t="s">
        <v>215</v>
      </c>
      <c r="BA746" s="62" t="s">
        <v>14987</v>
      </c>
      <c r="BB746" s="63" t="s">
        <v>153</v>
      </c>
      <c r="BC746" s="64" t="s">
        <v>153</v>
      </c>
      <c r="BD746" s="65" t="s">
        <v>216</v>
      </c>
      <c r="BE746" s="66" t="s">
        <v>217</v>
      </c>
      <c r="BF746" s="67" t="s">
        <v>14992</v>
      </c>
      <c r="BG746" s="68" t="s">
        <v>153</v>
      </c>
      <c r="BH746" s="69" t="s">
        <v>153</v>
      </c>
      <c r="BI746" s="70" t="s">
        <v>14984</v>
      </c>
      <c r="BJ746" s="71" t="s">
        <v>153</v>
      </c>
      <c r="BK746" s="72" t="s">
        <v>153</v>
      </c>
      <c r="BL746" s="73" t="s">
        <v>153</v>
      </c>
      <c r="BM746" s="74" t="s">
        <v>153</v>
      </c>
      <c r="BN746" s="75" t="s">
        <v>153</v>
      </c>
      <c r="BO746" s="76" t="s">
        <v>14993</v>
      </c>
      <c r="BP746" s="77" t="s">
        <v>14994</v>
      </c>
      <c r="BQ746" s="78">
        <v>34320</v>
      </c>
      <c r="BR746" s="79" t="s">
        <v>153</v>
      </c>
      <c r="BS746" s="80" t="s">
        <v>153</v>
      </c>
      <c r="BT746" s="81" t="s">
        <v>153</v>
      </c>
      <c r="BU746" s="82" t="s">
        <v>153</v>
      </c>
      <c r="BV746" s="83" t="s">
        <v>251</v>
      </c>
      <c r="BW746" s="84" t="s">
        <v>153</v>
      </c>
      <c r="BX746" s="85" t="s">
        <v>153</v>
      </c>
      <c r="BY746" s="86" t="s">
        <v>252</v>
      </c>
      <c r="BZ746" s="87" t="s">
        <v>153</v>
      </c>
      <c r="CA746" s="88" t="s">
        <v>190</v>
      </c>
      <c r="CB746" s="89">
        <v>42005</v>
      </c>
      <c r="CC746" s="90">
        <v>6400</v>
      </c>
      <c r="CD746" s="91" t="s">
        <v>186</v>
      </c>
      <c r="CE746" s="92">
        <v>6400</v>
      </c>
      <c r="CF746" s="93" t="s">
        <v>186</v>
      </c>
      <c r="CG746" s="94" t="s">
        <v>226</v>
      </c>
      <c r="CH746" s="95" t="s">
        <v>153</v>
      </c>
      <c r="CI746" s="96" t="s">
        <v>153</v>
      </c>
      <c r="CJ746" s="97" t="s">
        <v>225</v>
      </c>
      <c r="CK746" s="98">
        <v>42005</v>
      </c>
      <c r="CL746" s="99" t="s">
        <v>153</v>
      </c>
      <c r="CM746" s="100" t="s">
        <v>153</v>
      </c>
      <c r="CN746" s="101" t="s">
        <v>190</v>
      </c>
      <c r="CO746" s="102" t="s">
        <v>153</v>
      </c>
      <c r="CP746" s="103" t="s">
        <v>153</v>
      </c>
      <c r="CQ746" s="104" t="s">
        <v>153</v>
      </c>
      <c r="CR746" s="105" t="s">
        <v>153</v>
      </c>
      <c r="CS746" s="106" t="s">
        <v>153</v>
      </c>
      <c r="CT746" s="107" t="s">
        <v>153</v>
      </c>
      <c r="CU746" s="108" t="s">
        <v>153</v>
      </c>
      <c r="CV746" s="109" t="s">
        <v>153</v>
      </c>
      <c r="CW746" s="110" t="s">
        <v>153</v>
      </c>
      <c r="CX746" s="111" t="s">
        <v>153</v>
      </c>
      <c r="CY746" s="112" t="s">
        <v>153</v>
      </c>
      <c r="CZ746" s="113" t="s">
        <v>153</v>
      </c>
      <c r="DA746" s="114" t="s">
        <v>153</v>
      </c>
      <c r="DB746" s="115" t="s">
        <v>153</v>
      </c>
      <c r="DC746" s="116" t="s">
        <v>153</v>
      </c>
      <c r="DD746" s="117" t="s">
        <v>153</v>
      </c>
      <c r="DE746" s="118" t="s">
        <v>153</v>
      </c>
      <c r="DF746" s="119" t="s">
        <v>153</v>
      </c>
      <c r="DG746" s="120" t="s">
        <v>153</v>
      </c>
      <c r="DH746" s="121" t="s">
        <v>153</v>
      </c>
      <c r="DI746" s="122" t="s">
        <v>153</v>
      </c>
      <c r="DJ746" s="123" t="s">
        <v>153</v>
      </c>
      <c r="DK746" s="124" t="s">
        <v>153</v>
      </c>
      <c r="DL746" s="125" t="s">
        <v>153</v>
      </c>
      <c r="DM746" s="126" t="s">
        <v>153</v>
      </c>
      <c r="DN746" s="127" t="s">
        <v>153</v>
      </c>
      <c r="DO746" s="128" t="s">
        <v>153</v>
      </c>
      <c r="DP746" s="129" t="s">
        <v>153</v>
      </c>
      <c r="DQ746" s="130" t="s">
        <v>153</v>
      </c>
      <c r="DR746" s="131" t="s">
        <v>153</v>
      </c>
      <c r="DS746" s="132" t="s">
        <v>153</v>
      </c>
      <c r="DT746" s="133" t="s">
        <v>153</v>
      </c>
      <c r="DU746" s="134" t="s">
        <v>153</v>
      </c>
      <c r="DV746" s="135" t="s">
        <v>153</v>
      </c>
      <c r="DW746" s="136" t="s">
        <v>153</v>
      </c>
      <c r="DX746" s="137" t="s">
        <v>153</v>
      </c>
      <c r="DY746" s="138" t="s">
        <v>153</v>
      </c>
      <c r="DZ746" s="139" t="s">
        <v>191</v>
      </c>
      <c r="EA746" s="140">
        <v>44356</v>
      </c>
      <c r="EB746" s="141">
        <v>6400</v>
      </c>
      <c r="EC746" s="142">
        <v>42005</v>
      </c>
      <c r="ED746" s="143" t="s">
        <v>226</v>
      </c>
      <c r="EE746" s="278" t="str">
        <f>HYPERLINK("https://my.pitchbook.com?c=41263-84", "View company online")</f>
        <v>View company online</v>
      </c>
    </row>
    <row r="747" spans="1:135" x14ac:dyDescent="0.45">
      <c r="A747" s="144" t="s">
        <v>14995</v>
      </c>
      <c r="B747" s="145" t="s">
        <v>14996</v>
      </c>
      <c r="C747" s="146" t="s">
        <v>153</v>
      </c>
      <c r="D747" s="147" t="s">
        <v>153</v>
      </c>
      <c r="E747" s="148" t="s">
        <v>153</v>
      </c>
      <c r="F747" s="149" t="s">
        <v>14997</v>
      </c>
      <c r="G747" s="150" t="s">
        <v>14998</v>
      </c>
      <c r="H747" s="151" t="s">
        <v>153</v>
      </c>
      <c r="I747" s="152" t="s">
        <v>14995</v>
      </c>
      <c r="J747" s="153" t="s">
        <v>14999</v>
      </c>
      <c r="K747" s="154" t="s">
        <v>792</v>
      </c>
      <c r="L747" s="155" t="s">
        <v>793</v>
      </c>
      <c r="M747" s="156" t="s">
        <v>1534</v>
      </c>
      <c r="N747" s="157" t="s">
        <v>15000</v>
      </c>
      <c r="O747" s="158" t="s">
        <v>796</v>
      </c>
      <c r="P747" s="159" t="s">
        <v>15001</v>
      </c>
      <c r="Q747" s="160" t="s">
        <v>204</v>
      </c>
      <c r="R747" s="161" t="s">
        <v>153</v>
      </c>
      <c r="S747" s="162" t="s">
        <v>163</v>
      </c>
      <c r="T747" s="163" t="s">
        <v>205</v>
      </c>
      <c r="U747" s="164" t="s">
        <v>206</v>
      </c>
      <c r="V747" s="165" t="s">
        <v>153</v>
      </c>
      <c r="W747" s="166" t="s">
        <v>153</v>
      </c>
      <c r="X747" s="167" t="s">
        <v>153</v>
      </c>
      <c r="Y747" s="168" t="s">
        <v>153</v>
      </c>
      <c r="Z747" s="169" t="s">
        <v>153</v>
      </c>
      <c r="AA747" s="170">
        <v>2018</v>
      </c>
      <c r="AB747" s="171" t="s">
        <v>153</v>
      </c>
      <c r="AC747" s="172" t="s">
        <v>428</v>
      </c>
      <c r="AD747" s="173" t="s">
        <v>428</v>
      </c>
      <c r="AE747" s="174" t="s">
        <v>153</v>
      </c>
      <c r="AF747" s="175" t="s">
        <v>153</v>
      </c>
      <c r="AG747" s="176" t="s">
        <v>153</v>
      </c>
      <c r="AH747" s="177" t="s">
        <v>153</v>
      </c>
      <c r="AI747" s="178" t="s">
        <v>153</v>
      </c>
      <c r="AJ747" s="179" t="s">
        <v>153</v>
      </c>
      <c r="AK747" s="180" t="s">
        <v>153</v>
      </c>
      <c r="AL747" s="181" t="s">
        <v>153</v>
      </c>
      <c r="AM747" s="182" t="s">
        <v>153</v>
      </c>
      <c r="AN747" s="183" t="s">
        <v>153</v>
      </c>
      <c r="AO747" s="184" t="s">
        <v>153</v>
      </c>
      <c r="AP747" s="185" t="s">
        <v>153</v>
      </c>
      <c r="AQ747" s="186" t="s">
        <v>153</v>
      </c>
      <c r="AR747" s="187" t="s">
        <v>153</v>
      </c>
      <c r="AS747" s="188" t="s">
        <v>153</v>
      </c>
      <c r="AT747" s="189" t="s">
        <v>1244</v>
      </c>
      <c r="AU747" s="190" t="s">
        <v>15002</v>
      </c>
      <c r="AV747" s="191" t="s">
        <v>153</v>
      </c>
      <c r="AW747" s="192" t="s">
        <v>1246</v>
      </c>
      <c r="AX747" s="193" t="s">
        <v>1128</v>
      </c>
      <c r="AY747" s="194" t="s">
        <v>15003</v>
      </c>
      <c r="AZ747" s="195" t="s">
        <v>215</v>
      </c>
      <c r="BA747" s="196" t="s">
        <v>153</v>
      </c>
      <c r="BB747" s="197" t="s">
        <v>153</v>
      </c>
      <c r="BC747" s="198" t="s">
        <v>153</v>
      </c>
      <c r="BD747" s="199" t="s">
        <v>216</v>
      </c>
      <c r="BE747" s="200" t="s">
        <v>217</v>
      </c>
      <c r="BF747" s="201" t="s">
        <v>15004</v>
      </c>
      <c r="BG747" s="202" t="s">
        <v>153</v>
      </c>
      <c r="BH747" s="203" t="s">
        <v>153</v>
      </c>
      <c r="BI747" s="204" t="s">
        <v>15005</v>
      </c>
      <c r="BJ747" s="205" t="s">
        <v>15006</v>
      </c>
      <c r="BK747" s="206" t="s">
        <v>153</v>
      </c>
      <c r="BL747" s="207" t="s">
        <v>153</v>
      </c>
      <c r="BM747" s="208" t="s">
        <v>15007</v>
      </c>
      <c r="BN747" s="209" t="s">
        <v>153</v>
      </c>
      <c r="BO747" s="210" t="s">
        <v>153</v>
      </c>
      <c r="BP747" s="211" t="s">
        <v>15008</v>
      </c>
      <c r="BQ747" s="212">
        <v>43256</v>
      </c>
      <c r="BR747" s="213" t="s">
        <v>153</v>
      </c>
      <c r="BS747" s="214" t="s">
        <v>153</v>
      </c>
      <c r="BT747" s="215" t="s">
        <v>153</v>
      </c>
      <c r="BU747" s="216" t="s">
        <v>153</v>
      </c>
      <c r="BV747" s="217" t="s">
        <v>224</v>
      </c>
      <c r="BW747" s="218" t="s">
        <v>153</v>
      </c>
      <c r="BX747" s="219" t="s">
        <v>153</v>
      </c>
      <c r="BY747" s="220" t="s">
        <v>321</v>
      </c>
      <c r="BZ747" s="221" t="s">
        <v>153</v>
      </c>
      <c r="CA747" s="222" t="s">
        <v>190</v>
      </c>
      <c r="CB747" s="223">
        <v>44323</v>
      </c>
      <c r="CC747" s="224">
        <v>6400</v>
      </c>
      <c r="CD747" s="225" t="s">
        <v>186</v>
      </c>
      <c r="CE747" s="226">
        <v>6400</v>
      </c>
      <c r="CF747" s="227" t="s">
        <v>187</v>
      </c>
      <c r="CG747" s="228" t="s">
        <v>226</v>
      </c>
      <c r="CH747" s="229" t="s">
        <v>153</v>
      </c>
      <c r="CI747" s="230" t="s">
        <v>153</v>
      </c>
      <c r="CJ747" s="231" t="s">
        <v>225</v>
      </c>
      <c r="CK747" s="232">
        <v>44323</v>
      </c>
      <c r="CL747" s="233" t="s">
        <v>153</v>
      </c>
      <c r="CM747" s="234" t="s">
        <v>153</v>
      </c>
      <c r="CN747" s="235" t="s">
        <v>190</v>
      </c>
      <c r="CO747" s="236" t="s">
        <v>153</v>
      </c>
      <c r="CP747" s="237" t="s">
        <v>153</v>
      </c>
      <c r="CQ747" s="238" t="s">
        <v>153</v>
      </c>
      <c r="CR747" s="239" t="s">
        <v>153</v>
      </c>
      <c r="CS747" s="240" t="s">
        <v>153</v>
      </c>
      <c r="CT747" s="241" t="s">
        <v>153</v>
      </c>
      <c r="CU747" s="242" t="s">
        <v>153</v>
      </c>
      <c r="CV747" s="243" t="s">
        <v>153</v>
      </c>
      <c r="CW747" s="244" t="s">
        <v>153</v>
      </c>
      <c r="CX747" s="245" t="s">
        <v>153</v>
      </c>
      <c r="CY747" s="246" t="s">
        <v>153</v>
      </c>
      <c r="CZ747" s="247" t="s">
        <v>153</v>
      </c>
      <c r="DA747" s="248" t="s">
        <v>153</v>
      </c>
      <c r="DB747" s="249" t="s">
        <v>153</v>
      </c>
      <c r="DC747" s="250" t="s">
        <v>153</v>
      </c>
      <c r="DD747" s="251" t="s">
        <v>153</v>
      </c>
      <c r="DE747" s="252" t="s">
        <v>153</v>
      </c>
      <c r="DF747" s="253" t="s">
        <v>153</v>
      </c>
      <c r="DG747" s="254" t="s">
        <v>153</v>
      </c>
      <c r="DH747" s="255" t="s">
        <v>153</v>
      </c>
      <c r="DI747" s="256" t="s">
        <v>153</v>
      </c>
      <c r="DJ747" s="257" t="s">
        <v>153</v>
      </c>
      <c r="DK747" s="258" t="s">
        <v>153</v>
      </c>
      <c r="DL747" s="259" t="s">
        <v>153</v>
      </c>
      <c r="DM747" s="260" t="s">
        <v>153</v>
      </c>
      <c r="DN747" s="261" t="s">
        <v>153</v>
      </c>
      <c r="DO747" s="262" t="s">
        <v>153</v>
      </c>
      <c r="DP747" s="263" t="s">
        <v>153</v>
      </c>
      <c r="DQ747" s="264" t="s">
        <v>153</v>
      </c>
      <c r="DR747" s="265" t="s">
        <v>153</v>
      </c>
      <c r="DS747" s="266" t="s">
        <v>153</v>
      </c>
      <c r="DT747" s="267" t="s">
        <v>153</v>
      </c>
      <c r="DU747" s="268" t="s">
        <v>153</v>
      </c>
      <c r="DV747" s="269" t="s">
        <v>153</v>
      </c>
      <c r="DW747" s="270" t="s">
        <v>153</v>
      </c>
      <c r="DX747" s="271" t="s">
        <v>153</v>
      </c>
      <c r="DY747" s="272" t="s">
        <v>153</v>
      </c>
      <c r="DZ747" s="273" t="s">
        <v>191</v>
      </c>
      <c r="EA747" s="274">
        <v>44337</v>
      </c>
      <c r="EB747" s="275">
        <v>6400</v>
      </c>
      <c r="EC747" s="276">
        <v>44323</v>
      </c>
      <c r="ED747" s="277" t="s">
        <v>226</v>
      </c>
      <c r="EE747" s="279" t="str">
        <f>HYPERLINK("https://my.pitchbook.com?c=229468-33", "View company online")</f>
        <v>View company online</v>
      </c>
    </row>
    <row r="748" spans="1:135" x14ac:dyDescent="0.45">
      <c r="A748" s="10" t="s">
        <v>15009</v>
      </c>
      <c r="B748" s="11" t="s">
        <v>15010</v>
      </c>
      <c r="C748" s="12" t="s">
        <v>153</v>
      </c>
      <c r="D748" s="13" t="s">
        <v>153</v>
      </c>
      <c r="E748" s="14" t="s">
        <v>153</v>
      </c>
      <c r="F748" s="15" t="s">
        <v>153</v>
      </c>
      <c r="G748" s="16" t="s">
        <v>15011</v>
      </c>
      <c r="H748" s="17" t="s">
        <v>15012</v>
      </c>
      <c r="I748" s="18" t="s">
        <v>15009</v>
      </c>
      <c r="J748" s="19" t="s">
        <v>15013</v>
      </c>
      <c r="K748" s="20" t="s">
        <v>198</v>
      </c>
      <c r="L748" s="21" t="s">
        <v>984</v>
      </c>
      <c r="M748" s="22" t="s">
        <v>3544</v>
      </c>
      <c r="N748" s="23" t="s">
        <v>7047</v>
      </c>
      <c r="O748" s="24" t="s">
        <v>15014</v>
      </c>
      <c r="P748" s="25" t="s">
        <v>15015</v>
      </c>
      <c r="Q748" s="26" t="s">
        <v>289</v>
      </c>
      <c r="R748" s="27">
        <v>651.80999999999995</v>
      </c>
      <c r="S748" s="28" t="s">
        <v>163</v>
      </c>
      <c r="T748" s="29" t="s">
        <v>291</v>
      </c>
      <c r="U748" s="30" t="s">
        <v>452</v>
      </c>
      <c r="V748" s="31" t="s">
        <v>15016</v>
      </c>
      <c r="W748" s="32">
        <v>2037</v>
      </c>
      <c r="X748" s="33" t="s">
        <v>15017</v>
      </c>
      <c r="Y748" s="34" t="s">
        <v>372</v>
      </c>
      <c r="Z748" s="35" t="s">
        <v>15018</v>
      </c>
      <c r="AA748" s="36">
        <v>2001</v>
      </c>
      <c r="AB748" s="37" t="s">
        <v>153</v>
      </c>
      <c r="AC748" s="38" t="s">
        <v>15019</v>
      </c>
      <c r="AD748" s="39" t="s">
        <v>15020</v>
      </c>
      <c r="AE748" s="40">
        <v>495.9</v>
      </c>
      <c r="AF748" s="41">
        <v>317.08</v>
      </c>
      <c r="AG748" s="42">
        <v>-168.55</v>
      </c>
      <c r="AH748" s="43">
        <v>4462.43</v>
      </c>
      <c r="AI748" s="44">
        <v>-153.34</v>
      </c>
      <c r="AJ748" s="45">
        <v>-167.64</v>
      </c>
      <c r="AK748" s="46">
        <v>5288.99</v>
      </c>
      <c r="AL748" s="47">
        <v>80.42</v>
      </c>
      <c r="AM748" s="48">
        <v>17.64</v>
      </c>
      <c r="AN748" s="49" t="s">
        <v>2288</v>
      </c>
      <c r="AO748" s="50" t="s">
        <v>15021</v>
      </c>
      <c r="AP748" s="51" t="s">
        <v>15022</v>
      </c>
      <c r="AQ748" s="52" t="s">
        <v>15023</v>
      </c>
      <c r="AR748" s="53" t="s">
        <v>153</v>
      </c>
      <c r="AS748" s="54" t="s">
        <v>15024</v>
      </c>
      <c r="AT748" s="55" t="s">
        <v>997</v>
      </c>
      <c r="AU748" s="56" t="s">
        <v>15025</v>
      </c>
      <c r="AV748" s="57" t="s">
        <v>15026</v>
      </c>
      <c r="AW748" s="58" t="s">
        <v>999</v>
      </c>
      <c r="AX748" s="59" t="s">
        <v>308</v>
      </c>
      <c r="AY748" s="60" t="s">
        <v>2294</v>
      </c>
      <c r="AZ748" s="61" t="s">
        <v>215</v>
      </c>
      <c r="BA748" s="62" t="s">
        <v>15024</v>
      </c>
      <c r="BB748" s="63" t="s">
        <v>153</v>
      </c>
      <c r="BC748" s="64" t="s">
        <v>15027</v>
      </c>
      <c r="BD748" s="65" t="s">
        <v>216</v>
      </c>
      <c r="BE748" s="66" t="s">
        <v>217</v>
      </c>
      <c r="BF748" s="67" t="s">
        <v>15028</v>
      </c>
      <c r="BG748" s="68" t="s">
        <v>4314</v>
      </c>
      <c r="BH748" s="69">
        <v>1</v>
      </c>
      <c r="BI748" s="70" t="s">
        <v>153</v>
      </c>
      <c r="BJ748" s="71" t="s">
        <v>15029</v>
      </c>
      <c r="BK748" s="72" t="s">
        <v>8284</v>
      </c>
      <c r="BL748" s="73" t="s">
        <v>4316</v>
      </c>
      <c r="BM748" s="74" t="s">
        <v>15030</v>
      </c>
      <c r="BN748" s="75" t="s">
        <v>8286</v>
      </c>
      <c r="BO748" s="76" t="s">
        <v>15031</v>
      </c>
      <c r="BP748" s="77" t="s">
        <v>15032</v>
      </c>
      <c r="BQ748" s="78">
        <v>40179</v>
      </c>
      <c r="BR748" s="79">
        <v>12.66</v>
      </c>
      <c r="BS748" s="80" t="s">
        <v>186</v>
      </c>
      <c r="BT748" s="81">
        <v>31.16</v>
      </c>
      <c r="BU748" s="82" t="s">
        <v>186</v>
      </c>
      <c r="BV748" s="83" t="s">
        <v>905</v>
      </c>
      <c r="BW748" s="84" t="s">
        <v>1811</v>
      </c>
      <c r="BX748" s="85" t="s">
        <v>153</v>
      </c>
      <c r="BY748" s="86" t="s">
        <v>472</v>
      </c>
      <c r="BZ748" s="87" t="s">
        <v>153</v>
      </c>
      <c r="CA748" s="88" t="s">
        <v>190</v>
      </c>
      <c r="CB748" s="89">
        <v>44403</v>
      </c>
      <c r="CC748" s="90">
        <v>6400</v>
      </c>
      <c r="CD748" s="91" t="s">
        <v>186</v>
      </c>
      <c r="CE748" s="92">
        <v>6400</v>
      </c>
      <c r="CF748" s="93" t="s">
        <v>186</v>
      </c>
      <c r="CG748" s="94" t="s">
        <v>188</v>
      </c>
      <c r="CH748" s="95" t="s">
        <v>930</v>
      </c>
      <c r="CI748" s="96" t="s">
        <v>153</v>
      </c>
      <c r="CJ748" s="97" t="s">
        <v>165</v>
      </c>
      <c r="CK748" s="98">
        <v>44403</v>
      </c>
      <c r="CL748" s="99" t="s">
        <v>153</v>
      </c>
      <c r="CM748" s="100" t="s">
        <v>1607</v>
      </c>
      <c r="CN748" s="101" t="s">
        <v>1278</v>
      </c>
      <c r="CO748" s="102">
        <v>0.24</v>
      </c>
      <c r="CP748" s="103">
        <v>91</v>
      </c>
      <c r="CQ748" s="104">
        <v>-0.01</v>
      </c>
      <c r="CR748" s="105">
        <v>-5.26</v>
      </c>
      <c r="CS748" s="106">
        <v>0.32</v>
      </c>
      <c r="CT748" s="107">
        <v>91</v>
      </c>
      <c r="CU748" s="108">
        <v>-0.01</v>
      </c>
      <c r="CV748" s="109">
        <v>40</v>
      </c>
      <c r="CW748" s="110">
        <v>0.17</v>
      </c>
      <c r="CX748" s="111">
        <v>77</v>
      </c>
      <c r="CY748" s="112">
        <v>0.48</v>
      </c>
      <c r="CZ748" s="113">
        <v>94</v>
      </c>
      <c r="DA748" s="114">
        <v>-0.01</v>
      </c>
      <c r="DB748" s="115">
        <v>40</v>
      </c>
      <c r="DC748" s="116">
        <v>83.09</v>
      </c>
      <c r="DD748" s="117">
        <v>99</v>
      </c>
      <c r="DE748" s="118">
        <v>0.22</v>
      </c>
      <c r="DF748" s="119">
        <v>0.27</v>
      </c>
      <c r="DG748" s="120">
        <v>153.02000000000001</v>
      </c>
      <c r="DH748" s="121">
        <v>100</v>
      </c>
      <c r="DI748" s="122">
        <v>41.19</v>
      </c>
      <c r="DJ748" s="123">
        <v>95</v>
      </c>
      <c r="DK748" s="124">
        <v>117.97</v>
      </c>
      <c r="DL748" s="125">
        <v>97</v>
      </c>
      <c r="DM748" s="126">
        <v>188.06</v>
      </c>
      <c r="DN748" s="127">
        <v>100</v>
      </c>
      <c r="DO748" s="128">
        <v>41.19</v>
      </c>
      <c r="DP748" s="129">
        <v>95</v>
      </c>
      <c r="DQ748" s="130">
        <v>70158</v>
      </c>
      <c r="DR748" s="131">
        <v>-728</v>
      </c>
      <c r="DS748" s="132">
        <v>-1.03</v>
      </c>
      <c r="DT748" s="133">
        <v>3003</v>
      </c>
      <c r="DU748" s="134">
        <v>14</v>
      </c>
      <c r="DV748" s="135">
        <v>0.47</v>
      </c>
      <c r="DW748" s="136">
        <v>12925</v>
      </c>
      <c r="DX748" s="137">
        <v>17</v>
      </c>
      <c r="DY748" s="138">
        <v>0.13</v>
      </c>
      <c r="DZ748" s="139" t="s">
        <v>191</v>
      </c>
      <c r="EA748" s="140">
        <v>44403</v>
      </c>
      <c r="EB748" s="141">
        <v>6400</v>
      </c>
      <c r="EC748" s="142">
        <v>44403</v>
      </c>
      <c r="ED748" s="143" t="s">
        <v>188</v>
      </c>
      <c r="EE748" s="278" t="str">
        <f>HYPERLINK("https://my.pitchbook.com?c=55329-40", "View company online")</f>
        <v>View company online</v>
      </c>
    </row>
    <row r="749" spans="1:135" x14ac:dyDescent="0.45">
      <c r="A749" s="144" t="s">
        <v>15033</v>
      </c>
      <c r="B749" s="145" t="s">
        <v>15034</v>
      </c>
      <c r="C749" s="146" t="s">
        <v>153</v>
      </c>
      <c r="D749" s="147" t="s">
        <v>153</v>
      </c>
      <c r="E749" s="148" t="s">
        <v>153</v>
      </c>
      <c r="F749" s="149" t="s">
        <v>153</v>
      </c>
      <c r="G749" s="150" t="s">
        <v>153</v>
      </c>
      <c r="H749" s="151" t="s">
        <v>153</v>
      </c>
      <c r="I749" s="152" t="s">
        <v>15033</v>
      </c>
      <c r="J749" s="153" t="s">
        <v>15035</v>
      </c>
      <c r="K749" s="154" t="s">
        <v>157</v>
      </c>
      <c r="L749" s="155" t="s">
        <v>421</v>
      </c>
      <c r="M749" s="156" t="s">
        <v>422</v>
      </c>
      <c r="N749" s="157" t="s">
        <v>3773</v>
      </c>
      <c r="O749" s="158" t="s">
        <v>399</v>
      </c>
      <c r="P749" s="159" t="s">
        <v>15036</v>
      </c>
      <c r="Q749" s="160" t="s">
        <v>564</v>
      </c>
      <c r="R749" s="161">
        <v>862.88</v>
      </c>
      <c r="S749" s="162" t="s">
        <v>290</v>
      </c>
      <c r="T749" s="163" t="s">
        <v>205</v>
      </c>
      <c r="U749" s="164" t="s">
        <v>565</v>
      </c>
      <c r="V749" s="165" t="s">
        <v>153</v>
      </c>
      <c r="W749" s="166">
        <v>1111</v>
      </c>
      <c r="X749" s="167" t="s">
        <v>15037</v>
      </c>
      <c r="Y749" s="168" t="s">
        <v>153</v>
      </c>
      <c r="Z749" s="169" t="s">
        <v>153</v>
      </c>
      <c r="AA749" s="170">
        <v>1984</v>
      </c>
      <c r="AB749" s="171" t="s">
        <v>153</v>
      </c>
      <c r="AC749" s="172" t="s">
        <v>153</v>
      </c>
      <c r="AD749" s="173" t="s">
        <v>153</v>
      </c>
      <c r="AE749" s="174" t="s">
        <v>153</v>
      </c>
      <c r="AF749" s="175" t="s">
        <v>153</v>
      </c>
      <c r="AG749" s="176" t="s">
        <v>153</v>
      </c>
      <c r="AH749" s="177" t="s">
        <v>153</v>
      </c>
      <c r="AI749" s="178" t="s">
        <v>153</v>
      </c>
      <c r="AJ749" s="179" t="s">
        <v>153</v>
      </c>
      <c r="AK749" s="180" t="s">
        <v>153</v>
      </c>
      <c r="AL749" s="181" t="s">
        <v>153</v>
      </c>
      <c r="AM749" s="182" t="s">
        <v>153</v>
      </c>
      <c r="AN749" s="183" t="s">
        <v>4113</v>
      </c>
      <c r="AO749" s="184" t="s">
        <v>15038</v>
      </c>
      <c r="AP749" s="185" t="s">
        <v>15039</v>
      </c>
      <c r="AQ749" s="186" t="s">
        <v>15040</v>
      </c>
      <c r="AR749" s="187" t="s">
        <v>15041</v>
      </c>
      <c r="AS749" s="188" t="s">
        <v>15042</v>
      </c>
      <c r="AT749" s="189" t="s">
        <v>13556</v>
      </c>
      <c r="AU749" s="190" t="s">
        <v>15043</v>
      </c>
      <c r="AV749" s="191" t="s">
        <v>153</v>
      </c>
      <c r="AW749" s="192" t="s">
        <v>4741</v>
      </c>
      <c r="AX749" s="193" t="s">
        <v>13558</v>
      </c>
      <c r="AY749" s="194" t="s">
        <v>15044</v>
      </c>
      <c r="AZ749" s="195" t="s">
        <v>215</v>
      </c>
      <c r="BA749" s="196" t="s">
        <v>15045</v>
      </c>
      <c r="BB749" s="197" t="s">
        <v>15046</v>
      </c>
      <c r="BC749" s="198" t="s">
        <v>153</v>
      </c>
      <c r="BD749" s="199" t="s">
        <v>216</v>
      </c>
      <c r="BE749" s="200" t="s">
        <v>217</v>
      </c>
      <c r="BF749" s="201" t="s">
        <v>15047</v>
      </c>
      <c r="BG749" s="202" t="s">
        <v>153</v>
      </c>
      <c r="BH749" s="203" t="s">
        <v>153</v>
      </c>
      <c r="BI749" s="204" t="s">
        <v>15048</v>
      </c>
      <c r="BJ749" s="205" t="s">
        <v>15049</v>
      </c>
      <c r="BK749" s="206" t="s">
        <v>15050</v>
      </c>
      <c r="BL749" s="207" t="s">
        <v>153</v>
      </c>
      <c r="BM749" s="208" t="s">
        <v>15051</v>
      </c>
      <c r="BN749" s="209" t="s">
        <v>15052</v>
      </c>
      <c r="BO749" s="210" t="s">
        <v>15053</v>
      </c>
      <c r="BP749" s="211" t="s">
        <v>15054</v>
      </c>
      <c r="BQ749" s="212">
        <v>38200</v>
      </c>
      <c r="BR749" s="213">
        <v>4282.05</v>
      </c>
      <c r="BS749" s="214" t="s">
        <v>186</v>
      </c>
      <c r="BT749" s="215">
        <v>4369.4399999999996</v>
      </c>
      <c r="BU749" s="216" t="s">
        <v>186</v>
      </c>
      <c r="BV749" s="217" t="s">
        <v>188</v>
      </c>
      <c r="BW749" s="218" t="s">
        <v>153</v>
      </c>
      <c r="BX749" s="219" t="s">
        <v>153</v>
      </c>
      <c r="BY749" s="220" t="s">
        <v>165</v>
      </c>
      <c r="BZ749" s="221" t="s">
        <v>153</v>
      </c>
      <c r="CA749" s="222" t="s">
        <v>190</v>
      </c>
      <c r="CB749" s="223">
        <v>38899</v>
      </c>
      <c r="CC749" s="224">
        <v>6400</v>
      </c>
      <c r="CD749" s="225" t="s">
        <v>186</v>
      </c>
      <c r="CE749" s="226">
        <v>6400</v>
      </c>
      <c r="CF749" s="227" t="s">
        <v>186</v>
      </c>
      <c r="CG749" s="228" t="s">
        <v>188</v>
      </c>
      <c r="CH749" s="229" t="s">
        <v>189</v>
      </c>
      <c r="CI749" s="230" t="s">
        <v>153</v>
      </c>
      <c r="CJ749" s="231" t="s">
        <v>165</v>
      </c>
      <c r="CK749" s="232">
        <v>38899</v>
      </c>
      <c r="CL749" s="233" t="s">
        <v>153</v>
      </c>
      <c r="CM749" s="234" t="s">
        <v>1607</v>
      </c>
      <c r="CN749" s="235" t="s">
        <v>190</v>
      </c>
      <c r="CO749" s="236" t="s">
        <v>153</v>
      </c>
      <c r="CP749" s="237" t="s">
        <v>153</v>
      </c>
      <c r="CQ749" s="238" t="s">
        <v>153</v>
      </c>
      <c r="CR749" s="239" t="s">
        <v>153</v>
      </c>
      <c r="CS749" s="240" t="s">
        <v>153</v>
      </c>
      <c r="CT749" s="241" t="s">
        <v>153</v>
      </c>
      <c r="CU749" s="242" t="s">
        <v>153</v>
      </c>
      <c r="CV749" s="243" t="s">
        <v>153</v>
      </c>
      <c r="CW749" s="244" t="s">
        <v>153</v>
      </c>
      <c r="CX749" s="245" t="s">
        <v>153</v>
      </c>
      <c r="CY749" s="246" t="s">
        <v>153</v>
      </c>
      <c r="CZ749" s="247" t="s">
        <v>153</v>
      </c>
      <c r="DA749" s="248" t="s">
        <v>153</v>
      </c>
      <c r="DB749" s="249" t="s">
        <v>153</v>
      </c>
      <c r="DC749" s="250" t="s">
        <v>153</v>
      </c>
      <c r="DD749" s="251" t="s">
        <v>153</v>
      </c>
      <c r="DE749" s="252" t="s">
        <v>153</v>
      </c>
      <c r="DF749" s="253" t="s">
        <v>153</v>
      </c>
      <c r="DG749" s="254" t="s">
        <v>153</v>
      </c>
      <c r="DH749" s="255" t="s">
        <v>153</v>
      </c>
      <c r="DI749" s="256" t="s">
        <v>153</v>
      </c>
      <c r="DJ749" s="257" t="s">
        <v>153</v>
      </c>
      <c r="DK749" s="258" t="s">
        <v>153</v>
      </c>
      <c r="DL749" s="259" t="s">
        <v>153</v>
      </c>
      <c r="DM749" s="260" t="s">
        <v>153</v>
      </c>
      <c r="DN749" s="261" t="s">
        <v>153</v>
      </c>
      <c r="DO749" s="262" t="s">
        <v>153</v>
      </c>
      <c r="DP749" s="263" t="s">
        <v>153</v>
      </c>
      <c r="DQ749" s="264" t="s">
        <v>153</v>
      </c>
      <c r="DR749" s="265" t="s">
        <v>153</v>
      </c>
      <c r="DS749" s="266" t="s">
        <v>153</v>
      </c>
      <c r="DT749" s="267" t="s">
        <v>153</v>
      </c>
      <c r="DU749" s="268" t="s">
        <v>153</v>
      </c>
      <c r="DV749" s="269" t="s">
        <v>153</v>
      </c>
      <c r="DW749" s="270" t="s">
        <v>153</v>
      </c>
      <c r="DX749" s="271" t="s">
        <v>153</v>
      </c>
      <c r="DY749" s="272" t="s">
        <v>153</v>
      </c>
      <c r="DZ749" s="273" t="s">
        <v>191</v>
      </c>
      <c r="EA749" s="274">
        <v>44364</v>
      </c>
      <c r="EB749" s="275">
        <v>6400</v>
      </c>
      <c r="EC749" s="276">
        <v>38899</v>
      </c>
      <c r="ED749" s="277" t="s">
        <v>188</v>
      </c>
      <c r="EE749" s="279" t="str">
        <f>HYPERLINK("https://my.pitchbook.com?c=10237-33", "View company online")</f>
        <v>View company online</v>
      </c>
    </row>
    <row r="750" spans="1:135" x14ac:dyDescent="0.45">
      <c r="A750" s="10" t="s">
        <v>15055</v>
      </c>
      <c r="B750" s="11" t="s">
        <v>15056</v>
      </c>
      <c r="C750" s="12" t="s">
        <v>153</v>
      </c>
      <c r="D750" s="13" t="s">
        <v>153</v>
      </c>
      <c r="E750" s="14" t="s">
        <v>15057</v>
      </c>
      <c r="F750" s="15" t="s">
        <v>153</v>
      </c>
      <c r="G750" s="16" t="s">
        <v>15058</v>
      </c>
      <c r="H750" s="17" t="s">
        <v>15059</v>
      </c>
      <c r="I750" s="18" t="s">
        <v>15055</v>
      </c>
      <c r="J750" s="19" t="s">
        <v>15060</v>
      </c>
      <c r="K750" s="20" t="s">
        <v>882</v>
      </c>
      <c r="L750" s="21" t="s">
        <v>1231</v>
      </c>
      <c r="M750" s="22" t="s">
        <v>9555</v>
      </c>
      <c r="N750" s="23" t="s">
        <v>15061</v>
      </c>
      <c r="O750" s="24" t="s">
        <v>1234</v>
      </c>
      <c r="P750" s="25" t="s">
        <v>15062</v>
      </c>
      <c r="Q750" s="26" t="s">
        <v>204</v>
      </c>
      <c r="R750" s="27">
        <v>810.84</v>
      </c>
      <c r="S750" s="28" t="s">
        <v>290</v>
      </c>
      <c r="T750" s="29" t="s">
        <v>164</v>
      </c>
      <c r="U750" s="30" t="s">
        <v>1706</v>
      </c>
      <c r="V750" s="31" t="s">
        <v>15063</v>
      </c>
      <c r="W750" s="32">
        <v>2192</v>
      </c>
      <c r="X750" s="33" t="s">
        <v>15064</v>
      </c>
      <c r="Y750" s="34" t="s">
        <v>153</v>
      </c>
      <c r="Z750" s="35" t="s">
        <v>153</v>
      </c>
      <c r="AA750" s="36">
        <v>1966</v>
      </c>
      <c r="AB750" s="37" t="s">
        <v>15065</v>
      </c>
      <c r="AC750" s="38" t="s">
        <v>153</v>
      </c>
      <c r="AD750" s="39" t="s">
        <v>153</v>
      </c>
      <c r="AE750" s="40" t="s">
        <v>153</v>
      </c>
      <c r="AF750" s="41" t="s">
        <v>153</v>
      </c>
      <c r="AG750" s="42" t="s">
        <v>153</v>
      </c>
      <c r="AH750" s="43" t="s">
        <v>153</v>
      </c>
      <c r="AI750" s="44" t="s">
        <v>153</v>
      </c>
      <c r="AJ750" s="45" t="s">
        <v>153</v>
      </c>
      <c r="AK750" s="46" t="s">
        <v>153</v>
      </c>
      <c r="AL750" s="47" t="s">
        <v>153</v>
      </c>
      <c r="AM750" s="48" t="s">
        <v>153</v>
      </c>
      <c r="AN750" s="49" t="s">
        <v>4877</v>
      </c>
      <c r="AO750" s="50" t="s">
        <v>15066</v>
      </c>
      <c r="AP750" s="51" t="s">
        <v>15067</v>
      </c>
      <c r="AQ750" s="52" t="s">
        <v>4398</v>
      </c>
      <c r="AR750" s="53" t="s">
        <v>153</v>
      </c>
      <c r="AS750" s="54" t="s">
        <v>15068</v>
      </c>
      <c r="AT750" s="55" t="s">
        <v>2479</v>
      </c>
      <c r="AU750" s="56" t="s">
        <v>15069</v>
      </c>
      <c r="AV750" s="57" t="s">
        <v>153</v>
      </c>
      <c r="AW750" s="58" t="s">
        <v>2481</v>
      </c>
      <c r="AX750" s="59" t="s">
        <v>2482</v>
      </c>
      <c r="AY750" s="60" t="s">
        <v>15070</v>
      </c>
      <c r="AZ750" s="61" t="s">
        <v>215</v>
      </c>
      <c r="BA750" s="62" t="s">
        <v>15068</v>
      </c>
      <c r="BB750" s="63" t="s">
        <v>153</v>
      </c>
      <c r="BC750" s="64" t="s">
        <v>153</v>
      </c>
      <c r="BD750" s="65" t="s">
        <v>216</v>
      </c>
      <c r="BE750" s="66" t="s">
        <v>217</v>
      </c>
      <c r="BF750" s="67" t="s">
        <v>15071</v>
      </c>
      <c r="BG750" s="68" t="s">
        <v>153</v>
      </c>
      <c r="BH750" s="69" t="s">
        <v>153</v>
      </c>
      <c r="BI750" s="70" t="s">
        <v>15065</v>
      </c>
      <c r="BJ750" s="71" t="s">
        <v>153</v>
      </c>
      <c r="BK750" s="72" t="s">
        <v>153</v>
      </c>
      <c r="BL750" s="73" t="s">
        <v>153</v>
      </c>
      <c r="BM750" s="74" t="s">
        <v>153</v>
      </c>
      <c r="BN750" s="75" t="s">
        <v>153</v>
      </c>
      <c r="BO750" s="76" t="s">
        <v>15072</v>
      </c>
      <c r="BP750" s="77" t="s">
        <v>15073</v>
      </c>
      <c r="BQ750" s="78">
        <v>33025</v>
      </c>
      <c r="BR750" s="79" t="s">
        <v>153</v>
      </c>
      <c r="BS750" s="80" t="s">
        <v>153</v>
      </c>
      <c r="BT750" s="81" t="s">
        <v>153</v>
      </c>
      <c r="BU750" s="82" t="s">
        <v>153</v>
      </c>
      <c r="BV750" s="83" t="s">
        <v>251</v>
      </c>
      <c r="BW750" s="84" t="s">
        <v>153</v>
      </c>
      <c r="BX750" s="85" t="s">
        <v>153</v>
      </c>
      <c r="BY750" s="86" t="s">
        <v>252</v>
      </c>
      <c r="BZ750" s="87" t="s">
        <v>153</v>
      </c>
      <c r="CA750" s="88" t="s">
        <v>190</v>
      </c>
      <c r="CB750" s="89">
        <v>42865</v>
      </c>
      <c r="CC750" s="90">
        <v>6400</v>
      </c>
      <c r="CD750" s="91" t="s">
        <v>186</v>
      </c>
      <c r="CE750" s="92">
        <v>6400</v>
      </c>
      <c r="CF750" s="93" t="s">
        <v>187</v>
      </c>
      <c r="CG750" s="94" t="s">
        <v>226</v>
      </c>
      <c r="CH750" s="95" t="s">
        <v>153</v>
      </c>
      <c r="CI750" s="96" t="s">
        <v>153</v>
      </c>
      <c r="CJ750" s="97" t="s">
        <v>225</v>
      </c>
      <c r="CK750" s="98">
        <v>42865</v>
      </c>
      <c r="CL750" s="99" t="s">
        <v>153</v>
      </c>
      <c r="CM750" s="100" t="s">
        <v>153</v>
      </c>
      <c r="CN750" s="101" t="s">
        <v>190</v>
      </c>
      <c r="CO750" s="102">
        <v>0.96</v>
      </c>
      <c r="CP750" s="103">
        <v>96</v>
      </c>
      <c r="CQ750" s="104">
        <v>0</v>
      </c>
      <c r="CR750" s="105">
        <v>0.16</v>
      </c>
      <c r="CS750" s="106">
        <v>2.86</v>
      </c>
      <c r="CT750" s="107">
        <v>99</v>
      </c>
      <c r="CU750" s="108">
        <v>0</v>
      </c>
      <c r="CV750" s="109">
        <v>41</v>
      </c>
      <c r="CW750" s="110">
        <v>4.92</v>
      </c>
      <c r="CX750" s="111">
        <v>94</v>
      </c>
      <c r="CY750" s="112">
        <v>0.79</v>
      </c>
      <c r="CZ750" s="113">
        <v>96</v>
      </c>
      <c r="DA750" s="114">
        <v>0</v>
      </c>
      <c r="DB750" s="115">
        <v>41</v>
      </c>
      <c r="DC750" s="116">
        <v>38.700000000000003</v>
      </c>
      <c r="DD750" s="117">
        <v>98</v>
      </c>
      <c r="DE750" s="118">
        <v>0.17</v>
      </c>
      <c r="DF750" s="119">
        <v>0.43</v>
      </c>
      <c r="DG750" s="120">
        <v>46.54</v>
      </c>
      <c r="DH750" s="121">
        <v>98</v>
      </c>
      <c r="DI750" s="122">
        <v>38.35</v>
      </c>
      <c r="DJ750" s="123">
        <v>95</v>
      </c>
      <c r="DK750" s="124">
        <v>18.27</v>
      </c>
      <c r="DL750" s="125">
        <v>90</v>
      </c>
      <c r="DM750" s="126">
        <v>74.81</v>
      </c>
      <c r="DN750" s="127">
        <v>99</v>
      </c>
      <c r="DO750" s="128">
        <v>38.35</v>
      </c>
      <c r="DP750" s="129">
        <v>95</v>
      </c>
      <c r="DQ750" s="130">
        <v>10745</v>
      </c>
      <c r="DR750" s="131">
        <v>334</v>
      </c>
      <c r="DS750" s="132">
        <v>3.21</v>
      </c>
      <c r="DT750" s="133">
        <v>1193</v>
      </c>
      <c r="DU750" s="134">
        <v>8</v>
      </c>
      <c r="DV750" s="135">
        <v>0.68</v>
      </c>
      <c r="DW750" s="136">
        <v>12040</v>
      </c>
      <c r="DX750" s="137">
        <v>3</v>
      </c>
      <c r="DY750" s="138">
        <v>0.02</v>
      </c>
      <c r="DZ750" s="139" t="s">
        <v>191</v>
      </c>
      <c r="EA750" s="140">
        <v>44392</v>
      </c>
      <c r="EB750" s="141">
        <v>6400</v>
      </c>
      <c r="EC750" s="142">
        <v>42865</v>
      </c>
      <c r="ED750" s="143" t="s">
        <v>226</v>
      </c>
      <c r="EE750" s="278" t="str">
        <f>HYPERLINK("https://my.pitchbook.com?c=41297-77", "View company online")</f>
        <v>View company online</v>
      </c>
    </row>
    <row r="751" spans="1:135" x14ac:dyDescent="0.45">
      <c r="A751" s="144" t="s">
        <v>15074</v>
      </c>
      <c r="B751" s="145" t="s">
        <v>15075</v>
      </c>
      <c r="C751" s="146" t="s">
        <v>153</v>
      </c>
      <c r="D751" s="147" t="s">
        <v>153</v>
      </c>
      <c r="E751" s="148" t="s">
        <v>153</v>
      </c>
      <c r="F751" s="149" t="s">
        <v>153</v>
      </c>
      <c r="G751" s="150" t="s">
        <v>15076</v>
      </c>
      <c r="H751" s="151" t="s">
        <v>15077</v>
      </c>
      <c r="I751" s="152" t="s">
        <v>15074</v>
      </c>
      <c r="J751" s="153" t="s">
        <v>15078</v>
      </c>
      <c r="K751" s="154" t="s">
        <v>198</v>
      </c>
      <c r="L751" s="155" t="s">
        <v>199</v>
      </c>
      <c r="M751" s="156" t="s">
        <v>3167</v>
      </c>
      <c r="N751" s="157" t="s">
        <v>15079</v>
      </c>
      <c r="O751" s="158" t="s">
        <v>202</v>
      </c>
      <c r="P751" s="159" t="s">
        <v>15080</v>
      </c>
      <c r="Q751" s="160" t="s">
        <v>204</v>
      </c>
      <c r="R751" s="161">
        <v>356.88</v>
      </c>
      <c r="S751" s="162" t="s">
        <v>163</v>
      </c>
      <c r="T751" s="163" t="s">
        <v>164</v>
      </c>
      <c r="U751" s="164" t="s">
        <v>237</v>
      </c>
      <c r="V751" s="165" t="s">
        <v>15081</v>
      </c>
      <c r="W751" s="166">
        <v>3000</v>
      </c>
      <c r="X751" s="167" t="s">
        <v>15082</v>
      </c>
      <c r="Y751" s="168" t="s">
        <v>153</v>
      </c>
      <c r="Z751" s="169" t="s">
        <v>153</v>
      </c>
      <c r="AA751" s="170">
        <v>1999</v>
      </c>
      <c r="AB751" s="171" t="s">
        <v>15083</v>
      </c>
      <c r="AC751" s="172" t="s">
        <v>570</v>
      </c>
      <c r="AD751" s="173" t="s">
        <v>622</v>
      </c>
      <c r="AE751" s="174" t="s">
        <v>153</v>
      </c>
      <c r="AF751" s="175" t="s">
        <v>153</v>
      </c>
      <c r="AG751" s="176" t="s">
        <v>153</v>
      </c>
      <c r="AH751" s="177" t="s">
        <v>153</v>
      </c>
      <c r="AI751" s="178" t="s">
        <v>153</v>
      </c>
      <c r="AJ751" s="179" t="s">
        <v>153</v>
      </c>
      <c r="AK751" s="180" t="s">
        <v>153</v>
      </c>
      <c r="AL751" s="181" t="s">
        <v>153</v>
      </c>
      <c r="AM751" s="182" t="s">
        <v>153</v>
      </c>
      <c r="AN751" s="183" t="s">
        <v>153</v>
      </c>
      <c r="AO751" s="184" t="s">
        <v>15084</v>
      </c>
      <c r="AP751" s="185" t="s">
        <v>15085</v>
      </c>
      <c r="AQ751" s="186" t="s">
        <v>171</v>
      </c>
      <c r="AR751" s="187" t="s">
        <v>15086</v>
      </c>
      <c r="AS751" s="188" t="s">
        <v>15087</v>
      </c>
      <c r="AT751" s="189" t="s">
        <v>677</v>
      </c>
      <c r="AU751" s="190" t="s">
        <v>15088</v>
      </c>
      <c r="AV751" s="191" t="s">
        <v>153</v>
      </c>
      <c r="AW751" s="192" t="s">
        <v>679</v>
      </c>
      <c r="AX751" s="193" t="s">
        <v>153</v>
      </c>
      <c r="AY751" s="194" t="s">
        <v>15089</v>
      </c>
      <c r="AZ751" s="195" t="s">
        <v>681</v>
      </c>
      <c r="BA751" s="196" t="s">
        <v>15087</v>
      </c>
      <c r="BB751" s="197" t="s">
        <v>15090</v>
      </c>
      <c r="BC751" s="198" t="s">
        <v>153</v>
      </c>
      <c r="BD751" s="199" t="s">
        <v>180</v>
      </c>
      <c r="BE751" s="200" t="s">
        <v>684</v>
      </c>
      <c r="BF751" s="201" t="s">
        <v>15091</v>
      </c>
      <c r="BG751" s="202" t="s">
        <v>153</v>
      </c>
      <c r="BH751" s="203" t="s">
        <v>153</v>
      </c>
      <c r="BI751" s="204" t="s">
        <v>15083</v>
      </c>
      <c r="BJ751" s="205" t="s">
        <v>153</v>
      </c>
      <c r="BK751" s="206" t="s">
        <v>153</v>
      </c>
      <c r="BL751" s="207" t="s">
        <v>153</v>
      </c>
      <c r="BM751" s="208" t="s">
        <v>153</v>
      </c>
      <c r="BN751" s="209" t="s">
        <v>153</v>
      </c>
      <c r="BO751" s="210" t="s">
        <v>6205</v>
      </c>
      <c r="BP751" s="211" t="s">
        <v>15092</v>
      </c>
      <c r="BQ751" s="212">
        <v>40494</v>
      </c>
      <c r="BR751" s="213" t="s">
        <v>153</v>
      </c>
      <c r="BS751" s="214" t="s">
        <v>153</v>
      </c>
      <c r="BT751" s="215" t="s">
        <v>153</v>
      </c>
      <c r="BU751" s="216" t="s">
        <v>153</v>
      </c>
      <c r="BV751" s="217" t="s">
        <v>226</v>
      </c>
      <c r="BW751" s="218" t="s">
        <v>153</v>
      </c>
      <c r="BX751" s="219" t="s">
        <v>153</v>
      </c>
      <c r="BY751" s="220" t="s">
        <v>225</v>
      </c>
      <c r="BZ751" s="221" t="s">
        <v>153</v>
      </c>
      <c r="CA751" s="222" t="s">
        <v>190</v>
      </c>
      <c r="CB751" s="223">
        <v>41919</v>
      </c>
      <c r="CC751" s="224">
        <v>6389.33</v>
      </c>
      <c r="CD751" s="225" t="s">
        <v>186</v>
      </c>
      <c r="CE751" s="226">
        <v>6389.33</v>
      </c>
      <c r="CF751" s="227" t="s">
        <v>186</v>
      </c>
      <c r="CG751" s="228" t="s">
        <v>226</v>
      </c>
      <c r="CH751" s="229" t="s">
        <v>729</v>
      </c>
      <c r="CI751" s="230" t="s">
        <v>153</v>
      </c>
      <c r="CJ751" s="231" t="s">
        <v>225</v>
      </c>
      <c r="CK751" s="232">
        <v>41919</v>
      </c>
      <c r="CL751" s="233" t="s">
        <v>153</v>
      </c>
      <c r="CM751" s="234" t="s">
        <v>153</v>
      </c>
      <c r="CN751" s="235" t="s">
        <v>394</v>
      </c>
      <c r="CO751" s="236">
        <v>-0.03</v>
      </c>
      <c r="CP751" s="237">
        <v>10</v>
      </c>
      <c r="CQ751" s="238">
        <v>0.02</v>
      </c>
      <c r="CR751" s="239">
        <v>44.55</v>
      </c>
      <c r="CS751" s="240">
        <v>0</v>
      </c>
      <c r="CT751" s="241">
        <v>8</v>
      </c>
      <c r="CU751" s="242">
        <v>-0.06</v>
      </c>
      <c r="CV751" s="243">
        <v>29</v>
      </c>
      <c r="CW751" s="244" t="s">
        <v>153</v>
      </c>
      <c r="CX751" s="245" t="s">
        <v>153</v>
      </c>
      <c r="CY751" s="246">
        <v>0</v>
      </c>
      <c r="CZ751" s="247">
        <v>5</v>
      </c>
      <c r="DA751" s="248">
        <v>-0.06</v>
      </c>
      <c r="DB751" s="249">
        <v>29</v>
      </c>
      <c r="DC751" s="250">
        <v>48.34</v>
      </c>
      <c r="DD751" s="251">
        <v>98</v>
      </c>
      <c r="DE751" s="252">
        <v>0.26</v>
      </c>
      <c r="DF751" s="253">
        <v>0.53</v>
      </c>
      <c r="DG751" s="254">
        <v>1</v>
      </c>
      <c r="DH751" s="255">
        <v>51</v>
      </c>
      <c r="DI751" s="256">
        <v>95.67</v>
      </c>
      <c r="DJ751" s="257">
        <v>98</v>
      </c>
      <c r="DK751" s="258" t="s">
        <v>153</v>
      </c>
      <c r="DL751" s="259" t="s">
        <v>153</v>
      </c>
      <c r="DM751" s="260">
        <v>1</v>
      </c>
      <c r="DN751" s="261">
        <v>50</v>
      </c>
      <c r="DO751" s="262">
        <v>95.67</v>
      </c>
      <c r="DP751" s="263">
        <v>98</v>
      </c>
      <c r="DQ751" s="264" t="s">
        <v>153</v>
      </c>
      <c r="DR751" s="265" t="s">
        <v>153</v>
      </c>
      <c r="DS751" s="266" t="s">
        <v>153</v>
      </c>
      <c r="DT751" s="267">
        <v>16</v>
      </c>
      <c r="DU751" s="268">
        <v>-2</v>
      </c>
      <c r="DV751" s="269">
        <v>-11.11</v>
      </c>
      <c r="DW751" s="270">
        <v>30034</v>
      </c>
      <c r="DX751" s="271">
        <v>3</v>
      </c>
      <c r="DY751" s="272">
        <v>0.01</v>
      </c>
      <c r="DZ751" s="273" t="s">
        <v>191</v>
      </c>
      <c r="EA751" s="274">
        <v>44290</v>
      </c>
      <c r="EB751" s="275">
        <v>6389.33</v>
      </c>
      <c r="EC751" s="276">
        <v>41919</v>
      </c>
      <c r="ED751" s="277" t="s">
        <v>226</v>
      </c>
      <c r="EE751" s="279" t="str">
        <f>HYPERLINK("https://my.pitchbook.com?c=62028-64", "View company online")</f>
        <v>View company online</v>
      </c>
    </row>
    <row r="752" spans="1:135" x14ac:dyDescent="0.45">
      <c r="A752" s="10" t="s">
        <v>15093</v>
      </c>
      <c r="B752" s="11" t="s">
        <v>15094</v>
      </c>
      <c r="C752" s="12" t="s">
        <v>153</v>
      </c>
      <c r="D752" s="13" t="s">
        <v>153</v>
      </c>
      <c r="E752" s="14" t="s">
        <v>153</v>
      </c>
      <c r="F752" s="15" t="s">
        <v>153</v>
      </c>
      <c r="G752" s="16" t="s">
        <v>15095</v>
      </c>
      <c r="H752" s="17" t="s">
        <v>153</v>
      </c>
      <c r="I752" s="18" t="s">
        <v>15093</v>
      </c>
      <c r="J752" s="19" t="s">
        <v>15096</v>
      </c>
      <c r="K752" s="20" t="s">
        <v>882</v>
      </c>
      <c r="L752" s="21" t="s">
        <v>2888</v>
      </c>
      <c r="M752" s="22" t="s">
        <v>2889</v>
      </c>
      <c r="N752" s="23" t="s">
        <v>2890</v>
      </c>
      <c r="O752" s="24" t="s">
        <v>153</v>
      </c>
      <c r="P752" s="25" t="s">
        <v>15097</v>
      </c>
      <c r="Q752" s="26" t="s">
        <v>162</v>
      </c>
      <c r="R752" s="27" t="s">
        <v>153</v>
      </c>
      <c r="S752" s="28" t="s">
        <v>163</v>
      </c>
      <c r="T752" s="29" t="s">
        <v>1392</v>
      </c>
      <c r="U752" s="30" t="s">
        <v>165</v>
      </c>
      <c r="V752" s="31" t="s">
        <v>153</v>
      </c>
      <c r="W752" s="32" t="s">
        <v>153</v>
      </c>
      <c r="X752" s="33" t="s">
        <v>153</v>
      </c>
      <c r="Y752" s="34" t="s">
        <v>153</v>
      </c>
      <c r="Z752" s="35" t="s">
        <v>153</v>
      </c>
      <c r="AA752" s="36" t="s">
        <v>153</v>
      </c>
      <c r="AB752" s="37" t="s">
        <v>153</v>
      </c>
      <c r="AC752" s="38" t="s">
        <v>153</v>
      </c>
      <c r="AD752" s="39" t="s">
        <v>153</v>
      </c>
      <c r="AE752" s="40">
        <v>819.97</v>
      </c>
      <c r="AF752" s="41" t="s">
        <v>153</v>
      </c>
      <c r="AG752" s="42" t="s">
        <v>153</v>
      </c>
      <c r="AH752" s="43" t="s">
        <v>153</v>
      </c>
      <c r="AI752" s="44" t="s">
        <v>153</v>
      </c>
      <c r="AJ752" s="45">
        <v>-122.67</v>
      </c>
      <c r="AK752" s="46" t="s">
        <v>153</v>
      </c>
      <c r="AL752" s="47" t="s">
        <v>153</v>
      </c>
      <c r="AM752" s="48">
        <v>-28.04</v>
      </c>
      <c r="AN752" s="49" t="s">
        <v>168</v>
      </c>
      <c r="AO752" s="50" t="s">
        <v>15098</v>
      </c>
      <c r="AP752" s="51" t="s">
        <v>15099</v>
      </c>
      <c r="AQ752" s="52" t="s">
        <v>968</v>
      </c>
      <c r="AR752" s="53" t="s">
        <v>153</v>
      </c>
      <c r="AS752" s="54" t="s">
        <v>153</v>
      </c>
      <c r="AT752" s="55" t="s">
        <v>9798</v>
      </c>
      <c r="AU752" s="56" t="s">
        <v>15100</v>
      </c>
      <c r="AV752" s="57" t="s">
        <v>153</v>
      </c>
      <c r="AW752" s="58" t="s">
        <v>9801</v>
      </c>
      <c r="AX752" s="59" t="s">
        <v>153</v>
      </c>
      <c r="AY752" s="60" t="s">
        <v>15101</v>
      </c>
      <c r="AZ752" s="61" t="s">
        <v>2121</v>
      </c>
      <c r="BA752" s="62" t="s">
        <v>153</v>
      </c>
      <c r="BB752" s="63" t="s">
        <v>153</v>
      </c>
      <c r="BC752" s="64" t="s">
        <v>153</v>
      </c>
      <c r="BD752" s="65" t="s">
        <v>180</v>
      </c>
      <c r="BE752" s="66" t="s">
        <v>684</v>
      </c>
      <c r="BF752" s="67" t="s">
        <v>15102</v>
      </c>
      <c r="BG752" s="68" t="s">
        <v>15103</v>
      </c>
      <c r="BH752" s="69">
        <v>2</v>
      </c>
      <c r="BI752" s="70" t="s">
        <v>153</v>
      </c>
      <c r="BJ752" s="71" t="s">
        <v>153</v>
      </c>
      <c r="BK752" s="72" t="s">
        <v>153</v>
      </c>
      <c r="BL752" s="73" t="s">
        <v>15104</v>
      </c>
      <c r="BM752" s="74" t="s">
        <v>153</v>
      </c>
      <c r="BN752" s="75" t="s">
        <v>153</v>
      </c>
      <c r="BO752" s="76" t="s">
        <v>153</v>
      </c>
      <c r="BP752" s="77" t="s">
        <v>153</v>
      </c>
      <c r="BQ752" s="78">
        <v>43455</v>
      </c>
      <c r="BR752" s="79">
        <v>6363.01</v>
      </c>
      <c r="BS752" s="80" t="s">
        <v>187</v>
      </c>
      <c r="BT752" s="81">
        <v>7953.77</v>
      </c>
      <c r="BU752" s="82" t="s">
        <v>187</v>
      </c>
      <c r="BV752" s="83" t="s">
        <v>188</v>
      </c>
      <c r="BW752" s="84" t="s">
        <v>153</v>
      </c>
      <c r="BX752" s="85" t="s">
        <v>153</v>
      </c>
      <c r="BY752" s="86" t="s">
        <v>165</v>
      </c>
      <c r="BZ752" s="87" t="s">
        <v>153</v>
      </c>
      <c r="CA752" s="88" t="s">
        <v>190</v>
      </c>
      <c r="CB752" s="89">
        <v>43455</v>
      </c>
      <c r="CC752" s="90">
        <v>6363.01</v>
      </c>
      <c r="CD752" s="91" t="s">
        <v>187</v>
      </c>
      <c r="CE752" s="92">
        <v>7953.77</v>
      </c>
      <c r="CF752" s="93" t="s">
        <v>187</v>
      </c>
      <c r="CG752" s="94" t="s">
        <v>188</v>
      </c>
      <c r="CH752" s="95" t="s">
        <v>153</v>
      </c>
      <c r="CI752" s="96" t="s">
        <v>153</v>
      </c>
      <c r="CJ752" s="97" t="s">
        <v>165</v>
      </c>
      <c r="CK752" s="98">
        <v>43455</v>
      </c>
      <c r="CL752" s="99" t="s">
        <v>153</v>
      </c>
      <c r="CM752" s="100" t="s">
        <v>153</v>
      </c>
      <c r="CN752" s="101" t="s">
        <v>190</v>
      </c>
      <c r="CO752" s="102" t="s">
        <v>153</v>
      </c>
      <c r="CP752" s="103" t="s">
        <v>153</v>
      </c>
      <c r="CQ752" s="104" t="s">
        <v>153</v>
      </c>
      <c r="CR752" s="105" t="s">
        <v>153</v>
      </c>
      <c r="CS752" s="106" t="s">
        <v>153</v>
      </c>
      <c r="CT752" s="107" t="s">
        <v>153</v>
      </c>
      <c r="CU752" s="108" t="s">
        <v>153</v>
      </c>
      <c r="CV752" s="109" t="s">
        <v>153</v>
      </c>
      <c r="CW752" s="110" t="s">
        <v>153</v>
      </c>
      <c r="CX752" s="111" t="s">
        <v>153</v>
      </c>
      <c r="CY752" s="112" t="s">
        <v>153</v>
      </c>
      <c r="CZ752" s="113" t="s">
        <v>153</v>
      </c>
      <c r="DA752" s="114" t="s">
        <v>153</v>
      </c>
      <c r="DB752" s="115" t="s">
        <v>153</v>
      </c>
      <c r="DC752" s="116" t="s">
        <v>153</v>
      </c>
      <c r="DD752" s="117" t="s">
        <v>153</v>
      </c>
      <c r="DE752" s="118" t="s">
        <v>153</v>
      </c>
      <c r="DF752" s="119" t="s">
        <v>153</v>
      </c>
      <c r="DG752" s="120" t="s">
        <v>153</v>
      </c>
      <c r="DH752" s="121" t="s">
        <v>153</v>
      </c>
      <c r="DI752" s="122" t="s">
        <v>153</v>
      </c>
      <c r="DJ752" s="123" t="s">
        <v>153</v>
      </c>
      <c r="DK752" s="124" t="s">
        <v>153</v>
      </c>
      <c r="DL752" s="125" t="s">
        <v>153</v>
      </c>
      <c r="DM752" s="126" t="s">
        <v>153</v>
      </c>
      <c r="DN752" s="127" t="s">
        <v>153</v>
      </c>
      <c r="DO752" s="128" t="s">
        <v>153</v>
      </c>
      <c r="DP752" s="129" t="s">
        <v>153</v>
      </c>
      <c r="DQ752" s="130" t="s">
        <v>153</v>
      </c>
      <c r="DR752" s="131" t="s">
        <v>153</v>
      </c>
      <c r="DS752" s="132" t="s">
        <v>153</v>
      </c>
      <c r="DT752" s="133" t="s">
        <v>153</v>
      </c>
      <c r="DU752" s="134" t="s">
        <v>153</v>
      </c>
      <c r="DV752" s="135" t="s">
        <v>153</v>
      </c>
      <c r="DW752" s="136" t="s">
        <v>153</v>
      </c>
      <c r="DX752" s="137" t="s">
        <v>153</v>
      </c>
      <c r="DY752" s="138" t="s">
        <v>153</v>
      </c>
      <c r="DZ752" s="139" t="s">
        <v>191</v>
      </c>
      <c r="EA752" s="140">
        <v>44366</v>
      </c>
      <c r="EB752" s="141">
        <v>7953.77</v>
      </c>
      <c r="EC752" s="142">
        <v>43455</v>
      </c>
      <c r="ED752" s="143" t="s">
        <v>188</v>
      </c>
      <c r="EE752" s="278" t="str">
        <f>HYPERLINK("https://my.pitchbook.com?c=230411-17", "View company online")</f>
        <v>View company online</v>
      </c>
    </row>
    <row r="753" spans="1:135" x14ac:dyDescent="0.45">
      <c r="A753" s="144" t="s">
        <v>15105</v>
      </c>
      <c r="B753" s="145" t="s">
        <v>15106</v>
      </c>
      <c r="C753" s="146" t="s">
        <v>153</v>
      </c>
      <c r="D753" s="147" t="s">
        <v>153</v>
      </c>
      <c r="E753" s="148" t="s">
        <v>153</v>
      </c>
      <c r="F753" s="149" t="s">
        <v>153</v>
      </c>
      <c r="G753" s="150" t="s">
        <v>153</v>
      </c>
      <c r="H753" s="151" t="s">
        <v>153</v>
      </c>
      <c r="I753" s="152" t="s">
        <v>15105</v>
      </c>
      <c r="J753" s="153" t="s">
        <v>15107</v>
      </c>
      <c r="K753" s="154" t="s">
        <v>257</v>
      </c>
      <c r="L753" s="155" t="s">
        <v>258</v>
      </c>
      <c r="M753" s="156" t="s">
        <v>259</v>
      </c>
      <c r="N753" s="157" t="s">
        <v>260</v>
      </c>
      <c r="O753" s="158" t="s">
        <v>261</v>
      </c>
      <c r="P753" s="159" t="s">
        <v>15108</v>
      </c>
      <c r="Q753" s="160" t="s">
        <v>204</v>
      </c>
      <c r="R753" s="161" t="s">
        <v>153</v>
      </c>
      <c r="S753" s="162" t="s">
        <v>163</v>
      </c>
      <c r="T753" s="163" t="s">
        <v>205</v>
      </c>
      <c r="U753" s="164" t="s">
        <v>206</v>
      </c>
      <c r="V753" s="165" t="s">
        <v>153</v>
      </c>
      <c r="W753" s="166">
        <v>3800</v>
      </c>
      <c r="X753" s="167" t="s">
        <v>15109</v>
      </c>
      <c r="Y753" s="168" t="s">
        <v>153</v>
      </c>
      <c r="Z753" s="169" t="s">
        <v>153</v>
      </c>
      <c r="AA753" s="170" t="s">
        <v>153</v>
      </c>
      <c r="AB753" s="171" t="s">
        <v>153</v>
      </c>
      <c r="AC753" s="172" t="s">
        <v>153</v>
      </c>
      <c r="AD753" s="173" t="s">
        <v>153</v>
      </c>
      <c r="AE753" s="174" t="s">
        <v>153</v>
      </c>
      <c r="AF753" s="175" t="s">
        <v>153</v>
      </c>
      <c r="AG753" s="176" t="s">
        <v>153</v>
      </c>
      <c r="AH753" s="177" t="s">
        <v>153</v>
      </c>
      <c r="AI753" s="178" t="s">
        <v>153</v>
      </c>
      <c r="AJ753" s="179" t="s">
        <v>153</v>
      </c>
      <c r="AK753" s="180" t="s">
        <v>153</v>
      </c>
      <c r="AL753" s="181" t="s">
        <v>153</v>
      </c>
      <c r="AM753" s="182" t="s">
        <v>153</v>
      </c>
      <c r="AN753" s="183" t="s">
        <v>153</v>
      </c>
      <c r="AO753" s="184" t="s">
        <v>153</v>
      </c>
      <c r="AP753" s="185" t="s">
        <v>153</v>
      </c>
      <c r="AQ753" s="186" t="s">
        <v>153</v>
      </c>
      <c r="AR753" s="187" t="s">
        <v>153</v>
      </c>
      <c r="AS753" s="188" t="s">
        <v>153</v>
      </c>
      <c r="AT753" s="189" t="s">
        <v>701</v>
      </c>
      <c r="AU753" s="190" t="s">
        <v>153</v>
      </c>
      <c r="AV753" s="191" t="s">
        <v>153</v>
      </c>
      <c r="AW753" s="192" t="s">
        <v>153</v>
      </c>
      <c r="AX753" s="193" t="s">
        <v>153</v>
      </c>
      <c r="AY753" s="194" t="s">
        <v>153</v>
      </c>
      <c r="AZ753" s="195" t="s">
        <v>701</v>
      </c>
      <c r="BA753" s="196" t="s">
        <v>153</v>
      </c>
      <c r="BB753" s="197" t="s">
        <v>153</v>
      </c>
      <c r="BC753" s="198" t="s">
        <v>153</v>
      </c>
      <c r="BD753" s="199" t="s">
        <v>180</v>
      </c>
      <c r="BE753" s="200" t="s">
        <v>181</v>
      </c>
      <c r="BF753" s="201" t="s">
        <v>15110</v>
      </c>
      <c r="BG753" s="202" t="s">
        <v>153</v>
      </c>
      <c r="BH753" s="203" t="s">
        <v>153</v>
      </c>
      <c r="BI753" s="204" t="s">
        <v>6916</v>
      </c>
      <c r="BJ753" s="205" t="s">
        <v>593</v>
      </c>
      <c r="BK753" s="206" t="s">
        <v>153</v>
      </c>
      <c r="BL753" s="207" t="s">
        <v>153</v>
      </c>
      <c r="BM753" s="208" t="s">
        <v>6658</v>
      </c>
      <c r="BN753" s="209" t="s">
        <v>153</v>
      </c>
      <c r="BO753" s="210" t="s">
        <v>153</v>
      </c>
      <c r="BP753" s="211" t="s">
        <v>15111</v>
      </c>
      <c r="BQ753" s="212">
        <v>42062</v>
      </c>
      <c r="BR753" s="213">
        <v>6353.34</v>
      </c>
      <c r="BS753" s="214" t="s">
        <v>186</v>
      </c>
      <c r="BT753" s="215">
        <v>6353.34</v>
      </c>
      <c r="BU753" s="216" t="s">
        <v>186</v>
      </c>
      <c r="BV753" s="217" t="s">
        <v>226</v>
      </c>
      <c r="BW753" s="218" t="s">
        <v>729</v>
      </c>
      <c r="BX753" s="219" t="s">
        <v>153</v>
      </c>
      <c r="BY753" s="220" t="s">
        <v>225</v>
      </c>
      <c r="BZ753" s="221" t="s">
        <v>153</v>
      </c>
      <c r="CA753" s="222" t="s">
        <v>190</v>
      </c>
      <c r="CB753" s="223">
        <v>42062</v>
      </c>
      <c r="CC753" s="224">
        <v>6353.34</v>
      </c>
      <c r="CD753" s="225" t="s">
        <v>186</v>
      </c>
      <c r="CE753" s="226">
        <v>6353.34</v>
      </c>
      <c r="CF753" s="227" t="s">
        <v>186</v>
      </c>
      <c r="CG753" s="228" t="s">
        <v>226</v>
      </c>
      <c r="CH753" s="229" t="s">
        <v>729</v>
      </c>
      <c r="CI753" s="230" t="s">
        <v>153</v>
      </c>
      <c r="CJ753" s="231" t="s">
        <v>225</v>
      </c>
      <c r="CK753" s="232">
        <v>42062</v>
      </c>
      <c r="CL753" s="233" t="s">
        <v>153</v>
      </c>
      <c r="CM753" s="234" t="s">
        <v>153</v>
      </c>
      <c r="CN753" s="235" t="s">
        <v>190</v>
      </c>
      <c r="CO753" s="236" t="s">
        <v>153</v>
      </c>
      <c r="CP753" s="237" t="s">
        <v>153</v>
      </c>
      <c r="CQ753" s="238" t="s">
        <v>153</v>
      </c>
      <c r="CR753" s="239" t="s">
        <v>153</v>
      </c>
      <c r="CS753" s="240" t="s">
        <v>153</v>
      </c>
      <c r="CT753" s="241" t="s">
        <v>153</v>
      </c>
      <c r="CU753" s="242" t="s">
        <v>153</v>
      </c>
      <c r="CV753" s="243" t="s">
        <v>153</v>
      </c>
      <c r="CW753" s="244" t="s">
        <v>153</v>
      </c>
      <c r="CX753" s="245" t="s">
        <v>153</v>
      </c>
      <c r="CY753" s="246" t="s">
        <v>153</v>
      </c>
      <c r="CZ753" s="247" t="s">
        <v>153</v>
      </c>
      <c r="DA753" s="248" t="s">
        <v>153</v>
      </c>
      <c r="DB753" s="249" t="s">
        <v>153</v>
      </c>
      <c r="DC753" s="250" t="s">
        <v>153</v>
      </c>
      <c r="DD753" s="251" t="s">
        <v>153</v>
      </c>
      <c r="DE753" s="252" t="s">
        <v>153</v>
      </c>
      <c r="DF753" s="253" t="s">
        <v>153</v>
      </c>
      <c r="DG753" s="254" t="s">
        <v>153</v>
      </c>
      <c r="DH753" s="255" t="s">
        <v>153</v>
      </c>
      <c r="DI753" s="256" t="s">
        <v>153</v>
      </c>
      <c r="DJ753" s="257" t="s">
        <v>153</v>
      </c>
      <c r="DK753" s="258" t="s">
        <v>153</v>
      </c>
      <c r="DL753" s="259" t="s">
        <v>153</v>
      </c>
      <c r="DM753" s="260" t="s">
        <v>153</v>
      </c>
      <c r="DN753" s="261" t="s">
        <v>153</v>
      </c>
      <c r="DO753" s="262" t="s">
        <v>153</v>
      </c>
      <c r="DP753" s="263" t="s">
        <v>153</v>
      </c>
      <c r="DQ753" s="264" t="s">
        <v>153</v>
      </c>
      <c r="DR753" s="265" t="s">
        <v>153</v>
      </c>
      <c r="DS753" s="266" t="s">
        <v>153</v>
      </c>
      <c r="DT753" s="267" t="s">
        <v>153</v>
      </c>
      <c r="DU753" s="268" t="s">
        <v>153</v>
      </c>
      <c r="DV753" s="269" t="s">
        <v>153</v>
      </c>
      <c r="DW753" s="270" t="s">
        <v>153</v>
      </c>
      <c r="DX753" s="271" t="s">
        <v>153</v>
      </c>
      <c r="DY753" s="272" t="s">
        <v>153</v>
      </c>
      <c r="DZ753" s="273" t="s">
        <v>191</v>
      </c>
      <c r="EA753" s="274">
        <v>44301</v>
      </c>
      <c r="EB753" s="275">
        <v>6353.34</v>
      </c>
      <c r="EC753" s="276">
        <v>42062</v>
      </c>
      <c r="ED753" s="277" t="s">
        <v>226</v>
      </c>
      <c r="EE753" s="279" t="str">
        <f>HYPERLINK("https://my.pitchbook.com?c=64914-49", "View company online")</f>
        <v>View company online</v>
      </c>
    </row>
    <row r="754" spans="1:135" x14ac:dyDescent="0.45">
      <c r="A754" s="10" t="s">
        <v>15112</v>
      </c>
      <c r="B754" s="11" t="s">
        <v>15113</v>
      </c>
      <c r="C754" s="12" t="s">
        <v>153</v>
      </c>
      <c r="D754" s="13" t="s">
        <v>153</v>
      </c>
      <c r="E754" s="14" t="s">
        <v>153</v>
      </c>
      <c r="F754" s="15" t="s">
        <v>153</v>
      </c>
      <c r="G754" s="16" t="s">
        <v>15114</v>
      </c>
      <c r="H754" s="17" t="s">
        <v>153</v>
      </c>
      <c r="I754" s="18" t="s">
        <v>15112</v>
      </c>
      <c r="J754" s="19" t="s">
        <v>15115</v>
      </c>
      <c r="K754" s="20" t="s">
        <v>198</v>
      </c>
      <c r="L754" s="21" t="s">
        <v>199</v>
      </c>
      <c r="M754" s="22" t="s">
        <v>200</v>
      </c>
      <c r="N754" s="23" t="s">
        <v>15116</v>
      </c>
      <c r="O754" s="24" t="s">
        <v>399</v>
      </c>
      <c r="P754" s="25" t="s">
        <v>15117</v>
      </c>
      <c r="Q754" s="26" t="s">
        <v>1487</v>
      </c>
      <c r="R754" s="27" t="s">
        <v>153</v>
      </c>
      <c r="S754" s="28" t="s">
        <v>290</v>
      </c>
      <c r="T754" s="29" t="s">
        <v>1392</v>
      </c>
      <c r="U754" s="30" t="s">
        <v>2000</v>
      </c>
      <c r="V754" s="31" t="s">
        <v>15118</v>
      </c>
      <c r="W754" s="32" t="s">
        <v>153</v>
      </c>
      <c r="X754" s="33" t="s">
        <v>153</v>
      </c>
      <c r="Y754" s="34" t="s">
        <v>153</v>
      </c>
      <c r="Z754" s="35" t="s">
        <v>153</v>
      </c>
      <c r="AA754" s="36">
        <v>2018</v>
      </c>
      <c r="AB754" s="37" t="s">
        <v>153</v>
      </c>
      <c r="AC754" s="38" t="s">
        <v>153</v>
      </c>
      <c r="AD754" s="39" t="s">
        <v>153</v>
      </c>
      <c r="AE754" s="40" t="s">
        <v>153</v>
      </c>
      <c r="AF754" s="41" t="s">
        <v>153</v>
      </c>
      <c r="AG754" s="42" t="s">
        <v>153</v>
      </c>
      <c r="AH754" s="43" t="s">
        <v>153</v>
      </c>
      <c r="AI754" s="44" t="s">
        <v>153</v>
      </c>
      <c r="AJ754" s="45" t="s">
        <v>153</v>
      </c>
      <c r="AK754" s="46" t="s">
        <v>153</v>
      </c>
      <c r="AL754" s="47" t="s">
        <v>153</v>
      </c>
      <c r="AM754" s="48" t="s">
        <v>153</v>
      </c>
      <c r="AN754" s="49" t="s">
        <v>1442</v>
      </c>
      <c r="AO754" s="50" t="s">
        <v>15119</v>
      </c>
      <c r="AP754" s="51" t="s">
        <v>15120</v>
      </c>
      <c r="AQ754" s="52" t="s">
        <v>1241</v>
      </c>
      <c r="AR754" s="53" t="s">
        <v>15121</v>
      </c>
      <c r="AS754" s="54" t="s">
        <v>153</v>
      </c>
      <c r="AT754" s="55" t="s">
        <v>15122</v>
      </c>
      <c r="AU754" s="56" t="s">
        <v>15123</v>
      </c>
      <c r="AV754" s="57" t="s">
        <v>153</v>
      </c>
      <c r="AW754" s="58" t="s">
        <v>15124</v>
      </c>
      <c r="AX754" s="59" t="s">
        <v>153</v>
      </c>
      <c r="AY754" s="60" t="s">
        <v>15125</v>
      </c>
      <c r="AZ754" s="61" t="s">
        <v>701</v>
      </c>
      <c r="BA754" s="62" t="s">
        <v>153</v>
      </c>
      <c r="BB754" s="63" t="s">
        <v>153</v>
      </c>
      <c r="BC754" s="64" t="s">
        <v>15126</v>
      </c>
      <c r="BD754" s="65" t="s">
        <v>180</v>
      </c>
      <c r="BE754" s="66" t="s">
        <v>181</v>
      </c>
      <c r="BF754" s="67" t="s">
        <v>15127</v>
      </c>
      <c r="BG754" s="68" t="s">
        <v>15128</v>
      </c>
      <c r="BH754" s="69">
        <v>2</v>
      </c>
      <c r="BI754" s="70" t="s">
        <v>153</v>
      </c>
      <c r="BJ754" s="71" t="s">
        <v>153</v>
      </c>
      <c r="BK754" s="72" t="s">
        <v>7039</v>
      </c>
      <c r="BL754" s="73" t="s">
        <v>15129</v>
      </c>
      <c r="BM754" s="74" t="s">
        <v>153</v>
      </c>
      <c r="BN754" s="75" t="s">
        <v>15130</v>
      </c>
      <c r="BO754" s="76" t="s">
        <v>153</v>
      </c>
      <c r="BP754" s="77" t="s">
        <v>153</v>
      </c>
      <c r="BQ754" s="78">
        <v>43271</v>
      </c>
      <c r="BR754" s="79">
        <v>2308.34</v>
      </c>
      <c r="BS754" s="80" t="s">
        <v>186</v>
      </c>
      <c r="BT754" s="81">
        <v>4617.6000000000004</v>
      </c>
      <c r="BU754" s="82" t="s">
        <v>187</v>
      </c>
      <c r="BV754" s="83" t="s">
        <v>906</v>
      </c>
      <c r="BW754" s="84" t="s">
        <v>153</v>
      </c>
      <c r="BX754" s="85" t="s">
        <v>153</v>
      </c>
      <c r="BY754" s="86" t="s">
        <v>165</v>
      </c>
      <c r="BZ754" s="87" t="s">
        <v>153</v>
      </c>
      <c r="CA754" s="88" t="s">
        <v>190</v>
      </c>
      <c r="CB754" s="89">
        <v>44230</v>
      </c>
      <c r="CC754" s="90">
        <v>6319.54</v>
      </c>
      <c r="CD754" s="91" t="s">
        <v>186</v>
      </c>
      <c r="CE754" s="92">
        <v>6319.54</v>
      </c>
      <c r="CF754" s="93" t="s">
        <v>186</v>
      </c>
      <c r="CG754" s="94" t="s">
        <v>226</v>
      </c>
      <c r="CH754" s="95" t="s">
        <v>153</v>
      </c>
      <c r="CI754" s="96" t="s">
        <v>153</v>
      </c>
      <c r="CJ754" s="97" t="s">
        <v>225</v>
      </c>
      <c r="CK754" s="98">
        <v>44230</v>
      </c>
      <c r="CL754" s="99" t="s">
        <v>153</v>
      </c>
      <c r="CM754" s="100" t="s">
        <v>153</v>
      </c>
      <c r="CN754" s="101" t="s">
        <v>1278</v>
      </c>
      <c r="CO754" s="102" t="s">
        <v>153</v>
      </c>
      <c r="CP754" s="103" t="s">
        <v>153</v>
      </c>
      <c r="CQ754" s="104" t="s">
        <v>153</v>
      </c>
      <c r="CR754" s="105" t="s">
        <v>153</v>
      </c>
      <c r="CS754" s="106" t="s">
        <v>153</v>
      </c>
      <c r="CT754" s="107" t="s">
        <v>153</v>
      </c>
      <c r="CU754" s="108" t="s">
        <v>153</v>
      </c>
      <c r="CV754" s="109" t="s">
        <v>153</v>
      </c>
      <c r="CW754" s="110" t="s">
        <v>153</v>
      </c>
      <c r="CX754" s="111" t="s">
        <v>153</v>
      </c>
      <c r="CY754" s="112" t="s">
        <v>153</v>
      </c>
      <c r="CZ754" s="113" t="s">
        <v>153</v>
      </c>
      <c r="DA754" s="114" t="s">
        <v>153</v>
      </c>
      <c r="DB754" s="115" t="s">
        <v>153</v>
      </c>
      <c r="DC754" s="116" t="s">
        <v>153</v>
      </c>
      <c r="DD754" s="117" t="s">
        <v>153</v>
      </c>
      <c r="DE754" s="118" t="s">
        <v>153</v>
      </c>
      <c r="DF754" s="119" t="s">
        <v>153</v>
      </c>
      <c r="DG754" s="120" t="s">
        <v>153</v>
      </c>
      <c r="DH754" s="121" t="s">
        <v>153</v>
      </c>
      <c r="DI754" s="122" t="s">
        <v>153</v>
      </c>
      <c r="DJ754" s="123" t="s">
        <v>153</v>
      </c>
      <c r="DK754" s="124" t="s">
        <v>153</v>
      </c>
      <c r="DL754" s="125" t="s">
        <v>153</v>
      </c>
      <c r="DM754" s="126" t="s">
        <v>153</v>
      </c>
      <c r="DN754" s="127" t="s">
        <v>153</v>
      </c>
      <c r="DO754" s="128" t="s">
        <v>153</v>
      </c>
      <c r="DP754" s="129" t="s">
        <v>153</v>
      </c>
      <c r="DQ754" s="130" t="s">
        <v>153</v>
      </c>
      <c r="DR754" s="131" t="s">
        <v>153</v>
      </c>
      <c r="DS754" s="132" t="s">
        <v>153</v>
      </c>
      <c r="DT754" s="133" t="s">
        <v>153</v>
      </c>
      <c r="DU754" s="134" t="s">
        <v>153</v>
      </c>
      <c r="DV754" s="135" t="s">
        <v>153</v>
      </c>
      <c r="DW754" s="136" t="s">
        <v>153</v>
      </c>
      <c r="DX754" s="137" t="s">
        <v>153</v>
      </c>
      <c r="DY754" s="138" t="s">
        <v>153</v>
      </c>
      <c r="DZ754" s="139" t="s">
        <v>191</v>
      </c>
      <c r="EA754" s="140">
        <v>44403</v>
      </c>
      <c r="EB754" s="141">
        <v>6319.54</v>
      </c>
      <c r="EC754" s="142">
        <v>44230</v>
      </c>
      <c r="ED754" s="143" t="s">
        <v>226</v>
      </c>
      <c r="EE754" s="278" t="str">
        <f>HYPERLINK("https://my.pitchbook.com?c=226715-14", "View company online")</f>
        <v>View company online</v>
      </c>
    </row>
    <row r="755" spans="1:135" x14ac:dyDescent="0.45">
      <c r="A755" s="144" t="s">
        <v>15131</v>
      </c>
      <c r="B755" s="145" t="s">
        <v>15132</v>
      </c>
      <c r="C755" s="146" t="s">
        <v>153</v>
      </c>
      <c r="D755" s="147" t="s">
        <v>153</v>
      </c>
      <c r="E755" s="148" t="s">
        <v>15133</v>
      </c>
      <c r="F755" s="149" t="s">
        <v>15134</v>
      </c>
      <c r="G755" s="150" t="s">
        <v>15135</v>
      </c>
      <c r="H755" s="151" t="s">
        <v>15136</v>
      </c>
      <c r="I755" s="152" t="s">
        <v>15131</v>
      </c>
      <c r="J755" s="153" t="s">
        <v>15137</v>
      </c>
      <c r="K755" s="154" t="s">
        <v>257</v>
      </c>
      <c r="L755" s="155" t="s">
        <v>530</v>
      </c>
      <c r="M755" s="156" t="s">
        <v>12100</v>
      </c>
      <c r="N755" s="157" t="s">
        <v>15138</v>
      </c>
      <c r="O755" s="158" t="s">
        <v>450</v>
      </c>
      <c r="P755" s="159" t="s">
        <v>15139</v>
      </c>
      <c r="Q755" s="160" t="s">
        <v>162</v>
      </c>
      <c r="R755" s="161" t="s">
        <v>153</v>
      </c>
      <c r="S755" s="162" t="s">
        <v>290</v>
      </c>
      <c r="T755" s="163" t="s">
        <v>164</v>
      </c>
      <c r="U755" s="164" t="s">
        <v>3170</v>
      </c>
      <c r="V755" s="165" t="s">
        <v>15140</v>
      </c>
      <c r="W755" s="166">
        <v>40000</v>
      </c>
      <c r="X755" s="167" t="s">
        <v>15141</v>
      </c>
      <c r="Y755" s="168" t="s">
        <v>153</v>
      </c>
      <c r="Z755" s="169" t="s">
        <v>153</v>
      </c>
      <c r="AA755" s="170">
        <v>1998</v>
      </c>
      <c r="AB755" s="171" t="s">
        <v>15142</v>
      </c>
      <c r="AC755" s="172" t="s">
        <v>153</v>
      </c>
      <c r="AD755" s="173" t="s">
        <v>153</v>
      </c>
      <c r="AE755" s="174" t="s">
        <v>153</v>
      </c>
      <c r="AF755" s="175" t="s">
        <v>153</v>
      </c>
      <c r="AG755" s="176" t="s">
        <v>153</v>
      </c>
      <c r="AH755" s="177" t="s">
        <v>153</v>
      </c>
      <c r="AI755" s="178" t="s">
        <v>153</v>
      </c>
      <c r="AJ755" s="179" t="s">
        <v>153</v>
      </c>
      <c r="AK755" s="180" t="s">
        <v>153</v>
      </c>
      <c r="AL755" s="181" t="s">
        <v>153</v>
      </c>
      <c r="AM755" s="182" t="s">
        <v>153</v>
      </c>
      <c r="AN755" s="183" t="s">
        <v>1442</v>
      </c>
      <c r="AO755" s="184" t="s">
        <v>15143</v>
      </c>
      <c r="AP755" s="185" t="s">
        <v>15144</v>
      </c>
      <c r="AQ755" s="186" t="s">
        <v>15145</v>
      </c>
      <c r="AR755" s="187" t="s">
        <v>15146</v>
      </c>
      <c r="AS755" s="188" t="s">
        <v>15147</v>
      </c>
      <c r="AT755" s="189" t="s">
        <v>2116</v>
      </c>
      <c r="AU755" s="190" t="s">
        <v>15148</v>
      </c>
      <c r="AV755" s="191" t="s">
        <v>153</v>
      </c>
      <c r="AW755" s="192" t="s">
        <v>2119</v>
      </c>
      <c r="AX755" s="193" t="s">
        <v>153</v>
      </c>
      <c r="AY755" s="194" t="s">
        <v>15149</v>
      </c>
      <c r="AZ755" s="195" t="s">
        <v>2121</v>
      </c>
      <c r="BA755" s="196" t="s">
        <v>15147</v>
      </c>
      <c r="BB755" s="197" t="s">
        <v>153</v>
      </c>
      <c r="BC755" s="198" t="s">
        <v>15150</v>
      </c>
      <c r="BD755" s="199" t="s">
        <v>180</v>
      </c>
      <c r="BE755" s="200" t="s">
        <v>684</v>
      </c>
      <c r="BF755" s="201" t="s">
        <v>15151</v>
      </c>
      <c r="BG755" s="202" t="s">
        <v>15152</v>
      </c>
      <c r="BH755" s="203">
        <v>2</v>
      </c>
      <c r="BI755" s="204" t="s">
        <v>15142</v>
      </c>
      <c r="BJ755" s="205" t="s">
        <v>15153</v>
      </c>
      <c r="BK755" s="206" t="s">
        <v>153</v>
      </c>
      <c r="BL755" s="207" t="s">
        <v>15154</v>
      </c>
      <c r="BM755" s="208" t="s">
        <v>15155</v>
      </c>
      <c r="BN755" s="209" t="s">
        <v>153</v>
      </c>
      <c r="BO755" s="210" t="s">
        <v>15156</v>
      </c>
      <c r="BP755" s="211" t="s">
        <v>15157</v>
      </c>
      <c r="BQ755" s="212">
        <v>35855</v>
      </c>
      <c r="BR755" s="213">
        <v>85</v>
      </c>
      <c r="BS755" s="214" t="s">
        <v>186</v>
      </c>
      <c r="BT755" s="215">
        <v>85</v>
      </c>
      <c r="BU755" s="216" t="s">
        <v>153</v>
      </c>
      <c r="BV755" s="217" t="s">
        <v>188</v>
      </c>
      <c r="BW755" s="218" t="s">
        <v>153</v>
      </c>
      <c r="BX755" s="219" t="s">
        <v>153</v>
      </c>
      <c r="BY755" s="220" t="s">
        <v>165</v>
      </c>
      <c r="BZ755" s="221" t="s">
        <v>153</v>
      </c>
      <c r="CA755" s="222" t="s">
        <v>190</v>
      </c>
      <c r="CB755" s="223">
        <v>42767</v>
      </c>
      <c r="CC755" s="224">
        <v>6313.82</v>
      </c>
      <c r="CD755" s="225" t="s">
        <v>186</v>
      </c>
      <c r="CE755" s="226">
        <v>6313.82</v>
      </c>
      <c r="CF755" s="227" t="s">
        <v>187</v>
      </c>
      <c r="CG755" s="228" t="s">
        <v>226</v>
      </c>
      <c r="CH755" s="229" t="s">
        <v>153</v>
      </c>
      <c r="CI755" s="230" t="s">
        <v>153</v>
      </c>
      <c r="CJ755" s="231" t="s">
        <v>225</v>
      </c>
      <c r="CK755" s="232">
        <v>42767</v>
      </c>
      <c r="CL755" s="233" t="s">
        <v>153</v>
      </c>
      <c r="CM755" s="234" t="s">
        <v>153</v>
      </c>
      <c r="CN755" s="235" t="s">
        <v>190</v>
      </c>
      <c r="CO755" s="236">
        <v>0.47</v>
      </c>
      <c r="CP755" s="237">
        <v>93</v>
      </c>
      <c r="CQ755" s="238">
        <v>-0.05</v>
      </c>
      <c r="CR755" s="239">
        <v>-9.57</v>
      </c>
      <c r="CS755" s="240">
        <v>0.73</v>
      </c>
      <c r="CT755" s="241">
        <v>94</v>
      </c>
      <c r="CU755" s="242">
        <v>0.3</v>
      </c>
      <c r="CV755" s="243">
        <v>94</v>
      </c>
      <c r="CW755" s="244">
        <v>1.01</v>
      </c>
      <c r="CX755" s="245">
        <v>82</v>
      </c>
      <c r="CY755" s="246">
        <v>0.44</v>
      </c>
      <c r="CZ755" s="247">
        <v>94</v>
      </c>
      <c r="DA755" s="248">
        <v>0.3</v>
      </c>
      <c r="DB755" s="249">
        <v>94</v>
      </c>
      <c r="DC755" s="250">
        <v>594.16</v>
      </c>
      <c r="DD755" s="251">
        <v>100</v>
      </c>
      <c r="DE755" s="252">
        <v>0.27</v>
      </c>
      <c r="DF755" s="253">
        <v>0.05</v>
      </c>
      <c r="DG755" s="254">
        <v>556.04</v>
      </c>
      <c r="DH755" s="255">
        <v>100</v>
      </c>
      <c r="DI755" s="256">
        <v>145.35</v>
      </c>
      <c r="DJ755" s="257">
        <v>98</v>
      </c>
      <c r="DK755" s="258">
        <v>897.39</v>
      </c>
      <c r="DL755" s="259">
        <v>100</v>
      </c>
      <c r="DM755" s="260">
        <v>214.69</v>
      </c>
      <c r="DN755" s="261">
        <v>100</v>
      </c>
      <c r="DO755" s="262">
        <v>145.35</v>
      </c>
      <c r="DP755" s="263">
        <v>98</v>
      </c>
      <c r="DQ755" s="264">
        <v>531503</v>
      </c>
      <c r="DR755" s="265">
        <v>2370</v>
      </c>
      <c r="DS755" s="266">
        <v>0.45</v>
      </c>
      <c r="DT755" s="267">
        <v>3443</v>
      </c>
      <c r="DU755" s="268">
        <v>-21</v>
      </c>
      <c r="DV755" s="269">
        <v>-0.61</v>
      </c>
      <c r="DW755" s="270">
        <v>45578</v>
      </c>
      <c r="DX755" s="271">
        <v>164</v>
      </c>
      <c r="DY755" s="272">
        <v>0.36</v>
      </c>
      <c r="DZ755" s="273" t="s">
        <v>191</v>
      </c>
      <c r="EA755" s="274">
        <v>44385</v>
      </c>
      <c r="EB755" s="275">
        <v>6313.82</v>
      </c>
      <c r="EC755" s="276">
        <v>42767</v>
      </c>
      <c r="ED755" s="277" t="s">
        <v>226</v>
      </c>
      <c r="EE755" s="279" t="str">
        <f>HYPERLINK("https://my.pitchbook.com?c=61413-85", "View company online")</f>
        <v>View company online</v>
      </c>
    </row>
    <row r="756" spans="1:135" x14ac:dyDescent="0.45">
      <c r="A756" s="10" t="s">
        <v>15158</v>
      </c>
      <c r="B756" s="11" t="s">
        <v>15159</v>
      </c>
      <c r="C756" s="12" t="s">
        <v>153</v>
      </c>
      <c r="D756" s="13" t="s">
        <v>153</v>
      </c>
      <c r="E756" s="14" t="s">
        <v>153</v>
      </c>
      <c r="F756" s="15" t="s">
        <v>153</v>
      </c>
      <c r="G756" s="16" t="s">
        <v>153</v>
      </c>
      <c r="H756" s="17" t="s">
        <v>153</v>
      </c>
      <c r="I756" s="18" t="s">
        <v>15158</v>
      </c>
      <c r="J756" s="19" t="s">
        <v>15160</v>
      </c>
      <c r="K756" s="20" t="s">
        <v>882</v>
      </c>
      <c r="L756" s="21" t="s">
        <v>1257</v>
      </c>
      <c r="M756" s="22" t="s">
        <v>6835</v>
      </c>
      <c r="N756" s="23" t="s">
        <v>15161</v>
      </c>
      <c r="O756" s="24" t="s">
        <v>15162</v>
      </c>
      <c r="P756" s="25" t="s">
        <v>15163</v>
      </c>
      <c r="Q756" s="26" t="s">
        <v>204</v>
      </c>
      <c r="R756" s="27" t="s">
        <v>153</v>
      </c>
      <c r="S756" s="28" t="s">
        <v>163</v>
      </c>
      <c r="T756" s="29" t="s">
        <v>205</v>
      </c>
      <c r="U756" s="30" t="s">
        <v>206</v>
      </c>
      <c r="V756" s="31" t="s">
        <v>153</v>
      </c>
      <c r="W756" s="32" t="s">
        <v>153</v>
      </c>
      <c r="X756" s="33" t="s">
        <v>153</v>
      </c>
      <c r="Y756" s="34" t="s">
        <v>153</v>
      </c>
      <c r="Z756" s="35" t="s">
        <v>153</v>
      </c>
      <c r="AA756" s="36" t="s">
        <v>153</v>
      </c>
      <c r="AB756" s="37" t="s">
        <v>153</v>
      </c>
      <c r="AC756" s="38" t="s">
        <v>153</v>
      </c>
      <c r="AD756" s="39" t="s">
        <v>153</v>
      </c>
      <c r="AE756" s="40" t="s">
        <v>153</v>
      </c>
      <c r="AF756" s="41" t="s">
        <v>153</v>
      </c>
      <c r="AG756" s="42" t="s">
        <v>153</v>
      </c>
      <c r="AH756" s="43" t="s">
        <v>153</v>
      </c>
      <c r="AI756" s="44" t="s">
        <v>153</v>
      </c>
      <c r="AJ756" s="45" t="s">
        <v>153</v>
      </c>
      <c r="AK756" s="46" t="s">
        <v>153</v>
      </c>
      <c r="AL756" s="47" t="s">
        <v>153</v>
      </c>
      <c r="AM756" s="48" t="s">
        <v>153</v>
      </c>
      <c r="AN756" s="49" t="s">
        <v>153</v>
      </c>
      <c r="AO756" s="50" t="s">
        <v>153</v>
      </c>
      <c r="AP756" s="51" t="s">
        <v>153</v>
      </c>
      <c r="AQ756" s="52" t="s">
        <v>153</v>
      </c>
      <c r="AR756" s="53" t="s">
        <v>153</v>
      </c>
      <c r="AS756" s="54" t="s">
        <v>153</v>
      </c>
      <c r="AT756" s="55" t="s">
        <v>153</v>
      </c>
      <c r="AU756" s="56" t="s">
        <v>153</v>
      </c>
      <c r="AV756" s="57" t="s">
        <v>153</v>
      </c>
      <c r="AW756" s="58" t="s">
        <v>153</v>
      </c>
      <c r="AX756" s="59" t="s">
        <v>153</v>
      </c>
      <c r="AY756" s="60" t="s">
        <v>153</v>
      </c>
      <c r="AZ756" s="61" t="s">
        <v>153</v>
      </c>
      <c r="BA756" s="62" t="s">
        <v>153</v>
      </c>
      <c r="BB756" s="63" t="s">
        <v>153</v>
      </c>
      <c r="BC756" s="64" t="s">
        <v>153</v>
      </c>
      <c r="BD756" s="65" t="s">
        <v>153</v>
      </c>
      <c r="BE756" s="66" t="s">
        <v>153</v>
      </c>
      <c r="BF756" s="67" t="s">
        <v>15164</v>
      </c>
      <c r="BG756" s="68" t="s">
        <v>153</v>
      </c>
      <c r="BH756" s="69" t="s">
        <v>153</v>
      </c>
      <c r="BI756" s="70" t="s">
        <v>2373</v>
      </c>
      <c r="BJ756" s="71" t="s">
        <v>153</v>
      </c>
      <c r="BK756" s="72" t="s">
        <v>153</v>
      </c>
      <c r="BL756" s="73" t="s">
        <v>153</v>
      </c>
      <c r="BM756" s="74" t="s">
        <v>153</v>
      </c>
      <c r="BN756" s="75" t="s">
        <v>153</v>
      </c>
      <c r="BO756" s="76" t="s">
        <v>153</v>
      </c>
      <c r="BP756" s="77" t="s">
        <v>153</v>
      </c>
      <c r="BQ756" s="78">
        <v>39083</v>
      </c>
      <c r="BR756" s="79">
        <v>6300</v>
      </c>
      <c r="BS756" s="80" t="s">
        <v>186</v>
      </c>
      <c r="BT756" s="81">
        <v>6300</v>
      </c>
      <c r="BU756" s="82" t="s">
        <v>187</v>
      </c>
      <c r="BV756" s="83" t="s">
        <v>226</v>
      </c>
      <c r="BW756" s="84" t="s">
        <v>153</v>
      </c>
      <c r="BX756" s="85" t="s">
        <v>153</v>
      </c>
      <c r="BY756" s="86" t="s">
        <v>225</v>
      </c>
      <c r="BZ756" s="87" t="s">
        <v>153</v>
      </c>
      <c r="CA756" s="88" t="s">
        <v>190</v>
      </c>
      <c r="CB756" s="89">
        <v>39083</v>
      </c>
      <c r="CC756" s="90">
        <v>6300</v>
      </c>
      <c r="CD756" s="91" t="s">
        <v>186</v>
      </c>
      <c r="CE756" s="92">
        <v>6300</v>
      </c>
      <c r="CF756" s="93" t="s">
        <v>187</v>
      </c>
      <c r="CG756" s="94" t="s">
        <v>226</v>
      </c>
      <c r="CH756" s="95" t="s">
        <v>153</v>
      </c>
      <c r="CI756" s="96" t="s">
        <v>153</v>
      </c>
      <c r="CJ756" s="97" t="s">
        <v>225</v>
      </c>
      <c r="CK756" s="98">
        <v>39083</v>
      </c>
      <c r="CL756" s="99" t="s">
        <v>153</v>
      </c>
      <c r="CM756" s="100" t="s">
        <v>153</v>
      </c>
      <c r="CN756" s="101" t="s">
        <v>190</v>
      </c>
      <c r="CO756" s="102" t="s">
        <v>153</v>
      </c>
      <c r="CP756" s="103" t="s">
        <v>153</v>
      </c>
      <c r="CQ756" s="104" t="s">
        <v>153</v>
      </c>
      <c r="CR756" s="105" t="s">
        <v>153</v>
      </c>
      <c r="CS756" s="106" t="s">
        <v>153</v>
      </c>
      <c r="CT756" s="107" t="s">
        <v>153</v>
      </c>
      <c r="CU756" s="108" t="s">
        <v>153</v>
      </c>
      <c r="CV756" s="109" t="s">
        <v>153</v>
      </c>
      <c r="CW756" s="110" t="s">
        <v>153</v>
      </c>
      <c r="CX756" s="111" t="s">
        <v>153</v>
      </c>
      <c r="CY756" s="112" t="s">
        <v>153</v>
      </c>
      <c r="CZ756" s="113" t="s">
        <v>153</v>
      </c>
      <c r="DA756" s="114" t="s">
        <v>153</v>
      </c>
      <c r="DB756" s="115" t="s">
        <v>153</v>
      </c>
      <c r="DC756" s="116" t="s">
        <v>153</v>
      </c>
      <c r="DD756" s="117" t="s">
        <v>153</v>
      </c>
      <c r="DE756" s="118" t="s">
        <v>153</v>
      </c>
      <c r="DF756" s="119" t="s">
        <v>153</v>
      </c>
      <c r="DG756" s="120" t="s">
        <v>153</v>
      </c>
      <c r="DH756" s="121" t="s">
        <v>153</v>
      </c>
      <c r="DI756" s="122" t="s">
        <v>153</v>
      </c>
      <c r="DJ756" s="123" t="s">
        <v>153</v>
      </c>
      <c r="DK756" s="124" t="s">
        <v>153</v>
      </c>
      <c r="DL756" s="125" t="s">
        <v>153</v>
      </c>
      <c r="DM756" s="126" t="s">
        <v>153</v>
      </c>
      <c r="DN756" s="127" t="s">
        <v>153</v>
      </c>
      <c r="DO756" s="128" t="s">
        <v>153</v>
      </c>
      <c r="DP756" s="129" t="s">
        <v>153</v>
      </c>
      <c r="DQ756" s="130" t="s">
        <v>153</v>
      </c>
      <c r="DR756" s="131" t="s">
        <v>153</v>
      </c>
      <c r="DS756" s="132" t="s">
        <v>153</v>
      </c>
      <c r="DT756" s="133" t="s">
        <v>153</v>
      </c>
      <c r="DU756" s="134" t="s">
        <v>153</v>
      </c>
      <c r="DV756" s="135" t="s">
        <v>153</v>
      </c>
      <c r="DW756" s="136" t="s">
        <v>153</v>
      </c>
      <c r="DX756" s="137" t="s">
        <v>153</v>
      </c>
      <c r="DY756" s="138" t="s">
        <v>153</v>
      </c>
      <c r="DZ756" s="139" t="s">
        <v>191</v>
      </c>
      <c r="EA756" s="140">
        <v>44258</v>
      </c>
      <c r="EB756" s="141">
        <v>6300</v>
      </c>
      <c r="EC756" s="142">
        <v>39083</v>
      </c>
      <c r="ED756" s="143" t="s">
        <v>226</v>
      </c>
      <c r="EE756" s="278" t="str">
        <f>HYPERLINK("https://my.pitchbook.com?c=436101-58", "View company online")</f>
        <v>View company online</v>
      </c>
    </row>
    <row r="757" spans="1:135" x14ac:dyDescent="0.45">
      <c r="A757" s="144" t="s">
        <v>15165</v>
      </c>
      <c r="B757" s="145" t="s">
        <v>15166</v>
      </c>
      <c r="C757" s="146" t="s">
        <v>153</v>
      </c>
      <c r="D757" s="147" t="s">
        <v>153</v>
      </c>
      <c r="E757" s="148" t="s">
        <v>153</v>
      </c>
      <c r="F757" s="149" t="s">
        <v>153</v>
      </c>
      <c r="G757" s="150" t="s">
        <v>153</v>
      </c>
      <c r="H757" s="151" t="s">
        <v>153</v>
      </c>
      <c r="I757" s="152" t="s">
        <v>15165</v>
      </c>
      <c r="J757" s="153" t="s">
        <v>15167</v>
      </c>
      <c r="K757" s="154" t="s">
        <v>882</v>
      </c>
      <c r="L757" s="155" t="s">
        <v>2888</v>
      </c>
      <c r="M757" s="156" t="s">
        <v>2889</v>
      </c>
      <c r="N757" s="157" t="s">
        <v>15168</v>
      </c>
      <c r="O757" s="158" t="s">
        <v>153</v>
      </c>
      <c r="P757" s="159" t="s">
        <v>15169</v>
      </c>
      <c r="Q757" s="160" t="s">
        <v>204</v>
      </c>
      <c r="R757" s="161" t="s">
        <v>153</v>
      </c>
      <c r="S757" s="162" t="s">
        <v>153</v>
      </c>
      <c r="T757" s="163" t="s">
        <v>205</v>
      </c>
      <c r="U757" s="164" t="s">
        <v>206</v>
      </c>
      <c r="V757" s="165" t="s">
        <v>153</v>
      </c>
      <c r="W757" s="166" t="s">
        <v>153</v>
      </c>
      <c r="X757" s="167" t="s">
        <v>153</v>
      </c>
      <c r="Y757" s="168" t="s">
        <v>153</v>
      </c>
      <c r="Z757" s="169" t="s">
        <v>153</v>
      </c>
      <c r="AA757" s="170" t="s">
        <v>153</v>
      </c>
      <c r="AB757" s="171" t="s">
        <v>153</v>
      </c>
      <c r="AC757" s="172" t="s">
        <v>153</v>
      </c>
      <c r="AD757" s="173" t="s">
        <v>153</v>
      </c>
      <c r="AE757" s="174" t="s">
        <v>153</v>
      </c>
      <c r="AF757" s="175" t="s">
        <v>153</v>
      </c>
      <c r="AG757" s="176" t="s">
        <v>153</v>
      </c>
      <c r="AH757" s="177" t="s">
        <v>153</v>
      </c>
      <c r="AI757" s="178" t="s">
        <v>153</v>
      </c>
      <c r="AJ757" s="179" t="s">
        <v>153</v>
      </c>
      <c r="AK757" s="180" t="s">
        <v>153</v>
      </c>
      <c r="AL757" s="181" t="s">
        <v>153</v>
      </c>
      <c r="AM757" s="182" t="s">
        <v>153</v>
      </c>
      <c r="AN757" s="183" t="s">
        <v>153</v>
      </c>
      <c r="AO757" s="184" t="s">
        <v>153</v>
      </c>
      <c r="AP757" s="185" t="s">
        <v>153</v>
      </c>
      <c r="AQ757" s="186" t="s">
        <v>153</v>
      </c>
      <c r="AR757" s="187" t="s">
        <v>153</v>
      </c>
      <c r="AS757" s="188" t="s">
        <v>153</v>
      </c>
      <c r="AT757" s="189" t="s">
        <v>15170</v>
      </c>
      <c r="AU757" s="190" t="s">
        <v>153</v>
      </c>
      <c r="AV757" s="191" t="s">
        <v>153</v>
      </c>
      <c r="AW757" s="192" t="s">
        <v>15171</v>
      </c>
      <c r="AX757" s="193" t="s">
        <v>1291</v>
      </c>
      <c r="AY757" s="194" t="s">
        <v>153</v>
      </c>
      <c r="AZ757" s="195" t="s">
        <v>215</v>
      </c>
      <c r="BA757" s="196" t="s">
        <v>153</v>
      </c>
      <c r="BB757" s="197" t="s">
        <v>153</v>
      </c>
      <c r="BC757" s="198" t="s">
        <v>153</v>
      </c>
      <c r="BD757" s="199" t="s">
        <v>216</v>
      </c>
      <c r="BE757" s="200" t="s">
        <v>217</v>
      </c>
      <c r="BF757" s="201" t="s">
        <v>15172</v>
      </c>
      <c r="BG757" s="202" t="s">
        <v>153</v>
      </c>
      <c r="BH757" s="203" t="s">
        <v>153</v>
      </c>
      <c r="BI757" s="204" t="s">
        <v>8806</v>
      </c>
      <c r="BJ757" s="205" t="s">
        <v>15173</v>
      </c>
      <c r="BK757" s="206" t="s">
        <v>153</v>
      </c>
      <c r="BL757" s="207" t="s">
        <v>153</v>
      </c>
      <c r="BM757" s="208" t="s">
        <v>153</v>
      </c>
      <c r="BN757" s="209" t="s">
        <v>153</v>
      </c>
      <c r="BO757" s="210" t="s">
        <v>153</v>
      </c>
      <c r="BP757" s="211" t="s">
        <v>153</v>
      </c>
      <c r="BQ757" s="212">
        <v>41089</v>
      </c>
      <c r="BR757" s="213">
        <v>6300</v>
      </c>
      <c r="BS757" s="214" t="s">
        <v>186</v>
      </c>
      <c r="BT757" s="215">
        <v>6300</v>
      </c>
      <c r="BU757" s="216" t="s">
        <v>186</v>
      </c>
      <c r="BV757" s="217" t="s">
        <v>1524</v>
      </c>
      <c r="BW757" s="218" t="s">
        <v>1525</v>
      </c>
      <c r="BX757" s="219" t="s">
        <v>1526</v>
      </c>
      <c r="BY757" s="220" t="s">
        <v>225</v>
      </c>
      <c r="BZ757" s="221" t="s">
        <v>153</v>
      </c>
      <c r="CA757" s="222" t="s">
        <v>190</v>
      </c>
      <c r="CB757" s="223">
        <v>41089</v>
      </c>
      <c r="CC757" s="224">
        <v>6300</v>
      </c>
      <c r="CD757" s="225" t="s">
        <v>186</v>
      </c>
      <c r="CE757" s="226">
        <v>6300</v>
      </c>
      <c r="CF757" s="227" t="s">
        <v>186</v>
      </c>
      <c r="CG757" s="228" t="s">
        <v>1524</v>
      </c>
      <c r="CH757" s="229" t="s">
        <v>1525</v>
      </c>
      <c r="CI757" s="230" t="s">
        <v>1526</v>
      </c>
      <c r="CJ757" s="231" t="s">
        <v>225</v>
      </c>
      <c r="CK757" s="232">
        <v>41089</v>
      </c>
      <c r="CL757" s="233" t="s">
        <v>153</v>
      </c>
      <c r="CM757" s="234" t="s">
        <v>153</v>
      </c>
      <c r="CN757" s="235" t="s">
        <v>190</v>
      </c>
      <c r="CO757" s="236" t="s">
        <v>153</v>
      </c>
      <c r="CP757" s="237" t="s">
        <v>153</v>
      </c>
      <c r="CQ757" s="238" t="s">
        <v>153</v>
      </c>
      <c r="CR757" s="239" t="s">
        <v>153</v>
      </c>
      <c r="CS757" s="240" t="s">
        <v>153</v>
      </c>
      <c r="CT757" s="241" t="s">
        <v>153</v>
      </c>
      <c r="CU757" s="242" t="s">
        <v>153</v>
      </c>
      <c r="CV757" s="243" t="s">
        <v>153</v>
      </c>
      <c r="CW757" s="244" t="s">
        <v>153</v>
      </c>
      <c r="CX757" s="245" t="s">
        <v>153</v>
      </c>
      <c r="CY757" s="246" t="s">
        <v>153</v>
      </c>
      <c r="CZ757" s="247" t="s">
        <v>153</v>
      </c>
      <c r="DA757" s="248" t="s">
        <v>153</v>
      </c>
      <c r="DB757" s="249" t="s">
        <v>153</v>
      </c>
      <c r="DC757" s="250" t="s">
        <v>153</v>
      </c>
      <c r="DD757" s="251" t="s">
        <v>153</v>
      </c>
      <c r="DE757" s="252" t="s">
        <v>153</v>
      </c>
      <c r="DF757" s="253" t="s">
        <v>153</v>
      </c>
      <c r="DG757" s="254" t="s">
        <v>153</v>
      </c>
      <c r="DH757" s="255" t="s">
        <v>153</v>
      </c>
      <c r="DI757" s="256" t="s">
        <v>153</v>
      </c>
      <c r="DJ757" s="257" t="s">
        <v>153</v>
      </c>
      <c r="DK757" s="258" t="s">
        <v>153</v>
      </c>
      <c r="DL757" s="259" t="s">
        <v>153</v>
      </c>
      <c r="DM757" s="260" t="s">
        <v>153</v>
      </c>
      <c r="DN757" s="261" t="s">
        <v>153</v>
      </c>
      <c r="DO757" s="262" t="s">
        <v>153</v>
      </c>
      <c r="DP757" s="263" t="s">
        <v>153</v>
      </c>
      <c r="DQ757" s="264" t="s">
        <v>153</v>
      </c>
      <c r="DR757" s="265" t="s">
        <v>153</v>
      </c>
      <c r="DS757" s="266" t="s">
        <v>153</v>
      </c>
      <c r="DT757" s="267" t="s">
        <v>153</v>
      </c>
      <c r="DU757" s="268" t="s">
        <v>153</v>
      </c>
      <c r="DV757" s="269" t="s">
        <v>153</v>
      </c>
      <c r="DW757" s="270" t="s">
        <v>153</v>
      </c>
      <c r="DX757" s="271" t="s">
        <v>153</v>
      </c>
      <c r="DY757" s="272" t="s">
        <v>153</v>
      </c>
      <c r="DZ757" s="273" t="s">
        <v>191</v>
      </c>
      <c r="EA757" s="274">
        <v>44147</v>
      </c>
      <c r="EB757" s="275">
        <v>6300</v>
      </c>
      <c r="EC757" s="276">
        <v>41089</v>
      </c>
      <c r="ED757" s="277" t="s">
        <v>1524</v>
      </c>
      <c r="EE757" s="279" t="str">
        <f>HYPERLINK("https://my.pitchbook.com?c=159025-42", "View company online")</f>
        <v>View company online</v>
      </c>
    </row>
    <row r="758" spans="1:135" x14ac:dyDescent="0.45">
      <c r="A758" s="10" t="s">
        <v>15174</v>
      </c>
      <c r="B758" s="11" t="s">
        <v>15175</v>
      </c>
      <c r="C758" s="12" t="s">
        <v>153</v>
      </c>
      <c r="D758" s="13" t="s">
        <v>153</v>
      </c>
      <c r="E758" s="14" t="s">
        <v>153</v>
      </c>
      <c r="F758" s="15" t="s">
        <v>153</v>
      </c>
      <c r="G758" s="16" t="s">
        <v>153</v>
      </c>
      <c r="H758" s="17" t="s">
        <v>153</v>
      </c>
      <c r="I758" s="18" t="s">
        <v>15174</v>
      </c>
      <c r="J758" s="19" t="s">
        <v>15176</v>
      </c>
      <c r="K758" s="20" t="s">
        <v>232</v>
      </c>
      <c r="L758" s="21" t="s">
        <v>2162</v>
      </c>
      <c r="M758" s="22" t="s">
        <v>4087</v>
      </c>
      <c r="N758" s="23" t="s">
        <v>7287</v>
      </c>
      <c r="O758" s="24" t="s">
        <v>153</v>
      </c>
      <c r="P758" s="25" t="s">
        <v>15177</v>
      </c>
      <c r="Q758" s="26" t="s">
        <v>204</v>
      </c>
      <c r="R758" s="27" t="s">
        <v>153</v>
      </c>
      <c r="S758" s="28" t="s">
        <v>163</v>
      </c>
      <c r="T758" s="29" t="s">
        <v>205</v>
      </c>
      <c r="U758" s="30" t="s">
        <v>206</v>
      </c>
      <c r="V758" s="31" t="s">
        <v>153</v>
      </c>
      <c r="W758" s="32">
        <v>3000</v>
      </c>
      <c r="X758" s="33" t="s">
        <v>15178</v>
      </c>
      <c r="Y758" s="34" t="s">
        <v>153</v>
      </c>
      <c r="Z758" s="35" t="s">
        <v>153</v>
      </c>
      <c r="AA758" s="36" t="s">
        <v>153</v>
      </c>
      <c r="AB758" s="37" t="s">
        <v>153</v>
      </c>
      <c r="AC758" s="38" t="s">
        <v>153</v>
      </c>
      <c r="AD758" s="39" t="s">
        <v>153</v>
      </c>
      <c r="AE758" s="40" t="s">
        <v>153</v>
      </c>
      <c r="AF758" s="41" t="s">
        <v>153</v>
      </c>
      <c r="AG758" s="42" t="s">
        <v>153</v>
      </c>
      <c r="AH758" s="43" t="s">
        <v>153</v>
      </c>
      <c r="AI758" s="44" t="s">
        <v>153</v>
      </c>
      <c r="AJ758" s="45" t="s">
        <v>153</v>
      </c>
      <c r="AK758" s="46" t="s">
        <v>153</v>
      </c>
      <c r="AL758" s="47" t="s">
        <v>153</v>
      </c>
      <c r="AM758" s="48" t="s">
        <v>153</v>
      </c>
      <c r="AN758" s="49" t="s">
        <v>456</v>
      </c>
      <c r="AO758" s="50" t="s">
        <v>153</v>
      </c>
      <c r="AP758" s="51" t="s">
        <v>153</v>
      </c>
      <c r="AQ758" s="52" t="s">
        <v>153</v>
      </c>
      <c r="AR758" s="53" t="s">
        <v>153</v>
      </c>
      <c r="AS758" s="54" t="s">
        <v>153</v>
      </c>
      <c r="AT758" s="55" t="s">
        <v>15179</v>
      </c>
      <c r="AU758" s="56" t="s">
        <v>15180</v>
      </c>
      <c r="AV758" s="57" t="s">
        <v>153</v>
      </c>
      <c r="AW758" s="58" t="s">
        <v>15181</v>
      </c>
      <c r="AX758" s="59" t="s">
        <v>213</v>
      </c>
      <c r="AY758" s="60" t="s">
        <v>15182</v>
      </c>
      <c r="AZ758" s="61" t="s">
        <v>215</v>
      </c>
      <c r="BA758" s="62" t="s">
        <v>153</v>
      </c>
      <c r="BB758" s="63" t="s">
        <v>153</v>
      </c>
      <c r="BC758" s="64" t="s">
        <v>153</v>
      </c>
      <c r="BD758" s="65" t="s">
        <v>216</v>
      </c>
      <c r="BE758" s="66" t="s">
        <v>217</v>
      </c>
      <c r="BF758" s="67" t="s">
        <v>15183</v>
      </c>
      <c r="BG758" s="68" t="s">
        <v>153</v>
      </c>
      <c r="BH758" s="69" t="s">
        <v>153</v>
      </c>
      <c r="BI758" s="70" t="s">
        <v>15184</v>
      </c>
      <c r="BJ758" s="71" t="s">
        <v>965</v>
      </c>
      <c r="BK758" s="72" t="s">
        <v>153</v>
      </c>
      <c r="BL758" s="73" t="s">
        <v>153</v>
      </c>
      <c r="BM758" s="74" t="s">
        <v>15185</v>
      </c>
      <c r="BN758" s="75" t="s">
        <v>153</v>
      </c>
      <c r="BO758" s="76" t="s">
        <v>153</v>
      </c>
      <c r="BP758" s="77" t="s">
        <v>153</v>
      </c>
      <c r="BQ758" s="78">
        <v>44196</v>
      </c>
      <c r="BR758" s="79">
        <v>6300</v>
      </c>
      <c r="BS758" s="80" t="s">
        <v>186</v>
      </c>
      <c r="BT758" s="81">
        <v>6300</v>
      </c>
      <c r="BU758" s="82" t="s">
        <v>187</v>
      </c>
      <c r="BV758" s="83" t="s">
        <v>226</v>
      </c>
      <c r="BW758" s="84" t="s">
        <v>729</v>
      </c>
      <c r="BX758" s="85" t="s">
        <v>153</v>
      </c>
      <c r="BY758" s="86" t="s">
        <v>225</v>
      </c>
      <c r="BZ758" s="87" t="s">
        <v>153</v>
      </c>
      <c r="CA758" s="88" t="s">
        <v>190</v>
      </c>
      <c r="CB758" s="89">
        <v>44196</v>
      </c>
      <c r="CC758" s="90">
        <v>6300</v>
      </c>
      <c r="CD758" s="91" t="s">
        <v>186</v>
      </c>
      <c r="CE758" s="92">
        <v>6300</v>
      </c>
      <c r="CF758" s="93" t="s">
        <v>187</v>
      </c>
      <c r="CG758" s="94" t="s">
        <v>226</v>
      </c>
      <c r="CH758" s="95" t="s">
        <v>729</v>
      </c>
      <c r="CI758" s="96" t="s">
        <v>153</v>
      </c>
      <c r="CJ758" s="97" t="s">
        <v>225</v>
      </c>
      <c r="CK758" s="98">
        <v>44196</v>
      </c>
      <c r="CL758" s="99" t="s">
        <v>153</v>
      </c>
      <c r="CM758" s="100" t="s">
        <v>153</v>
      </c>
      <c r="CN758" s="101" t="s">
        <v>190</v>
      </c>
      <c r="CO758" s="102" t="s">
        <v>153</v>
      </c>
      <c r="CP758" s="103" t="s">
        <v>153</v>
      </c>
      <c r="CQ758" s="104" t="s">
        <v>153</v>
      </c>
      <c r="CR758" s="105" t="s">
        <v>153</v>
      </c>
      <c r="CS758" s="106" t="s">
        <v>153</v>
      </c>
      <c r="CT758" s="107" t="s">
        <v>153</v>
      </c>
      <c r="CU758" s="108" t="s">
        <v>153</v>
      </c>
      <c r="CV758" s="109" t="s">
        <v>153</v>
      </c>
      <c r="CW758" s="110" t="s">
        <v>153</v>
      </c>
      <c r="CX758" s="111" t="s">
        <v>153</v>
      </c>
      <c r="CY758" s="112" t="s">
        <v>153</v>
      </c>
      <c r="CZ758" s="113" t="s">
        <v>153</v>
      </c>
      <c r="DA758" s="114" t="s">
        <v>153</v>
      </c>
      <c r="DB758" s="115" t="s">
        <v>153</v>
      </c>
      <c r="DC758" s="116" t="s">
        <v>153</v>
      </c>
      <c r="DD758" s="117" t="s">
        <v>153</v>
      </c>
      <c r="DE758" s="118" t="s">
        <v>153</v>
      </c>
      <c r="DF758" s="119" t="s">
        <v>153</v>
      </c>
      <c r="DG758" s="120" t="s">
        <v>153</v>
      </c>
      <c r="DH758" s="121" t="s">
        <v>153</v>
      </c>
      <c r="DI758" s="122" t="s">
        <v>153</v>
      </c>
      <c r="DJ758" s="123" t="s">
        <v>153</v>
      </c>
      <c r="DK758" s="124" t="s">
        <v>153</v>
      </c>
      <c r="DL758" s="125" t="s">
        <v>153</v>
      </c>
      <c r="DM758" s="126" t="s">
        <v>153</v>
      </c>
      <c r="DN758" s="127" t="s">
        <v>153</v>
      </c>
      <c r="DO758" s="128" t="s">
        <v>153</v>
      </c>
      <c r="DP758" s="129" t="s">
        <v>153</v>
      </c>
      <c r="DQ758" s="130" t="s">
        <v>153</v>
      </c>
      <c r="DR758" s="131" t="s">
        <v>153</v>
      </c>
      <c r="DS758" s="132" t="s">
        <v>153</v>
      </c>
      <c r="DT758" s="133" t="s">
        <v>153</v>
      </c>
      <c r="DU758" s="134" t="s">
        <v>153</v>
      </c>
      <c r="DV758" s="135" t="s">
        <v>153</v>
      </c>
      <c r="DW758" s="136" t="s">
        <v>153</v>
      </c>
      <c r="DX758" s="137" t="s">
        <v>153</v>
      </c>
      <c r="DY758" s="138" t="s">
        <v>153</v>
      </c>
      <c r="DZ758" s="139" t="s">
        <v>191</v>
      </c>
      <c r="EA758" s="140">
        <v>44201</v>
      </c>
      <c r="EB758" s="141">
        <v>6300</v>
      </c>
      <c r="EC758" s="142">
        <v>44196</v>
      </c>
      <c r="ED758" s="143" t="s">
        <v>226</v>
      </c>
      <c r="EE758" s="278" t="str">
        <f>HYPERLINK("https://my.pitchbook.com?c=279517-96", "View company online")</f>
        <v>View company online</v>
      </c>
    </row>
    <row r="759" spans="1:135" x14ac:dyDescent="0.45">
      <c r="A759" s="144" t="s">
        <v>15186</v>
      </c>
      <c r="B759" s="145" t="s">
        <v>15187</v>
      </c>
      <c r="C759" s="146" t="s">
        <v>153</v>
      </c>
      <c r="D759" s="147" t="s">
        <v>153</v>
      </c>
      <c r="E759" s="148" t="s">
        <v>153</v>
      </c>
      <c r="F759" s="149" t="s">
        <v>153</v>
      </c>
      <c r="G759" s="150" t="s">
        <v>15188</v>
      </c>
      <c r="H759" s="151" t="s">
        <v>15189</v>
      </c>
      <c r="I759" s="152" t="s">
        <v>15186</v>
      </c>
      <c r="J759" s="153" t="s">
        <v>15190</v>
      </c>
      <c r="K759" s="154" t="s">
        <v>257</v>
      </c>
      <c r="L759" s="155" t="s">
        <v>258</v>
      </c>
      <c r="M759" s="156" t="s">
        <v>448</v>
      </c>
      <c r="N759" s="157" t="s">
        <v>5082</v>
      </c>
      <c r="O759" s="158" t="s">
        <v>15191</v>
      </c>
      <c r="P759" s="159" t="s">
        <v>15192</v>
      </c>
      <c r="Q759" s="160" t="s">
        <v>289</v>
      </c>
      <c r="R759" s="161">
        <v>650.16999999999996</v>
      </c>
      <c r="S759" s="162" t="s">
        <v>290</v>
      </c>
      <c r="T759" s="163" t="s">
        <v>291</v>
      </c>
      <c r="U759" s="164" t="s">
        <v>292</v>
      </c>
      <c r="V759" s="165" t="s">
        <v>153</v>
      </c>
      <c r="W759" s="166">
        <v>7850</v>
      </c>
      <c r="X759" s="167" t="s">
        <v>15193</v>
      </c>
      <c r="Y759" s="168" t="s">
        <v>295</v>
      </c>
      <c r="Z759" s="169" t="s">
        <v>15194</v>
      </c>
      <c r="AA759" s="170">
        <v>1998</v>
      </c>
      <c r="AB759" s="171" t="s">
        <v>153</v>
      </c>
      <c r="AC759" s="172" t="s">
        <v>1264</v>
      </c>
      <c r="AD759" s="173" t="s">
        <v>1322</v>
      </c>
      <c r="AE759" s="174">
        <v>3473</v>
      </c>
      <c r="AF759" s="175">
        <v>2348</v>
      </c>
      <c r="AG759" s="176">
        <v>630</v>
      </c>
      <c r="AH759" s="177">
        <v>54468.35</v>
      </c>
      <c r="AI759" s="178">
        <v>1068</v>
      </c>
      <c r="AJ759" s="179">
        <v>877</v>
      </c>
      <c r="AK759" s="180">
        <v>72344.460000000006</v>
      </c>
      <c r="AL759" s="181">
        <v>-1753</v>
      </c>
      <c r="AM759" s="182">
        <v>-2.33</v>
      </c>
      <c r="AN759" s="183" t="s">
        <v>376</v>
      </c>
      <c r="AO759" s="184" t="s">
        <v>15195</v>
      </c>
      <c r="AP759" s="185" t="s">
        <v>15196</v>
      </c>
      <c r="AQ759" s="186" t="s">
        <v>2376</v>
      </c>
      <c r="AR759" s="187" t="s">
        <v>15197</v>
      </c>
      <c r="AS759" s="188" t="s">
        <v>15198</v>
      </c>
      <c r="AT759" s="189" t="s">
        <v>5540</v>
      </c>
      <c r="AU759" s="190" t="s">
        <v>15199</v>
      </c>
      <c r="AV759" s="191" t="s">
        <v>153</v>
      </c>
      <c r="AW759" s="192" t="s">
        <v>5542</v>
      </c>
      <c r="AX759" s="193" t="s">
        <v>308</v>
      </c>
      <c r="AY759" s="194" t="s">
        <v>15200</v>
      </c>
      <c r="AZ759" s="195" t="s">
        <v>215</v>
      </c>
      <c r="BA759" s="196" t="s">
        <v>15198</v>
      </c>
      <c r="BB759" s="197" t="s">
        <v>15201</v>
      </c>
      <c r="BC759" s="198" t="s">
        <v>15202</v>
      </c>
      <c r="BD759" s="199" t="s">
        <v>216</v>
      </c>
      <c r="BE759" s="200" t="s">
        <v>217</v>
      </c>
      <c r="BF759" s="201" t="s">
        <v>15203</v>
      </c>
      <c r="BG759" s="202" t="s">
        <v>153</v>
      </c>
      <c r="BH759" s="203" t="s">
        <v>153</v>
      </c>
      <c r="BI759" s="204" t="s">
        <v>153</v>
      </c>
      <c r="BJ759" s="205" t="s">
        <v>15204</v>
      </c>
      <c r="BK759" s="206" t="s">
        <v>1143</v>
      </c>
      <c r="BL759" s="207" t="s">
        <v>153</v>
      </c>
      <c r="BM759" s="208" t="s">
        <v>15205</v>
      </c>
      <c r="BN759" s="209" t="s">
        <v>15206</v>
      </c>
      <c r="BO759" s="210" t="s">
        <v>15207</v>
      </c>
      <c r="BP759" s="211" t="s">
        <v>15208</v>
      </c>
      <c r="BQ759" s="212" t="s">
        <v>153</v>
      </c>
      <c r="BR759" s="213">
        <v>0.75</v>
      </c>
      <c r="BS759" s="214" t="s">
        <v>186</v>
      </c>
      <c r="BT759" s="215">
        <v>5.85</v>
      </c>
      <c r="BU759" s="216" t="s">
        <v>186</v>
      </c>
      <c r="BV759" s="217" t="s">
        <v>471</v>
      </c>
      <c r="BW759" s="218" t="s">
        <v>1811</v>
      </c>
      <c r="BX759" s="219" t="s">
        <v>153</v>
      </c>
      <c r="BY759" s="220" t="s">
        <v>472</v>
      </c>
      <c r="BZ759" s="221" t="s">
        <v>153</v>
      </c>
      <c r="CA759" s="222" t="s">
        <v>190</v>
      </c>
      <c r="CB759" s="223">
        <v>40947</v>
      </c>
      <c r="CC759" s="224">
        <v>6300</v>
      </c>
      <c r="CD759" s="225" t="s">
        <v>186</v>
      </c>
      <c r="CE759" s="226">
        <v>6300</v>
      </c>
      <c r="CF759" s="227" t="s">
        <v>187</v>
      </c>
      <c r="CG759" s="228" t="s">
        <v>226</v>
      </c>
      <c r="CH759" s="229" t="s">
        <v>153</v>
      </c>
      <c r="CI759" s="230" t="s">
        <v>153</v>
      </c>
      <c r="CJ759" s="231" t="s">
        <v>225</v>
      </c>
      <c r="CK759" s="232">
        <v>40947</v>
      </c>
      <c r="CL759" s="233" t="s">
        <v>153</v>
      </c>
      <c r="CM759" s="234" t="s">
        <v>153</v>
      </c>
      <c r="CN759" s="235" t="s">
        <v>394</v>
      </c>
      <c r="CO759" s="236">
        <v>0.19</v>
      </c>
      <c r="CP759" s="237">
        <v>90</v>
      </c>
      <c r="CQ759" s="238">
        <v>0.01</v>
      </c>
      <c r="CR759" s="239">
        <v>4.3600000000000003</v>
      </c>
      <c r="CS759" s="240">
        <v>0.27</v>
      </c>
      <c r="CT759" s="241">
        <v>91</v>
      </c>
      <c r="CU759" s="242">
        <v>0.12</v>
      </c>
      <c r="CV759" s="243">
        <v>87</v>
      </c>
      <c r="CW759" s="244">
        <v>0.27</v>
      </c>
      <c r="CX759" s="245">
        <v>78</v>
      </c>
      <c r="CY759" s="246" t="s">
        <v>153</v>
      </c>
      <c r="CZ759" s="247" t="s">
        <v>153</v>
      </c>
      <c r="DA759" s="248">
        <v>0.12</v>
      </c>
      <c r="DB759" s="249">
        <v>87</v>
      </c>
      <c r="DC759" s="250">
        <v>243.16</v>
      </c>
      <c r="DD759" s="251">
        <v>100</v>
      </c>
      <c r="DE759" s="252">
        <v>1.07</v>
      </c>
      <c r="DF759" s="253">
        <v>0.44</v>
      </c>
      <c r="DG759" s="254">
        <v>205.35</v>
      </c>
      <c r="DH759" s="255">
        <v>100</v>
      </c>
      <c r="DI759" s="256">
        <v>280.97000000000003</v>
      </c>
      <c r="DJ759" s="257">
        <v>99</v>
      </c>
      <c r="DK759" s="258">
        <v>205.35</v>
      </c>
      <c r="DL759" s="259">
        <v>98</v>
      </c>
      <c r="DM759" s="260" t="s">
        <v>153</v>
      </c>
      <c r="DN759" s="261" t="s">
        <v>153</v>
      </c>
      <c r="DO759" s="262">
        <v>280.97000000000003</v>
      </c>
      <c r="DP759" s="263">
        <v>99</v>
      </c>
      <c r="DQ759" s="264">
        <v>121486</v>
      </c>
      <c r="DR759" s="265">
        <v>1046</v>
      </c>
      <c r="DS759" s="266">
        <v>0.87</v>
      </c>
      <c r="DT759" s="267" t="s">
        <v>153</v>
      </c>
      <c r="DU759" s="268" t="s">
        <v>153</v>
      </c>
      <c r="DV759" s="269" t="s">
        <v>153</v>
      </c>
      <c r="DW759" s="270">
        <v>88175</v>
      </c>
      <c r="DX759" s="271">
        <v>135</v>
      </c>
      <c r="DY759" s="272">
        <v>0.15</v>
      </c>
      <c r="DZ759" s="273" t="s">
        <v>191</v>
      </c>
      <c r="EA759" s="274">
        <v>44402</v>
      </c>
      <c r="EB759" s="275">
        <v>6300</v>
      </c>
      <c r="EC759" s="276">
        <v>40947</v>
      </c>
      <c r="ED759" s="277" t="s">
        <v>226</v>
      </c>
      <c r="EE759" s="279" t="str">
        <f>HYPERLINK("https://my.pitchbook.com?c=40747-15", "View company online")</f>
        <v>View company online</v>
      </c>
    </row>
    <row r="760" spans="1:135" x14ac:dyDescent="0.45">
      <c r="A760" s="10" t="s">
        <v>15209</v>
      </c>
      <c r="B760" s="11" t="s">
        <v>15210</v>
      </c>
      <c r="C760" s="12" t="s">
        <v>153</v>
      </c>
      <c r="D760" s="13" t="s">
        <v>153</v>
      </c>
      <c r="E760" s="14" t="s">
        <v>153</v>
      </c>
      <c r="F760" s="15" t="s">
        <v>15211</v>
      </c>
      <c r="G760" s="16" t="s">
        <v>15212</v>
      </c>
      <c r="H760" s="17" t="s">
        <v>15213</v>
      </c>
      <c r="I760" s="18" t="s">
        <v>15209</v>
      </c>
      <c r="J760" s="19" t="s">
        <v>15214</v>
      </c>
      <c r="K760" s="20" t="s">
        <v>198</v>
      </c>
      <c r="L760" s="21" t="s">
        <v>1589</v>
      </c>
      <c r="M760" s="22" t="s">
        <v>1590</v>
      </c>
      <c r="N760" s="23" t="s">
        <v>15215</v>
      </c>
      <c r="O760" s="24" t="s">
        <v>1592</v>
      </c>
      <c r="P760" s="25" t="s">
        <v>15216</v>
      </c>
      <c r="Q760" s="26" t="s">
        <v>289</v>
      </c>
      <c r="R760" s="27">
        <v>16.13</v>
      </c>
      <c r="S760" s="28" t="s">
        <v>290</v>
      </c>
      <c r="T760" s="29" t="s">
        <v>1392</v>
      </c>
      <c r="U760" s="30" t="s">
        <v>941</v>
      </c>
      <c r="V760" s="31" t="s">
        <v>15217</v>
      </c>
      <c r="W760" s="32">
        <v>1821</v>
      </c>
      <c r="X760" s="33" t="s">
        <v>15218</v>
      </c>
      <c r="Y760" s="34" t="s">
        <v>153</v>
      </c>
      <c r="Z760" s="35" t="s">
        <v>153</v>
      </c>
      <c r="AA760" s="36">
        <v>1980</v>
      </c>
      <c r="AB760" s="37" t="s">
        <v>15219</v>
      </c>
      <c r="AC760" s="38" t="s">
        <v>153</v>
      </c>
      <c r="AD760" s="39" t="s">
        <v>153</v>
      </c>
      <c r="AE760" s="40" t="s">
        <v>153</v>
      </c>
      <c r="AF760" s="41" t="s">
        <v>153</v>
      </c>
      <c r="AG760" s="42" t="s">
        <v>153</v>
      </c>
      <c r="AH760" s="43" t="s">
        <v>153</v>
      </c>
      <c r="AI760" s="44" t="s">
        <v>153</v>
      </c>
      <c r="AJ760" s="45" t="s">
        <v>153</v>
      </c>
      <c r="AK760" s="46" t="s">
        <v>153</v>
      </c>
      <c r="AL760" s="47" t="s">
        <v>153</v>
      </c>
      <c r="AM760" s="48" t="s">
        <v>153</v>
      </c>
      <c r="AN760" s="49" t="s">
        <v>1908</v>
      </c>
      <c r="AO760" s="50" t="s">
        <v>15220</v>
      </c>
      <c r="AP760" s="51" t="s">
        <v>15221</v>
      </c>
      <c r="AQ760" s="52" t="s">
        <v>15222</v>
      </c>
      <c r="AR760" s="53" t="s">
        <v>15223</v>
      </c>
      <c r="AS760" s="54" t="s">
        <v>15224</v>
      </c>
      <c r="AT760" s="55" t="s">
        <v>1379</v>
      </c>
      <c r="AU760" s="56" t="s">
        <v>15225</v>
      </c>
      <c r="AV760" s="57" t="s">
        <v>153</v>
      </c>
      <c r="AW760" s="58" t="s">
        <v>1380</v>
      </c>
      <c r="AX760" s="59" t="s">
        <v>308</v>
      </c>
      <c r="AY760" s="60" t="s">
        <v>15226</v>
      </c>
      <c r="AZ760" s="61" t="s">
        <v>215</v>
      </c>
      <c r="BA760" s="62" t="s">
        <v>15224</v>
      </c>
      <c r="BB760" s="63" t="s">
        <v>15227</v>
      </c>
      <c r="BC760" s="64" t="s">
        <v>153</v>
      </c>
      <c r="BD760" s="65" t="s">
        <v>216</v>
      </c>
      <c r="BE760" s="66" t="s">
        <v>217</v>
      </c>
      <c r="BF760" s="67" t="s">
        <v>15228</v>
      </c>
      <c r="BG760" s="68" t="s">
        <v>153</v>
      </c>
      <c r="BH760" s="69" t="s">
        <v>153</v>
      </c>
      <c r="BI760" s="70" t="s">
        <v>15219</v>
      </c>
      <c r="BJ760" s="71" t="s">
        <v>15229</v>
      </c>
      <c r="BK760" s="72" t="s">
        <v>153</v>
      </c>
      <c r="BL760" s="73" t="s">
        <v>153</v>
      </c>
      <c r="BM760" s="74" t="s">
        <v>15230</v>
      </c>
      <c r="BN760" s="75" t="s">
        <v>153</v>
      </c>
      <c r="BO760" s="76" t="s">
        <v>15231</v>
      </c>
      <c r="BP760" s="77" t="s">
        <v>15232</v>
      </c>
      <c r="BQ760" s="78" t="s">
        <v>153</v>
      </c>
      <c r="BR760" s="79" t="s">
        <v>153</v>
      </c>
      <c r="BS760" s="80" t="s">
        <v>153</v>
      </c>
      <c r="BT760" s="81" t="s">
        <v>153</v>
      </c>
      <c r="BU760" s="82" t="s">
        <v>153</v>
      </c>
      <c r="BV760" s="83" t="s">
        <v>471</v>
      </c>
      <c r="BW760" s="84" t="s">
        <v>153</v>
      </c>
      <c r="BX760" s="85" t="s">
        <v>153</v>
      </c>
      <c r="BY760" s="86" t="s">
        <v>472</v>
      </c>
      <c r="BZ760" s="87" t="s">
        <v>153</v>
      </c>
      <c r="CA760" s="88" t="s">
        <v>190</v>
      </c>
      <c r="CB760" s="89">
        <v>43553</v>
      </c>
      <c r="CC760" s="90">
        <v>6300</v>
      </c>
      <c r="CD760" s="91" t="s">
        <v>186</v>
      </c>
      <c r="CE760" s="92">
        <v>6300</v>
      </c>
      <c r="CF760" s="93" t="s">
        <v>187</v>
      </c>
      <c r="CG760" s="94" t="s">
        <v>226</v>
      </c>
      <c r="CH760" s="95" t="s">
        <v>153</v>
      </c>
      <c r="CI760" s="96" t="s">
        <v>153</v>
      </c>
      <c r="CJ760" s="97" t="s">
        <v>225</v>
      </c>
      <c r="CK760" s="98">
        <v>43553</v>
      </c>
      <c r="CL760" s="99">
        <v>6300</v>
      </c>
      <c r="CM760" s="100" t="s">
        <v>15233</v>
      </c>
      <c r="CN760" s="101" t="s">
        <v>190</v>
      </c>
      <c r="CO760" s="102" t="s">
        <v>153</v>
      </c>
      <c r="CP760" s="103" t="s">
        <v>153</v>
      </c>
      <c r="CQ760" s="104" t="s">
        <v>153</v>
      </c>
      <c r="CR760" s="105" t="s">
        <v>153</v>
      </c>
      <c r="CS760" s="106" t="s">
        <v>153</v>
      </c>
      <c r="CT760" s="107" t="s">
        <v>153</v>
      </c>
      <c r="CU760" s="108" t="s">
        <v>153</v>
      </c>
      <c r="CV760" s="109" t="s">
        <v>153</v>
      </c>
      <c r="CW760" s="110" t="s">
        <v>153</v>
      </c>
      <c r="CX760" s="111" t="s">
        <v>153</v>
      </c>
      <c r="CY760" s="112" t="s">
        <v>153</v>
      </c>
      <c r="CZ760" s="113" t="s">
        <v>153</v>
      </c>
      <c r="DA760" s="114" t="s">
        <v>153</v>
      </c>
      <c r="DB760" s="115" t="s">
        <v>153</v>
      </c>
      <c r="DC760" s="116" t="s">
        <v>153</v>
      </c>
      <c r="DD760" s="117" t="s">
        <v>153</v>
      </c>
      <c r="DE760" s="118" t="s">
        <v>153</v>
      </c>
      <c r="DF760" s="119" t="s">
        <v>153</v>
      </c>
      <c r="DG760" s="120" t="s">
        <v>153</v>
      </c>
      <c r="DH760" s="121" t="s">
        <v>153</v>
      </c>
      <c r="DI760" s="122" t="s">
        <v>153</v>
      </c>
      <c r="DJ760" s="123" t="s">
        <v>153</v>
      </c>
      <c r="DK760" s="124" t="s">
        <v>153</v>
      </c>
      <c r="DL760" s="125" t="s">
        <v>153</v>
      </c>
      <c r="DM760" s="126" t="s">
        <v>153</v>
      </c>
      <c r="DN760" s="127" t="s">
        <v>153</v>
      </c>
      <c r="DO760" s="128" t="s">
        <v>153</v>
      </c>
      <c r="DP760" s="129" t="s">
        <v>153</v>
      </c>
      <c r="DQ760" s="130" t="s">
        <v>153</v>
      </c>
      <c r="DR760" s="131" t="s">
        <v>153</v>
      </c>
      <c r="DS760" s="132" t="s">
        <v>153</v>
      </c>
      <c r="DT760" s="133" t="s">
        <v>153</v>
      </c>
      <c r="DU760" s="134" t="s">
        <v>153</v>
      </c>
      <c r="DV760" s="135" t="s">
        <v>153</v>
      </c>
      <c r="DW760" s="136" t="s">
        <v>153</v>
      </c>
      <c r="DX760" s="137" t="s">
        <v>153</v>
      </c>
      <c r="DY760" s="138" t="s">
        <v>153</v>
      </c>
      <c r="DZ760" s="139" t="s">
        <v>191</v>
      </c>
      <c r="EA760" s="140">
        <v>44361</v>
      </c>
      <c r="EB760" s="141">
        <v>6300</v>
      </c>
      <c r="EC760" s="142">
        <v>43553</v>
      </c>
      <c r="ED760" s="143" t="s">
        <v>226</v>
      </c>
      <c r="EE760" s="278" t="str">
        <f>HYPERLINK("https://my.pitchbook.com?c=25342-39", "View company online")</f>
        <v>View company online</v>
      </c>
    </row>
    <row r="761" spans="1:135" x14ac:dyDescent="0.45">
      <c r="A761" s="144" t="s">
        <v>15234</v>
      </c>
      <c r="B761" s="145" t="s">
        <v>15235</v>
      </c>
      <c r="C761" s="146" t="s">
        <v>153</v>
      </c>
      <c r="D761" s="147" t="s">
        <v>153</v>
      </c>
      <c r="E761" s="148" t="s">
        <v>15236</v>
      </c>
      <c r="F761" s="149" t="s">
        <v>15237</v>
      </c>
      <c r="G761" s="150" t="s">
        <v>15238</v>
      </c>
      <c r="H761" s="151" t="s">
        <v>15239</v>
      </c>
      <c r="I761" s="152" t="s">
        <v>15234</v>
      </c>
      <c r="J761" s="153" t="s">
        <v>15240</v>
      </c>
      <c r="K761" s="154" t="s">
        <v>882</v>
      </c>
      <c r="L761" s="155" t="s">
        <v>1257</v>
      </c>
      <c r="M761" s="156" t="s">
        <v>3812</v>
      </c>
      <c r="N761" s="157" t="s">
        <v>15241</v>
      </c>
      <c r="O761" s="158" t="s">
        <v>1234</v>
      </c>
      <c r="P761" s="159" t="s">
        <v>15242</v>
      </c>
      <c r="Q761" s="160" t="s">
        <v>204</v>
      </c>
      <c r="R761" s="161" t="s">
        <v>153</v>
      </c>
      <c r="S761" s="162" t="s">
        <v>163</v>
      </c>
      <c r="T761" s="163" t="s">
        <v>164</v>
      </c>
      <c r="U761" s="164" t="s">
        <v>206</v>
      </c>
      <c r="V761" s="165" t="s">
        <v>15243</v>
      </c>
      <c r="W761" s="166" t="s">
        <v>153</v>
      </c>
      <c r="X761" s="167" t="s">
        <v>153</v>
      </c>
      <c r="Y761" s="168" t="s">
        <v>153</v>
      </c>
      <c r="Z761" s="169" t="s">
        <v>153</v>
      </c>
      <c r="AA761" s="170">
        <v>1947</v>
      </c>
      <c r="AB761" s="171" t="s">
        <v>15244</v>
      </c>
      <c r="AC761" s="172" t="s">
        <v>153</v>
      </c>
      <c r="AD761" s="173" t="s">
        <v>153</v>
      </c>
      <c r="AE761" s="174">
        <v>6240</v>
      </c>
      <c r="AF761" s="175" t="s">
        <v>153</v>
      </c>
      <c r="AG761" s="176" t="s">
        <v>153</v>
      </c>
      <c r="AH761" s="177" t="s">
        <v>153</v>
      </c>
      <c r="AI761" s="178" t="s">
        <v>153</v>
      </c>
      <c r="AJ761" s="179" t="s">
        <v>153</v>
      </c>
      <c r="AK761" s="180" t="s">
        <v>153</v>
      </c>
      <c r="AL761" s="181" t="s">
        <v>153</v>
      </c>
      <c r="AM761" s="182">
        <v>2.97</v>
      </c>
      <c r="AN761" s="183" t="s">
        <v>168</v>
      </c>
      <c r="AO761" s="184" t="s">
        <v>15245</v>
      </c>
      <c r="AP761" s="185" t="s">
        <v>15246</v>
      </c>
      <c r="AQ761" s="186" t="s">
        <v>15247</v>
      </c>
      <c r="AR761" s="187" t="s">
        <v>15248</v>
      </c>
      <c r="AS761" s="188" t="s">
        <v>153</v>
      </c>
      <c r="AT761" s="189" t="s">
        <v>7074</v>
      </c>
      <c r="AU761" s="190" t="s">
        <v>15249</v>
      </c>
      <c r="AV761" s="191" t="s">
        <v>153</v>
      </c>
      <c r="AW761" s="192" t="s">
        <v>6555</v>
      </c>
      <c r="AX761" s="193" t="s">
        <v>15250</v>
      </c>
      <c r="AY761" s="194" t="s">
        <v>153</v>
      </c>
      <c r="AZ761" s="195" t="s">
        <v>6555</v>
      </c>
      <c r="BA761" s="196" t="s">
        <v>15251</v>
      </c>
      <c r="BB761" s="197" t="s">
        <v>153</v>
      </c>
      <c r="BC761" s="198" t="s">
        <v>153</v>
      </c>
      <c r="BD761" s="199" t="s">
        <v>1406</v>
      </c>
      <c r="BE761" s="200" t="s">
        <v>1407</v>
      </c>
      <c r="BF761" s="201" t="s">
        <v>15252</v>
      </c>
      <c r="BG761" s="202" t="s">
        <v>15253</v>
      </c>
      <c r="BH761" s="203">
        <v>1</v>
      </c>
      <c r="BI761" s="204" t="s">
        <v>15244</v>
      </c>
      <c r="BJ761" s="205" t="s">
        <v>153</v>
      </c>
      <c r="BK761" s="206" t="s">
        <v>153</v>
      </c>
      <c r="BL761" s="207" t="s">
        <v>15254</v>
      </c>
      <c r="BM761" s="208" t="s">
        <v>153</v>
      </c>
      <c r="BN761" s="209" t="s">
        <v>153</v>
      </c>
      <c r="BO761" s="210" t="s">
        <v>15255</v>
      </c>
      <c r="BP761" s="211" t="s">
        <v>7953</v>
      </c>
      <c r="BQ761" s="212">
        <v>43281</v>
      </c>
      <c r="BR761" s="213">
        <v>6300</v>
      </c>
      <c r="BS761" s="214" t="s">
        <v>186</v>
      </c>
      <c r="BT761" s="215">
        <v>6300</v>
      </c>
      <c r="BU761" s="216" t="s">
        <v>187</v>
      </c>
      <c r="BV761" s="217" t="s">
        <v>226</v>
      </c>
      <c r="BW761" s="218" t="s">
        <v>153</v>
      </c>
      <c r="BX761" s="219" t="s">
        <v>153</v>
      </c>
      <c r="BY761" s="220" t="s">
        <v>225</v>
      </c>
      <c r="BZ761" s="221" t="s">
        <v>153</v>
      </c>
      <c r="CA761" s="222" t="s">
        <v>190</v>
      </c>
      <c r="CB761" s="223">
        <v>43281</v>
      </c>
      <c r="CC761" s="224">
        <v>6300</v>
      </c>
      <c r="CD761" s="225" t="s">
        <v>186</v>
      </c>
      <c r="CE761" s="226">
        <v>6300</v>
      </c>
      <c r="CF761" s="227" t="s">
        <v>187</v>
      </c>
      <c r="CG761" s="228" t="s">
        <v>226</v>
      </c>
      <c r="CH761" s="229" t="s">
        <v>153</v>
      </c>
      <c r="CI761" s="230" t="s">
        <v>153</v>
      </c>
      <c r="CJ761" s="231" t="s">
        <v>225</v>
      </c>
      <c r="CK761" s="232">
        <v>43281</v>
      </c>
      <c r="CL761" s="233" t="s">
        <v>153</v>
      </c>
      <c r="CM761" s="234" t="s">
        <v>153</v>
      </c>
      <c r="CN761" s="235" t="s">
        <v>190</v>
      </c>
      <c r="CO761" s="236">
        <v>-0.04</v>
      </c>
      <c r="CP761" s="237">
        <v>10</v>
      </c>
      <c r="CQ761" s="238">
        <v>-0.03</v>
      </c>
      <c r="CR761" s="239">
        <v>-179.38</v>
      </c>
      <c r="CS761" s="240">
        <v>-0.01</v>
      </c>
      <c r="CT761" s="241">
        <v>8</v>
      </c>
      <c r="CU761" s="242">
        <v>-7.0000000000000007E-2</v>
      </c>
      <c r="CV761" s="243">
        <v>27</v>
      </c>
      <c r="CW761" s="244">
        <v>0.1</v>
      </c>
      <c r="CX761" s="245">
        <v>76</v>
      </c>
      <c r="CY761" s="246">
        <v>-0.11</v>
      </c>
      <c r="CZ761" s="247">
        <v>4</v>
      </c>
      <c r="DA761" s="248">
        <v>-7.0000000000000007E-2</v>
      </c>
      <c r="DB761" s="249">
        <v>27</v>
      </c>
      <c r="DC761" s="250">
        <v>132.99</v>
      </c>
      <c r="DD761" s="251">
        <v>100</v>
      </c>
      <c r="DE761" s="252">
        <v>-0.47</v>
      </c>
      <c r="DF761" s="253">
        <v>-0.35</v>
      </c>
      <c r="DG761" s="254">
        <v>261.56</v>
      </c>
      <c r="DH761" s="255">
        <v>100</v>
      </c>
      <c r="DI761" s="256">
        <v>4.42</v>
      </c>
      <c r="DJ761" s="257">
        <v>76</v>
      </c>
      <c r="DK761" s="258">
        <v>265.69</v>
      </c>
      <c r="DL761" s="259">
        <v>99</v>
      </c>
      <c r="DM761" s="260">
        <v>257.44</v>
      </c>
      <c r="DN761" s="261">
        <v>100</v>
      </c>
      <c r="DO761" s="262">
        <v>4.42</v>
      </c>
      <c r="DP761" s="263">
        <v>76</v>
      </c>
      <c r="DQ761" s="264">
        <v>157069</v>
      </c>
      <c r="DR761" s="265">
        <v>1775</v>
      </c>
      <c r="DS761" s="266">
        <v>1.1399999999999999</v>
      </c>
      <c r="DT761" s="267">
        <v>4131</v>
      </c>
      <c r="DU761" s="268">
        <v>-14</v>
      </c>
      <c r="DV761" s="269">
        <v>-0.34</v>
      </c>
      <c r="DW761" s="270">
        <v>1389</v>
      </c>
      <c r="DX761" s="271">
        <v>-1</v>
      </c>
      <c r="DY761" s="272">
        <v>-7.0000000000000007E-2</v>
      </c>
      <c r="DZ761" s="273" t="s">
        <v>191</v>
      </c>
      <c r="EA761" s="274">
        <v>44015</v>
      </c>
      <c r="EB761" s="275">
        <v>6300</v>
      </c>
      <c r="EC761" s="276">
        <v>43281</v>
      </c>
      <c r="ED761" s="277" t="s">
        <v>226</v>
      </c>
      <c r="EE761" s="279" t="str">
        <f>HYPERLINK("https://my.pitchbook.com?c=108381-79", "View company online")</f>
        <v>View company online</v>
      </c>
    </row>
    <row r="762" spans="1:135" x14ac:dyDescent="0.45">
      <c r="A762" s="10" t="s">
        <v>15256</v>
      </c>
      <c r="B762" s="11" t="s">
        <v>15257</v>
      </c>
      <c r="C762" s="12" t="s">
        <v>153</v>
      </c>
      <c r="D762" s="13" t="s">
        <v>153</v>
      </c>
      <c r="E762" s="14" t="s">
        <v>153</v>
      </c>
      <c r="F762" s="15" t="s">
        <v>153</v>
      </c>
      <c r="G762" s="16" t="s">
        <v>15258</v>
      </c>
      <c r="H762" s="17" t="s">
        <v>15259</v>
      </c>
      <c r="I762" s="18" t="s">
        <v>15256</v>
      </c>
      <c r="J762" s="19" t="s">
        <v>15260</v>
      </c>
      <c r="K762" s="20" t="s">
        <v>232</v>
      </c>
      <c r="L762" s="21" t="s">
        <v>2162</v>
      </c>
      <c r="M762" s="22" t="s">
        <v>2773</v>
      </c>
      <c r="N762" s="23" t="s">
        <v>15261</v>
      </c>
      <c r="O762" s="24" t="s">
        <v>153</v>
      </c>
      <c r="P762" s="25" t="s">
        <v>15262</v>
      </c>
      <c r="Q762" s="26" t="s">
        <v>564</v>
      </c>
      <c r="R762" s="27">
        <v>558.91999999999996</v>
      </c>
      <c r="S762" s="28" t="s">
        <v>290</v>
      </c>
      <c r="T762" s="29" t="s">
        <v>164</v>
      </c>
      <c r="U762" s="30" t="s">
        <v>1063</v>
      </c>
      <c r="V762" s="31" t="s">
        <v>15263</v>
      </c>
      <c r="W762" s="32">
        <v>1269</v>
      </c>
      <c r="X762" s="33" t="s">
        <v>15264</v>
      </c>
      <c r="Y762" s="34" t="s">
        <v>153</v>
      </c>
      <c r="Z762" s="35" t="s">
        <v>153</v>
      </c>
      <c r="AA762" s="36">
        <v>2001</v>
      </c>
      <c r="AB762" s="37" t="s">
        <v>15265</v>
      </c>
      <c r="AC762" s="38" t="s">
        <v>153</v>
      </c>
      <c r="AD762" s="39" t="s">
        <v>153</v>
      </c>
      <c r="AE762" s="40" t="s">
        <v>153</v>
      </c>
      <c r="AF762" s="41" t="s">
        <v>153</v>
      </c>
      <c r="AG762" s="42" t="s">
        <v>153</v>
      </c>
      <c r="AH762" s="43" t="s">
        <v>153</v>
      </c>
      <c r="AI762" s="44" t="s">
        <v>153</v>
      </c>
      <c r="AJ762" s="45" t="s">
        <v>153</v>
      </c>
      <c r="AK762" s="46" t="s">
        <v>153</v>
      </c>
      <c r="AL762" s="47" t="s">
        <v>153</v>
      </c>
      <c r="AM762" s="48" t="s">
        <v>153</v>
      </c>
      <c r="AN762" s="49" t="s">
        <v>2139</v>
      </c>
      <c r="AO762" s="50" t="s">
        <v>15266</v>
      </c>
      <c r="AP762" s="51" t="s">
        <v>15267</v>
      </c>
      <c r="AQ762" s="52" t="s">
        <v>15268</v>
      </c>
      <c r="AR762" s="53" t="s">
        <v>15269</v>
      </c>
      <c r="AS762" s="54" t="s">
        <v>15270</v>
      </c>
      <c r="AT762" s="55" t="s">
        <v>5143</v>
      </c>
      <c r="AU762" s="56" t="s">
        <v>15271</v>
      </c>
      <c r="AV762" s="57" t="s">
        <v>15272</v>
      </c>
      <c r="AW762" s="58" t="s">
        <v>5146</v>
      </c>
      <c r="AX762" s="59" t="s">
        <v>153</v>
      </c>
      <c r="AY762" s="60" t="s">
        <v>15273</v>
      </c>
      <c r="AZ762" s="61" t="s">
        <v>4099</v>
      </c>
      <c r="BA762" s="62" t="s">
        <v>15274</v>
      </c>
      <c r="BB762" s="63" t="s">
        <v>15275</v>
      </c>
      <c r="BC762" s="64" t="s">
        <v>153</v>
      </c>
      <c r="BD762" s="65" t="s">
        <v>216</v>
      </c>
      <c r="BE762" s="66" t="s">
        <v>217</v>
      </c>
      <c r="BF762" s="67" t="s">
        <v>15276</v>
      </c>
      <c r="BG762" s="68" t="s">
        <v>153</v>
      </c>
      <c r="BH762" s="69" t="s">
        <v>153</v>
      </c>
      <c r="BI762" s="70" t="s">
        <v>15265</v>
      </c>
      <c r="BJ762" s="71" t="s">
        <v>15277</v>
      </c>
      <c r="BK762" s="72" t="s">
        <v>153</v>
      </c>
      <c r="BL762" s="73" t="s">
        <v>153</v>
      </c>
      <c r="BM762" s="74" t="s">
        <v>15278</v>
      </c>
      <c r="BN762" s="75" t="s">
        <v>153</v>
      </c>
      <c r="BO762" s="76" t="s">
        <v>15279</v>
      </c>
      <c r="BP762" s="77" t="s">
        <v>15280</v>
      </c>
      <c r="BQ762" s="78">
        <v>37242</v>
      </c>
      <c r="BR762" s="79">
        <v>1200</v>
      </c>
      <c r="BS762" s="80" t="s">
        <v>186</v>
      </c>
      <c r="BT762" s="81" t="s">
        <v>153</v>
      </c>
      <c r="BU762" s="82" t="s">
        <v>153</v>
      </c>
      <c r="BV762" s="83" t="s">
        <v>3319</v>
      </c>
      <c r="BW762" s="84" t="s">
        <v>153</v>
      </c>
      <c r="BX762" s="85" t="s">
        <v>153</v>
      </c>
      <c r="BY762" s="86" t="s">
        <v>165</v>
      </c>
      <c r="BZ762" s="87" t="s">
        <v>153</v>
      </c>
      <c r="CA762" s="88" t="s">
        <v>190</v>
      </c>
      <c r="CB762" s="89">
        <v>42822</v>
      </c>
      <c r="CC762" s="90">
        <v>6300</v>
      </c>
      <c r="CD762" s="91" t="s">
        <v>186</v>
      </c>
      <c r="CE762" s="92">
        <v>6300</v>
      </c>
      <c r="CF762" s="93" t="s">
        <v>186</v>
      </c>
      <c r="CG762" s="94" t="s">
        <v>226</v>
      </c>
      <c r="CH762" s="95" t="s">
        <v>153</v>
      </c>
      <c r="CI762" s="96" t="s">
        <v>153</v>
      </c>
      <c r="CJ762" s="97" t="s">
        <v>225</v>
      </c>
      <c r="CK762" s="98">
        <v>42822</v>
      </c>
      <c r="CL762" s="99" t="s">
        <v>153</v>
      </c>
      <c r="CM762" s="100" t="s">
        <v>153</v>
      </c>
      <c r="CN762" s="101" t="s">
        <v>190</v>
      </c>
      <c r="CO762" s="102" t="s">
        <v>153</v>
      </c>
      <c r="CP762" s="103" t="s">
        <v>153</v>
      </c>
      <c r="CQ762" s="104" t="s">
        <v>153</v>
      </c>
      <c r="CR762" s="105" t="s">
        <v>153</v>
      </c>
      <c r="CS762" s="106" t="s">
        <v>153</v>
      </c>
      <c r="CT762" s="107" t="s">
        <v>153</v>
      </c>
      <c r="CU762" s="108" t="s">
        <v>153</v>
      </c>
      <c r="CV762" s="109" t="s">
        <v>153</v>
      </c>
      <c r="CW762" s="110" t="s">
        <v>153</v>
      </c>
      <c r="CX762" s="111" t="s">
        <v>153</v>
      </c>
      <c r="CY762" s="112" t="s">
        <v>153</v>
      </c>
      <c r="CZ762" s="113" t="s">
        <v>153</v>
      </c>
      <c r="DA762" s="114" t="s">
        <v>153</v>
      </c>
      <c r="DB762" s="115" t="s">
        <v>153</v>
      </c>
      <c r="DC762" s="116" t="s">
        <v>153</v>
      </c>
      <c r="DD762" s="117" t="s">
        <v>153</v>
      </c>
      <c r="DE762" s="118" t="s">
        <v>153</v>
      </c>
      <c r="DF762" s="119" t="s">
        <v>153</v>
      </c>
      <c r="DG762" s="120" t="s">
        <v>153</v>
      </c>
      <c r="DH762" s="121" t="s">
        <v>153</v>
      </c>
      <c r="DI762" s="122" t="s">
        <v>153</v>
      </c>
      <c r="DJ762" s="123" t="s">
        <v>153</v>
      </c>
      <c r="DK762" s="124" t="s">
        <v>153</v>
      </c>
      <c r="DL762" s="125" t="s">
        <v>153</v>
      </c>
      <c r="DM762" s="126" t="s">
        <v>153</v>
      </c>
      <c r="DN762" s="127" t="s">
        <v>153</v>
      </c>
      <c r="DO762" s="128" t="s">
        <v>153</v>
      </c>
      <c r="DP762" s="129" t="s">
        <v>153</v>
      </c>
      <c r="DQ762" s="130" t="s">
        <v>153</v>
      </c>
      <c r="DR762" s="131" t="s">
        <v>153</v>
      </c>
      <c r="DS762" s="132" t="s">
        <v>153</v>
      </c>
      <c r="DT762" s="133" t="s">
        <v>153</v>
      </c>
      <c r="DU762" s="134" t="s">
        <v>153</v>
      </c>
      <c r="DV762" s="135" t="s">
        <v>153</v>
      </c>
      <c r="DW762" s="136" t="s">
        <v>153</v>
      </c>
      <c r="DX762" s="137" t="s">
        <v>153</v>
      </c>
      <c r="DY762" s="138" t="s">
        <v>153</v>
      </c>
      <c r="DZ762" s="139" t="s">
        <v>191</v>
      </c>
      <c r="EA762" s="140">
        <v>44363</v>
      </c>
      <c r="EB762" s="141">
        <v>6300</v>
      </c>
      <c r="EC762" s="142">
        <v>42822</v>
      </c>
      <c r="ED762" s="143" t="s">
        <v>226</v>
      </c>
      <c r="EE762" s="278" t="str">
        <f>HYPERLINK("https://my.pitchbook.com?c=12021-40", "View company online")</f>
        <v>View company online</v>
      </c>
    </row>
    <row r="763" spans="1:135" x14ac:dyDescent="0.45">
      <c r="A763" s="144" t="s">
        <v>15281</v>
      </c>
      <c r="B763" s="145" t="s">
        <v>15282</v>
      </c>
      <c r="C763" s="146" t="s">
        <v>153</v>
      </c>
      <c r="D763" s="147" t="s">
        <v>153</v>
      </c>
      <c r="E763" s="148" t="s">
        <v>153</v>
      </c>
      <c r="F763" s="149" t="s">
        <v>153</v>
      </c>
      <c r="G763" s="150" t="s">
        <v>15283</v>
      </c>
      <c r="H763" s="151" t="s">
        <v>15284</v>
      </c>
      <c r="I763" s="152" t="s">
        <v>15281</v>
      </c>
      <c r="J763" s="153" t="s">
        <v>15285</v>
      </c>
      <c r="K763" s="154" t="s">
        <v>792</v>
      </c>
      <c r="L763" s="155" t="s">
        <v>793</v>
      </c>
      <c r="M763" s="156" t="s">
        <v>1534</v>
      </c>
      <c r="N763" s="157" t="s">
        <v>6281</v>
      </c>
      <c r="O763" s="158" t="s">
        <v>796</v>
      </c>
      <c r="P763" s="159" t="s">
        <v>15286</v>
      </c>
      <c r="Q763" s="160" t="s">
        <v>162</v>
      </c>
      <c r="R763" s="161" t="s">
        <v>153</v>
      </c>
      <c r="S763" s="162" t="s">
        <v>163</v>
      </c>
      <c r="T763" s="163" t="s">
        <v>1392</v>
      </c>
      <c r="U763" s="164" t="s">
        <v>565</v>
      </c>
      <c r="V763" s="165" t="s">
        <v>15287</v>
      </c>
      <c r="W763" s="166">
        <v>800</v>
      </c>
      <c r="X763" s="167" t="s">
        <v>15288</v>
      </c>
      <c r="Y763" s="168" t="s">
        <v>153</v>
      </c>
      <c r="Z763" s="169" t="s">
        <v>153</v>
      </c>
      <c r="AA763" s="170">
        <v>2012</v>
      </c>
      <c r="AB763" s="171" t="s">
        <v>153</v>
      </c>
      <c r="AC763" s="172" t="s">
        <v>153</v>
      </c>
      <c r="AD763" s="173" t="s">
        <v>428</v>
      </c>
      <c r="AE763" s="174" t="s">
        <v>153</v>
      </c>
      <c r="AF763" s="175" t="s">
        <v>153</v>
      </c>
      <c r="AG763" s="176" t="s">
        <v>153</v>
      </c>
      <c r="AH763" s="177" t="s">
        <v>153</v>
      </c>
      <c r="AI763" s="178" t="s">
        <v>153</v>
      </c>
      <c r="AJ763" s="179" t="s">
        <v>153</v>
      </c>
      <c r="AK763" s="180" t="s">
        <v>153</v>
      </c>
      <c r="AL763" s="181" t="s">
        <v>153</v>
      </c>
      <c r="AM763" s="182" t="s">
        <v>153</v>
      </c>
      <c r="AN763" s="183" t="s">
        <v>456</v>
      </c>
      <c r="AO763" s="184" t="s">
        <v>15289</v>
      </c>
      <c r="AP763" s="185" t="s">
        <v>15290</v>
      </c>
      <c r="AQ763" s="186" t="s">
        <v>1175</v>
      </c>
      <c r="AR763" s="187" t="s">
        <v>153</v>
      </c>
      <c r="AS763" s="188" t="s">
        <v>15291</v>
      </c>
      <c r="AT763" s="189" t="s">
        <v>15292</v>
      </c>
      <c r="AU763" s="190" t="s">
        <v>15293</v>
      </c>
      <c r="AV763" s="191" t="s">
        <v>5496</v>
      </c>
      <c r="AW763" s="192" t="s">
        <v>15294</v>
      </c>
      <c r="AX763" s="193" t="s">
        <v>4835</v>
      </c>
      <c r="AY763" s="194" t="s">
        <v>15295</v>
      </c>
      <c r="AZ763" s="195" t="s">
        <v>215</v>
      </c>
      <c r="BA763" s="196" t="s">
        <v>15291</v>
      </c>
      <c r="BB763" s="197" t="s">
        <v>153</v>
      </c>
      <c r="BC763" s="198" t="s">
        <v>153</v>
      </c>
      <c r="BD763" s="199" t="s">
        <v>216</v>
      </c>
      <c r="BE763" s="200" t="s">
        <v>217</v>
      </c>
      <c r="BF763" s="201" t="s">
        <v>15296</v>
      </c>
      <c r="BG763" s="202" t="s">
        <v>15297</v>
      </c>
      <c r="BH763" s="203">
        <v>6</v>
      </c>
      <c r="BI763" s="204" t="s">
        <v>153</v>
      </c>
      <c r="BJ763" s="205" t="s">
        <v>15298</v>
      </c>
      <c r="BK763" s="206" t="s">
        <v>153</v>
      </c>
      <c r="BL763" s="207" t="s">
        <v>15299</v>
      </c>
      <c r="BM763" s="208" t="s">
        <v>15300</v>
      </c>
      <c r="BN763" s="209" t="s">
        <v>153</v>
      </c>
      <c r="BO763" s="210" t="s">
        <v>15301</v>
      </c>
      <c r="BP763" s="211" t="s">
        <v>15302</v>
      </c>
      <c r="BQ763" s="212">
        <v>41153</v>
      </c>
      <c r="BR763" s="213" t="s">
        <v>153</v>
      </c>
      <c r="BS763" s="214" t="s">
        <v>153</v>
      </c>
      <c r="BT763" s="215" t="s">
        <v>153</v>
      </c>
      <c r="BU763" s="216" t="s">
        <v>153</v>
      </c>
      <c r="BV763" s="217" t="s">
        <v>709</v>
      </c>
      <c r="BW763" s="218" t="s">
        <v>153</v>
      </c>
      <c r="BX763" s="219" t="s">
        <v>153</v>
      </c>
      <c r="BY763" s="220" t="s">
        <v>165</v>
      </c>
      <c r="BZ763" s="221" t="s">
        <v>153</v>
      </c>
      <c r="CA763" s="222" t="s">
        <v>190</v>
      </c>
      <c r="CB763" s="223">
        <v>43535</v>
      </c>
      <c r="CC763" s="224">
        <v>6300</v>
      </c>
      <c r="CD763" s="225" t="s">
        <v>186</v>
      </c>
      <c r="CE763" s="226">
        <v>11290.32</v>
      </c>
      <c r="CF763" s="227" t="s">
        <v>187</v>
      </c>
      <c r="CG763" s="228" t="s">
        <v>188</v>
      </c>
      <c r="CH763" s="229" t="s">
        <v>930</v>
      </c>
      <c r="CI763" s="230" t="s">
        <v>153</v>
      </c>
      <c r="CJ763" s="231" t="s">
        <v>165</v>
      </c>
      <c r="CK763" s="232">
        <v>43535</v>
      </c>
      <c r="CL763" s="233">
        <v>2850</v>
      </c>
      <c r="CM763" s="234" t="s">
        <v>15303</v>
      </c>
      <c r="CN763" s="235" t="s">
        <v>190</v>
      </c>
      <c r="CO763" s="236">
        <v>-0.36</v>
      </c>
      <c r="CP763" s="237">
        <v>5</v>
      </c>
      <c r="CQ763" s="238">
        <v>0.05</v>
      </c>
      <c r="CR763" s="239">
        <v>13.12</v>
      </c>
      <c r="CS763" s="240">
        <v>-0.71</v>
      </c>
      <c r="CT763" s="241">
        <v>5</v>
      </c>
      <c r="CU763" s="242">
        <v>0</v>
      </c>
      <c r="CV763" s="243">
        <v>41</v>
      </c>
      <c r="CW763" s="244" t="s">
        <v>153</v>
      </c>
      <c r="CX763" s="245" t="s">
        <v>153</v>
      </c>
      <c r="CY763" s="246">
        <v>-0.71</v>
      </c>
      <c r="CZ763" s="247">
        <v>2</v>
      </c>
      <c r="DA763" s="248">
        <v>0</v>
      </c>
      <c r="DB763" s="249">
        <v>41</v>
      </c>
      <c r="DC763" s="250">
        <v>4.1500000000000004</v>
      </c>
      <c r="DD763" s="251">
        <v>82</v>
      </c>
      <c r="DE763" s="252">
        <v>0.03</v>
      </c>
      <c r="DF763" s="253">
        <v>0.83</v>
      </c>
      <c r="DG763" s="254">
        <v>7.38</v>
      </c>
      <c r="DH763" s="255">
        <v>88</v>
      </c>
      <c r="DI763" s="256">
        <v>0.93</v>
      </c>
      <c r="DJ763" s="257">
        <v>49</v>
      </c>
      <c r="DK763" s="258" t="s">
        <v>153</v>
      </c>
      <c r="DL763" s="259" t="s">
        <v>153</v>
      </c>
      <c r="DM763" s="260">
        <v>7.38</v>
      </c>
      <c r="DN763" s="261">
        <v>87</v>
      </c>
      <c r="DO763" s="262">
        <v>0.93</v>
      </c>
      <c r="DP763" s="263">
        <v>49</v>
      </c>
      <c r="DQ763" s="264" t="s">
        <v>153</v>
      </c>
      <c r="DR763" s="265" t="s">
        <v>153</v>
      </c>
      <c r="DS763" s="266" t="s">
        <v>153</v>
      </c>
      <c r="DT763" s="267">
        <v>117</v>
      </c>
      <c r="DU763" s="268">
        <v>1</v>
      </c>
      <c r="DV763" s="269">
        <v>0.86</v>
      </c>
      <c r="DW763" s="270">
        <v>292</v>
      </c>
      <c r="DX763" s="271">
        <v>0</v>
      </c>
      <c r="DY763" s="272">
        <v>0</v>
      </c>
      <c r="DZ763" s="273" t="s">
        <v>191</v>
      </c>
      <c r="EA763" s="274">
        <v>44257</v>
      </c>
      <c r="EB763" s="275">
        <v>6787.33</v>
      </c>
      <c r="EC763" s="276">
        <v>43535</v>
      </c>
      <c r="ED763" s="277" t="s">
        <v>906</v>
      </c>
      <c r="EE763" s="279" t="str">
        <f>HYPERLINK("https://my.pitchbook.com?c=114165-55", "View company online")</f>
        <v>View company online</v>
      </c>
    </row>
    <row r="764" spans="1:135" x14ac:dyDescent="0.45">
      <c r="A764" s="10" t="s">
        <v>15304</v>
      </c>
      <c r="B764" s="11" t="s">
        <v>15305</v>
      </c>
      <c r="C764" s="12" t="s">
        <v>153</v>
      </c>
      <c r="D764" s="13" t="s">
        <v>153</v>
      </c>
      <c r="E764" s="14" t="s">
        <v>15306</v>
      </c>
      <c r="F764" s="15" t="s">
        <v>15307</v>
      </c>
      <c r="G764" s="16" t="s">
        <v>15308</v>
      </c>
      <c r="H764" s="17" t="s">
        <v>15309</v>
      </c>
      <c r="I764" s="18" t="s">
        <v>15304</v>
      </c>
      <c r="J764" s="19" t="s">
        <v>15310</v>
      </c>
      <c r="K764" s="20" t="s">
        <v>198</v>
      </c>
      <c r="L764" s="21" t="s">
        <v>199</v>
      </c>
      <c r="M764" s="22" t="s">
        <v>2967</v>
      </c>
      <c r="N764" s="23" t="s">
        <v>15311</v>
      </c>
      <c r="O764" s="24" t="s">
        <v>399</v>
      </c>
      <c r="P764" s="25" t="s">
        <v>15312</v>
      </c>
      <c r="Q764" s="26" t="s">
        <v>564</v>
      </c>
      <c r="R764" s="27" t="s">
        <v>153</v>
      </c>
      <c r="S764" s="28" t="s">
        <v>163</v>
      </c>
      <c r="T764" s="29" t="s">
        <v>164</v>
      </c>
      <c r="U764" s="30" t="s">
        <v>2000</v>
      </c>
      <c r="V764" s="31" t="s">
        <v>15313</v>
      </c>
      <c r="W764" s="32">
        <v>1600</v>
      </c>
      <c r="X764" s="33" t="s">
        <v>15314</v>
      </c>
      <c r="Y764" s="34" t="s">
        <v>153</v>
      </c>
      <c r="Z764" s="35" t="s">
        <v>153</v>
      </c>
      <c r="AA764" s="36">
        <v>1931</v>
      </c>
      <c r="AB764" s="37" t="s">
        <v>2980</v>
      </c>
      <c r="AC764" s="38" t="s">
        <v>153</v>
      </c>
      <c r="AD764" s="39" t="s">
        <v>153</v>
      </c>
      <c r="AE764" s="40" t="s">
        <v>153</v>
      </c>
      <c r="AF764" s="41" t="s">
        <v>153</v>
      </c>
      <c r="AG764" s="42" t="s">
        <v>153</v>
      </c>
      <c r="AH764" s="43" t="s">
        <v>153</v>
      </c>
      <c r="AI764" s="44" t="s">
        <v>153</v>
      </c>
      <c r="AJ764" s="45" t="s">
        <v>153</v>
      </c>
      <c r="AK764" s="46" t="s">
        <v>153</v>
      </c>
      <c r="AL764" s="47" t="s">
        <v>153</v>
      </c>
      <c r="AM764" s="48" t="s">
        <v>153</v>
      </c>
      <c r="AN764" s="49" t="s">
        <v>1442</v>
      </c>
      <c r="AO764" s="50" t="s">
        <v>15315</v>
      </c>
      <c r="AP764" s="51" t="s">
        <v>15316</v>
      </c>
      <c r="AQ764" s="52" t="s">
        <v>171</v>
      </c>
      <c r="AR764" s="53" t="s">
        <v>15317</v>
      </c>
      <c r="AS764" s="54" t="s">
        <v>153</v>
      </c>
      <c r="AT764" s="55" t="s">
        <v>15318</v>
      </c>
      <c r="AU764" s="56" t="s">
        <v>15319</v>
      </c>
      <c r="AV764" s="57" t="s">
        <v>153</v>
      </c>
      <c r="AW764" s="58" t="s">
        <v>15320</v>
      </c>
      <c r="AX764" s="59" t="s">
        <v>153</v>
      </c>
      <c r="AY764" s="60" t="s">
        <v>15321</v>
      </c>
      <c r="AZ764" s="61" t="s">
        <v>1426</v>
      </c>
      <c r="BA764" s="62" t="s">
        <v>15322</v>
      </c>
      <c r="BB764" s="63" t="s">
        <v>153</v>
      </c>
      <c r="BC764" s="64" t="s">
        <v>153</v>
      </c>
      <c r="BD764" s="65" t="s">
        <v>180</v>
      </c>
      <c r="BE764" s="66" t="s">
        <v>181</v>
      </c>
      <c r="BF764" s="67" t="s">
        <v>15323</v>
      </c>
      <c r="BG764" s="68" t="s">
        <v>153</v>
      </c>
      <c r="BH764" s="69" t="s">
        <v>153</v>
      </c>
      <c r="BI764" s="70" t="s">
        <v>2980</v>
      </c>
      <c r="BJ764" s="71" t="s">
        <v>15324</v>
      </c>
      <c r="BK764" s="72" t="s">
        <v>15325</v>
      </c>
      <c r="BL764" s="73" t="s">
        <v>153</v>
      </c>
      <c r="BM764" s="74" t="s">
        <v>15326</v>
      </c>
      <c r="BN764" s="75" t="s">
        <v>15327</v>
      </c>
      <c r="BO764" s="76" t="s">
        <v>15328</v>
      </c>
      <c r="BP764" s="77" t="s">
        <v>15329</v>
      </c>
      <c r="BQ764" s="78">
        <v>36613</v>
      </c>
      <c r="BR764" s="79">
        <v>3400</v>
      </c>
      <c r="BS764" s="80" t="s">
        <v>186</v>
      </c>
      <c r="BT764" s="81">
        <v>3400</v>
      </c>
      <c r="BU764" s="82" t="s">
        <v>187</v>
      </c>
      <c r="BV764" s="83" t="s">
        <v>226</v>
      </c>
      <c r="BW764" s="84" t="s">
        <v>729</v>
      </c>
      <c r="BX764" s="85" t="s">
        <v>153</v>
      </c>
      <c r="BY764" s="86" t="s">
        <v>225</v>
      </c>
      <c r="BZ764" s="87" t="s">
        <v>153</v>
      </c>
      <c r="CA764" s="88" t="s">
        <v>190</v>
      </c>
      <c r="CB764" s="89">
        <v>43523</v>
      </c>
      <c r="CC764" s="90">
        <v>6296.28</v>
      </c>
      <c r="CD764" s="91" t="s">
        <v>186</v>
      </c>
      <c r="CE764" s="92">
        <v>6296.28</v>
      </c>
      <c r="CF764" s="93" t="s">
        <v>186</v>
      </c>
      <c r="CG764" s="94" t="s">
        <v>226</v>
      </c>
      <c r="CH764" s="95" t="s">
        <v>729</v>
      </c>
      <c r="CI764" s="96" t="s">
        <v>153</v>
      </c>
      <c r="CJ764" s="97" t="s">
        <v>225</v>
      </c>
      <c r="CK764" s="98">
        <v>43523</v>
      </c>
      <c r="CL764" s="99" t="s">
        <v>153</v>
      </c>
      <c r="CM764" s="100" t="s">
        <v>153</v>
      </c>
      <c r="CN764" s="101" t="s">
        <v>394</v>
      </c>
      <c r="CO764" s="102" t="s">
        <v>153</v>
      </c>
      <c r="CP764" s="103" t="s">
        <v>153</v>
      </c>
      <c r="CQ764" s="104" t="s">
        <v>153</v>
      </c>
      <c r="CR764" s="105" t="s">
        <v>153</v>
      </c>
      <c r="CS764" s="106" t="s">
        <v>153</v>
      </c>
      <c r="CT764" s="107" t="s">
        <v>153</v>
      </c>
      <c r="CU764" s="108" t="s">
        <v>153</v>
      </c>
      <c r="CV764" s="109" t="s">
        <v>153</v>
      </c>
      <c r="CW764" s="110" t="s">
        <v>153</v>
      </c>
      <c r="CX764" s="111" t="s">
        <v>153</v>
      </c>
      <c r="CY764" s="112" t="s">
        <v>153</v>
      </c>
      <c r="CZ764" s="113" t="s">
        <v>153</v>
      </c>
      <c r="DA764" s="114" t="s">
        <v>153</v>
      </c>
      <c r="DB764" s="115" t="s">
        <v>153</v>
      </c>
      <c r="DC764" s="116" t="s">
        <v>153</v>
      </c>
      <c r="DD764" s="117" t="s">
        <v>153</v>
      </c>
      <c r="DE764" s="118" t="s">
        <v>153</v>
      </c>
      <c r="DF764" s="119" t="s">
        <v>153</v>
      </c>
      <c r="DG764" s="120" t="s">
        <v>153</v>
      </c>
      <c r="DH764" s="121" t="s">
        <v>153</v>
      </c>
      <c r="DI764" s="122" t="s">
        <v>153</v>
      </c>
      <c r="DJ764" s="123" t="s">
        <v>153</v>
      </c>
      <c r="DK764" s="124" t="s">
        <v>153</v>
      </c>
      <c r="DL764" s="125" t="s">
        <v>153</v>
      </c>
      <c r="DM764" s="126" t="s">
        <v>153</v>
      </c>
      <c r="DN764" s="127" t="s">
        <v>153</v>
      </c>
      <c r="DO764" s="128" t="s">
        <v>153</v>
      </c>
      <c r="DP764" s="129" t="s">
        <v>153</v>
      </c>
      <c r="DQ764" s="130" t="s">
        <v>153</v>
      </c>
      <c r="DR764" s="131" t="s">
        <v>153</v>
      </c>
      <c r="DS764" s="132" t="s">
        <v>153</v>
      </c>
      <c r="DT764" s="133" t="s">
        <v>153</v>
      </c>
      <c r="DU764" s="134" t="s">
        <v>153</v>
      </c>
      <c r="DV764" s="135" t="s">
        <v>153</v>
      </c>
      <c r="DW764" s="136" t="s">
        <v>153</v>
      </c>
      <c r="DX764" s="137" t="s">
        <v>153</v>
      </c>
      <c r="DY764" s="138" t="s">
        <v>153</v>
      </c>
      <c r="DZ764" s="139" t="s">
        <v>191</v>
      </c>
      <c r="EA764" s="140">
        <v>44335</v>
      </c>
      <c r="EB764" s="141">
        <v>6296.28</v>
      </c>
      <c r="EC764" s="142">
        <v>43523</v>
      </c>
      <c r="ED764" s="143" t="s">
        <v>226</v>
      </c>
      <c r="EE764" s="278" t="str">
        <f>HYPERLINK("https://my.pitchbook.com?c=53948-98", "View company online")</f>
        <v>View company online</v>
      </c>
    </row>
    <row r="765" spans="1:135" x14ac:dyDescent="0.45">
      <c r="A765" s="144" t="s">
        <v>15330</v>
      </c>
      <c r="B765" s="145" t="s">
        <v>15331</v>
      </c>
      <c r="C765" s="146" t="s">
        <v>153</v>
      </c>
      <c r="D765" s="147" t="s">
        <v>153</v>
      </c>
      <c r="E765" s="148" t="s">
        <v>153</v>
      </c>
      <c r="F765" s="149" t="s">
        <v>15332</v>
      </c>
      <c r="G765" s="150" t="s">
        <v>15333</v>
      </c>
      <c r="H765" s="151" t="s">
        <v>153</v>
      </c>
      <c r="I765" s="152" t="s">
        <v>15330</v>
      </c>
      <c r="J765" s="153" t="s">
        <v>15334</v>
      </c>
      <c r="K765" s="154" t="s">
        <v>257</v>
      </c>
      <c r="L765" s="155" t="s">
        <v>478</v>
      </c>
      <c r="M765" s="156" t="s">
        <v>2670</v>
      </c>
      <c r="N765" s="157" t="s">
        <v>15335</v>
      </c>
      <c r="O765" s="158" t="s">
        <v>1592</v>
      </c>
      <c r="P765" s="159" t="s">
        <v>15336</v>
      </c>
      <c r="Q765" s="160" t="s">
        <v>564</v>
      </c>
      <c r="R765" s="161">
        <v>500</v>
      </c>
      <c r="S765" s="162" t="s">
        <v>290</v>
      </c>
      <c r="T765" s="163" t="s">
        <v>205</v>
      </c>
      <c r="U765" s="164" t="s">
        <v>1791</v>
      </c>
      <c r="V765" s="165" t="s">
        <v>15337</v>
      </c>
      <c r="W765" s="166">
        <v>1001</v>
      </c>
      <c r="X765" s="167" t="s">
        <v>15338</v>
      </c>
      <c r="Y765" s="168" t="s">
        <v>153</v>
      </c>
      <c r="Z765" s="169" t="s">
        <v>153</v>
      </c>
      <c r="AA765" s="170">
        <v>1997</v>
      </c>
      <c r="AB765" s="171" t="s">
        <v>153</v>
      </c>
      <c r="AC765" s="172" t="s">
        <v>153</v>
      </c>
      <c r="AD765" s="173" t="s">
        <v>153</v>
      </c>
      <c r="AE765" s="174" t="s">
        <v>153</v>
      </c>
      <c r="AF765" s="175" t="s">
        <v>153</v>
      </c>
      <c r="AG765" s="176" t="s">
        <v>153</v>
      </c>
      <c r="AH765" s="177" t="s">
        <v>153</v>
      </c>
      <c r="AI765" s="178" t="s">
        <v>153</v>
      </c>
      <c r="AJ765" s="179" t="s">
        <v>153</v>
      </c>
      <c r="AK765" s="180" t="s">
        <v>153</v>
      </c>
      <c r="AL765" s="181" t="s">
        <v>153</v>
      </c>
      <c r="AM765" s="182" t="s">
        <v>153</v>
      </c>
      <c r="AN765" s="183" t="s">
        <v>429</v>
      </c>
      <c r="AO765" s="184" t="s">
        <v>153</v>
      </c>
      <c r="AP765" s="185" t="s">
        <v>153</v>
      </c>
      <c r="AQ765" s="186" t="s">
        <v>153</v>
      </c>
      <c r="AR765" s="187" t="s">
        <v>153</v>
      </c>
      <c r="AS765" s="188" t="s">
        <v>153</v>
      </c>
      <c r="AT765" s="189" t="s">
        <v>15339</v>
      </c>
      <c r="AU765" s="190" t="s">
        <v>15340</v>
      </c>
      <c r="AV765" s="191" t="s">
        <v>7334</v>
      </c>
      <c r="AW765" s="192" t="s">
        <v>15341</v>
      </c>
      <c r="AX765" s="193" t="s">
        <v>436</v>
      </c>
      <c r="AY765" s="194" t="s">
        <v>15342</v>
      </c>
      <c r="AZ765" s="195" t="s">
        <v>215</v>
      </c>
      <c r="BA765" s="196" t="s">
        <v>153</v>
      </c>
      <c r="BB765" s="197" t="s">
        <v>153</v>
      </c>
      <c r="BC765" s="198" t="s">
        <v>153</v>
      </c>
      <c r="BD765" s="199" t="s">
        <v>216</v>
      </c>
      <c r="BE765" s="200" t="s">
        <v>217</v>
      </c>
      <c r="BF765" s="201" t="s">
        <v>15343</v>
      </c>
      <c r="BG765" s="202" t="s">
        <v>153</v>
      </c>
      <c r="BH765" s="203" t="s">
        <v>153</v>
      </c>
      <c r="BI765" s="204" t="s">
        <v>15344</v>
      </c>
      <c r="BJ765" s="205" t="s">
        <v>15345</v>
      </c>
      <c r="BK765" s="206" t="s">
        <v>153</v>
      </c>
      <c r="BL765" s="207" t="s">
        <v>153</v>
      </c>
      <c r="BM765" s="208" t="s">
        <v>15346</v>
      </c>
      <c r="BN765" s="209" t="s">
        <v>153</v>
      </c>
      <c r="BO765" s="210" t="s">
        <v>15347</v>
      </c>
      <c r="BP765" s="211" t="s">
        <v>15348</v>
      </c>
      <c r="BQ765" s="212">
        <v>35612</v>
      </c>
      <c r="BR765" s="213">
        <v>32.380000000000003</v>
      </c>
      <c r="BS765" s="214" t="s">
        <v>186</v>
      </c>
      <c r="BT765" s="215">
        <v>211.96</v>
      </c>
      <c r="BU765" s="216" t="s">
        <v>187</v>
      </c>
      <c r="BV765" s="217" t="s">
        <v>251</v>
      </c>
      <c r="BW765" s="218" t="s">
        <v>153</v>
      </c>
      <c r="BX765" s="219" t="s">
        <v>153</v>
      </c>
      <c r="BY765" s="220" t="s">
        <v>252</v>
      </c>
      <c r="BZ765" s="221" t="s">
        <v>153</v>
      </c>
      <c r="CA765" s="222" t="s">
        <v>190</v>
      </c>
      <c r="CB765" s="223">
        <v>42429</v>
      </c>
      <c r="CC765" s="224">
        <v>6256.2</v>
      </c>
      <c r="CD765" s="225" t="s">
        <v>186</v>
      </c>
      <c r="CE765" s="226">
        <v>10786.55</v>
      </c>
      <c r="CF765" s="227" t="s">
        <v>186</v>
      </c>
      <c r="CG765" s="228" t="s">
        <v>226</v>
      </c>
      <c r="CH765" s="229" t="s">
        <v>729</v>
      </c>
      <c r="CI765" s="230" t="s">
        <v>153</v>
      </c>
      <c r="CJ765" s="231" t="s">
        <v>225</v>
      </c>
      <c r="CK765" s="232">
        <v>42429</v>
      </c>
      <c r="CL765" s="233" t="s">
        <v>153</v>
      </c>
      <c r="CM765" s="234" t="s">
        <v>153</v>
      </c>
      <c r="CN765" s="235" t="s">
        <v>190</v>
      </c>
      <c r="CO765" s="236" t="s">
        <v>153</v>
      </c>
      <c r="CP765" s="237" t="s">
        <v>153</v>
      </c>
      <c r="CQ765" s="238" t="s">
        <v>153</v>
      </c>
      <c r="CR765" s="239" t="s">
        <v>153</v>
      </c>
      <c r="CS765" s="240" t="s">
        <v>153</v>
      </c>
      <c r="CT765" s="241" t="s">
        <v>153</v>
      </c>
      <c r="CU765" s="242" t="s">
        <v>153</v>
      </c>
      <c r="CV765" s="243" t="s">
        <v>153</v>
      </c>
      <c r="CW765" s="244" t="s">
        <v>153</v>
      </c>
      <c r="CX765" s="245" t="s">
        <v>153</v>
      </c>
      <c r="CY765" s="246" t="s">
        <v>153</v>
      </c>
      <c r="CZ765" s="247" t="s">
        <v>153</v>
      </c>
      <c r="DA765" s="248" t="s">
        <v>153</v>
      </c>
      <c r="DB765" s="249" t="s">
        <v>153</v>
      </c>
      <c r="DC765" s="250" t="s">
        <v>153</v>
      </c>
      <c r="DD765" s="251" t="s">
        <v>153</v>
      </c>
      <c r="DE765" s="252" t="s">
        <v>153</v>
      </c>
      <c r="DF765" s="253" t="s">
        <v>153</v>
      </c>
      <c r="DG765" s="254" t="s">
        <v>153</v>
      </c>
      <c r="DH765" s="255" t="s">
        <v>153</v>
      </c>
      <c r="DI765" s="256" t="s">
        <v>153</v>
      </c>
      <c r="DJ765" s="257" t="s">
        <v>153</v>
      </c>
      <c r="DK765" s="258" t="s">
        <v>153</v>
      </c>
      <c r="DL765" s="259" t="s">
        <v>153</v>
      </c>
      <c r="DM765" s="260" t="s">
        <v>153</v>
      </c>
      <c r="DN765" s="261" t="s">
        <v>153</v>
      </c>
      <c r="DO765" s="262" t="s">
        <v>153</v>
      </c>
      <c r="DP765" s="263" t="s">
        <v>153</v>
      </c>
      <c r="DQ765" s="264" t="s">
        <v>153</v>
      </c>
      <c r="DR765" s="265" t="s">
        <v>153</v>
      </c>
      <c r="DS765" s="266" t="s">
        <v>153</v>
      </c>
      <c r="DT765" s="267" t="s">
        <v>153</v>
      </c>
      <c r="DU765" s="268" t="s">
        <v>153</v>
      </c>
      <c r="DV765" s="269" t="s">
        <v>153</v>
      </c>
      <c r="DW765" s="270" t="s">
        <v>153</v>
      </c>
      <c r="DX765" s="271" t="s">
        <v>153</v>
      </c>
      <c r="DY765" s="272" t="s">
        <v>153</v>
      </c>
      <c r="DZ765" s="273" t="s">
        <v>191</v>
      </c>
      <c r="EA765" s="274">
        <v>44402</v>
      </c>
      <c r="EB765" s="275">
        <v>10786.55</v>
      </c>
      <c r="EC765" s="276">
        <v>42429</v>
      </c>
      <c r="ED765" s="277" t="s">
        <v>226</v>
      </c>
      <c r="EE765" s="279" t="str">
        <f>HYPERLINK("https://my.pitchbook.com?c=12188-89", "View company online")</f>
        <v>View company online</v>
      </c>
    </row>
    <row r="766" spans="1:135" x14ac:dyDescent="0.45">
      <c r="A766" s="10" t="s">
        <v>15349</v>
      </c>
      <c r="B766" s="11" t="s">
        <v>15350</v>
      </c>
      <c r="C766" s="12" t="s">
        <v>153</v>
      </c>
      <c r="D766" s="13" t="s">
        <v>153</v>
      </c>
      <c r="E766" s="14" t="s">
        <v>15351</v>
      </c>
      <c r="F766" s="15" t="s">
        <v>15352</v>
      </c>
      <c r="G766" s="16" t="s">
        <v>15353</v>
      </c>
      <c r="H766" s="17" t="s">
        <v>15354</v>
      </c>
      <c r="I766" s="18" t="s">
        <v>15349</v>
      </c>
      <c r="J766" s="19" t="s">
        <v>15355</v>
      </c>
      <c r="K766" s="20" t="s">
        <v>232</v>
      </c>
      <c r="L766" s="21" t="s">
        <v>1016</v>
      </c>
      <c r="M766" s="22" t="s">
        <v>2416</v>
      </c>
      <c r="N766" s="23" t="s">
        <v>5606</v>
      </c>
      <c r="O766" s="24" t="s">
        <v>153</v>
      </c>
      <c r="P766" s="25" t="s">
        <v>15356</v>
      </c>
      <c r="Q766" s="26" t="s">
        <v>564</v>
      </c>
      <c r="R766" s="27">
        <v>30.61</v>
      </c>
      <c r="S766" s="28" t="s">
        <v>368</v>
      </c>
      <c r="T766" s="29" t="s">
        <v>164</v>
      </c>
      <c r="U766" s="30" t="s">
        <v>1791</v>
      </c>
      <c r="V766" s="31" t="s">
        <v>15357</v>
      </c>
      <c r="W766" s="32">
        <v>600</v>
      </c>
      <c r="X766" s="33" t="s">
        <v>15358</v>
      </c>
      <c r="Y766" s="34" t="s">
        <v>153</v>
      </c>
      <c r="Z766" s="35" t="s">
        <v>153</v>
      </c>
      <c r="AA766" s="36">
        <v>1898</v>
      </c>
      <c r="AB766" s="37" t="s">
        <v>15359</v>
      </c>
      <c r="AC766" s="38" t="s">
        <v>15360</v>
      </c>
      <c r="AD766" s="39" t="s">
        <v>15361</v>
      </c>
      <c r="AE766" s="40" t="s">
        <v>153</v>
      </c>
      <c r="AF766" s="41" t="s">
        <v>153</v>
      </c>
      <c r="AG766" s="42" t="s">
        <v>153</v>
      </c>
      <c r="AH766" s="43" t="s">
        <v>153</v>
      </c>
      <c r="AI766" s="44" t="s">
        <v>153</v>
      </c>
      <c r="AJ766" s="45" t="s">
        <v>153</v>
      </c>
      <c r="AK766" s="46" t="s">
        <v>153</v>
      </c>
      <c r="AL766" s="47" t="s">
        <v>153</v>
      </c>
      <c r="AM766" s="48" t="s">
        <v>153</v>
      </c>
      <c r="AN766" s="49" t="s">
        <v>3725</v>
      </c>
      <c r="AO766" s="50" t="s">
        <v>153</v>
      </c>
      <c r="AP766" s="51" t="s">
        <v>153</v>
      </c>
      <c r="AQ766" s="52" t="s">
        <v>153</v>
      </c>
      <c r="AR766" s="53" t="s">
        <v>153</v>
      </c>
      <c r="AS766" s="54" t="s">
        <v>153</v>
      </c>
      <c r="AT766" s="55" t="s">
        <v>780</v>
      </c>
      <c r="AU766" s="56" t="s">
        <v>15362</v>
      </c>
      <c r="AV766" s="57" t="s">
        <v>153</v>
      </c>
      <c r="AW766" s="58" t="s">
        <v>782</v>
      </c>
      <c r="AX766" s="59" t="s">
        <v>783</v>
      </c>
      <c r="AY766" s="60" t="s">
        <v>2876</v>
      </c>
      <c r="AZ766" s="61" t="s">
        <v>215</v>
      </c>
      <c r="BA766" s="62" t="s">
        <v>15363</v>
      </c>
      <c r="BB766" s="63" t="s">
        <v>153</v>
      </c>
      <c r="BC766" s="64" t="s">
        <v>15364</v>
      </c>
      <c r="BD766" s="65" t="s">
        <v>216</v>
      </c>
      <c r="BE766" s="66" t="s">
        <v>217</v>
      </c>
      <c r="BF766" s="67" t="s">
        <v>15365</v>
      </c>
      <c r="BG766" s="68" t="s">
        <v>15366</v>
      </c>
      <c r="BH766" s="69">
        <v>1</v>
      </c>
      <c r="BI766" s="70" t="s">
        <v>15359</v>
      </c>
      <c r="BJ766" s="71" t="s">
        <v>15367</v>
      </c>
      <c r="BK766" s="72" t="s">
        <v>153</v>
      </c>
      <c r="BL766" s="73" t="s">
        <v>15368</v>
      </c>
      <c r="BM766" s="74" t="s">
        <v>15369</v>
      </c>
      <c r="BN766" s="75" t="s">
        <v>153</v>
      </c>
      <c r="BO766" s="76" t="s">
        <v>15370</v>
      </c>
      <c r="BP766" s="77" t="s">
        <v>15371</v>
      </c>
      <c r="BQ766" s="78">
        <v>33744</v>
      </c>
      <c r="BR766" s="79" t="s">
        <v>153</v>
      </c>
      <c r="BS766" s="80" t="s">
        <v>153</v>
      </c>
      <c r="BT766" s="81" t="s">
        <v>153</v>
      </c>
      <c r="BU766" s="82" t="s">
        <v>153</v>
      </c>
      <c r="BV766" s="83" t="s">
        <v>251</v>
      </c>
      <c r="BW766" s="84" t="s">
        <v>153</v>
      </c>
      <c r="BX766" s="85" t="s">
        <v>153</v>
      </c>
      <c r="BY766" s="86" t="s">
        <v>252</v>
      </c>
      <c r="BZ766" s="87" t="s">
        <v>153</v>
      </c>
      <c r="CA766" s="88" t="s">
        <v>190</v>
      </c>
      <c r="CB766" s="89">
        <v>41913</v>
      </c>
      <c r="CC766" s="90">
        <v>6250</v>
      </c>
      <c r="CD766" s="91" t="s">
        <v>186</v>
      </c>
      <c r="CE766" s="92">
        <v>6250</v>
      </c>
      <c r="CF766" s="93" t="s">
        <v>186</v>
      </c>
      <c r="CG766" s="94" t="s">
        <v>226</v>
      </c>
      <c r="CH766" s="95" t="s">
        <v>153</v>
      </c>
      <c r="CI766" s="96" t="s">
        <v>153</v>
      </c>
      <c r="CJ766" s="97" t="s">
        <v>225</v>
      </c>
      <c r="CK766" s="98">
        <v>41913</v>
      </c>
      <c r="CL766" s="99" t="s">
        <v>153</v>
      </c>
      <c r="CM766" s="100" t="s">
        <v>153</v>
      </c>
      <c r="CN766" s="101" t="s">
        <v>190</v>
      </c>
      <c r="CO766" s="102">
        <v>-0.08</v>
      </c>
      <c r="CP766" s="103">
        <v>8</v>
      </c>
      <c r="CQ766" s="104">
        <v>0</v>
      </c>
      <c r="CR766" s="105">
        <v>0</v>
      </c>
      <c r="CS766" s="106" t="s">
        <v>153</v>
      </c>
      <c r="CT766" s="107" t="s">
        <v>153</v>
      </c>
      <c r="CU766" s="108" t="s">
        <v>153</v>
      </c>
      <c r="CV766" s="109" t="s">
        <v>153</v>
      </c>
      <c r="CW766" s="110" t="s">
        <v>153</v>
      </c>
      <c r="CX766" s="111" t="s">
        <v>153</v>
      </c>
      <c r="CY766" s="112" t="s">
        <v>153</v>
      </c>
      <c r="CZ766" s="113" t="s">
        <v>153</v>
      </c>
      <c r="DA766" s="114" t="s">
        <v>153</v>
      </c>
      <c r="DB766" s="115" t="s">
        <v>153</v>
      </c>
      <c r="DC766" s="116">
        <v>16.22</v>
      </c>
      <c r="DD766" s="117">
        <v>95</v>
      </c>
      <c r="DE766" s="118">
        <v>0</v>
      </c>
      <c r="DF766" s="119">
        <v>0</v>
      </c>
      <c r="DG766" s="120" t="s">
        <v>153</v>
      </c>
      <c r="DH766" s="121" t="s">
        <v>153</v>
      </c>
      <c r="DI766" s="122" t="s">
        <v>153</v>
      </c>
      <c r="DJ766" s="123" t="s">
        <v>153</v>
      </c>
      <c r="DK766" s="124" t="s">
        <v>153</v>
      </c>
      <c r="DL766" s="125" t="s">
        <v>153</v>
      </c>
      <c r="DM766" s="126" t="s">
        <v>153</v>
      </c>
      <c r="DN766" s="127" t="s">
        <v>153</v>
      </c>
      <c r="DO766" s="128" t="s">
        <v>153</v>
      </c>
      <c r="DP766" s="129" t="s">
        <v>153</v>
      </c>
      <c r="DQ766" s="130" t="s">
        <v>153</v>
      </c>
      <c r="DR766" s="131" t="s">
        <v>153</v>
      </c>
      <c r="DS766" s="132" t="s">
        <v>153</v>
      </c>
      <c r="DT766" s="133" t="s">
        <v>153</v>
      </c>
      <c r="DU766" s="134" t="s">
        <v>153</v>
      </c>
      <c r="DV766" s="135" t="s">
        <v>153</v>
      </c>
      <c r="DW766" s="136" t="s">
        <v>153</v>
      </c>
      <c r="DX766" s="137" t="s">
        <v>153</v>
      </c>
      <c r="DY766" s="138" t="s">
        <v>153</v>
      </c>
      <c r="DZ766" s="139" t="s">
        <v>191</v>
      </c>
      <c r="EA766" s="140">
        <v>44403</v>
      </c>
      <c r="EB766" s="141">
        <v>6250</v>
      </c>
      <c r="EC766" s="142">
        <v>41913</v>
      </c>
      <c r="ED766" s="143" t="s">
        <v>226</v>
      </c>
      <c r="EE766" s="278" t="str">
        <f>HYPERLINK("https://my.pitchbook.com?c=10429-93", "View company online")</f>
        <v>View company online</v>
      </c>
    </row>
    <row r="767" spans="1:135" x14ac:dyDescent="0.45">
      <c r="A767" s="144" t="s">
        <v>15372</v>
      </c>
      <c r="B767" s="145" t="s">
        <v>15373</v>
      </c>
      <c r="C767" s="146" t="s">
        <v>153</v>
      </c>
      <c r="D767" s="147" t="s">
        <v>153</v>
      </c>
      <c r="E767" s="148" t="s">
        <v>153</v>
      </c>
      <c r="F767" s="149" t="s">
        <v>15374</v>
      </c>
      <c r="G767" s="150" t="s">
        <v>153</v>
      </c>
      <c r="H767" s="151" t="s">
        <v>153</v>
      </c>
      <c r="I767" s="152" t="s">
        <v>15372</v>
      </c>
      <c r="J767" s="153" t="s">
        <v>15375</v>
      </c>
      <c r="K767" s="154" t="s">
        <v>882</v>
      </c>
      <c r="L767" s="155" t="s">
        <v>2888</v>
      </c>
      <c r="M767" s="156" t="s">
        <v>2889</v>
      </c>
      <c r="N767" s="157" t="s">
        <v>15376</v>
      </c>
      <c r="O767" s="158" t="s">
        <v>153</v>
      </c>
      <c r="P767" s="159" t="s">
        <v>15377</v>
      </c>
      <c r="Q767" s="160" t="s">
        <v>12642</v>
      </c>
      <c r="R767" s="161" t="s">
        <v>153</v>
      </c>
      <c r="S767" s="162" t="s">
        <v>153</v>
      </c>
      <c r="T767" s="163" t="s">
        <v>1488</v>
      </c>
      <c r="U767" s="164" t="s">
        <v>165</v>
      </c>
      <c r="V767" s="165" t="s">
        <v>153</v>
      </c>
      <c r="W767" s="166" t="s">
        <v>153</v>
      </c>
      <c r="X767" s="167" t="s">
        <v>153</v>
      </c>
      <c r="Y767" s="168" t="s">
        <v>153</v>
      </c>
      <c r="Z767" s="169" t="s">
        <v>153</v>
      </c>
      <c r="AA767" s="170" t="s">
        <v>153</v>
      </c>
      <c r="AB767" s="171" t="s">
        <v>153</v>
      </c>
      <c r="AC767" s="172" t="s">
        <v>153</v>
      </c>
      <c r="AD767" s="173" t="s">
        <v>428</v>
      </c>
      <c r="AE767" s="174" t="s">
        <v>153</v>
      </c>
      <c r="AF767" s="175" t="s">
        <v>153</v>
      </c>
      <c r="AG767" s="176" t="s">
        <v>153</v>
      </c>
      <c r="AH767" s="177" t="s">
        <v>153</v>
      </c>
      <c r="AI767" s="178" t="s">
        <v>153</v>
      </c>
      <c r="AJ767" s="179" t="s">
        <v>153</v>
      </c>
      <c r="AK767" s="180" t="s">
        <v>153</v>
      </c>
      <c r="AL767" s="181" t="s">
        <v>153</v>
      </c>
      <c r="AM767" s="182" t="s">
        <v>153</v>
      </c>
      <c r="AN767" s="183" t="s">
        <v>153</v>
      </c>
      <c r="AO767" s="184" t="s">
        <v>153</v>
      </c>
      <c r="AP767" s="185" t="s">
        <v>153</v>
      </c>
      <c r="AQ767" s="186" t="s">
        <v>153</v>
      </c>
      <c r="AR767" s="187" t="s">
        <v>153</v>
      </c>
      <c r="AS767" s="188" t="s">
        <v>153</v>
      </c>
      <c r="AT767" s="189" t="s">
        <v>10408</v>
      </c>
      <c r="AU767" s="190" t="s">
        <v>153</v>
      </c>
      <c r="AV767" s="191" t="s">
        <v>153</v>
      </c>
      <c r="AW767" s="192" t="s">
        <v>10410</v>
      </c>
      <c r="AX767" s="193" t="s">
        <v>10319</v>
      </c>
      <c r="AY767" s="194" t="s">
        <v>153</v>
      </c>
      <c r="AZ767" s="195" t="s">
        <v>215</v>
      </c>
      <c r="BA767" s="196" t="s">
        <v>153</v>
      </c>
      <c r="BB767" s="197" t="s">
        <v>153</v>
      </c>
      <c r="BC767" s="198" t="s">
        <v>153</v>
      </c>
      <c r="BD767" s="199" t="s">
        <v>216</v>
      </c>
      <c r="BE767" s="200" t="s">
        <v>217</v>
      </c>
      <c r="BF767" s="201" t="s">
        <v>15378</v>
      </c>
      <c r="BG767" s="202" t="s">
        <v>15379</v>
      </c>
      <c r="BH767" s="203">
        <v>1</v>
      </c>
      <c r="BI767" s="204" t="s">
        <v>153</v>
      </c>
      <c r="BJ767" s="205" t="s">
        <v>153</v>
      </c>
      <c r="BK767" s="206" t="s">
        <v>15380</v>
      </c>
      <c r="BL767" s="207" t="s">
        <v>15381</v>
      </c>
      <c r="BM767" s="208" t="s">
        <v>153</v>
      </c>
      <c r="BN767" s="209" t="s">
        <v>15382</v>
      </c>
      <c r="BO767" s="210" t="s">
        <v>153</v>
      </c>
      <c r="BP767" s="211" t="s">
        <v>153</v>
      </c>
      <c r="BQ767" s="212">
        <v>44258</v>
      </c>
      <c r="BR767" s="213">
        <v>6250</v>
      </c>
      <c r="BS767" s="214" t="s">
        <v>187</v>
      </c>
      <c r="BT767" s="215">
        <v>6250</v>
      </c>
      <c r="BU767" s="216" t="s">
        <v>187</v>
      </c>
      <c r="BV767" s="217" t="s">
        <v>1524</v>
      </c>
      <c r="BW767" s="218" t="s">
        <v>1525</v>
      </c>
      <c r="BX767" s="219" t="s">
        <v>1526</v>
      </c>
      <c r="BY767" s="220" t="s">
        <v>165</v>
      </c>
      <c r="BZ767" s="221" t="s">
        <v>153</v>
      </c>
      <c r="CA767" s="222" t="s">
        <v>1278</v>
      </c>
      <c r="CB767" s="223">
        <v>44258</v>
      </c>
      <c r="CC767" s="224">
        <v>6250</v>
      </c>
      <c r="CD767" s="225" t="s">
        <v>187</v>
      </c>
      <c r="CE767" s="226">
        <v>6250</v>
      </c>
      <c r="CF767" s="227" t="s">
        <v>187</v>
      </c>
      <c r="CG767" s="228" t="s">
        <v>1524</v>
      </c>
      <c r="CH767" s="229" t="s">
        <v>1525</v>
      </c>
      <c r="CI767" s="230" t="s">
        <v>1526</v>
      </c>
      <c r="CJ767" s="231" t="s">
        <v>165</v>
      </c>
      <c r="CK767" s="232">
        <v>44258</v>
      </c>
      <c r="CL767" s="233" t="s">
        <v>153</v>
      </c>
      <c r="CM767" s="234" t="s">
        <v>153</v>
      </c>
      <c r="CN767" s="235" t="s">
        <v>1278</v>
      </c>
      <c r="CO767" s="236" t="s">
        <v>153</v>
      </c>
      <c r="CP767" s="237" t="s">
        <v>153</v>
      </c>
      <c r="CQ767" s="238" t="s">
        <v>153</v>
      </c>
      <c r="CR767" s="239" t="s">
        <v>153</v>
      </c>
      <c r="CS767" s="240" t="s">
        <v>153</v>
      </c>
      <c r="CT767" s="241" t="s">
        <v>153</v>
      </c>
      <c r="CU767" s="242" t="s">
        <v>153</v>
      </c>
      <c r="CV767" s="243" t="s">
        <v>153</v>
      </c>
      <c r="CW767" s="244" t="s">
        <v>153</v>
      </c>
      <c r="CX767" s="245" t="s">
        <v>153</v>
      </c>
      <c r="CY767" s="246" t="s">
        <v>153</v>
      </c>
      <c r="CZ767" s="247" t="s">
        <v>153</v>
      </c>
      <c r="DA767" s="248" t="s">
        <v>153</v>
      </c>
      <c r="DB767" s="249" t="s">
        <v>153</v>
      </c>
      <c r="DC767" s="250" t="s">
        <v>153</v>
      </c>
      <c r="DD767" s="251" t="s">
        <v>153</v>
      </c>
      <c r="DE767" s="252" t="s">
        <v>153</v>
      </c>
      <c r="DF767" s="253" t="s">
        <v>153</v>
      </c>
      <c r="DG767" s="254" t="s">
        <v>153</v>
      </c>
      <c r="DH767" s="255" t="s">
        <v>153</v>
      </c>
      <c r="DI767" s="256" t="s">
        <v>153</v>
      </c>
      <c r="DJ767" s="257" t="s">
        <v>153</v>
      </c>
      <c r="DK767" s="258" t="s">
        <v>153</v>
      </c>
      <c r="DL767" s="259" t="s">
        <v>153</v>
      </c>
      <c r="DM767" s="260" t="s">
        <v>153</v>
      </c>
      <c r="DN767" s="261" t="s">
        <v>153</v>
      </c>
      <c r="DO767" s="262" t="s">
        <v>153</v>
      </c>
      <c r="DP767" s="263" t="s">
        <v>153</v>
      </c>
      <c r="DQ767" s="264" t="s">
        <v>153</v>
      </c>
      <c r="DR767" s="265" t="s">
        <v>153</v>
      </c>
      <c r="DS767" s="266" t="s">
        <v>153</v>
      </c>
      <c r="DT767" s="267" t="s">
        <v>153</v>
      </c>
      <c r="DU767" s="268" t="s">
        <v>153</v>
      </c>
      <c r="DV767" s="269" t="s">
        <v>153</v>
      </c>
      <c r="DW767" s="270" t="s">
        <v>153</v>
      </c>
      <c r="DX767" s="271" t="s">
        <v>153</v>
      </c>
      <c r="DY767" s="272" t="s">
        <v>153</v>
      </c>
      <c r="DZ767" s="273" t="s">
        <v>191</v>
      </c>
      <c r="EA767" s="274">
        <v>44265</v>
      </c>
      <c r="EB767" s="275">
        <v>6250</v>
      </c>
      <c r="EC767" s="276">
        <v>44258</v>
      </c>
      <c r="ED767" s="277" t="s">
        <v>1524</v>
      </c>
      <c r="EE767" s="279" t="str">
        <f>HYPERLINK("https://my.pitchbook.com?c=442959-49", "View company online")</f>
        <v>View company online</v>
      </c>
    </row>
    <row r="768" spans="1:135" x14ac:dyDescent="0.45">
      <c r="A768" s="10" t="s">
        <v>15383</v>
      </c>
      <c r="B768" s="11" t="s">
        <v>15384</v>
      </c>
      <c r="C768" s="12" t="s">
        <v>153</v>
      </c>
      <c r="D768" s="13" t="s">
        <v>153</v>
      </c>
      <c r="E768" s="14" t="s">
        <v>153</v>
      </c>
      <c r="F768" s="15" t="s">
        <v>153</v>
      </c>
      <c r="G768" s="16" t="s">
        <v>153</v>
      </c>
      <c r="H768" s="17" t="s">
        <v>153</v>
      </c>
      <c r="I768" s="18" t="s">
        <v>15383</v>
      </c>
      <c r="J768" s="19" t="s">
        <v>15385</v>
      </c>
      <c r="K768" s="20" t="s">
        <v>257</v>
      </c>
      <c r="L768" s="21" t="s">
        <v>258</v>
      </c>
      <c r="M768" s="22" t="s">
        <v>259</v>
      </c>
      <c r="N768" s="23" t="s">
        <v>260</v>
      </c>
      <c r="O768" s="24" t="s">
        <v>153</v>
      </c>
      <c r="P768" s="25" t="s">
        <v>15386</v>
      </c>
      <c r="Q768" s="26" t="s">
        <v>204</v>
      </c>
      <c r="R768" s="27" t="s">
        <v>153</v>
      </c>
      <c r="S768" s="28" t="s">
        <v>163</v>
      </c>
      <c r="T768" s="29" t="s">
        <v>205</v>
      </c>
      <c r="U768" s="30" t="s">
        <v>206</v>
      </c>
      <c r="V768" s="31" t="s">
        <v>153</v>
      </c>
      <c r="W768" s="32" t="s">
        <v>153</v>
      </c>
      <c r="X768" s="33" t="s">
        <v>153</v>
      </c>
      <c r="Y768" s="34" t="s">
        <v>153</v>
      </c>
      <c r="Z768" s="35" t="s">
        <v>153</v>
      </c>
      <c r="AA768" s="36">
        <v>1862</v>
      </c>
      <c r="AB768" s="37" t="s">
        <v>153</v>
      </c>
      <c r="AC768" s="38" t="s">
        <v>153</v>
      </c>
      <c r="AD768" s="39" t="s">
        <v>153</v>
      </c>
      <c r="AE768" s="40" t="s">
        <v>153</v>
      </c>
      <c r="AF768" s="41" t="s">
        <v>153</v>
      </c>
      <c r="AG768" s="42" t="s">
        <v>153</v>
      </c>
      <c r="AH768" s="43" t="s">
        <v>153</v>
      </c>
      <c r="AI768" s="44" t="s">
        <v>153</v>
      </c>
      <c r="AJ768" s="45">
        <v>-0.03</v>
      </c>
      <c r="AK768" s="46" t="s">
        <v>153</v>
      </c>
      <c r="AL768" s="47">
        <v>0</v>
      </c>
      <c r="AM768" s="48" t="s">
        <v>153</v>
      </c>
      <c r="AN768" s="49" t="s">
        <v>168</v>
      </c>
      <c r="AO768" s="50" t="s">
        <v>153</v>
      </c>
      <c r="AP768" s="51" t="s">
        <v>153</v>
      </c>
      <c r="AQ768" s="52" t="s">
        <v>153</v>
      </c>
      <c r="AR768" s="53" t="s">
        <v>153</v>
      </c>
      <c r="AS768" s="54" t="s">
        <v>153</v>
      </c>
      <c r="AT768" s="55" t="s">
        <v>15387</v>
      </c>
      <c r="AU768" s="56" t="s">
        <v>153</v>
      </c>
      <c r="AV768" s="57" t="s">
        <v>153</v>
      </c>
      <c r="AW768" s="58" t="s">
        <v>15388</v>
      </c>
      <c r="AX768" s="59" t="s">
        <v>153</v>
      </c>
      <c r="AY768" s="60" t="s">
        <v>15389</v>
      </c>
      <c r="AZ768" s="61" t="s">
        <v>2577</v>
      </c>
      <c r="BA768" s="62" t="s">
        <v>153</v>
      </c>
      <c r="BB768" s="63" t="s">
        <v>153</v>
      </c>
      <c r="BC768" s="64" t="s">
        <v>153</v>
      </c>
      <c r="BD768" s="65" t="s">
        <v>180</v>
      </c>
      <c r="BE768" s="66" t="s">
        <v>181</v>
      </c>
      <c r="BF768" s="67" t="s">
        <v>15390</v>
      </c>
      <c r="BG768" s="68" t="s">
        <v>153</v>
      </c>
      <c r="BH768" s="69" t="s">
        <v>153</v>
      </c>
      <c r="BI768" s="70" t="s">
        <v>593</v>
      </c>
      <c r="BJ768" s="71" t="s">
        <v>153</v>
      </c>
      <c r="BK768" s="72" t="s">
        <v>6122</v>
      </c>
      <c r="BL768" s="73" t="s">
        <v>153</v>
      </c>
      <c r="BM768" s="74" t="s">
        <v>153</v>
      </c>
      <c r="BN768" s="75" t="s">
        <v>15391</v>
      </c>
      <c r="BO768" s="76" t="s">
        <v>153</v>
      </c>
      <c r="BP768" s="77" t="s">
        <v>153</v>
      </c>
      <c r="BQ768" s="78">
        <v>40225</v>
      </c>
      <c r="BR768" s="79">
        <v>6237.83</v>
      </c>
      <c r="BS768" s="80" t="s">
        <v>186</v>
      </c>
      <c r="BT768" s="81">
        <v>6237.83</v>
      </c>
      <c r="BU768" s="82" t="s">
        <v>186</v>
      </c>
      <c r="BV768" s="83" t="s">
        <v>226</v>
      </c>
      <c r="BW768" s="84" t="s">
        <v>729</v>
      </c>
      <c r="BX768" s="85" t="s">
        <v>153</v>
      </c>
      <c r="BY768" s="86" t="s">
        <v>225</v>
      </c>
      <c r="BZ768" s="87" t="s">
        <v>153</v>
      </c>
      <c r="CA768" s="88" t="s">
        <v>190</v>
      </c>
      <c r="CB768" s="89">
        <v>40225</v>
      </c>
      <c r="CC768" s="90">
        <v>6237.83</v>
      </c>
      <c r="CD768" s="91" t="s">
        <v>186</v>
      </c>
      <c r="CE768" s="92">
        <v>6237.83</v>
      </c>
      <c r="CF768" s="93" t="s">
        <v>186</v>
      </c>
      <c r="CG768" s="94" t="s">
        <v>226</v>
      </c>
      <c r="CH768" s="95" t="s">
        <v>729</v>
      </c>
      <c r="CI768" s="96" t="s">
        <v>153</v>
      </c>
      <c r="CJ768" s="97" t="s">
        <v>225</v>
      </c>
      <c r="CK768" s="98">
        <v>40225</v>
      </c>
      <c r="CL768" s="99" t="s">
        <v>153</v>
      </c>
      <c r="CM768" s="100" t="s">
        <v>153</v>
      </c>
      <c r="CN768" s="101" t="s">
        <v>190</v>
      </c>
      <c r="CO768" s="102" t="s">
        <v>153</v>
      </c>
      <c r="CP768" s="103" t="s">
        <v>153</v>
      </c>
      <c r="CQ768" s="104" t="s">
        <v>153</v>
      </c>
      <c r="CR768" s="105" t="s">
        <v>153</v>
      </c>
      <c r="CS768" s="106" t="s">
        <v>153</v>
      </c>
      <c r="CT768" s="107" t="s">
        <v>153</v>
      </c>
      <c r="CU768" s="108" t="s">
        <v>153</v>
      </c>
      <c r="CV768" s="109" t="s">
        <v>153</v>
      </c>
      <c r="CW768" s="110" t="s">
        <v>153</v>
      </c>
      <c r="CX768" s="111" t="s">
        <v>153</v>
      </c>
      <c r="CY768" s="112" t="s">
        <v>153</v>
      </c>
      <c r="CZ768" s="113" t="s">
        <v>153</v>
      </c>
      <c r="DA768" s="114" t="s">
        <v>153</v>
      </c>
      <c r="DB768" s="115" t="s">
        <v>153</v>
      </c>
      <c r="DC768" s="116" t="s">
        <v>153</v>
      </c>
      <c r="DD768" s="117" t="s">
        <v>153</v>
      </c>
      <c r="DE768" s="118" t="s">
        <v>153</v>
      </c>
      <c r="DF768" s="119" t="s">
        <v>153</v>
      </c>
      <c r="DG768" s="120" t="s">
        <v>153</v>
      </c>
      <c r="DH768" s="121" t="s">
        <v>153</v>
      </c>
      <c r="DI768" s="122" t="s">
        <v>153</v>
      </c>
      <c r="DJ768" s="123" t="s">
        <v>153</v>
      </c>
      <c r="DK768" s="124" t="s">
        <v>153</v>
      </c>
      <c r="DL768" s="125" t="s">
        <v>153</v>
      </c>
      <c r="DM768" s="126" t="s">
        <v>153</v>
      </c>
      <c r="DN768" s="127" t="s">
        <v>153</v>
      </c>
      <c r="DO768" s="128" t="s">
        <v>153</v>
      </c>
      <c r="DP768" s="129" t="s">
        <v>153</v>
      </c>
      <c r="DQ768" s="130" t="s">
        <v>153</v>
      </c>
      <c r="DR768" s="131" t="s">
        <v>153</v>
      </c>
      <c r="DS768" s="132" t="s">
        <v>153</v>
      </c>
      <c r="DT768" s="133" t="s">
        <v>153</v>
      </c>
      <c r="DU768" s="134" t="s">
        <v>153</v>
      </c>
      <c r="DV768" s="135" t="s">
        <v>153</v>
      </c>
      <c r="DW768" s="136" t="s">
        <v>153</v>
      </c>
      <c r="DX768" s="137" t="s">
        <v>153</v>
      </c>
      <c r="DY768" s="138" t="s">
        <v>153</v>
      </c>
      <c r="DZ768" s="139" t="s">
        <v>191</v>
      </c>
      <c r="EA768" s="140">
        <v>43755</v>
      </c>
      <c r="EB768" s="141">
        <v>6237.83</v>
      </c>
      <c r="EC768" s="142">
        <v>40225</v>
      </c>
      <c r="ED768" s="143" t="s">
        <v>226</v>
      </c>
      <c r="EE768" s="278" t="str">
        <f>HYPERLINK("https://my.pitchbook.com?c=10458-82", "View company online")</f>
        <v>View company online</v>
      </c>
    </row>
    <row r="769" spans="1:135" x14ac:dyDescent="0.45">
      <c r="A769" s="144" t="s">
        <v>15392</v>
      </c>
      <c r="B769" s="145" t="s">
        <v>15393</v>
      </c>
      <c r="C769" s="146" t="s">
        <v>153</v>
      </c>
      <c r="D769" s="147" t="s">
        <v>153</v>
      </c>
      <c r="E769" s="148" t="s">
        <v>15394</v>
      </c>
      <c r="F769" s="149" t="s">
        <v>15395</v>
      </c>
      <c r="G769" s="150" t="s">
        <v>15396</v>
      </c>
      <c r="H769" s="151" t="s">
        <v>15397</v>
      </c>
      <c r="I769" s="152" t="s">
        <v>15392</v>
      </c>
      <c r="J769" s="153" t="s">
        <v>15398</v>
      </c>
      <c r="K769" s="154" t="s">
        <v>882</v>
      </c>
      <c r="L769" s="155" t="s">
        <v>1257</v>
      </c>
      <c r="M769" s="156" t="s">
        <v>6983</v>
      </c>
      <c r="N769" s="157" t="s">
        <v>15399</v>
      </c>
      <c r="O769" s="158" t="s">
        <v>1234</v>
      </c>
      <c r="P769" s="159" t="s">
        <v>15400</v>
      </c>
      <c r="Q769" s="160" t="s">
        <v>204</v>
      </c>
      <c r="R769" s="161">
        <v>533.5</v>
      </c>
      <c r="S769" s="162" t="s">
        <v>290</v>
      </c>
      <c r="T769" s="163" t="s">
        <v>164</v>
      </c>
      <c r="U769" s="164" t="s">
        <v>369</v>
      </c>
      <c r="V769" s="165" t="s">
        <v>15401</v>
      </c>
      <c r="W769" s="166">
        <v>400</v>
      </c>
      <c r="X769" s="167" t="s">
        <v>15402</v>
      </c>
      <c r="Y769" s="168" t="s">
        <v>153</v>
      </c>
      <c r="Z769" s="169" t="s">
        <v>153</v>
      </c>
      <c r="AA769" s="170">
        <v>1965</v>
      </c>
      <c r="AB769" s="171" t="s">
        <v>15397</v>
      </c>
      <c r="AC769" s="172" t="s">
        <v>153</v>
      </c>
      <c r="AD769" s="173" t="s">
        <v>153</v>
      </c>
      <c r="AE769" s="174" t="s">
        <v>153</v>
      </c>
      <c r="AF769" s="175" t="s">
        <v>153</v>
      </c>
      <c r="AG769" s="176" t="s">
        <v>153</v>
      </c>
      <c r="AH769" s="177" t="s">
        <v>153</v>
      </c>
      <c r="AI769" s="178" t="s">
        <v>153</v>
      </c>
      <c r="AJ769" s="179" t="s">
        <v>153</v>
      </c>
      <c r="AK769" s="180" t="s">
        <v>153</v>
      </c>
      <c r="AL769" s="181" t="s">
        <v>153</v>
      </c>
      <c r="AM769" s="182" t="s">
        <v>153</v>
      </c>
      <c r="AN769" s="183" t="s">
        <v>2675</v>
      </c>
      <c r="AO769" s="184" t="s">
        <v>153</v>
      </c>
      <c r="AP769" s="185" t="s">
        <v>153</v>
      </c>
      <c r="AQ769" s="186" t="s">
        <v>153</v>
      </c>
      <c r="AR769" s="187" t="s">
        <v>153</v>
      </c>
      <c r="AS769" s="188" t="s">
        <v>153</v>
      </c>
      <c r="AT769" s="189" t="s">
        <v>2089</v>
      </c>
      <c r="AU769" s="190" t="s">
        <v>15403</v>
      </c>
      <c r="AV769" s="191" t="s">
        <v>15404</v>
      </c>
      <c r="AW769" s="192" t="s">
        <v>2092</v>
      </c>
      <c r="AX769" s="193" t="s">
        <v>2093</v>
      </c>
      <c r="AY769" s="194" t="s">
        <v>15405</v>
      </c>
      <c r="AZ769" s="195" t="s">
        <v>215</v>
      </c>
      <c r="BA769" s="196" t="s">
        <v>153</v>
      </c>
      <c r="BB769" s="197" t="s">
        <v>153</v>
      </c>
      <c r="BC769" s="198" t="s">
        <v>153</v>
      </c>
      <c r="BD769" s="199" t="s">
        <v>216</v>
      </c>
      <c r="BE769" s="200" t="s">
        <v>217</v>
      </c>
      <c r="BF769" s="201" t="s">
        <v>15406</v>
      </c>
      <c r="BG769" s="202" t="s">
        <v>153</v>
      </c>
      <c r="BH769" s="203" t="s">
        <v>153</v>
      </c>
      <c r="BI769" s="204" t="s">
        <v>15397</v>
      </c>
      <c r="BJ769" s="205" t="s">
        <v>15407</v>
      </c>
      <c r="BK769" s="206" t="s">
        <v>153</v>
      </c>
      <c r="BL769" s="207" t="s">
        <v>153</v>
      </c>
      <c r="BM769" s="208" t="s">
        <v>15408</v>
      </c>
      <c r="BN769" s="209" t="s">
        <v>153</v>
      </c>
      <c r="BO769" s="210" t="s">
        <v>15409</v>
      </c>
      <c r="BP769" s="211" t="s">
        <v>15410</v>
      </c>
      <c r="BQ769" s="212">
        <v>31776</v>
      </c>
      <c r="BR769" s="213" t="s">
        <v>153</v>
      </c>
      <c r="BS769" s="214" t="s">
        <v>153</v>
      </c>
      <c r="BT769" s="215" t="s">
        <v>153</v>
      </c>
      <c r="BU769" s="216" t="s">
        <v>153</v>
      </c>
      <c r="BV769" s="217" t="s">
        <v>251</v>
      </c>
      <c r="BW769" s="218" t="s">
        <v>153</v>
      </c>
      <c r="BX769" s="219" t="s">
        <v>153</v>
      </c>
      <c r="BY769" s="220" t="s">
        <v>252</v>
      </c>
      <c r="BZ769" s="221" t="s">
        <v>153</v>
      </c>
      <c r="CA769" s="222" t="s">
        <v>190</v>
      </c>
      <c r="CB769" s="223">
        <v>43143</v>
      </c>
      <c r="CC769" s="224">
        <v>6232.35</v>
      </c>
      <c r="CD769" s="225" t="s">
        <v>186</v>
      </c>
      <c r="CE769" s="226">
        <v>6232.35</v>
      </c>
      <c r="CF769" s="227" t="s">
        <v>187</v>
      </c>
      <c r="CG769" s="228" t="s">
        <v>226</v>
      </c>
      <c r="CH769" s="229" t="s">
        <v>153</v>
      </c>
      <c r="CI769" s="230" t="s">
        <v>153</v>
      </c>
      <c r="CJ769" s="231" t="s">
        <v>225</v>
      </c>
      <c r="CK769" s="232">
        <v>43143</v>
      </c>
      <c r="CL769" s="233" t="s">
        <v>153</v>
      </c>
      <c r="CM769" s="234" t="s">
        <v>153</v>
      </c>
      <c r="CN769" s="235" t="s">
        <v>190</v>
      </c>
      <c r="CO769" s="236">
        <v>-0.59</v>
      </c>
      <c r="CP769" s="237">
        <v>4</v>
      </c>
      <c r="CQ769" s="238">
        <v>-0.2</v>
      </c>
      <c r="CR769" s="239">
        <v>-50.33</v>
      </c>
      <c r="CS769" s="240">
        <v>-0.59</v>
      </c>
      <c r="CT769" s="241">
        <v>5</v>
      </c>
      <c r="CU769" s="242" t="s">
        <v>153</v>
      </c>
      <c r="CV769" s="243" t="s">
        <v>153</v>
      </c>
      <c r="CW769" s="244" t="s">
        <v>153</v>
      </c>
      <c r="CX769" s="245" t="s">
        <v>153</v>
      </c>
      <c r="CY769" s="246">
        <v>-0.59</v>
      </c>
      <c r="CZ769" s="247">
        <v>2</v>
      </c>
      <c r="DA769" s="248" t="s">
        <v>153</v>
      </c>
      <c r="DB769" s="249" t="s">
        <v>153</v>
      </c>
      <c r="DC769" s="250">
        <v>42.44</v>
      </c>
      <c r="DD769" s="251">
        <v>98</v>
      </c>
      <c r="DE769" s="252">
        <v>-0.31</v>
      </c>
      <c r="DF769" s="253">
        <v>-0.73</v>
      </c>
      <c r="DG769" s="254">
        <v>42.44</v>
      </c>
      <c r="DH769" s="255">
        <v>98</v>
      </c>
      <c r="DI769" s="256" t="s">
        <v>153</v>
      </c>
      <c r="DJ769" s="257" t="s">
        <v>153</v>
      </c>
      <c r="DK769" s="258" t="s">
        <v>153</v>
      </c>
      <c r="DL769" s="259" t="s">
        <v>153</v>
      </c>
      <c r="DM769" s="260">
        <v>42.44</v>
      </c>
      <c r="DN769" s="261">
        <v>98</v>
      </c>
      <c r="DO769" s="262" t="s">
        <v>153</v>
      </c>
      <c r="DP769" s="263" t="s">
        <v>153</v>
      </c>
      <c r="DQ769" s="264" t="s">
        <v>153</v>
      </c>
      <c r="DR769" s="265" t="s">
        <v>153</v>
      </c>
      <c r="DS769" s="266" t="s">
        <v>153</v>
      </c>
      <c r="DT769" s="267">
        <v>681</v>
      </c>
      <c r="DU769" s="268">
        <v>-5</v>
      </c>
      <c r="DV769" s="269">
        <v>-0.73</v>
      </c>
      <c r="DW769" s="270" t="s">
        <v>153</v>
      </c>
      <c r="DX769" s="271" t="s">
        <v>153</v>
      </c>
      <c r="DY769" s="272" t="s">
        <v>153</v>
      </c>
      <c r="DZ769" s="273" t="s">
        <v>191</v>
      </c>
      <c r="EA769" s="274">
        <v>44323</v>
      </c>
      <c r="EB769" s="275">
        <v>6232.35</v>
      </c>
      <c r="EC769" s="276">
        <v>43143</v>
      </c>
      <c r="ED769" s="277" t="s">
        <v>226</v>
      </c>
      <c r="EE769" s="279" t="str">
        <f>HYPERLINK("https://my.pitchbook.com?c=12597-40", "View company online")</f>
        <v>View company online</v>
      </c>
    </row>
    <row r="770" spans="1:135" x14ac:dyDescent="0.45">
      <c r="A770" s="10" t="s">
        <v>15411</v>
      </c>
      <c r="B770" s="11" t="s">
        <v>15412</v>
      </c>
      <c r="C770" s="12" t="s">
        <v>153</v>
      </c>
      <c r="D770" s="13" t="s">
        <v>153</v>
      </c>
      <c r="E770" s="14" t="s">
        <v>15413</v>
      </c>
      <c r="F770" s="15" t="s">
        <v>15414</v>
      </c>
      <c r="G770" s="16" t="s">
        <v>15415</v>
      </c>
      <c r="H770" s="17" t="s">
        <v>15416</v>
      </c>
      <c r="I770" s="18" t="s">
        <v>15411</v>
      </c>
      <c r="J770" s="19" t="s">
        <v>15417</v>
      </c>
      <c r="K770" s="20" t="s">
        <v>157</v>
      </c>
      <c r="L770" s="21" t="s">
        <v>1667</v>
      </c>
      <c r="M770" s="22" t="s">
        <v>1997</v>
      </c>
      <c r="N770" s="23" t="s">
        <v>7739</v>
      </c>
      <c r="O770" s="24" t="s">
        <v>153</v>
      </c>
      <c r="P770" s="25" t="s">
        <v>15418</v>
      </c>
      <c r="Q770" s="26" t="s">
        <v>162</v>
      </c>
      <c r="R770" s="27">
        <v>6213.76</v>
      </c>
      <c r="S770" s="28" t="s">
        <v>368</v>
      </c>
      <c r="T770" s="29" t="s">
        <v>291</v>
      </c>
      <c r="U770" s="30" t="s">
        <v>565</v>
      </c>
      <c r="V770" s="31" t="s">
        <v>15419</v>
      </c>
      <c r="W770" s="32">
        <v>22934</v>
      </c>
      <c r="X770" s="33" t="s">
        <v>15420</v>
      </c>
      <c r="Y770" s="34" t="s">
        <v>15421</v>
      </c>
      <c r="Z770" s="35" t="s">
        <v>15422</v>
      </c>
      <c r="AA770" s="36">
        <v>1972</v>
      </c>
      <c r="AB770" s="37" t="s">
        <v>153</v>
      </c>
      <c r="AC770" s="38" t="s">
        <v>428</v>
      </c>
      <c r="AD770" s="39" t="s">
        <v>671</v>
      </c>
      <c r="AE770" s="40">
        <v>2791.81</v>
      </c>
      <c r="AF770" s="41">
        <v>-769.74</v>
      </c>
      <c r="AG770" s="42">
        <v>-3124.55</v>
      </c>
      <c r="AH770" s="43">
        <v>15104.14</v>
      </c>
      <c r="AI770" s="44">
        <v>-1896.08</v>
      </c>
      <c r="AJ770" s="45">
        <v>-3463</v>
      </c>
      <c r="AK770" s="46">
        <v>10716.94</v>
      </c>
      <c r="AL770" s="47">
        <v>5077.1899999999996</v>
      </c>
      <c r="AM770" s="48">
        <v>-76.11</v>
      </c>
      <c r="AN770" s="49" t="s">
        <v>1765</v>
      </c>
      <c r="AO770" s="50" t="s">
        <v>15423</v>
      </c>
      <c r="AP770" s="51" t="s">
        <v>15424</v>
      </c>
      <c r="AQ770" s="52" t="s">
        <v>379</v>
      </c>
      <c r="AR770" s="53" t="s">
        <v>15425</v>
      </c>
      <c r="AS770" s="54" t="s">
        <v>15426</v>
      </c>
      <c r="AT770" s="55" t="s">
        <v>7530</v>
      </c>
      <c r="AU770" s="56" t="s">
        <v>15427</v>
      </c>
      <c r="AV770" s="57" t="s">
        <v>153</v>
      </c>
      <c r="AW770" s="58" t="s">
        <v>7533</v>
      </c>
      <c r="AX770" s="59" t="s">
        <v>153</v>
      </c>
      <c r="AY770" s="60" t="s">
        <v>15428</v>
      </c>
      <c r="AZ770" s="61" t="s">
        <v>7533</v>
      </c>
      <c r="BA770" s="62" t="s">
        <v>15426</v>
      </c>
      <c r="BB770" s="63" t="s">
        <v>153</v>
      </c>
      <c r="BC770" s="64" t="s">
        <v>153</v>
      </c>
      <c r="BD770" s="65" t="s">
        <v>1406</v>
      </c>
      <c r="BE770" s="66" t="s">
        <v>7536</v>
      </c>
      <c r="BF770" s="67" t="s">
        <v>15429</v>
      </c>
      <c r="BG770" s="68" t="s">
        <v>926</v>
      </c>
      <c r="BH770" s="69">
        <v>1</v>
      </c>
      <c r="BI770" s="70" t="s">
        <v>153</v>
      </c>
      <c r="BJ770" s="71" t="s">
        <v>153</v>
      </c>
      <c r="BK770" s="72" t="s">
        <v>153</v>
      </c>
      <c r="BL770" s="73" t="s">
        <v>927</v>
      </c>
      <c r="BM770" s="74" t="s">
        <v>153</v>
      </c>
      <c r="BN770" s="75" t="s">
        <v>153</v>
      </c>
      <c r="BO770" s="76" t="s">
        <v>15430</v>
      </c>
      <c r="BP770" s="77" t="s">
        <v>15431</v>
      </c>
      <c r="BQ770" s="78">
        <v>31399</v>
      </c>
      <c r="BR770" s="79" t="s">
        <v>153</v>
      </c>
      <c r="BS770" s="80" t="s">
        <v>153</v>
      </c>
      <c r="BT770" s="81" t="s">
        <v>153</v>
      </c>
      <c r="BU770" s="82" t="s">
        <v>153</v>
      </c>
      <c r="BV770" s="83" t="s">
        <v>251</v>
      </c>
      <c r="BW770" s="84" t="s">
        <v>153</v>
      </c>
      <c r="BX770" s="85" t="s">
        <v>153</v>
      </c>
      <c r="BY770" s="86" t="s">
        <v>252</v>
      </c>
      <c r="BZ770" s="87" t="s">
        <v>153</v>
      </c>
      <c r="CA770" s="88" t="s">
        <v>190</v>
      </c>
      <c r="CB770" s="89">
        <v>43987</v>
      </c>
      <c r="CC770" s="90">
        <v>6213.76</v>
      </c>
      <c r="CD770" s="91" t="s">
        <v>186</v>
      </c>
      <c r="CE770" s="92" t="s">
        <v>153</v>
      </c>
      <c r="CF770" s="93" t="s">
        <v>153</v>
      </c>
      <c r="CG770" s="94" t="s">
        <v>393</v>
      </c>
      <c r="CH770" s="95" t="s">
        <v>153</v>
      </c>
      <c r="CI770" s="96" t="s">
        <v>153</v>
      </c>
      <c r="CJ770" s="97" t="s">
        <v>165</v>
      </c>
      <c r="CK770" s="98">
        <v>43987</v>
      </c>
      <c r="CL770" s="99" t="s">
        <v>153</v>
      </c>
      <c r="CM770" s="100" t="s">
        <v>153</v>
      </c>
      <c r="CN770" s="101" t="s">
        <v>190</v>
      </c>
      <c r="CO770" s="102">
        <v>0.09</v>
      </c>
      <c r="CP770" s="103">
        <v>89</v>
      </c>
      <c r="CQ770" s="104">
        <v>-0.01</v>
      </c>
      <c r="CR770" s="105">
        <v>-6.84</v>
      </c>
      <c r="CS770" s="106">
        <v>0.79</v>
      </c>
      <c r="CT770" s="107">
        <v>94</v>
      </c>
      <c r="CU770" s="108">
        <v>-7.0000000000000007E-2</v>
      </c>
      <c r="CV770" s="109">
        <v>27</v>
      </c>
      <c r="CW770" s="110">
        <v>1.56</v>
      </c>
      <c r="CX770" s="111">
        <v>84</v>
      </c>
      <c r="CY770" s="112">
        <v>0.02</v>
      </c>
      <c r="CZ770" s="113">
        <v>90</v>
      </c>
      <c r="DA770" s="114">
        <v>-7.0000000000000007E-2</v>
      </c>
      <c r="DB770" s="115">
        <v>27</v>
      </c>
      <c r="DC770" s="116">
        <v>1274.3699999999999</v>
      </c>
      <c r="DD770" s="117">
        <v>100</v>
      </c>
      <c r="DE770" s="118">
        <v>3.94</v>
      </c>
      <c r="DF770" s="119">
        <v>0.31</v>
      </c>
      <c r="DG770" s="120">
        <v>1087.3499999999999</v>
      </c>
      <c r="DH770" s="121">
        <v>100</v>
      </c>
      <c r="DI770" s="122">
        <v>2358.35</v>
      </c>
      <c r="DJ770" s="123">
        <v>100</v>
      </c>
      <c r="DK770" s="124">
        <v>747.25</v>
      </c>
      <c r="DL770" s="125">
        <v>100</v>
      </c>
      <c r="DM770" s="126">
        <v>1427.44</v>
      </c>
      <c r="DN770" s="127">
        <v>100</v>
      </c>
      <c r="DO770" s="128">
        <v>2358.35</v>
      </c>
      <c r="DP770" s="129">
        <v>100</v>
      </c>
      <c r="DQ770" s="130">
        <v>440841</v>
      </c>
      <c r="DR770" s="131">
        <v>8361</v>
      </c>
      <c r="DS770" s="132">
        <v>1.93</v>
      </c>
      <c r="DT770" s="133">
        <v>22839</v>
      </c>
      <c r="DU770" s="134">
        <v>1</v>
      </c>
      <c r="DV770" s="135">
        <v>0</v>
      </c>
      <c r="DW770" s="136">
        <v>740328</v>
      </c>
      <c r="DX770" s="137">
        <v>417</v>
      </c>
      <c r="DY770" s="138">
        <v>0.06</v>
      </c>
      <c r="DZ770" s="139" t="s">
        <v>191</v>
      </c>
      <c r="EA770" s="140">
        <v>44391</v>
      </c>
      <c r="EB770" s="141" t="s">
        <v>153</v>
      </c>
      <c r="EC770" s="142" t="s">
        <v>153</v>
      </c>
      <c r="ED770" s="143" t="s">
        <v>153</v>
      </c>
      <c r="EE770" s="278" t="str">
        <f>HYPERLINK("https://my.pitchbook.com?c=55528-30", "View company online")</f>
        <v>View company online</v>
      </c>
    </row>
    <row r="771" spans="1:135" x14ac:dyDescent="0.45">
      <c r="A771" s="144" t="s">
        <v>15432</v>
      </c>
      <c r="B771" s="145" t="s">
        <v>15433</v>
      </c>
      <c r="C771" s="146" t="s">
        <v>153</v>
      </c>
      <c r="D771" s="147" t="s">
        <v>153</v>
      </c>
      <c r="E771" s="148" t="s">
        <v>153</v>
      </c>
      <c r="F771" s="149" t="s">
        <v>153</v>
      </c>
      <c r="G771" s="150" t="s">
        <v>15434</v>
      </c>
      <c r="H771" s="151" t="s">
        <v>153</v>
      </c>
      <c r="I771" s="152" t="s">
        <v>15432</v>
      </c>
      <c r="J771" s="153" t="s">
        <v>15435</v>
      </c>
      <c r="K771" s="154" t="s">
        <v>792</v>
      </c>
      <c r="L771" s="155" t="s">
        <v>793</v>
      </c>
      <c r="M771" s="156" t="s">
        <v>1211</v>
      </c>
      <c r="N771" s="157" t="s">
        <v>11220</v>
      </c>
      <c r="O771" s="158" t="s">
        <v>153</v>
      </c>
      <c r="P771" s="159" t="s">
        <v>15436</v>
      </c>
      <c r="Q771" s="160" t="s">
        <v>204</v>
      </c>
      <c r="R771" s="161" t="s">
        <v>153</v>
      </c>
      <c r="S771" s="162" t="s">
        <v>163</v>
      </c>
      <c r="T771" s="163" t="s">
        <v>205</v>
      </c>
      <c r="U771" s="164" t="s">
        <v>237</v>
      </c>
      <c r="V771" s="165" t="s">
        <v>15437</v>
      </c>
      <c r="W771" s="166" t="s">
        <v>153</v>
      </c>
      <c r="X771" s="167" t="s">
        <v>153</v>
      </c>
      <c r="Y771" s="168" t="s">
        <v>153</v>
      </c>
      <c r="Z771" s="169" t="s">
        <v>153</v>
      </c>
      <c r="AA771" s="170">
        <v>1929</v>
      </c>
      <c r="AB771" s="171" t="s">
        <v>153</v>
      </c>
      <c r="AC771" s="172" t="s">
        <v>153</v>
      </c>
      <c r="AD771" s="173" t="s">
        <v>153</v>
      </c>
      <c r="AE771" s="174" t="s">
        <v>153</v>
      </c>
      <c r="AF771" s="175" t="s">
        <v>153</v>
      </c>
      <c r="AG771" s="176" t="s">
        <v>153</v>
      </c>
      <c r="AH771" s="177" t="s">
        <v>153</v>
      </c>
      <c r="AI771" s="178" t="s">
        <v>153</v>
      </c>
      <c r="AJ771" s="179" t="s">
        <v>153</v>
      </c>
      <c r="AK771" s="180" t="s">
        <v>153</v>
      </c>
      <c r="AL771" s="181" t="s">
        <v>153</v>
      </c>
      <c r="AM771" s="182" t="s">
        <v>153</v>
      </c>
      <c r="AN771" s="183" t="s">
        <v>1144</v>
      </c>
      <c r="AO771" s="184" t="s">
        <v>153</v>
      </c>
      <c r="AP771" s="185" t="s">
        <v>153</v>
      </c>
      <c r="AQ771" s="186" t="s">
        <v>153</v>
      </c>
      <c r="AR771" s="187" t="s">
        <v>153</v>
      </c>
      <c r="AS771" s="188" t="s">
        <v>153</v>
      </c>
      <c r="AT771" s="189" t="s">
        <v>2572</v>
      </c>
      <c r="AU771" s="190" t="s">
        <v>15438</v>
      </c>
      <c r="AV771" s="191" t="s">
        <v>153</v>
      </c>
      <c r="AW771" s="192" t="s">
        <v>2575</v>
      </c>
      <c r="AX771" s="193" t="s">
        <v>153</v>
      </c>
      <c r="AY771" s="194" t="s">
        <v>2576</v>
      </c>
      <c r="AZ771" s="195" t="s">
        <v>2577</v>
      </c>
      <c r="BA771" s="196" t="s">
        <v>153</v>
      </c>
      <c r="BB771" s="197" t="s">
        <v>153</v>
      </c>
      <c r="BC771" s="198" t="s">
        <v>153</v>
      </c>
      <c r="BD771" s="199" t="s">
        <v>180</v>
      </c>
      <c r="BE771" s="200" t="s">
        <v>181</v>
      </c>
      <c r="BF771" s="201" t="s">
        <v>15439</v>
      </c>
      <c r="BG771" s="202" t="s">
        <v>153</v>
      </c>
      <c r="BH771" s="203" t="s">
        <v>153</v>
      </c>
      <c r="BI771" s="204" t="s">
        <v>15440</v>
      </c>
      <c r="BJ771" s="205" t="s">
        <v>15441</v>
      </c>
      <c r="BK771" s="206" t="s">
        <v>15442</v>
      </c>
      <c r="BL771" s="207" t="s">
        <v>153</v>
      </c>
      <c r="BM771" s="208" t="s">
        <v>153</v>
      </c>
      <c r="BN771" s="209" t="s">
        <v>15443</v>
      </c>
      <c r="BO771" s="210" t="s">
        <v>153</v>
      </c>
      <c r="BP771" s="211" t="s">
        <v>15444</v>
      </c>
      <c r="BQ771" s="212">
        <v>37238</v>
      </c>
      <c r="BR771" s="213" t="s">
        <v>153</v>
      </c>
      <c r="BS771" s="214" t="s">
        <v>153</v>
      </c>
      <c r="BT771" s="215" t="s">
        <v>153</v>
      </c>
      <c r="BU771" s="216" t="s">
        <v>153</v>
      </c>
      <c r="BV771" s="217" t="s">
        <v>251</v>
      </c>
      <c r="BW771" s="218" t="s">
        <v>153</v>
      </c>
      <c r="BX771" s="219" t="s">
        <v>153</v>
      </c>
      <c r="BY771" s="220" t="s">
        <v>225</v>
      </c>
      <c r="BZ771" s="221" t="s">
        <v>153</v>
      </c>
      <c r="CA771" s="222" t="s">
        <v>190</v>
      </c>
      <c r="CB771" s="223">
        <v>39897</v>
      </c>
      <c r="CC771" s="224">
        <v>6209.53</v>
      </c>
      <c r="CD771" s="225" t="s">
        <v>186</v>
      </c>
      <c r="CE771" s="226">
        <v>6209.53</v>
      </c>
      <c r="CF771" s="227" t="s">
        <v>186</v>
      </c>
      <c r="CG771" s="228" t="s">
        <v>226</v>
      </c>
      <c r="CH771" s="229" t="s">
        <v>729</v>
      </c>
      <c r="CI771" s="230" t="s">
        <v>153</v>
      </c>
      <c r="CJ771" s="231" t="s">
        <v>225</v>
      </c>
      <c r="CK771" s="232">
        <v>39897</v>
      </c>
      <c r="CL771" s="233" t="s">
        <v>153</v>
      </c>
      <c r="CM771" s="234" t="s">
        <v>153</v>
      </c>
      <c r="CN771" s="235" t="s">
        <v>190</v>
      </c>
      <c r="CO771" s="236" t="s">
        <v>153</v>
      </c>
      <c r="CP771" s="237" t="s">
        <v>153</v>
      </c>
      <c r="CQ771" s="238" t="s">
        <v>153</v>
      </c>
      <c r="CR771" s="239" t="s">
        <v>153</v>
      </c>
      <c r="CS771" s="240" t="s">
        <v>153</v>
      </c>
      <c r="CT771" s="241" t="s">
        <v>153</v>
      </c>
      <c r="CU771" s="242" t="s">
        <v>153</v>
      </c>
      <c r="CV771" s="243" t="s">
        <v>153</v>
      </c>
      <c r="CW771" s="244" t="s">
        <v>153</v>
      </c>
      <c r="CX771" s="245" t="s">
        <v>153</v>
      </c>
      <c r="CY771" s="246" t="s">
        <v>153</v>
      </c>
      <c r="CZ771" s="247" t="s">
        <v>153</v>
      </c>
      <c r="DA771" s="248" t="s">
        <v>153</v>
      </c>
      <c r="DB771" s="249" t="s">
        <v>153</v>
      </c>
      <c r="DC771" s="250" t="s">
        <v>153</v>
      </c>
      <c r="DD771" s="251" t="s">
        <v>153</v>
      </c>
      <c r="DE771" s="252" t="s">
        <v>153</v>
      </c>
      <c r="DF771" s="253" t="s">
        <v>153</v>
      </c>
      <c r="DG771" s="254" t="s">
        <v>153</v>
      </c>
      <c r="DH771" s="255" t="s">
        <v>153</v>
      </c>
      <c r="DI771" s="256" t="s">
        <v>153</v>
      </c>
      <c r="DJ771" s="257" t="s">
        <v>153</v>
      </c>
      <c r="DK771" s="258" t="s">
        <v>153</v>
      </c>
      <c r="DL771" s="259" t="s">
        <v>153</v>
      </c>
      <c r="DM771" s="260" t="s">
        <v>153</v>
      </c>
      <c r="DN771" s="261" t="s">
        <v>153</v>
      </c>
      <c r="DO771" s="262" t="s">
        <v>153</v>
      </c>
      <c r="DP771" s="263" t="s">
        <v>153</v>
      </c>
      <c r="DQ771" s="264" t="s">
        <v>153</v>
      </c>
      <c r="DR771" s="265" t="s">
        <v>153</v>
      </c>
      <c r="DS771" s="266" t="s">
        <v>153</v>
      </c>
      <c r="DT771" s="267" t="s">
        <v>153</v>
      </c>
      <c r="DU771" s="268" t="s">
        <v>153</v>
      </c>
      <c r="DV771" s="269" t="s">
        <v>153</v>
      </c>
      <c r="DW771" s="270" t="s">
        <v>153</v>
      </c>
      <c r="DX771" s="271" t="s">
        <v>153</v>
      </c>
      <c r="DY771" s="272" t="s">
        <v>153</v>
      </c>
      <c r="DZ771" s="273" t="s">
        <v>191</v>
      </c>
      <c r="EA771" s="274">
        <v>44217</v>
      </c>
      <c r="EB771" s="275">
        <v>6209.53</v>
      </c>
      <c r="EC771" s="276">
        <v>39897</v>
      </c>
      <c r="ED771" s="277" t="s">
        <v>226</v>
      </c>
      <c r="EE771" s="279" t="str">
        <f>HYPERLINK("https://my.pitchbook.com?c=110959-48", "View company online")</f>
        <v>View company online</v>
      </c>
    </row>
    <row r="772" spans="1:135" x14ac:dyDescent="0.45">
      <c r="A772" s="10" t="s">
        <v>15445</v>
      </c>
      <c r="B772" s="11" t="s">
        <v>15446</v>
      </c>
      <c r="C772" s="12" t="s">
        <v>153</v>
      </c>
      <c r="D772" s="13" t="s">
        <v>153</v>
      </c>
      <c r="E772" s="14" t="s">
        <v>15447</v>
      </c>
      <c r="F772" s="15" t="s">
        <v>15448</v>
      </c>
      <c r="G772" s="16" t="s">
        <v>15449</v>
      </c>
      <c r="H772" s="17" t="s">
        <v>15450</v>
      </c>
      <c r="I772" s="18" t="s">
        <v>15445</v>
      </c>
      <c r="J772" s="19" t="s">
        <v>15451</v>
      </c>
      <c r="K772" s="20" t="s">
        <v>157</v>
      </c>
      <c r="L772" s="21" t="s">
        <v>421</v>
      </c>
      <c r="M772" s="22" t="s">
        <v>503</v>
      </c>
      <c r="N772" s="23" t="s">
        <v>15452</v>
      </c>
      <c r="O772" s="24" t="s">
        <v>153</v>
      </c>
      <c r="P772" s="25" t="s">
        <v>15453</v>
      </c>
      <c r="Q772" s="26" t="s">
        <v>564</v>
      </c>
      <c r="R772" s="27">
        <v>6202</v>
      </c>
      <c r="S772" s="28" t="s">
        <v>290</v>
      </c>
      <c r="T772" s="29" t="s">
        <v>164</v>
      </c>
      <c r="U772" s="30" t="s">
        <v>5464</v>
      </c>
      <c r="V772" s="31" t="s">
        <v>15454</v>
      </c>
      <c r="W772" s="32">
        <v>800</v>
      </c>
      <c r="X772" s="33" t="s">
        <v>15455</v>
      </c>
      <c r="Y772" s="34" t="s">
        <v>153</v>
      </c>
      <c r="Z772" s="35" t="s">
        <v>153</v>
      </c>
      <c r="AA772" s="36">
        <v>1950</v>
      </c>
      <c r="AB772" s="37" t="s">
        <v>8195</v>
      </c>
      <c r="AC772" s="38" t="s">
        <v>537</v>
      </c>
      <c r="AD772" s="39" t="s">
        <v>4965</v>
      </c>
      <c r="AE772" s="40" t="s">
        <v>153</v>
      </c>
      <c r="AF772" s="41" t="s">
        <v>153</v>
      </c>
      <c r="AG772" s="42" t="s">
        <v>153</v>
      </c>
      <c r="AH772" s="43" t="s">
        <v>153</v>
      </c>
      <c r="AI772" s="44" t="s">
        <v>153</v>
      </c>
      <c r="AJ772" s="45" t="s">
        <v>153</v>
      </c>
      <c r="AK772" s="46" t="s">
        <v>153</v>
      </c>
      <c r="AL772" s="47" t="s">
        <v>153</v>
      </c>
      <c r="AM772" s="48" t="s">
        <v>153</v>
      </c>
      <c r="AN772" s="49" t="s">
        <v>456</v>
      </c>
      <c r="AO772" s="50" t="s">
        <v>15456</v>
      </c>
      <c r="AP772" s="51" t="s">
        <v>15457</v>
      </c>
      <c r="AQ772" s="52" t="s">
        <v>573</v>
      </c>
      <c r="AR772" s="53" t="s">
        <v>153</v>
      </c>
      <c r="AS772" s="54" t="s">
        <v>15458</v>
      </c>
      <c r="AT772" s="55" t="s">
        <v>1071</v>
      </c>
      <c r="AU772" s="56" t="s">
        <v>15459</v>
      </c>
      <c r="AV772" s="57" t="s">
        <v>153</v>
      </c>
      <c r="AW772" s="58" t="s">
        <v>1074</v>
      </c>
      <c r="AX772" s="59" t="s">
        <v>177</v>
      </c>
      <c r="AY772" s="60" t="s">
        <v>15460</v>
      </c>
      <c r="AZ772" s="61" t="s">
        <v>179</v>
      </c>
      <c r="BA772" s="62" t="s">
        <v>15458</v>
      </c>
      <c r="BB772" s="63" t="s">
        <v>153</v>
      </c>
      <c r="BC772" s="64" t="s">
        <v>15461</v>
      </c>
      <c r="BD772" s="65" t="s">
        <v>180</v>
      </c>
      <c r="BE772" s="66" t="s">
        <v>181</v>
      </c>
      <c r="BF772" s="67" t="s">
        <v>15462</v>
      </c>
      <c r="BG772" s="68" t="s">
        <v>153</v>
      </c>
      <c r="BH772" s="69" t="s">
        <v>153</v>
      </c>
      <c r="BI772" s="70" t="s">
        <v>8195</v>
      </c>
      <c r="BJ772" s="71" t="s">
        <v>15463</v>
      </c>
      <c r="BK772" s="72" t="s">
        <v>15464</v>
      </c>
      <c r="BL772" s="73" t="s">
        <v>153</v>
      </c>
      <c r="BM772" s="74" t="s">
        <v>15465</v>
      </c>
      <c r="BN772" s="75" t="s">
        <v>15466</v>
      </c>
      <c r="BO772" s="76" t="s">
        <v>15467</v>
      </c>
      <c r="BP772" s="77" t="s">
        <v>15468</v>
      </c>
      <c r="BQ772" s="78">
        <v>36434</v>
      </c>
      <c r="BR772" s="79">
        <v>380.37</v>
      </c>
      <c r="BS772" s="80" t="s">
        <v>186</v>
      </c>
      <c r="BT772" s="81">
        <v>3042.94</v>
      </c>
      <c r="BU772" s="82" t="s">
        <v>187</v>
      </c>
      <c r="BV772" s="83" t="s">
        <v>709</v>
      </c>
      <c r="BW772" s="84" t="s">
        <v>153</v>
      </c>
      <c r="BX772" s="85" t="s">
        <v>153</v>
      </c>
      <c r="BY772" s="86" t="s">
        <v>165</v>
      </c>
      <c r="BZ772" s="87" t="s">
        <v>153</v>
      </c>
      <c r="CA772" s="88" t="s">
        <v>190</v>
      </c>
      <c r="CB772" s="89">
        <v>43131</v>
      </c>
      <c r="CC772" s="90">
        <v>6202</v>
      </c>
      <c r="CD772" s="91" t="s">
        <v>186</v>
      </c>
      <c r="CE772" s="92" t="s">
        <v>153</v>
      </c>
      <c r="CF772" s="93" t="s">
        <v>153</v>
      </c>
      <c r="CG772" s="94" t="s">
        <v>13701</v>
      </c>
      <c r="CH772" s="95" t="s">
        <v>4289</v>
      </c>
      <c r="CI772" s="96" t="s">
        <v>153</v>
      </c>
      <c r="CJ772" s="97" t="s">
        <v>4290</v>
      </c>
      <c r="CK772" s="98">
        <v>43131</v>
      </c>
      <c r="CL772" s="99">
        <v>6202</v>
      </c>
      <c r="CM772" s="100" t="s">
        <v>15469</v>
      </c>
      <c r="CN772" s="101" t="s">
        <v>190</v>
      </c>
      <c r="CO772" s="102" t="s">
        <v>153</v>
      </c>
      <c r="CP772" s="103" t="s">
        <v>153</v>
      </c>
      <c r="CQ772" s="104" t="s">
        <v>153</v>
      </c>
      <c r="CR772" s="105" t="s">
        <v>153</v>
      </c>
      <c r="CS772" s="106" t="s">
        <v>153</v>
      </c>
      <c r="CT772" s="107" t="s">
        <v>153</v>
      </c>
      <c r="CU772" s="108" t="s">
        <v>153</v>
      </c>
      <c r="CV772" s="109" t="s">
        <v>153</v>
      </c>
      <c r="CW772" s="110" t="s">
        <v>153</v>
      </c>
      <c r="CX772" s="111" t="s">
        <v>153</v>
      </c>
      <c r="CY772" s="112" t="s">
        <v>153</v>
      </c>
      <c r="CZ772" s="113" t="s">
        <v>153</v>
      </c>
      <c r="DA772" s="114" t="s">
        <v>153</v>
      </c>
      <c r="DB772" s="115" t="s">
        <v>153</v>
      </c>
      <c r="DC772" s="116" t="s">
        <v>153</v>
      </c>
      <c r="DD772" s="117" t="s">
        <v>153</v>
      </c>
      <c r="DE772" s="118" t="s">
        <v>153</v>
      </c>
      <c r="DF772" s="119" t="s">
        <v>153</v>
      </c>
      <c r="DG772" s="120" t="s">
        <v>153</v>
      </c>
      <c r="DH772" s="121" t="s">
        <v>153</v>
      </c>
      <c r="DI772" s="122" t="s">
        <v>153</v>
      </c>
      <c r="DJ772" s="123" t="s">
        <v>153</v>
      </c>
      <c r="DK772" s="124" t="s">
        <v>153</v>
      </c>
      <c r="DL772" s="125" t="s">
        <v>153</v>
      </c>
      <c r="DM772" s="126" t="s">
        <v>153</v>
      </c>
      <c r="DN772" s="127" t="s">
        <v>153</v>
      </c>
      <c r="DO772" s="128" t="s">
        <v>153</v>
      </c>
      <c r="DP772" s="129" t="s">
        <v>153</v>
      </c>
      <c r="DQ772" s="130" t="s">
        <v>153</v>
      </c>
      <c r="DR772" s="131" t="s">
        <v>153</v>
      </c>
      <c r="DS772" s="132" t="s">
        <v>153</v>
      </c>
      <c r="DT772" s="133" t="s">
        <v>153</v>
      </c>
      <c r="DU772" s="134" t="s">
        <v>153</v>
      </c>
      <c r="DV772" s="135" t="s">
        <v>153</v>
      </c>
      <c r="DW772" s="136" t="s">
        <v>153</v>
      </c>
      <c r="DX772" s="137" t="s">
        <v>153</v>
      </c>
      <c r="DY772" s="138" t="s">
        <v>153</v>
      </c>
      <c r="DZ772" s="139" t="s">
        <v>191</v>
      </c>
      <c r="EA772" s="140">
        <v>44363</v>
      </c>
      <c r="EB772" s="141">
        <v>9840.1</v>
      </c>
      <c r="EC772" s="142">
        <v>42758</v>
      </c>
      <c r="ED772" s="143" t="s">
        <v>226</v>
      </c>
      <c r="EE772" s="278" t="str">
        <f>HYPERLINK("https://my.pitchbook.com?c=10678-15", "View company online")</f>
        <v>View company online</v>
      </c>
    </row>
    <row r="773" spans="1:135" x14ac:dyDescent="0.45">
      <c r="A773" s="144" t="s">
        <v>15470</v>
      </c>
      <c r="B773" s="145" t="s">
        <v>15471</v>
      </c>
      <c r="C773" s="146" t="s">
        <v>153</v>
      </c>
      <c r="D773" s="147" t="s">
        <v>153</v>
      </c>
      <c r="E773" s="148" t="s">
        <v>153</v>
      </c>
      <c r="F773" s="149" t="s">
        <v>153</v>
      </c>
      <c r="G773" s="150" t="s">
        <v>153</v>
      </c>
      <c r="H773" s="151" t="s">
        <v>153</v>
      </c>
      <c r="I773" s="152" t="s">
        <v>15470</v>
      </c>
      <c r="J773" s="153" t="s">
        <v>15472</v>
      </c>
      <c r="K773" s="154" t="s">
        <v>792</v>
      </c>
      <c r="L773" s="155" t="s">
        <v>1516</v>
      </c>
      <c r="M773" s="156" t="s">
        <v>1516</v>
      </c>
      <c r="N773" s="157" t="s">
        <v>4075</v>
      </c>
      <c r="O773" s="158" t="s">
        <v>1119</v>
      </c>
      <c r="P773" s="159" t="s">
        <v>8125</v>
      </c>
      <c r="Q773" s="160" t="s">
        <v>204</v>
      </c>
      <c r="R773" s="161" t="s">
        <v>153</v>
      </c>
      <c r="S773" s="162" t="s">
        <v>153</v>
      </c>
      <c r="T773" s="163" t="s">
        <v>205</v>
      </c>
      <c r="U773" s="164" t="s">
        <v>206</v>
      </c>
      <c r="V773" s="165" t="s">
        <v>153</v>
      </c>
      <c r="W773" s="166" t="s">
        <v>153</v>
      </c>
      <c r="X773" s="167" t="s">
        <v>153</v>
      </c>
      <c r="Y773" s="168" t="s">
        <v>153</v>
      </c>
      <c r="Z773" s="169" t="s">
        <v>153</v>
      </c>
      <c r="AA773" s="170" t="s">
        <v>153</v>
      </c>
      <c r="AB773" s="171" t="s">
        <v>153</v>
      </c>
      <c r="AC773" s="172" t="s">
        <v>153</v>
      </c>
      <c r="AD773" s="173" t="s">
        <v>153</v>
      </c>
      <c r="AE773" s="174" t="s">
        <v>153</v>
      </c>
      <c r="AF773" s="175" t="s">
        <v>153</v>
      </c>
      <c r="AG773" s="176" t="s">
        <v>153</v>
      </c>
      <c r="AH773" s="177" t="s">
        <v>153</v>
      </c>
      <c r="AI773" s="178" t="s">
        <v>153</v>
      </c>
      <c r="AJ773" s="179" t="s">
        <v>153</v>
      </c>
      <c r="AK773" s="180" t="s">
        <v>153</v>
      </c>
      <c r="AL773" s="181" t="s">
        <v>153</v>
      </c>
      <c r="AM773" s="182" t="s">
        <v>153</v>
      </c>
      <c r="AN773" s="183" t="s">
        <v>153</v>
      </c>
      <c r="AO773" s="184" t="s">
        <v>153</v>
      </c>
      <c r="AP773" s="185" t="s">
        <v>153</v>
      </c>
      <c r="AQ773" s="186" t="s">
        <v>153</v>
      </c>
      <c r="AR773" s="187" t="s">
        <v>153</v>
      </c>
      <c r="AS773" s="188" t="s">
        <v>153</v>
      </c>
      <c r="AT773" s="189" t="s">
        <v>15473</v>
      </c>
      <c r="AU773" s="190" t="s">
        <v>153</v>
      </c>
      <c r="AV773" s="191" t="s">
        <v>153</v>
      </c>
      <c r="AW773" s="192" t="s">
        <v>153</v>
      </c>
      <c r="AX773" s="193" t="s">
        <v>15474</v>
      </c>
      <c r="AY773" s="194" t="s">
        <v>153</v>
      </c>
      <c r="AZ773" s="195" t="s">
        <v>215</v>
      </c>
      <c r="BA773" s="196" t="s">
        <v>153</v>
      </c>
      <c r="BB773" s="197" t="s">
        <v>153</v>
      </c>
      <c r="BC773" s="198" t="s">
        <v>153</v>
      </c>
      <c r="BD773" s="199" t="s">
        <v>216</v>
      </c>
      <c r="BE773" s="200" t="s">
        <v>217</v>
      </c>
      <c r="BF773" s="201" t="s">
        <v>15475</v>
      </c>
      <c r="BG773" s="202" t="s">
        <v>153</v>
      </c>
      <c r="BH773" s="203" t="s">
        <v>153</v>
      </c>
      <c r="BI773" s="204" t="s">
        <v>2614</v>
      </c>
      <c r="BJ773" s="205" t="s">
        <v>153</v>
      </c>
      <c r="BK773" s="206" t="s">
        <v>153</v>
      </c>
      <c r="BL773" s="207" t="s">
        <v>153</v>
      </c>
      <c r="BM773" s="208" t="s">
        <v>153</v>
      </c>
      <c r="BN773" s="209" t="s">
        <v>153</v>
      </c>
      <c r="BO773" s="210" t="s">
        <v>153</v>
      </c>
      <c r="BP773" s="211" t="s">
        <v>153</v>
      </c>
      <c r="BQ773" s="212">
        <v>42794</v>
      </c>
      <c r="BR773" s="213">
        <v>6200</v>
      </c>
      <c r="BS773" s="214" t="s">
        <v>186</v>
      </c>
      <c r="BT773" s="215">
        <v>6200</v>
      </c>
      <c r="BU773" s="216" t="s">
        <v>187</v>
      </c>
      <c r="BV773" s="217" t="s">
        <v>1524</v>
      </c>
      <c r="BW773" s="218" t="s">
        <v>1525</v>
      </c>
      <c r="BX773" s="219" t="s">
        <v>153</v>
      </c>
      <c r="BY773" s="220" t="s">
        <v>225</v>
      </c>
      <c r="BZ773" s="221" t="s">
        <v>153</v>
      </c>
      <c r="CA773" s="222" t="s">
        <v>190</v>
      </c>
      <c r="CB773" s="223">
        <v>42794</v>
      </c>
      <c r="CC773" s="224">
        <v>6200</v>
      </c>
      <c r="CD773" s="225" t="s">
        <v>186</v>
      </c>
      <c r="CE773" s="226">
        <v>6200</v>
      </c>
      <c r="CF773" s="227" t="s">
        <v>187</v>
      </c>
      <c r="CG773" s="228" t="s">
        <v>1524</v>
      </c>
      <c r="CH773" s="229" t="s">
        <v>1525</v>
      </c>
      <c r="CI773" s="230" t="s">
        <v>153</v>
      </c>
      <c r="CJ773" s="231" t="s">
        <v>225</v>
      </c>
      <c r="CK773" s="232">
        <v>42794</v>
      </c>
      <c r="CL773" s="233" t="s">
        <v>153</v>
      </c>
      <c r="CM773" s="234" t="s">
        <v>153</v>
      </c>
      <c r="CN773" s="235" t="s">
        <v>190</v>
      </c>
      <c r="CO773" s="236" t="s">
        <v>153</v>
      </c>
      <c r="CP773" s="237" t="s">
        <v>153</v>
      </c>
      <c r="CQ773" s="238" t="s">
        <v>153</v>
      </c>
      <c r="CR773" s="239" t="s">
        <v>153</v>
      </c>
      <c r="CS773" s="240" t="s">
        <v>153</v>
      </c>
      <c r="CT773" s="241" t="s">
        <v>153</v>
      </c>
      <c r="CU773" s="242" t="s">
        <v>153</v>
      </c>
      <c r="CV773" s="243" t="s">
        <v>153</v>
      </c>
      <c r="CW773" s="244" t="s">
        <v>153</v>
      </c>
      <c r="CX773" s="245" t="s">
        <v>153</v>
      </c>
      <c r="CY773" s="246" t="s">
        <v>153</v>
      </c>
      <c r="CZ773" s="247" t="s">
        <v>153</v>
      </c>
      <c r="DA773" s="248" t="s">
        <v>153</v>
      </c>
      <c r="DB773" s="249" t="s">
        <v>153</v>
      </c>
      <c r="DC773" s="250" t="s">
        <v>153</v>
      </c>
      <c r="DD773" s="251" t="s">
        <v>153</v>
      </c>
      <c r="DE773" s="252" t="s">
        <v>153</v>
      </c>
      <c r="DF773" s="253" t="s">
        <v>153</v>
      </c>
      <c r="DG773" s="254" t="s">
        <v>153</v>
      </c>
      <c r="DH773" s="255" t="s">
        <v>153</v>
      </c>
      <c r="DI773" s="256" t="s">
        <v>153</v>
      </c>
      <c r="DJ773" s="257" t="s">
        <v>153</v>
      </c>
      <c r="DK773" s="258" t="s">
        <v>153</v>
      </c>
      <c r="DL773" s="259" t="s">
        <v>153</v>
      </c>
      <c r="DM773" s="260" t="s">
        <v>153</v>
      </c>
      <c r="DN773" s="261" t="s">
        <v>153</v>
      </c>
      <c r="DO773" s="262" t="s">
        <v>153</v>
      </c>
      <c r="DP773" s="263" t="s">
        <v>153</v>
      </c>
      <c r="DQ773" s="264" t="s">
        <v>153</v>
      </c>
      <c r="DR773" s="265" t="s">
        <v>153</v>
      </c>
      <c r="DS773" s="266" t="s">
        <v>153</v>
      </c>
      <c r="DT773" s="267" t="s">
        <v>153</v>
      </c>
      <c r="DU773" s="268" t="s">
        <v>153</v>
      </c>
      <c r="DV773" s="269" t="s">
        <v>153</v>
      </c>
      <c r="DW773" s="270" t="s">
        <v>153</v>
      </c>
      <c r="DX773" s="271" t="s">
        <v>153</v>
      </c>
      <c r="DY773" s="272" t="s">
        <v>153</v>
      </c>
      <c r="DZ773" s="273" t="s">
        <v>191</v>
      </c>
      <c r="EA773" s="274">
        <v>44319</v>
      </c>
      <c r="EB773" s="275">
        <v>6200</v>
      </c>
      <c r="EC773" s="276">
        <v>42794</v>
      </c>
      <c r="ED773" s="277" t="s">
        <v>1524</v>
      </c>
      <c r="EE773" s="279" t="str">
        <f>HYPERLINK("https://my.pitchbook.com?c=169826-59", "View company online")</f>
        <v>View company online</v>
      </c>
    </row>
    <row r="774" spans="1:135" x14ac:dyDescent="0.45">
      <c r="A774" s="10" t="s">
        <v>15476</v>
      </c>
      <c r="B774" s="11" t="s">
        <v>15477</v>
      </c>
      <c r="C774" s="12" t="s">
        <v>153</v>
      </c>
      <c r="D774" s="13" t="s">
        <v>153</v>
      </c>
      <c r="E774" s="14" t="s">
        <v>153</v>
      </c>
      <c r="F774" s="15" t="s">
        <v>153</v>
      </c>
      <c r="G774" s="16" t="s">
        <v>15478</v>
      </c>
      <c r="H774" s="17" t="s">
        <v>153</v>
      </c>
      <c r="I774" s="18" t="s">
        <v>15476</v>
      </c>
      <c r="J774" s="19" t="s">
        <v>15479</v>
      </c>
      <c r="K774" s="20" t="s">
        <v>257</v>
      </c>
      <c r="L774" s="21" t="s">
        <v>478</v>
      </c>
      <c r="M774" s="22" t="s">
        <v>2670</v>
      </c>
      <c r="N774" s="23" t="s">
        <v>12796</v>
      </c>
      <c r="O774" s="24" t="s">
        <v>261</v>
      </c>
      <c r="P774" s="25" t="s">
        <v>15480</v>
      </c>
      <c r="Q774" s="26" t="s">
        <v>204</v>
      </c>
      <c r="R774" s="27">
        <v>112.9</v>
      </c>
      <c r="S774" s="28" t="s">
        <v>163</v>
      </c>
      <c r="T774" s="29" t="s">
        <v>205</v>
      </c>
      <c r="U774" s="30" t="s">
        <v>482</v>
      </c>
      <c r="V774" s="31" t="s">
        <v>153</v>
      </c>
      <c r="W774" s="32">
        <v>1500</v>
      </c>
      <c r="X774" s="33" t="s">
        <v>15481</v>
      </c>
      <c r="Y774" s="34" t="s">
        <v>153</v>
      </c>
      <c r="Z774" s="35" t="s">
        <v>153</v>
      </c>
      <c r="AA774" s="36">
        <v>1987</v>
      </c>
      <c r="AB774" s="37" t="s">
        <v>15482</v>
      </c>
      <c r="AC774" s="38" t="s">
        <v>153</v>
      </c>
      <c r="AD774" s="39" t="s">
        <v>153</v>
      </c>
      <c r="AE774" s="40" t="s">
        <v>153</v>
      </c>
      <c r="AF774" s="41" t="s">
        <v>153</v>
      </c>
      <c r="AG774" s="42" t="s">
        <v>153</v>
      </c>
      <c r="AH774" s="43" t="s">
        <v>153</v>
      </c>
      <c r="AI774" s="44" t="s">
        <v>153</v>
      </c>
      <c r="AJ774" s="45" t="s">
        <v>153</v>
      </c>
      <c r="AK774" s="46" t="s">
        <v>153</v>
      </c>
      <c r="AL774" s="47" t="s">
        <v>153</v>
      </c>
      <c r="AM774" s="48" t="s">
        <v>153</v>
      </c>
      <c r="AN774" s="49" t="s">
        <v>4622</v>
      </c>
      <c r="AO774" s="50" t="s">
        <v>15483</v>
      </c>
      <c r="AP774" s="51" t="s">
        <v>15484</v>
      </c>
      <c r="AQ774" s="52" t="s">
        <v>5014</v>
      </c>
      <c r="AR774" s="53" t="s">
        <v>153</v>
      </c>
      <c r="AS774" s="54" t="s">
        <v>15485</v>
      </c>
      <c r="AT774" s="55" t="s">
        <v>15486</v>
      </c>
      <c r="AU774" s="56" t="s">
        <v>15487</v>
      </c>
      <c r="AV774" s="57" t="s">
        <v>153</v>
      </c>
      <c r="AW774" s="58" t="s">
        <v>15488</v>
      </c>
      <c r="AX774" s="59" t="s">
        <v>385</v>
      </c>
      <c r="AY774" s="60" t="s">
        <v>3379</v>
      </c>
      <c r="AZ774" s="61" t="s">
        <v>215</v>
      </c>
      <c r="BA774" s="62" t="s">
        <v>15485</v>
      </c>
      <c r="BB774" s="63" t="s">
        <v>153</v>
      </c>
      <c r="BC774" s="64" t="s">
        <v>153</v>
      </c>
      <c r="BD774" s="65" t="s">
        <v>216</v>
      </c>
      <c r="BE774" s="66" t="s">
        <v>217</v>
      </c>
      <c r="BF774" s="67" t="s">
        <v>15489</v>
      </c>
      <c r="BG774" s="68" t="s">
        <v>153</v>
      </c>
      <c r="BH774" s="69" t="s">
        <v>153</v>
      </c>
      <c r="BI774" s="70" t="s">
        <v>15482</v>
      </c>
      <c r="BJ774" s="71" t="s">
        <v>15490</v>
      </c>
      <c r="BK774" s="72" t="s">
        <v>153</v>
      </c>
      <c r="BL774" s="73" t="s">
        <v>153</v>
      </c>
      <c r="BM774" s="74" t="s">
        <v>15491</v>
      </c>
      <c r="BN774" s="75" t="s">
        <v>153</v>
      </c>
      <c r="BO774" s="76" t="s">
        <v>153</v>
      </c>
      <c r="BP774" s="77" t="s">
        <v>15492</v>
      </c>
      <c r="BQ774" s="78">
        <v>32509</v>
      </c>
      <c r="BR774" s="79" t="s">
        <v>153</v>
      </c>
      <c r="BS774" s="80" t="s">
        <v>153</v>
      </c>
      <c r="BT774" s="81" t="s">
        <v>153</v>
      </c>
      <c r="BU774" s="82" t="s">
        <v>153</v>
      </c>
      <c r="BV774" s="83" t="s">
        <v>471</v>
      </c>
      <c r="BW774" s="84" t="s">
        <v>153</v>
      </c>
      <c r="BX774" s="85" t="s">
        <v>153</v>
      </c>
      <c r="BY774" s="86" t="s">
        <v>472</v>
      </c>
      <c r="BZ774" s="87" t="s">
        <v>153</v>
      </c>
      <c r="CA774" s="88" t="s">
        <v>190</v>
      </c>
      <c r="CB774" s="89">
        <v>39377</v>
      </c>
      <c r="CC774" s="90">
        <v>6200</v>
      </c>
      <c r="CD774" s="91" t="s">
        <v>186</v>
      </c>
      <c r="CE774" s="92">
        <v>6200</v>
      </c>
      <c r="CF774" s="93" t="s">
        <v>186</v>
      </c>
      <c r="CG774" s="94" t="s">
        <v>226</v>
      </c>
      <c r="CH774" s="95" t="s">
        <v>153</v>
      </c>
      <c r="CI774" s="96" t="s">
        <v>153</v>
      </c>
      <c r="CJ774" s="97" t="s">
        <v>225</v>
      </c>
      <c r="CK774" s="98">
        <v>39377</v>
      </c>
      <c r="CL774" s="99" t="s">
        <v>153</v>
      </c>
      <c r="CM774" s="100" t="s">
        <v>153</v>
      </c>
      <c r="CN774" s="101" t="s">
        <v>190</v>
      </c>
      <c r="CO774" s="102" t="s">
        <v>153</v>
      </c>
      <c r="CP774" s="103" t="s">
        <v>153</v>
      </c>
      <c r="CQ774" s="104" t="s">
        <v>153</v>
      </c>
      <c r="CR774" s="105" t="s">
        <v>153</v>
      </c>
      <c r="CS774" s="106" t="s">
        <v>153</v>
      </c>
      <c r="CT774" s="107" t="s">
        <v>153</v>
      </c>
      <c r="CU774" s="108" t="s">
        <v>153</v>
      </c>
      <c r="CV774" s="109" t="s">
        <v>153</v>
      </c>
      <c r="CW774" s="110" t="s">
        <v>153</v>
      </c>
      <c r="CX774" s="111" t="s">
        <v>153</v>
      </c>
      <c r="CY774" s="112" t="s">
        <v>153</v>
      </c>
      <c r="CZ774" s="113" t="s">
        <v>153</v>
      </c>
      <c r="DA774" s="114" t="s">
        <v>153</v>
      </c>
      <c r="DB774" s="115" t="s">
        <v>153</v>
      </c>
      <c r="DC774" s="116" t="s">
        <v>153</v>
      </c>
      <c r="DD774" s="117" t="s">
        <v>153</v>
      </c>
      <c r="DE774" s="118" t="s">
        <v>153</v>
      </c>
      <c r="DF774" s="119" t="s">
        <v>153</v>
      </c>
      <c r="DG774" s="120" t="s">
        <v>153</v>
      </c>
      <c r="DH774" s="121" t="s">
        <v>153</v>
      </c>
      <c r="DI774" s="122" t="s">
        <v>153</v>
      </c>
      <c r="DJ774" s="123" t="s">
        <v>153</v>
      </c>
      <c r="DK774" s="124" t="s">
        <v>153</v>
      </c>
      <c r="DL774" s="125" t="s">
        <v>153</v>
      </c>
      <c r="DM774" s="126" t="s">
        <v>153</v>
      </c>
      <c r="DN774" s="127" t="s">
        <v>153</v>
      </c>
      <c r="DO774" s="128" t="s">
        <v>153</v>
      </c>
      <c r="DP774" s="129" t="s">
        <v>153</v>
      </c>
      <c r="DQ774" s="130" t="s">
        <v>153</v>
      </c>
      <c r="DR774" s="131" t="s">
        <v>153</v>
      </c>
      <c r="DS774" s="132" t="s">
        <v>153</v>
      </c>
      <c r="DT774" s="133" t="s">
        <v>153</v>
      </c>
      <c r="DU774" s="134" t="s">
        <v>153</v>
      </c>
      <c r="DV774" s="135" t="s">
        <v>153</v>
      </c>
      <c r="DW774" s="136" t="s">
        <v>153</v>
      </c>
      <c r="DX774" s="137" t="s">
        <v>153</v>
      </c>
      <c r="DY774" s="138" t="s">
        <v>153</v>
      </c>
      <c r="DZ774" s="139" t="s">
        <v>191</v>
      </c>
      <c r="EA774" s="140">
        <v>44271</v>
      </c>
      <c r="EB774" s="141">
        <v>6200</v>
      </c>
      <c r="EC774" s="142">
        <v>39377</v>
      </c>
      <c r="ED774" s="143" t="s">
        <v>226</v>
      </c>
      <c r="EE774" s="278" t="str">
        <f>HYPERLINK("https://my.pitchbook.com?c=41303-08", "View company online")</f>
        <v>View company online</v>
      </c>
    </row>
    <row r="775" spans="1:135" x14ac:dyDescent="0.45">
      <c r="A775" s="144" t="s">
        <v>15493</v>
      </c>
      <c r="B775" s="145" t="s">
        <v>15494</v>
      </c>
      <c r="C775" s="146" t="s">
        <v>153</v>
      </c>
      <c r="D775" s="147" t="s">
        <v>153</v>
      </c>
      <c r="E775" s="148" t="s">
        <v>153</v>
      </c>
      <c r="F775" s="149" t="s">
        <v>15495</v>
      </c>
      <c r="G775" s="150" t="s">
        <v>15496</v>
      </c>
      <c r="H775" s="151" t="s">
        <v>15497</v>
      </c>
      <c r="I775" s="152" t="s">
        <v>15493</v>
      </c>
      <c r="J775" s="153" t="s">
        <v>15498</v>
      </c>
      <c r="K775" s="154" t="s">
        <v>198</v>
      </c>
      <c r="L775" s="155" t="s">
        <v>1846</v>
      </c>
      <c r="M775" s="156" t="s">
        <v>1847</v>
      </c>
      <c r="N775" s="157" t="s">
        <v>6344</v>
      </c>
      <c r="O775" s="158" t="s">
        <v>399</v>
      </c>
      <c r="P775" s="159" t="s">
        <v>15499</v>
      </c>
      <c r="Q775" s="160" t="s">
        <v>204</v>
      </c>
      <c r="R775" s="161">
        <v>927.89</v>
      </c>
      <c r="S775" s="162" t="s">
        <v>290</v>
      </c>
      <c r="T775" s="163" t="s">
        <v>205</v>
      </c>
      <c r="U775" s="164" t="s">
        <v>237</v>
      </c>
      <c r="V775" s="165" t="s">
        <v>15500</v>
      </c>
      <c r="W775" s="166">
        <v>122</v>
      </c>
      <c r="X775" s="167" t="s">
        <v>15501</v>
      </c>
      <c r="Y775" s="168" t="s">
        <v>153</v>
      </c>
      <c r="Z775" s="169" t="s">
        <v>153</v>
      </c>
      <c r="AA775" s="170">
        <v>1997</v>
      </c>
      <c r="AB775" s="171" t="s">
        <v>153</v>
      </c>
      <c r="AC775" s="172" t="s">
        <v>153</v>
      </c>
      <c r="AD775" s="173" t="s">
        <v>153</v>
      </c>
      <c r="AE775" s="174" t="s">
        <v>153</v>
      </c>
      <c r="AF775" s="175" t="s">
        <v>153</v>
      </c>
      <c r="AG775" s="176" t="s">
        <v>153</v>
      </c>
      <c r="AH775" s="177" t="s">
        <v>153</v>
      </c>
      <c r="AI775" s="178" t="s">
        <v>153</v>
      </c>
      <c r="AJ775" s="179" t="s">
        <v>153</v>
      </c>
      <c r="AK775" s="180" t="s">
        <v>153</v>
      </c>
      <c r="AL775" s="181" t="s">
        <v>153</v>
      </c>
      <c r="AM775" s="182" t="s">
        <v>153</v>
      </c>
      <c r="AN775" s="183" t="s">
        <v>4877</v>
      </c>
      <c r="AO775" s="184" t="s">
        <v>153</v>
      </c>
      <c r="AP775" s="185" t="s">
        <v>153</v>
      </c>
      <c r="AQ775" s="186" t="s">
        <v>153</v>
      </c>
      <c r="AR775" s="187" t="s">
        <v>153</v>
      </c>
      <c r="AS775" s="188" t="s">
        <v>153</v>
      </c>
      <c r="AT775" s="189" t="s">
        <v>13556</v>
      </c>
      <c r="AU775" s="190" t="s">
        <v>15502</v>
      </c>
      <c r="AV775" s="191" t="s">
        <v>15503</v>
      </c>
      <c r="AW775" s="192" t="s">
        <v>4741</v>
      </c>
      <c r="AX775" s="193" t="s">
        <v>13558</v>
      </c>
      <c r="AY775" s="194" t="s">
        <v>15504</v>
      </c>
      <c r="AZ775" s="195" t="s">
        <v>215</v>
      </c>
      <c r="BA775" s="196" t="s">
        <v>153</v>
      </c>
      <c r="BB775" s="197" t="s">
        <v>153</v>
      </c>
      <c r="BC775" s="198" t="s">
        <v>153</v>
      </c>
      <c r="BD775" s="199" t="s">
        <v>216</v>
      </c>
      <c r="BE775" s="200" t="s">
        <v>217</v>
      </c>
      <c r="BF775" s="201" t="s">
        <v>15505</v>
      </c>
      <c r="BG775" s="202" t="s">
        <v>153</v>
      </c>
      <c r="BH775" s="203" t="s">
        <v>153</v>
      </c>
      <c r="BI775" s="204" t="s">
        <v>13711</v>
      </c>
      <c r="BJ775" s="205" t="s">
        <v>15506</v>
      </c>
      <c r="BK775" s="206" t="s">
        <v>153</v>
      </c>
      <c r="BL775" s="207" t="s">
        <v>153</v>
      </c>
      <c r="BM775" s="208" t="s">
        <v>15507</v>
      </c>
      <c r="BN775" s="209" t="s">
        <v>153</v>
      </c>
      <c r="BO775" s="210" t="s">
        <v>153</v>
      </c>
      <c r="BP775" s="211" t="s">
        <v>15508</v>
      </c>
      <c r="BQ775" s="212">
        <v>39374</v>
      </c>
      <c r="BR775" s="213">
        <v>640.5</v>
      </c>
      <c r="BS775" s="214" t="s">
        <v>186</v>
      </c>
      <c r="BT775" s="215">
        <v>649.92999999999995</v>
      </c>
      <c r="BU775" s="216" t="s">
        <v>187</v>
      </c>
      <c r="BV775" s="217" t="s">
        <v>251</v>
      </c>
      <c r="BW775" s="218" t="s">
        <v>153</v>
      </c>
      <c r="BX775" s="219" t="s">
        <v>153</v>
      </c>
      <c r="BY775" s="220" t="s">
        <v>252</v>
      </c>
      <c r="BZ775" s="221" t="s">
        <v>153</v>
      </c>
      <c r="CA775" s="222" t="s">
        <v>190</v>
      </c>
      <c r="CB775" s="223">
        <v>42992</v>
      </c>
      <c r="CC775" s="224">
        <v>6200</v>
      </c>
      <c r="CD775" s="225" t="s">
        <v>186</v>
      </c>
      <c r="CE775" s="226">
        <v>6200</v>
      </c>
      <c r="CF775" s="227" t="s">
        <v>186</v>
      </c>
      <c r="CG775" s="228" t="s">
        <v>226</v>
      </c>
      <c r="CH775" s="229" t="s">
        <v>153</v>
      </c>
      <c r="CI775" s="230" t="s">
        <v>153</v>
      </c>
      <c r="CJ775" s="231" t="s">
        <v>225</v>
      </c>
      <c r="CK775" s="232">
        <v>42992</v>
      </c>
      <c r="CL775" s="233" t="s">
        <v>153</v>
      </c>
      <c r="CM775" s="234" t="s">
        <v>153</v>
      </c>
      <c r="CN775" s="235" t="s">
        <v>190</v>
      </c>
      <c r="CO775" s="236" t="s">
        <v>153</v>
      </c>
      <c r="CP775" s="237" t="s">
        <v>153</v>
      </c>
      <c r="CQ775" s="238" t="s">
        <v>153</v>
      </c>
      <c r="CR775" s="239" t="s">
        <v>153</v>
      </c>
      <c r="CS775" s="240" t="s">
        <v>153</v>
      </c>
      <c r="CT775" s="241" t="s">
        <v>153</v>
      </c>
      <c r="CU775" s="242" t="s">
        <v>153</v>
      </c>
      <c r="CV775" s="243" t="s">
        <v>153</v>
      </c>
      <c r="CW775" s="244" t="s">
        <v>153</v>
      </c>
      <c r="CX775" s="245" t="s">
        <v>153</v>
      </c>
      <c r="CY775" s="246" t="s">
        <v>153</v>
      </c>
      <c r="CZ775" s="247" t="s">
        <v>153</v>
      </c>
      <c r="DA775" s="248" t="s">
        <v>153</v>
      </c>
      <c r="DB775" s="249" t="s">
        <v>153</v>
      </c>
      <c r="DC775" s="250" t="s">
        <v>153</v>
      </c>
      <c r="DD775" s="251" t="s">
        <v>153</v>
      </c>
      <c r="DE775" s="252" t="s">
        <v>153</v>
      </c>
      <c r="DF775" s="253" t="s">
        <v>153</v>
      </c>
      <c r="DG775" s="254" t="s">
        <v>153</v>
      </c>
      <c r="DH775" s="255" t="s">
        <v>153</v>
      </c>
      <c r="DI775" s="256" t="s">
        <v>153</v>
      </c>
      <c r="DJ775" s="257" t="s">
        <v>153</v>
      </c>
      <c r="DK775" s="258" t="s">
        <v>153</v>
      </c>
      <c r="DL775" s="259" t="s">
        <v>153</v>
      </c>
      <c r="DM775" s="260" t="s">
        <v>153</v>
      </c>
      <c r="DN775" s="261" t="s">
        <v>153</v>
      </c>
      <c r="DO775" s="262" t="s">
        <v>153</v>
      </c>
      <c r="DP775" s="263" t="s">
        <v>153</v>
      </c>
      <c r="DQ775" s="264" t="s">
        <v>153</v>
      </c>
      <c r="DR775" s="265" t="s">
        <v>153</v>
      </c>
      <c r="DS775" s="266" t="s">
        <v>153</v>
      </c>
      <c r="DT775" s="267" t="s">
        <v>153</v>
      </c>
      <c r="DU775" s="268" t="s">
        <v>153</v>
      </c>
      <c r="DV775" s="269" t="s">
        <v>153</v>
      </c>
      <c r="DW775" s="270" t="s">
        <v>153</v>
      </c>
      <c r="DX775" s="271" t="s">
        <v>153</v>
      </c>
      <c r="DY775" s="272" t="s">
        <v>153</v>
      </c>
      <c r="DZ775" s="273" t="s">
        <v>191</v>
      </c>
      <c r="EA775" s="274">
        <v>44147</v>
      </c>
      <c r="EB775" s="275">
        <v>6200</v>
      </c>
      <c r="EC775" s="276">
        <v>42992</v>
      </c>
      <c r="ED775" s="277" t="s">
        <v>226</v>
      </c>
      <c r="EE775" s="279" t="str">
        <f>HYPERLINK("https://my.pitchbook.com?c=42098-77", "View company online")</f>
        <v>View company online</v>
      </c>
    </row>
    <row r="776" spans="1:135" x14ac:dyDescent="0.45">
      <c r="A776" s="10" t="s">
        <v>15509</v>
      </c>
      <c r="B776" s="11" t="s">
        <v>15510</v>
      </c>
      <c r="C776" s="12" t="s">
        <v>153</v>
      </c>
      <c r="D776" s="13" t="s">
        <v>153</v>
      </c>
      <c r="E776" s="14" t="s">
        <v>15511</v>
      </c>
      <c r="F776" s="15" t="s">
        <v>153</v>
      </c>
      <c r="G776" s="16" t="s">
        <v>15512</v>
      </c>
      <c r="H776" s="17" t="s">
        <v>15513</v>
      </c>
      <c r="I776" s="18" t="s">
        <v>15509</v>
      </c>
      <c r="J776" s="19" t="s">
        <v>15514</v>
      </c>
      <c r="K776" s="20" t="s">
        <v>882</v>
      </c>
      <c r="L776" s="21" t="s">
        <v>1231</v>
      </c>
      <c r="M776" s="22" t="s">
        <v>9555</v>
      </c>
      <c r="N776" s="23" t="s">
        <v>15515</v>
      </c>
      <c r="O776" s="24" t="s">
        <v>153</v>
      </c>
      <c r="P776" s="25" t="s">
        <v>15516</v>
      </c>
      <c r="Q776" s="26" t="s">
        <v>162</v>
      </c>
      <c r="R776" s="27">
        <v>1650</v>
      </c>
      <c r="S776" s="28" t="s">
        <v>8913</v>
      </c>
      <c r="T776" s="29" t="s">
        <v>291</v>
      </c>
      <c r="U776" s="30" t="s">
        <v>2534</v>
      </c>
      <c r="V776" s="31" t="s">
        <v>15517</v>
      </c>
      <c r="W776" s="32">
        <v>16960</v>
      </c>
      <c r="X776" s="33" t="s">
        <v>15518</v>
      </c>
      <c r="Y776" s="34" t="s">
        <v>14227</v>
      </c>
      <c r="Z776" s="35" t="s">
        <v>15519</v>
      </c>
      <c r="AA776" s="36">
        <v>1918</v>
      </c>
      <c r="AB776" s="37" t="s">
        <v>153</v>
      </c>
      <c r="AC776" s="38" t="s">
        <v>153</v>
      </c>
      <c r="AD776" s="39" t="s">
        <v>537</v>
      </c>
      <c r="AE776" s="40">
        <v>4624</v>
      </c>
      <c r="AF776" s="41">
        <v>-187</v>
      </c>
      <c r="AG776" s="42">
        <v>-1168</v>
      </c>
      <c r="AH776" s="43" t="s">
        <v>153</v>
      </c>
      <c r="AI776" s="44">
        <v>-317</v>
      </c>
      <c r="AJ776" s="45">
        <v>-842</v>
      </c>
      <c r="AK776" s="46">
        <v>7900.39</v>
      </c>
      <c r="AL776" s="47">
        <v>7480</v>
      </c>
      <c r="AM776" s="48">
        <v>-51.81</v>
      </c>
      <c r="AN776" s="49" t="s">
        <v>376</v>
      </c>
      <c r="AO776" s="50" t="s">
        <v>15520</v>
      </c>
      <c r="AP776" s="51" t="s">
        <v>15521</v>
      </c>
      <c r="AQ776" s="52" t="s">
        <v>2721</v>
      </c>
      <c r="AR776" s="53" t="s">
        <v>153</v>
      </c>
      <c r="AS776" s="54" t="s">
        <v>15522</v>
      </c>
      <c r="AT776" s="55" t="s">
        <v>15523</v>
      </c>
      <c r="AU776" s="56" t="s">
        <v>15524</v>
      </c>
      <c r="AV776" s="57" t="s">
        <v>153</v>
      </c>
      <c r="AW776" s="58" t="s">
        <v>15525</v>
      </c>
      <c r="AX776" s="59" t="s">
        <v>4177</v>
      </c>
      <c r="AY776" s="60" t="s">
        <v>15526</v>
      </c>
      <c r="AZ776" s="61" t="s">
        <v>215</v>
      </c>
      <c r="BA776" s="62" t="s">
        <v>15522</v>
      </c>
      <c r="BB776" s="63" t="s">
        <v>15527</v>
      </c>
      <c r="BC776" s="64" t="s">
        <v>153</v>
      </c>
      <c r="BD776" s="65" t="s">
        <v>216</v>
      </c>
      <c r="BE776" s="66" t="s">
        <v>217</v>
      </c>
      <c r="BF776" s="67" t="s">
        <v>15528</v>
      </c>
      <c r="BG776" s="68" t="s">
        <v>12958</v>
      </c>
      <c r="BH776" s="69">
        <v>1</v>
      </c>
      <c r="BI776" s="70" t="s">
        <v>15529</v>
      </c>
      <c r="BJ776" s="71" t="s">
        <v>15530</v>
      </c>
      <c r="BK776" s="72" t="s">
        <v>153</v>
      </c>
      <c r="BL776" s="73" t="s">
        <v>12960</v>
      </c>
      <c r="BM776" s="74" t="s">
        <v>15531</v>
      </c>
      <c r="BN776" s="75" t="s">
        <v>153</v>
      </c>
      <c r="BO776" s="76" t="s">
        <v>15532</v>
      </c>
      <c r="BP776" s="77" t="s">
        <v>15533</v>
      </c>
      <c r="BQ776" s="78">
        <v>32141</v>
      </c>
      <c r="BR776" s="79">
        <v>1300</v>
      </c>
      <c r="BS776" s="80" t="s">
        <v>186</v>
      </c>
      <c r="BT776" s="81">
        <v>1300</v>
      </c>
      <c r="BU776" s="82" t="s">
        <v>186</v>
      </c>
      <c r="BV776" s="83" t="s">
        <v>226</v>
      </c>
      <c r="BW776" s="84" t="s">
        <v>729</v>
      </c>
      <c r="BX776" s="85" t="s">
        <v>153</v>
      </c>
      <c r="BY776" s="86" t="s">
        <v>225</v>
      </c>
      <c r="BZ776" s="87" t="s">
        <v>153</v>
      </c>
      <c r="CA776" s="88" t="s">
        <v>190</v>
      </c>
      <c r="CB776" s="89">
        <v>44330</v>
      </c>
      <c r="CC776" s="90">
        <v>6200</v>
      </c>
      <c r="CD776" s="91" t="s">
        <v>186</v>
      </c>
      <c r="CE776" s="92">
        <v>6200</v>
      </c>
      <c r="CF776" s="93" t="s">
        <v>187</v>
      </c>
      <c r="CG776" s="94" t="s">
        <v>188</v>
      </c>
      <c r="CH776" s="95" t="s">
        <v>153</v>
      </c>
      <c r="CI776" s="96" t="s">
        <v>153</v>
      </c>
      <c r="CJ776" s="97" t="s">
        <v>165</v>
      </c>
      <c r="CK776" s="98">
        <v>44330</v>
      </c>
      <c r="CL776" s="99">
        <v>1500</v>
      </c>
      <c r="CM776" s="100" t="s">
        <v>15534</v>
      </c>
      <c r="CN776" s="101" t="s">
        <v>190</v>
      </c>
      <c r="CO776" s="102">
        <v>-0.65</v>
      </c>
      <c r="CP776" s="103">
        <v>4</v>
      </c>
      <c r="CQ776" s="104">
        <v>0.01</v>
      </c>
      <c r="CR776" s="105">
        <v>1.79</v>
      </c>
      <c r="CS776" s="106">
        <v>1.77</v>
      </c>
      <c r="CT776" s="107">
        <v>97</v>
      </c>
      <c r="CU776" s="108">
        <v>7.0000000000000007E-2</v>
      </c>
      <c r="CV776" s="109">
        <v>83</v>
      </c>
      <c r="CW776" s="110">
        <v>3.62</v>
      </c>
      <c r="CX776" s="111">
        <v>91</v>
      </c>
      <c r="CY776" s="112">
        <v>-0.09</v>
      </c>
      <c r="CZ776" s="113">
        <v>4</v>
      </c>
      <c r="DA776" s="114">
        <v>7.0000000000000007E-2</v>
      </c>
      <c r="DB776" s="115">
        <v>83</v>
      </c>
      <c r="DC776" s="116">
        <v>1067.42</v>
      </c>
      <c r="DD776" s="117">
        <v>100</v>
      </c>
      <c r="DE776" s="118">
        <v>0.62</v>
      </c>
      <c r="DF776" s="119">
        <v>0.06</v>
      </c>
      <c r="DG776" s="120">
        <v>2521.46</v>
      </c>
      <c r="DH776" s="121">
        <v>100</v>
      </c>
      <c r="DI776" s="122">
        <v>222.42</v>
      </c>
      <c r="DJ776" s="123">
        <v>99</v>
      </c>
      <c r="DK776" s="124">
        <v>3929.74</v>
      </c>
      <c r="DL776" s="125">
        <v>100</v>
      </c>
      <c r="DM776" s="126">
        <v>1113.19</v>
      </c>
      <c r="DN776" s="127">
        <v>100</v>
      </c>
      <c r="DO776" s="128">
        <v>222.42</v>
      </c>
      <c r="DP776" s="129">
        <v>99</v>
      </c>
      <c r="DQ776" s="130">
        <v>2315964</v>
      </c>
      <c r="DR776" s="131">
        <v>52698</v>
      </c>
      <c r="DS776" s="132">
        <v>2.33</v>
      </c>
      <c r="DT776" s="133">
        <v>17808</v>
      </c>
      <c r="DU776" s="134">
        <v>8</v>
      </c>
      <c r="DV776" s="135">
        <v>0.04</v>
      </c>
      <c r="DW776" s="136">
        <v>69811</v>
      </c>
      <c r="DX776" s="137">
        <v>79</v>
      </c>
      <c r="DY776" s="138">
        <v>0.11</v>
      </c>
      <c r="DZ776" s="139" t="s">
        <v>191</v>
      </c>
      <c r="EA776" s="140">
        <v>44402</v>
      </c>
      <c r="EB776" s="141">
        <v>6200</v>
      </c>
      <c r="EC776" s="142">
        <v>44330</v>
      </c>
      <c r="ED776" s="143" t="s">
        <v>188</v>
      </c>
      <c r="EE776" s="278" t="str">
        <f>HYPERLINK("https://my.pitchbook.com?c=10031-32", "View company online")</f>
        <v>View company online</v>
      </c>
    </row>
    <row r="777" spans="1:135" x14ac:dyDescent="0.45">
      <c r="A777" s="144" t="s">
        <v>15535</v>
      </c>
      <c r="B777" s="145" t="s">
        <v>15536</v>
      </c>
      <c r="C777" s="146" t="s">
        <v>153</v>
      </c>
      <c r="D777" s="147" t="s">
        <v>153</v>
      </c>
      <c r="E777" s="148" t="s">
        <v>153</v>
      </c>
      <c r="F777" s="149" t="s">
        <v>153</v>
      </c>
      <c r="G777" s="150" t="s">
        <v>15537</v>
      </c>
      <c r="H777" s="151" t="s">
        <v>15538</v>
      </c>
      <c r="I777" s="152" t="s">
        <v>15535</v>
      </c>
      <c r="J777" s="153" t="s">
        <v>15539</v>
      </c>
      <c r="K777" s="154" t="s">
        <v>232</v>
      </c>
      <c r="L777" s="155" t="s">
        <v>2162</v>
      </c>
      <c r="M777" s="156" t="s">
        <v>2163</v>
      </c>
      <c r="N777" s="157" t="s">
        <v>15540</v>
      </c>
      <c r="O777" s="158" t="s">
        <v>153</v>
      </c>
      <c r="P777" s="159" t="s">
        <v>15541</v>
      </c>
      <c r="Q777" s="160" t="s">
        <v>204</v>
      </c>
      <c r="R777" s="161" t="s">
        <v>153</v>
      </c>
      <c r="S777" s="162" t="s">
        <v>163</v>
      </c>
      <c r="T777" s="163" t="s">
        <v>164</v>
      </c>
      <c r="U777" s="164" t="s">
        <v>237</v>
      </c>
      <c r="V777" s="165" t="s">
        <v>15542</v>
      </c>
      <c r="W777" s="166">
        <v>7057</v>
      </c>
      <c r="X777" s="167" t="s">
        <v>15543</v>
      </c>
      <c r="Y777" s="168" t="s">
        <v>153</v>
      </c>
      <c r="Z777" s="169" t="s">
        <v>153</v>
      </c>
      <c r="AA777" s="170">
        <v>1923</v>
      </c>
      <c r="AB777" s="171" t="s">
        <v>2788</v>
      </c>
      <c r="AC777" s="172" t="s">
        <v>153</v>
      </c>
      <c r="AD777" s="173" t="s">
        <v>153</v>
      </c>
      <c r="AE777" s="174" t="s">
        <v>153</v>
      </c>
      <c r="AF777" s="175" t="s">
        <v>153</v>
      </c>
      <c r="AG777" s="176" t="s">
        <v>153</v>
      </c>
      <c r="AH777" s="177" t="s">
        <v>153</v>
      </c>
      <c r="AI777" s="178" t="s">
        <v>153</v>
      </c>
      <c r="AJ777" s="179" t="s">
        <v>153</v>
      </c>
      <c r="AK777" s="180" t="s">
        <v>153</v>
      </c>
      <c r="AL777" s="181" t="s">
        <v>153</v>
      </c>
      <c r="AM777" s="182" t="s">
        <v>153</v>
      </c>
      <c r="AN777" s="183" t="s">
        <v>6347</v>
      </c>
      <c r="AO777" s="184" t="s">
        <v>15544</v>
      </c>
      <c r="AP777" s="185" t="s">
        <v>15545</v>
      </c>
      <c r="AQ777" s="186" t="s">
        <v>968</v>
      </c>
      <c r="AR777" s="187" t="s">
        <v>15546</v>
      </c>
      <c r="AS777" s="188" t="s">
        <v>15547</v>
      </c>
      <c r="AT777" s="189" t="s">
        <v>826</v>
      </c>
      <c r="AU777" s="190" t="s">
        <v>15548</v>
      </c>
      <c r="AV777" s="191" t="s">
        <v>153</v>
      </c>
      <c r="AW777" s="192" t="s">
        <v>828</v>
      </c>
      <c r="AX777" s="193" t="s">
        <v>385</v>
      </c>
      <c r="AY777" s="194" t="s">
        <v>15549</v>
      </c>
      <c r="AZ777" s="195" t="s">
        <v>215</v>
      </c>
      <c r="BA777" s="196" t="s">
        <v>15547</v>
      </c>
      <c r="BB777" s="197" t="s">
        <v>153</v>
      </c>
      <c r="BC777" s="198" t="s">
        <v>153</v>
      </c>
      <c r="BD777" s="199" t="s">
        <v>216</v>
      </c>
      <c r="BE777" s="200" t="s">
        <v>217</v>
      </c>
      <c r="BF777" s="201" t="s">
        <v>15550</v>
      </c>
      <c r="BG777" s="202" t="s">
        <v>153</v>
      </c>
      <c r="BH777" s="203" t="s">
        <v>153</v>
      </c>
      <c r="BI777" s="204" t="s">
        <v>2788</v>
      </c>
      <c r="BJ777" s="205" t="s">
        <v>153</v>
      </c>
      <c r="BK777" s="206" t="s">
        <v>153</v>
      </c>
      <c r="BL777" s="207" t="s">
        <v>153</v>
      </c>
      <c r="BM777" s="208" t="s">
        <v>153</v>
      </c>
      <c r="BN777" s="209" t="s">
        <v>153</v>
      </c>
      <c r="BO777" s="210" t="s">
        <v>15551</v>
      </c>
      <c r="BP777" s="211" t="s">
        <v>153</v>
      </c>
      <c r="BQ777" s="212">
        <v>31662</v>
      </c>
      <c r="BR777" s="213" t="s">
        <v>153</v>
      </c>
      <c r="BS777" s="214" t="s">
        <v>153</v>
      </c>
      <c r="BT777" s="215" t="s">
        <v>153</v>
      </c>
      <c r="BU777" s="216" t="s">
        <v>153</v>
      </c>
      <c r="BV777" s="217" t="s">
        <v>251</v>
      </c>
      <c r="BW777" s="218" t="s">
        <v>153</v>
      </c>
      <c r="BX777" s="219" t="s">
        <v>153</v>
      </c>
      <c r="BY777" s="220" t="s">
        <v>252</v>
      </c>
      <c r="BZ777" s="221" t="s">
        <v>153</v>
      </c>
      <c r="CA777" s="222" t="s">
        <v>190</v>
      </c>
      <c r="CB777" s="223">
        <v>39715</v>
      </c>
      <c r="CC777" s="224">
        <v>6200</v>
      </c>
      <c r="CD777" s="225" t="s">
        <v>186</v>
      </c>
      <c r="CE777" s="226">
        <v>6200</v>
      </c>
      <c r="CF777" s="227" t="s">
        <v>186</v>
      </c>
      <c r="CG777" s="228" t="s">
        <v>226</v>
      </c>
      <c r="CH777" s="229" t="s">
        <v>153</v>
      </c>
      <c r="CI777" s="230" t="s">
        <v>153</v>
      </c>
      <c r="CJ777" s="231" t="s">
        <v>225</v>
      </c>
      <c r="CK777" s="232">
        <v>39715</v>
      </c>
      <c r="CL777" s="233" t="s">
        <v>153</v>
      </c>
      <c r="CM777" s="234" t="s">
        <v>153</v>
      </c>
      <c r="CN777" s="235" t="s">
        <v>190</v>
      </c>
      <c r="CO777" s="236">
        <v>1.25</v>
      </c>
      <c r="CP777" s="237">
        <v>97</v>
      </c>
      <c r="CQ777" s="238">
        <v>-0.02</v>
      </c>
      <c r="CR777" s="239">
        <v>-1.27</v>
      </c>
      <c r="CS777" s="240">
        <v>1.85</v>
      </c>
      <c r="CT777" s="241">
        <v>97</v>
      </c>
      <c r="CU777" s="242">
        <v>-7.0000000000000007E-2</v>
      </c>
      <c r="CV777" s="243">
        <v>27</v>
      </c>
      <c r="CW777" s="244">
        <v>3.49</v>
      </c>
      <c r="CX777" s="245">
        <v>91</v>
      </c>
      <c r="CY777" s="246">
        <v>0.22</v>
      </c>
      <c r="CZ777" s="247">
        <v>92</v>
      </c>
      <c r="DA777" s="248">
        <v>-7.0000000000000007E-2</v>
      </c>
      <c r="DB777" s="249">
        <v>27</v>
      </c>
      <c r="DC777" s="250">
        <v>667.54</v>
      </c>
      <c r="DD777" s="251">
        <v>100</v>
      </c>
      <c r="DE777" s="252">
        <v>9.0299999999999994</v>
      </c>
      <c r="DF777" s="253">
        <v>1.37</v>
      </c>
      <c r="DG777" s="254">
        <v>528.84</v>
      </c>
      <c r="DH777" s="255">
        <v>100</v>
      </c>
      <c r="DI777" s="256">
        <v>83.04</v>
      </c>
      <c r="DJ777" s="257">
        <v>97</v>
      </c>
      <c r="DK777" s="258">
        <v>366.81</v>
      </c>
      <c r="DL777" s="259">
        <v>99</v>
      </c>
      <c r="DM777" s="260">
        <v>690.88</v>
      </c>
      <c r="DN777" s="261">
        <v>100</v>
      </c>
      <c r="DO777" s="262">
        <v>83.04</v>
      </c>
      <c r="DP777" s="263">
        <v>97</v>
      </c>
      <c r="DQ777" s="264">
        <v>215751</v>
      </c>
      <c r="DR777" s="265">
        <v>6470</v>
      </c>
      <c r="DS777" s="266">
        <v>3.09</v>
      </c>
      <c r="DT777" s="267">
        <v>11048</v>
      </c>
      <c r="DU777" s="268">
        <v>14</v>
      </c>
      <c r="DV777" s="269">
        <v>0.13</v>
      </c>
      <c r="DW777" s="270">
        <v>26075</v>
      </c>
      <c r="DX777" s="271">
        <v>0</v>
      </c>
      <c r="DY777" s="272">
        <v>0</v>
      </c>
      <c r="DZ777" s="273" t="s">
        <v>191</v>
      </c>
      <c r="EA777" s="274">
        <v>44053</v>
      </c>
      <c r="EB777" s="275">
        <v>6200</v>
      </c>
      <c r="EC777" s="276">
        <v>39715</v>
      </c>
      <c r="ED777" s="277" t="s">
        <v>226</v>
      </c>
      <c r="EE777" s="279" t="str">
        <f>HYPERLINK("https://my.pitchbook.com?c=10921-15", "View company online")</f>
        <v>View company online</v>
      </c>
    </row>
    <row r="778" spans="1:135" x14ac:dyDescent="0.45">
      <c r="A778" s="10" t="s">
        <v>15552</v>
      </c>
      <c r="B778" s="11" t="s">
        <v>15553</v>
      </c>
      <c r="C778" s="12" t="s">
        <v>153</v>
      </c>
      <c r="D778" s="13" t="s">
        <v>153</v>
      </c>
      <c r="E778" s="14" t="s">
        <v>15554</v>
      </c>
      <c r="F778" s="15" t="s">
        <v>153</v>
      </c>
      <c r="G778" s="16" t="s">
        <v>15555</v>
      </c>
      <c r="H778" s="17" t="s">
        <v>15556</v>
      </c>
      <c r="I778" s="18" t="s">
        <v>15552</v>
      </c>
      <c r="J778" s="19" t="s">
        <v>15557</v>
      </c>
      <c r="K778" s="20" t="s">
        <v>559</v>
      </c>
      <c r="L778" s="21" t="s">
        <v>641</v>
      </c>
      <c r="M778" s="22" t="s">
        <v>15558</v>
      </c>
      <c r="N778" s="23" t="s">
        <v>15559</v>
      </c>
      <c r="O778" s="24" t="s">
        <v>153</v>
      </c>
      <c r="P778" s="25" t="s">
        <v>15560</v>
      </c>
      <c r="Q778" s="26" t="s">
        <v>204</v>
      </c>
      <c r="R778" s="27" t="s">
        <v>153</v>
      </c>
      <c r="S778" s="28" t="s">
        <v>163</v>
      </c>
      <c r="T778" s="29" t="s">
        <v>164</v>
      </c>
      <c r="U778" s="30" t="s">
        <v>369</v>
      </c>
      <c r="V778" s="31" t="s">
        <v>153</v>
      </c>
      <c r="W778" s="32">
        <v>17500</v>
      </c>
      <c r="X778" s="33" t="s">
        <v>15561</v>
      </c>
      <c r="Y778" s="34" t="s">
        <v>153</v>
      </c>
      <c r="Z778" s="35" t="s">
        <v>153</v>
      </c>
      <c r="AA778" s="36" t="s">
        <v>153</v>
      </c>
      <c r="AB778" s="37" t="s">
        <v>2194</v>
      </c>
      <c r="AC778" s="38" t="s">
        <v>153</v>
      </c>
      <c r="AD778" s="39" t="s">
        <v>153</v>
      </c>
      <c r="AE778" s="40" t="s">
        <v>153</v>
      </c>
      <c r="AF778" s="41" t="s">
        <v>153</v>
      </c>
      <c r="AG778" s="42" t="s">
        <v>153</v>
      </c>
      <c r="AH778" s="43" t="s">
        <v>153</v>
      </c>
      <c r="AI778" s="44" t="s">
        <v>153</v>
      </c>
      <c r="AJ778" s="45" t="s">
        <v>153</v>
      </c>
      <c r="AK778" s="46" t="s">
        <v>153</v>
      </c>
      <c r="AL778" s="47" t="s">
        <v>153</v>
      </c>
      <c r="AM778" s="48" t="s">
        <v>153</v>
      </c>
      <c r="AN778" s="49" t="s">
        <v>5087</v>
      </c>
      <c r="AO778" s="50" t="s">
        <v>15562</v>
      </c>
      <c r="AP778" s="51" t="s">
        <v>15563</v>
      </c>
      <c r="AQ778" s="52" t="s">
        <v>1241</v>
      </c>
      <c r="AR778" s="53" t="s">
        <v>153</v>
      </c>
      <c r="AS778" s="54" t="s">
        <v>15564</v>
      </c>
      <c r="AT778" s="55" t="s">
        <v>12407</v>
      </c>
      <c r="AU778" s="56" t="s">
        <v>15565</v>
      </c>
      <c r="AV778" s="57" t="s">
        <v>153</v>
      </c>
      <c r="AW778" s="58" t="s">
        <v>12410</v>
      </c>
      <c r="AX778" s="59" t="s">
        <v>12411</v>
      </c>
      <c r="AY778" s="60" t="s">
        <v>15566</v>
      </c>
      <c r="AZ778" s="61" t="s">
        <v>1358</v>
      </c>
      <c r="BA778" s="62" t="s">
        <v>15564</v>
      </c>
      <c r="BB778" s="63" t="s">
        <v>15567</v>
      </c>
      <c r="BC778" s="64" t="s">
        <v>153</v>
      </c>
      <c r="BD778" s="65" t="s">
        <v>216</v>
      </c>
      <c r="BE778" s="66" t="s">
        <v>217</v>
      </c>
      <c r="BF778" s="67" t="s">
        <v>15568</v>
      </c>
      <c r="BG778" s="68" t="s">
        <v>153</v>
      </c>
      <c r="BH778" s="69" t="s">
        <v>153</v>
      </c>
      <c r="BI778" s="70" t="s">
        <v>2194</v>
      </c>
      <c r="BJ778" s="71" t="s">
        <v>15569</v>
      </c>
      <c r="BK778" s="72" t="s">
        <v>153</v>
      </c>
      <c r="BL778" s="73" t="s">
        <v>153</v>
      </c>
      <c r="BM778" s="74" t="s">
        <v>15570</v>
      </c>
      <c r="BN778" s="75" t="s">
        <v>153</v>
      </c>
      <c r="BO778" s="76" t="s">
        <v>15571</v>
      </c>
      <c r="BP778" s="77" t="s">
        <v>15572</v>
      </c>
      <c r="BQ778" s="78">
        <v>35290</v>
      </c>
      <c r="BR778" s="79" t="s">
        <v>153</v>
      </c>
      <c r="BS778" s="80" t="s">
        <v>153</v>
      </c>
      <c r="BT778" s="81" t="s">
        <v>153</v>
      </c>
      <c r="BU778" s="82" t="s">
        <v>153</v>
      </c>
      <c r="BV778" s="83" t="s">
        <v>251</v>
      </c>
      <c r="BW778" s="84" t="s">
        <v>153</v>
      </c>
      <c r="BX778" s="85" t="s">
        <v>153</v>
      </c>
      <c r="BY778" s="86" t="s">
        <v>252</v>
      </c>
      <c r="BZ778" s="87" t="s">
        <v>153</v>
      </c>
      <c r="CA778" s="88" t="s">
        <v>190</v>
      </c>
      <c r="CB778" s="89">
        <v>41255</v>
      </c>
      <c r="CC778" s="90">
        <v>6200</v>
      </c>
      <c r="CD778" s="91" t="s">
        <v>186</v>
      </c>
      <c r="CE778" s="92">
        <v>6200</v>
      </c>
      <c r="CF778" s="93" t="s">
        <v>186</v>
      </c>
      <c r="CG778" s="94" t="s">
        <v>226</v>
      </c>
      <c r="CH778" s="95" t="s">
        <v>153</v>
      </c>
      <c r="CI778" s="96" t="s">
        <v>153</v>
      </c>
      <c r="CJ778" s="97" t="s">
        <v>225</v>
      </c>
      <c r="CK778" s="98">
        <v>41255</v>
      </c>
      <c r="CL778" s="99" t="s">
        <v>153</v>
      </c>
      <c r="CM778" s="100" t="s">
        <v>153</v>
      </c>
      <c r="CN778" s="101" t="s">
        <v>190</v>
      </c>
      <c r="CO778" s="102">
        <v>0.36</v>
      </c>
      <c r="CP778" s="103">
        <v>92</v>
      </c>
      <c r="CQ778" s="104">
        <v>0.01</v>
      </c>
      <c r="CR778" s="105">
        <v>1.43</v>
      </c>
      <c r="CS778" s="106" t="s">
        <v>153</v>
      </c>
      <c r="CT778" s="107" t="s">
        <v>153</v>
      </c>
      <c r="CU778" s="108">
        <v>0.3</v>
      </c>
      <c r="CV778" s="109">
        <v>94</v>
      </c>
      <c r="CW778" s="110" t="s">
        <v>153</v>
      </c>
      <c r="CX778" s="111" t="s">
        <v>153</v>
      </c>
      <c r="CY778" s="112" t="s">
        <v>153</v>
      </c>
      <c r="CZ778" s="113" t="s">
        <v>153</v>
      </c>
      <c r="DA778" s="114">
        <v>0.3</v>
      </c>
      <c r="DB778" s="115">
        <v>94</v>
      </c>
      <c r="DC778" s="116">
        <v>238.32</v>
      </c>
      <c r="DD778" s="117">
        <v>100</v>
      </c>
      <c r="DE778" s="118">
        <v>0.02</v>
      </c>
      <c r="DF778" s="119">
        <v>0.01</v>
      </c>
      <c r="DG778" s="120" t="s">
        <v>153</v>
      </c>
      <c r="DH778" s="121" t="s">
        <v>153</v>
      </c>
      <c r="DI778" s="122">
        <v>3.67</v>
      </c>
      <c r="DJ778" s="123">
        <v>73</v>
      </c>
      <c r="DK778" s="124" t="s">
        <v>153</v>
      </c>
      <c r="DL778" s="125" t="s">
        <v>153</v>
      </c>
      <c r="DM778" s="126" t="s">
        <v>153</v>
      </c>
      <c r="DN778" s="127" t="s">
        <v>153</v>
      </c>
      <c r="DO778" s="128">
        <v>3.67</v>
      </c>
      <c r="DP778" s="129">
        <v>73</v>
      </c>
      <c r="DQ778" s="130" t="s">
        <v>153</v>
      </c>
      <c r="DR778" s="131" t="s">
        <v>153</v>
      </c>
      <c r="DS778" s="132" t="s">
        <v>153</v>
      </c>
      <c r="DT778" s="133" t="s">
        <v>153</v>
      </c>
      <c r="DU778" s="134" t="s">
        <v>153</v>
      </c>
      <c r="DV778" s="135" t="s">
        <v>153</v>
      </c>
      <c r="DW778" s="136">
        <v>1152</v>
      </c>
      <c r="DX778" s="137">
        <v>4</v>
      </c>
      <c r="DY778" s="138">
        <v>0.35</v>
      </c>
      <c r="DZ778" s="139" t="s">
        <v>191</v>
      </c>
      <c r="EA778" s="140">
        <v>44312</v>
      </c>
      <c r="EB778" s="141">
        <v>6200</v>
      </c>
      <c r="EC778" s="142">
        <v>41255</v>
      </c>
      <c r="ED778" s="143" t="s">
        <v>226</v>
      </c>
      <c r="EE778" s="278" t="str">
        <f>HYPERLINK("https://my.pitchbook.com?c=42944-59", "View company online")</f>
        <v>View company online</v>
      </c>
    </row>
    <row r="779" spans="1:135" x14ac:dyDescent="0.45">
      <c r="A779" s="144" t="s">
        <v>15573</v>
      </c>
      <c r="B779" s="145" t="s">
        <v>15574</v>
      </c>
      <c r="C779" s="146" t="s">
        <v>153</v>
      </c>
      <c r="D779" s="147" t="s">
        <v>153</v>
      </c>
      <c r="E779" s="148" t="s">
        <v>153</v>
      </c>
      <c r="F779" s="149" t="s">
        <v>153</v>
      </c>
      <c r="G779" s="150" t="s">
        <v>15575</v>
      </c>
      <c r="H779" s="151" t="s">
        <v>153</v>
      </c>
      <c r="I779" s="152" t="s">
        <v>15573</v>
      </c>
      <c r="J779" s="153" t="s">
        <v>15576</v>
      </c>
      <c r="K779" s="154" t="s">
        <v>157</v>
      </c>
      <c r="L779" s="155" t="s">
        <v>817</v>
      </c>
      <c r="M779" s="156" t="s">
        <v>1499</v>
      </c>
      <c r="N779" s="157" t="s">
        <v>2944</v>
      </c>
      <c r="O779" s="158" t="s">
        <v>261</v>
      </c>
      <c r="P779" s="159" t="s">
        <v>15577</v>
      </c>
      <c r="Q779" s="160" t="s">
        <v>204</v>
      </c>
      <c r="R779" s="161" t="s">
        <v>153</v>
      </c>
      <c r="S779" s="162" t="s">
        <v>163</v>
      </c>
      <c r="T779" s="163" t="s">
        <v>205</v>
      </c>
      <c r="U779" s="164" t="s">
        <v>206</v>
      </c>
      <c r="V779" s="165" t="s">
        <v>153</v>
      </c>
      <c r="W779" s="166" t="s">
        <v>153</v>
      </c>
      <c r="X779" s="167" t="s">
        <v>153</v>
      </c>
      <c r="Y779" s="168" t="s">
        <v>153</v>
      </c>
      <c r="Z779" s="169" t="s">
        <v>153</v>
      </c>
      <c r="AA779" s="170" t="s">
        <v>153</v>
      </c>
      <c r="AB779" s="171" t="s">
        <v>153</v>
      </c>
      <c r="AC779" s="172" t="s">
        <v>153</v>
      </c>
      <c r="AD779" s="173" t="s">
        <v>153</v>
      </c>
      <c r="AE779" s="174" t="s">
        <v>153</v>
      </c>
      <c r="AF779" s="175" t="s">
        <v>153</v>
      </c>
      <c r="AG779" s="176" t="s">
        <v>153</v>
      </c>
      <c r="AH779" s="177" t="s">
        <v>153</v>
      </c>
      <c r="AI779" s="178" t="s">
        <v>153</v>
      </c>
      <c r="AJ779" s="179" t="s">
        <v>153</v>
      </c>
      <c r="AK779" s="180" t="s">
        <v>153</v>
      </c>
      <c r="AL779" s="181" t="s">
        <v>153</v>
      </c>
      <c r="AM779" s="182" t="s">
        <v>153</v>
      </c>
      <c r="AN779" s="183" t="s">
        <v>153</v>
      </c>
      <c r="AO779" s="184" t="s">
        <v>153</v>
      </c>
      <c r="AP779" s="185" t="s">
        <v>153</v>
      </c>
      <c r="AQ779" s="186" t="s">
        <v>153</v>
      </c>
      <c r="AR779" s="187" t="s">
        <v>153</v>
      </c>
      <c r="AS779" s="188" t="s">
        <v>153</v>
      </c>
      <c r="AT779" s="189" t="s">
        <v>15578</v>
      </c>
      <c r="AU779" s="190" t="s">
        <v>153</v>
      </c>
      <c r="AV779" s="191" t="s">
        <v>153</v>
      </c>
      <c r="AW779" s="192" t="s">
        <v>153</v>
      </c>
      <c r="AX779" s="193" t="s">
        <v>153</v>
      </c>
      <c r="AY779" s="194" t="s">
        <v>153</v>
      </c>
      <c r="AZ779" s="195" t="s">
        <v>15578</v>
      </c>
      <c r="BA779" s="196" t="s">
        <v>153</v>
      </c>
      <c r="BB779" s="197" t="s">
        <v>153</v>
      </c>
      <c r="BC779" s="198" t="s">
        <v>153</v>
      </c>
      <c r="BD779" s="199" t="s">
        <v>180</v>
      </c>
      <c r="BE779" s="200" t="s">
        <v>809</v>
      </c>
      <c r="BF779" s="201" t="s">
        <v>15579</v>
      </c>
      <c r="BG779" s="202" t="s">
        <v>153</v>
      </c>
      <c r="BH779" s="203" t="s">
        <v>153</v>
      </c>
      <c r="BI779" s="204" t="s">
        <v>15580</v>
      </c>
      <c r="BJ779" s="205" t="s">
        <v>3499</v>
      </c>
      <c r="BK779" s="206" t="s">
        <v>153</v>
      </c>
      <c r="BL779" s="207" t="s">
        <v>153</v>
      </c>
      <c r="BM779" s="208" t="s">
        <v>15581</v>
      </c>
      <c r="BN779" s="209" t="s">
        <v>153</v>
      </c>
      <c r="BO779" s="210" t="s">
        <v>153</v>
      </c>
      <c r="BP779" s="211" t="s">
        <v>153</v>
      </c>
      <c r="BQ779" s="212">
        <v>42979</v>
      </c>
      <c r="BR779" s="213">
        <v>6190</v>
      </c>
      <c r="BS779" s="214" t="s">
        <v>186</v>
      </c>
      <c r="BT779" s="215">
        <v>6190</v>
      </c>
      <c r="BU779" s="216" t="s">
        <v>186</v>
      </c>
      <c r="BV779" s="217" t="s">
        <v>226</v>
      </c>
      <c r="BW779" s="218" t="s">
        <v>729</v>
      </c>
      <c r="BX779" s="219" t="s">
        <v>153</v>
      </c>
      <c r="BY779" s="220" t="s">
        <v>225</v>
      </c>
      <c r="BZ779" s="221" t="s">
        <v>153</v>
      </c>
      <c r="CA779" s="222" t="s">
        <v>190</v>
      </c>
      <c r="CB779" s="223">
        <v>42979</v>
      </c>
      <c r="CC779" s="224">
        <v>6190</v>
      </c>
      <c r="CD779" s="225" t="s">
        <v>186</v>
      </c>
      <c r="CE779" s="226">
        <v>6190</v>
      </c>
      <c r="CF779" s="227" t="s">
        <v>186</v>
      </c>
      <c r="CG779" s="228" t="s">
        <v>226</v>
      </c>
      <c r="CH779" s="229" t="s">
        <v>729</v>
      </c>
      <c r="CI779" s="230" t="s">
        <v>153</v>
      </c>
      <c r="CJ779" s="231" t="s">
        <v>225</v>
      </c>
      <c r="CK779" s="232">
        <v>42979</v>
      </c>
      <c r="CL779" s="233" t="s">
        <v>153</v>
      </c>
      <c r="CM779" s="234" t="s">
        <v>153</v>
      </c>
      <c r="CN779" s="235" t="s">
        <v>190</v>
      </c>
      <c r="CO779" s="236" t="s">
        <v>153</v>
      </c>
      <c r="CP779" s="237" t="s">
        <v>153</v>
      </c>
      <c r="CQ779" s="238" t="s">
        <v>153</v>
      </c>
      <c r="CR779" s="239" t="s">
        <v>153</v>
      </c>
      <c r="CS779" s="240" t="s">
        <v>153</v>
      </c>
      <c r="CT779" s="241" t="s">
        <v>153</v>
      </c>
      <c r="CU779" s="242" t="s">
        <v>153</v>
      </c>
      <c r="CV779" s="243" t="s">
        <v>153</v>
      </c>
      <c r="CW779" s="244" t="s">
        <v>153</v>
      </c>
      <c r="CX779" s="245" t="s">
        <v>153</v>
      </c>
      <c r="CY779" s="246" t="s">
        <v>153</v>
      </c>
      <c r="CZ779" s="247" t="s">
        <v>153</v>
      </c>
      <c r="DA779" s="248" t="s">
        <v>153</v>
      </c>
      <c r="DB779" s="249" t="s">
        <v>153</v>
      </c>
      <c r="DC779" s="250" t="s">
        <v>153</v>
      </c>
      <c r="DD779" s="251" t="s">
        <v>153</v>
      </c>
      <c r="DE779" s="252" t="s">
        <v>153</v>
      </c>
      <c r="DF779" s="253" t="s">
        <v>153</v>
      </c>
      <c r="DG779" s="254" t="s">
        <v>153</v>
      </c>
      <c r="DH779" s="255" t="s">
        <v>153</v>
      </c>
      <c r="DI779" s="256" t="s">
        <v>153</v>
      </c>
      <c r="DJ779" s="257" t="s">
        <v>153</v>
      </c>
      <c r="DK779" s="258" t="s">
        <v>153</v>
      </c>
      <c r="DL779" s="259" t="s">
        <v>153</v>
      </c>
      <c r="DM779" s="260" t="s">
        <v>153</v>
      </c>
      <c r="DN779" s="261" t="s">
        <v>153</v>
      </c>
      <c r="DO779" s="262" t="s">
        <v>153</v>
      </c>
      <c r="DP779" s="263" t="s">
        <v>153</v>
      </c>
      <c r="DQ779" s="264" t="s">
        <v>153</v>
      </c>
      <c r="DR779" s="265" t="s">
        <v>153</v>
      </c>
      <c r="DS779" s="266" t="s">
        <v>153</v>
      </c>
      <c r="DT779" s="267" t="s">
        <v>153</v>
      </c>
      <c r="DU779" s="268" t="s">
        <v>153</v>
      </c>
      <c r="DV779" s="269" t="s">
        <v>153</v>
      </c>
      <c r="DW779" s="270" t="s">
        <v>153</v>
      </c>
      <c r="DX779" s="271" t="s">
        <v>153</v>
      </c>
      <c r="DY779" s="272" t="s">
        <v>153</v>
      </c>
      <c r="DZ779" s="273" t="s">
        <v>191</v>
      </c>
      <c r="EA779" s="274">
        <v>43755</v>
      </c>
      <c r="EB779" s="275">
        <v>6190</v>
      </c>
      <c r="EC779" s="276">
        <v>42979</v>
      </c>
      <c r="ED779" s="277" t="s">
        <v>226</v>
      </c>
      <c r="EE779" s="279" t="str">
        <f>HYPERLINK("https://my.pitchbook.com?c=186632-47", "View company online")</f>
        <v>View company online</v>
      </c>
    </row>
    <row r="780" spans="1:135" x14ac:dyDescent="0.45">
      <c r="A780" s="10" t="s">
        <v>15582</v>
      </c>
      <c r="B780" s="11" t="s">
        <v>14846</v>
      </c>
      <c r="C780" s="12" t="s">
        <v>153</v>
      </c>
      <c r="D780" s="13" t="s">
        <v>153</v>
      </c>
      <c r="E780" s="14" t="s">
        <v>15583</v>
      </c>
      <c r="F780" s="15" t="s">
        <v>153</v>
      </c>
      <c r="G780" s="16" t="s">
        <v>15584</v>
      </c>
      <c r="H780" s="17" t="s">
        <v>15585</v>
      </c>
      <c r="I780" s="18" t="s">
        <v>15582</v>
      </c>
      <c r="J780" s="19" t="s">
        <v>15586</v>
      </c>
      <c r="K780" s="20" t="s">
        <v>157</v>
      </c>
      <c r="L780" s="21" t="s">
        <v>421</v>
      </c>
      <c r="M780" s="22" t="s">
        <v>422</v>
      </c>
      <c r="N780" s="23" t="s">
        <v>15587</v>
      </c>
      <c r="O780" s="24" t="s">
        <v>399</v>
      </c>
      <c r="P780" s="25" t="s">
        <v>15588</v>
      </c>
      <c r="Q780" s="26" t="s">
        <v>204</v>
      </c>
      <c r="R780" s="27">
        <v>12.56</v>
      </c>
      <c r="S780" s="28" t="s">
        <v>290</v>
      </c>
      <c r="T780" s="29" t="s">
        <v>205</v>
      </c>
      <c r="U780" s="30" t="s">
        <v>2534</v>
      </c>
      <c r="V780" s="31" t="s">
        <v>15589</v>
      </c>
      <c r="W780" s="32">
        <v>5800</v>
      </c>
      <c r="X780" s="33" t="s">
        <v>15590</v>
      </c>
      <c r="Y780" s="34" t="s">
        <v>153</v>
      </c>
      <c r="Z780" s="35" t="s">
        <v>153</v>
      </c>
      <c r="AA780" s="36" t="s">
        <v>153</v>
      </c>
      <c r="AB780" s="37" t="s">
        <v>153</v>
      </c>
      <c r="AC780" s="38" t="s">
        <v>153</v>
      </c>
      <c r="AD780" s="39" t="s">
        <v>153</v>
      </c>
      <c r="AE780" s="40" t="s">
        <v>153</v>
      </c>
      <c r="AF780" s="41" t="s">
        <v>153</v>
      </c>
      <c r="AG780" s="42" t="s">
        <v>153</v>
      </c>
      <c r="AH780" s="43" t="s">
        <v>153</v>
      </c>
      <c r="AI780" s="44" t="s">
        <v>153</v>
      </c>
      <c r="AJ780" s="45" t="s">
        <v>153</v>
      </c>
      <c r="AK780" s="46" t="s">
        <v>153</v>
      </c>
      <c r="AL780" s="47" t="s">
        <v>153</v>
      </c>
      <c r="AM780" s="48" t="s">
        <v>153</v>
      </c>
      <c r="AN780" s="49" t="s">
        <v>509</v>
      </c>
      <c r="AO780" s="50" t="s">
        <v>15591</v>
      </c>
      <c r="AP780" s="51" t="s">
        <v>15592</v>
      </c>
      <c r="AQ780" s="52" t="s">
        <v>302</v>
      </c>
      <c r="AR780" s="53" t="s">
        <v>15593</v>
      </c>
      <c r="AS780" s="54" t="s">
        <v>153</v>
      </c>
      <c r="AT780" s="55" t="s">
        <v>780</v>
      </c>
      <c r="AU780" s="56" t="s">
        <v>15594</v>
      </c>
      <c r="AV780" s="57" t="s">
        <v>153</v>
      </c>
      <c r="AW780" s="58" t="s">
        <v>782</v>
      </c>
      <c r="AX780" s="59" t="s">
        <v>783</v>
      </c>
      <c r="AY780" s="60" t="s">
        <v>15595</v>
      </c>
      <c r="AZ780" s="61" t="s">
        <v>215</v>
      </c>
      <c r="BA780" s="62" t="s">
        <v>153</v>
      </c>
      <c r="BB780" s="63" t="s">
        <v>153</v>
      </c>
      <c r="BC780" s="64" t="s">
        <v>153</v>
      </c>
      <c r="BD780" s="65" t="s">
        <v>216</v>
      </c>
      <c r="BE780" s="66" t="s">
        <v>217</v>
      </c>
      <c r="BF780" s="67" t="s">
        <v>15596</v>
      </c>
      <c r="BG780" s="68" t="s">
        <v>153</v>
      </c>
      <c r="BH780" s="69" t="s">
        <v>153</v>
      </c>
      <c r="BI780" s="70" t="s">
        <v>15597</v>
      </c>
      <c r="BJ780" s="71" t="s">
        <v>15598</v>
      </c>
      <c r="BK780" s="72" t="s">
        <v>15599</v>
      </c>
      <c r="BL780" s="73" t="s">
        <v>153</v>
      </c>
      <c r="BM780" s="74" t="s">
        <v>15600</v>
      </c>
      <c r="BN780" s="75" t="s">
        <v>15601</v>
      </c>
      <c r="BO780" s="76" t="s">
        <v>15602</v>
      </c>
      <c r="BP780" s="77" t="s">
        <v>15603</v>
      </c>
      <c r="BQ780" s="78">
        <v>30317</v>
      </c>
      <c r="BR780" s="79" t="s">
        <v>153</v>
      </c>
      <c r="BS780" s="80" t="s">
        <v>153</v>
      </c>
      <c r="BT780" s="81" t="s">
        <v>153</v>
      </c>
      <c r="BU780" s="82" t="s">
        <v>153</v>
      </c>
      <c r="BV780" s="83" t="s">
        <v>251</v>
      </c>
      <c r="BW780" s="84" t="s">
        <v>153</v>
      </c>
      <c r="BX780" s="85" t="s">
        <v>153</v>
      </c>
      <c r="BY780" s="86" t="s">
        <v>252</v>
      </c>
      <c r="BZ780" s="87" t="s">
        <v>153</v>
      </c>
      <c r="CA780" s="88" t="s">
        <v>190</v>
      </c>
      <c r="CB780" s="89">
        <v>43727</v>
      </c>
      <c r="CC780" s="90">
        <v>6179.3</v>
      </c>
      <c r="CD780" s="91" t="s">
        <v>186</v>
      </c>
      <c r="CE780" s="92">
        <v>6179.3</v>
      </c>
      <c r="CF780" s="93" t="s">
        <v>187</v>
      </c>
      <c r="CG780" s="94" t="s">
        <v>226</v>
      </c>
      <c r="CH780" s="95" t="s">
        <v>153</v>
      </c>
      <c r="CI780" s="96" t="s">
        <v>153</v>
      </c>
      <c r="CJ780" s="97" t="s">
        <v>225</v>
      </c>
      <c r="CK780" s="98">
        <v>43727</v>
      </c>
      <c r="CL780" s="99" t="s">
        <v>153</v>
      </c>
      <c r="CM780" s="100" t="s">
        <v>153</v>
      </c>
      <c r="CN780" s="101" t="s">
        <v>190</v>
      </c>
      <c r="CO780" s="102" t="s">
        <v>153</v>
      </c>
      <c r="CP780" s="103" t="s">
        <v>153</v>
      </c>
      <c r="CQ780" s="104" t="s">
        <v>153</v>
      </c>
      <c r="CR780" s="105" t="s">
        <v>153</v>
      </c>
      <c r="CS780" s="106" t="s">
        <v>153</v>
      </c>
      <c r="CT780" s="107" t="s">
        <v>153</v>
      </c>
      <c r="CU780" s="108" t="s">
        <v>153</v>
      </c>
      <c r="CV780" s="109" t="s">
        <v>153</v>
      </c>
      <c r="CW780" s="110" t="s">
        <v>153</v>
      </c>
      <c r="CX780" s="111" t="s">
        <v>153</v>
      </c>
      <c r="CY780" s="112" t="s">
        <v>153</v>
      </c>
      <c r="CZ780" s="113" t="s">
        <v>153</v>
      </c>
      <c r="DA780" s="114" t="s">
        <v>153</v>
      </c>
      <c r="DB780" s="115" t="s">
        <v>153</v>
      </c>
      <c r="DC780" s="116" t="s">
        <v>153</v>
      </c>
      <c r="DD780" s="117" t="s">
        <v>153</v>
      </c>
      <c r="DE780" s="118" t="s">
        <v>153</v>
      </c>
      <c r="DF780" s="119" t="s">
        <v>153</v>
      </c>
      <c r="DG780" s="120" t="s">
        <v>153</v>
      </c>
      <c r="DH780" s="121" t="s">
        <v>153</v>
      </c>
      <c r="DI780" s="122" t="s">
        <v>153</v>
      </c>
      <c r="DJ780" s="123" t="s">
        <v>153</v>
      </c>
      <c r="DK780" s="124" t="s">
        <v>153</v>
      </c>
      <c r="DL780" s="125" t="s">
        <v>153</v>
      </c>
      <c r="DM780" s="126" t="s">
        <v>153</v>
      </c>
      <c r="DN780" s="127" t="s">
        <v>153</v>
      </c>
      <c r="DO780" s="128" t="s">
        <v>153</v>
      </c>
      <c r="DP780" s="129" t="s">
        <v>153</v>
      </c>
      <c r="DQ780" s="130" t="s">
        <v>153</v>
      </c>
      <c r="DR780" s="131" t="s">
        <v>153</v>
      </c>
      <c r="DS780" s="132" t="s">
        <v>153</v>
      </c>
      <c r="DT780" s="133" t="s">
        <v>153</v>
      </c>
      <c r="DU780" s="134" t="s">
        <v>153</v>
      </c>
      <c r="DV780" s="135" t="s">
        <v>153</v>
      </c>
      <c r="DW780" s="136" t="s">
        <v>153</v>
      </c>
      <c r="DX780" s="137" t="s">
        <v>153</v>
      </c>
      <c r="DY780" s="138" t="s">
        <v>153</v>
      </c>
      <c r="DZ780" s="139" t="s">
        <v>191</v>
      </c>
      <c r="EA780" s="140">
        <v>44356</v>
      </c>
      <c r="EB780" s="141">
        <v>6179.3</v>
      </c>
      <c r="EC780" s="142">
        <v>43727</v>
      </c>
      <c r="ED780" s="143" t="s">
        <v>226</v>
      </c>
      <c r="EE780" s="278" t="str">
        <f>HYPERLINK("https://my.pitchbook.com?c=10825-75", "View company online")</f>
        <v>View company online</v>
      </c>
    </row>
    <row r="781" spans="1:135" x14ac:dyDescent="0.45">
      <c r="A781" s="144" t="s">
        <v>15604</v>
      </c>
      <c r="B781" s="145" t="s">
        <v>15605</v>
      </c>
      <c r="C781" s="146" t="s">
        <v>153</v>
      </c>
      <c r="D781" s="147" t="s">
        <v>153</v>
      </c>
      <c r="E781" s="148" t="s">
        <v>153</v>
      </c>
      <c r="F781" s="149" t="s">
        <v>15606</v>
      </c>
      <c r="G781" s="150" t="s">
        <v>15607</v>
      </c>
      <c r="H781" s="151" t="s">
        <v>15608</v>
      </c>
      <c r="I781" s="152" t="s">
        <v>15604</v>
      </c>
      <c r="J781" s="153" t="s">
        <v>15609</v>
      </c>
      <c r="K781" s="154" t="s">
        <v>198</v>
      </c>
      <c r="L781" s="155" t="s">
        <v>984</v>
      </c>
      <c r="M781" s="156" t="s">
        <v>985</v>
      </c>
      <c r="N781" s="157" t="s">
        <v>15610</v>
      </c>
      <c r="O781" s="158" t="s">
        <v>15611</v>
      </c>
      <c r="P781" s="159" t="s">
        <v>15612</v>
      </c>
      <c r="Q781" s="160" t="s">
        <v>289</v>
      </c>
      <c r="R781" s="161">
        <v>10519.8</v>
      </c>
      <c r="S781" s="162" t="s">
        <v>368</v>
      </c>
      <c r="T781" s="163" t="s">
        <v>291</v>
      </c>
      <c r="U781" s="164" t="s">
        <v>941</v>
      </c>
      <c r="V781" s="165" t="s">
        <v>15613</v>
      </c>
      <c r="W781" s="166">
        <v>21499</v>
      </c>
      <c r="X781" s="167" t="s">
        <v>15614</v>
      </c>
      <c r="Y781" s="168" t="s">
        <v>1674</v>
      </c>
      <c r="Z781" s="169" t="s">
        <v>15615</v>
      </c>
      <c r="AA781" s="170">
        <v>2011</v>
      </c>
      <c r="AB781" s="171" t="s">
        <v>153</v>
      </c>
      <c r="AC781" s="172" t="s">
        <v>428</v>
      </c>
      <c r="AD781" s="173" t="s">
        <v>570</v>
      </c>
      <c r="AE781" s="174">
        <v>8507.66</v>
      </c>
      <c r="AF781" s="175">
        <v>3447.1</v>
      </c>
      <c r="AG781" s="176">
        <v>-16882.59</v>
      </c>
      <c r="AH781" s="177" t="s">
        <v>153</v>
      </c>
      <c r="AI781" s="178">
        <v>-16258.38</v>
      </c>
      <c r="AJ781" s="179">
        <v>-16962.28</v>
      </c>
      <c r="AK781" s="180">
        <v>69323.38</v>
      </c>
      <c r="AL781" s="181">
        <v>-3230.17</v>
      </c>
      <c r="AM781" s="182">
        <v>50.24</v>
      </c>
      <c r="AN781" s="183" t="s">
        <v>168</v>
      </c>
      <c r="AO781" s="184" t="s">
        <v>15616</v>
      </c>
      <c r="AP781" s="185" t="s">
        <v>15617</v>
      </c>
      <c r="AQ781" s="186" t="s">
        <v>15618</v>
      </c>
      <c r="AR781" s="187" t="s">
        <v>15619</v>
      </c>
      <c r="AS781" s="188" t="s">
        <v>15620</v>
      </c>
      <c r="AT781" s="189" t="s">
        <v>3972</v>
      </c>
      <c r="AU781" s="190" t="s">
        <v>15621</v>
      </c>
      <c r="AV781" s="191" t="s">
        <v>15622</v>
      </c>
      <c r="AW781" s="192" t="s">
        <v>3974</v>
      </c>
      <c r="AX781" s="193" t="s">
        <v>153</v>
      </c>
      <c r="AY781" s="194" t="s">
        <v>153</v>
      </c>
      <c r="AZ781" s="195" t="s">
        <v>1519</v>
      </c>
      <c r="BA781" s="196" t="s">
        <v>15620</v>
      </c>
      <c r="BB781" s="197" t="s">
        <v>153</v>
      </c>
      <c r="BC781" s="198" t="s">
        <v>15623</v>
      </c>
      <c r="BD781" s="199" t="s">
        <v>1406</v>
      </c>
      <c r="BE781" s="200" t="s">
        <v>1407</v>
      </c>
      <c r="BF781" s="201" t="s">
        <v>15624</v>
      </c>
      <c r="BG781" s="202" t="s">
        <v>153</v>
      </c>
      <c r="BH781" s="203" t="s">
        <v>153</v>
      </c>
      <c r="BI781" s="204" t="s">
        <v>153</v>
      </c>
      <c r="BJ781" s="205" t="s">
        <v>15625</v>
      </c>
      <c r="BK781" s="206" t="s">
        <v>7200</v>
      </c>
      <c r="BL781" s="207" t="s">
        <v>153</v>
      </c>
      <c r="BM781" s="208" t="s">
        <v>15626</v>
      </c>
      <c r="BN781" s="209" t="s">
        <v>7203</v>
      </c>
      <c r="BO781" s="210" t="s">
        <v>153</v>
      </c>
      <c r="BP781" s="211" t="s">
        <v>15627</v>
      </c>
      <c r="BQ781" s="212">
        <v>41016</v>
      </c>
      <c r="BR781" s="213">
        <v>0.3</v>
      </c>
      <c r="BS781" s="214" t="s">
        <v>186</v>
      </c>
      <c r="BT781" s="215" t="s">
        <v>153</v>
      </c>
      <c r="BU781" s="216" t="s">
        <v>153</v>
      </c>
      <c r="BV781" s="217" t="s">
        <v>471</v>
      </c>
      <c r="BW781" s="218" t="s">
        <v>153</v>
      </c>
      <c r="BX781" s="219" t="s">
        <v>153</v>
      </c>
      <c r="BY781" s="220" t="s">
        <v>472</v>
      </c>
      <c r="BZ781" s="221" t="s">
        <v>153</v>
      </c>
      <c r="CA781" s="222" t="s">
        <v>190</v>
      </c>
      <c r="CB781" s="223">
        <v>44232</v>
      </c>
      <c r="CC781" s="224">
        <v>6169.5</v>
      </c>
      <c r="CD781" s="225" t="s">
        <v>186</v>
      </c>
      <c r="CE781" s="226">
        <v>61685.69</v>
      </c>
      <c r="CF781" s="227" t="s">
        <v>187</v>
      </c>
      <c r="CG781" s="228" t="s">
        <v>251</v>
      </c>
      <c r="CH781" s="229" t="s">
        <v>153</v>
      </c>
      <c r="CI781" s="230" t="s">
        <v>153</v>
      </c>
      <c r="CJ781" s="231" t="s">
        <v>252</v>
      </c>
      <c r="CK781" s="232">
        <v>44232</v>
      </c>
      <c r="CL781" s="233" t="s">
        <v>153</v>
      </c>
      <c r="CM781" s="234" t="s">
        <v>153</v>
      </c>
      <c r="CN781" s="235" t="s">
        <v>190</v>
      </c>
      <c r="CO781" s="236">
        <v>3.67</v>
      </c>
      <c r="CP781" s="237">
        <v>100</v>
      </c>
      <c r="CQ781" s="238">
        <v>0.02</v>
      </c>
      <c r="CR781" s="239">
        <v>0.64</v>
      </c>
      <c r="CS781" s="240">
        <v>10.7</v>
      </c>
      <c r="CT781" s="241">
        <v>100</v>
      </c>
      <c r="CU781" s="242">
        <v>0</v>
      </c>
      <c r="CV781" s="243">
        <v>41</v>
      </c>
      <c r="CW781" s="244">
        <v>10.7</v>
      </c>
      <c r="CX781" s="245">
        <v>99</v>
      </c>
      <c r="CY781" s="246" t="s">
        <v>153</v>
      </c>
      <c r="CZ781" s="247" t="s">
        <v>153</v>
      </c>
      <c r="DA781" s="248">
        <v>0</v>
      </c>
      <c r="DB781" s="249">
        <v>41</v>
      </c>
      <c r="DC781" s="250">
        <v>514.34</v>
      </c>
      <c r="DD781" s="251">
        <v>100</v>
      </c>
      <c r="DE781" s="252">
        <v>0.52</v>
      </c>
      <c r="DF781" s="253">
        <v>0.1</v>
      </c>
      <c r="DG781" s="254">
        <v>942.94</v>
      </c>
      <c r="DH781" s="255">
        <v>100</v>
      </c>
      <c r="DI781" s="256">
        <v>0.59</v>
      </c>
      <c r="DJ781" s="257">
        <v>41</v>
      </c>
      <c r="DK781" s="258">
        <v>942.94</v>
      </c>
      <c r="DL781" s="259">
        <v>100</v>
      </c>
      <c r="DM781" s="260" t="s">
        <v>153</v>
      </c>
      <c r="DN781" s="261" t="s">
        <v>153</v>
      </c>
      <c r="DO781" s="262">
        <v>0.59</v>
      </c>
      <c r="DP781" s="263">
        <v>41</v>
      </c>
      <c r="DQ781" s="264">
        <v>543437</v>
      </c>
      <c r="DR781" s="265">
        <v>57664</v>
      </c>
      <c r="DS781" s="266">
        <v>11.87</v>
      </c>
      <c r="DT781" s="267" t="s">
        <v>153</v>
      </c>
      <c r="DU781" s="268" t="s">
        <v>153</v>
      </c>
      <c r="DV781" s="269" t="s">
        <v>153</v>
      </c>
      <c r="DW781" s="270">
        <v>186</v>
      </c>
      <c r="DX781" s="271">
        <v>0</v>
      </c>
      <c r="DY781" s="272">
        <v>0</v>
      </c>
      <c r="DZ781" s="273" t="s">
        <v>191</v>
      </c>
      <c r="EA781" s="274">
        <v>44396</v>
      </c>
      <c r="EB781" s="275">
        <v>61685.69</v>
      </c>
      <c r="EC781" s="276">
        <v>44232</v>
      </c>
      <c r="ED781" s="277" t="s">
        <v>251</v>
      </c>
      <c r="EE781" s="279" t="str">
        <f>HYPERLINK("https://my.pitchbook.com?c=97131-16", "View company online")</f>
        <v>View company online</v>
      </c>
    </row>
    <row r="782" spans="1:135" x14ac:dyDescent="0.45">
      <c r="A782" s="10" t="s">
        <v>15628</v>
      </c>
      <c r="B782" s="11" t="s">
        <v>15629</v>
      </c>
      <c r="C782" s="12" t="s">
        <v>153</v>
      </c>
      <c r="D782" s="13" t="s">
        <v>153</v>
      </c>
      <c r="E782" s="14" t="s">
        <v>15630</v>
      </c>
      <c r="F782" s="15" t="s">
        <v>153</v>
      </c>
      <c r="G782" s="16" t="s">
        <v>15631</v>
      </c>
      <c r="H782" s="17" t="s">
        <v>15632</v>
      </c>
      <c r="I782" s="18" t="s">
        <v>15628</v>
      </c>
      <c r="J782" s="19" t="s">
        <v>15633</v>
      </c>
      <c r="K782" s="20" t="s">
        <v>198</v>
      </c>
      <c r="L782" s="21" t="s">
        <v>1589</v>
      </c>
      <c r="M782" s="22" t="s">
        <v>2022</v>
      </c>
      <c r="N782" s="23" t="s">
        <v>15634</v>
      </c>
      <c r="O782" s="24" t="s">
        <v>8524</v>
      </c>
      <c r="P782" s="25" t="s">
        <v>15635</v>
      </c>
      <c r="Q782" s="26" t="s">
        <v>289</v>
      </c>
      <c r="R782" s="27">
        <v>165.87</v>
      </c>
      <c r="S782" s="28" t="s">
        <v>290</v>
      </c>
      <c r="T782" s="29" t="s">
        <v>205</v>
      </c>
      <c r="U782" s="30" t="s">
        <v>941</v>
      </c>
      <c r="V782" s="31" t="s">
        <v>15636</v>
      </c>
      <c r="W782" s="32">
        <v>1895</v>
      </c>
      <c r="X782" s="33" t="s">
        <v>15637</v>
      </c>
      <c r="Y782" s="34" t="s">
        <v>153</v>
      </c>
      <c r="Z782" s="35" t="s">
        <v>153</v>
      </c>
      <c r="AA782" s="36">
        <v>2000</v>
      </c>
      <c r="AB782" s="37" t="s">
        <v>153</v>
      </c>
      <c r="AC782" s="38" t="s">
        <v>153</v>
      </c>
      <c r="AD782" s="39" t="s">
        <v>153</v>
      </c>
      <c r="AE782" s="40" t="s">
        <v>153</v>
      </c>
      <c r="AF782" s="41" t="s">
        <v>153</v>
      </c>
      <c r="AG782" s="42" t="s">
        <v>153</v>
      </c>
      <c r="AH782" s="43" t="s">
        <v>153</v>
      </c>
      <c r="AI782" s="44" t="s">
        <v>153</v>
      </c>
      <c r="AJ782" s="45" t="s">
        <v>153</v>
      </c>
      <c r="AK782" s="46" t="s">
        <v>153</v>
      </c>
      <c r="AL782" s="47" t="s">
        <v>153</v>
      </c>
      <c r="AM782" s="48" t="s">
        <v>153</v>
      </c>
      <c r="AN782" s="49" t="s">
        <v>1323</v>
      </c>
      <c r="AO782" s="50" t="s">
        <v>15638</v>
      </c>
      <c r="AP782" s="51" t="s">
        <v>15639</v>
      </c>
      <c r="AQ782" s="52" t="s">
        <v>15640</v>
      </c>
      <c r="AR782" s="53" t="s">
        <v>15641</v>
      </c>
      <c r="AS782" s="54" t="s">
        <v>153</v>
      </c>
      <c r="AT782" s="55" t="s">
        <v>1379</v>
      </c>
      <c r="AU782" s="56" t="s">
        <v>10276</v>
      </c>
      <c r="AV782" s="57" t="s">
        <v>153</v>
      </c>
      <c r="AW782" s="58" t="s">
        <v>1380</v>
      </c>
      <c r="AX782" s="59" t="s">
        <v>308</v>
      </c>
      <c r="AY782" s="60" t="s">
        <v>4229</v>
      </c>
      <c r="AZ782" s="61" t="s">
        <v>215</v>
      </c>
      <c r="BA782" s="62" t="s">
        <v>153</v>
      </c>
      <c r="BB782" s="63" t="s">
        <v>153</v>
      </c>
      <c r="BC782" s="64" t="s">
        <v>153</v>
      </c>
      <c r="BD782" s="65" t="s">
        <v>216</v>
      </c>
      <c r="BE782" s="66" t="s">
        <v>217</v>
      </c>
      <c r="BF782" s="67" t="s">
        <v>15642</v>
      </c>
      <c r="BG782" s="68" t="s">
        <v>153</v>
      </c>
      <c r="BH782" s="69" t="s">
        <v>153</v>
      </c>
      <c r="BI782" s="70" t="s">
        <v>8628</v>
      </c>
      <c r="BJ782" s="71" t="s">
        <v>15643</v>
      </c>
      <c r="BK782" s="72" t="s">
        <v>153</v>
      </c>
      <c r="BL782" s="73" t="s">
        <v>153</v>
      </c>
      <c r="BM782" s="74" t="s">
        <v>15644</v>
      </c>
      <c r="BN782" s="75" t="s">
        <v>153</v>
      </c>
      <c r="BO782" s="76" t="s">
        <v>15645</v>
      </c>
      <c r="BP782" s="77" t="s">
        <v>15646</v>
      </c>
      <c r="BQ782" s="78" t="s">
        <v>153</v>
      </c>
      <c r="BR782" s="79" t="s">
        <v>153</v>
      </c>
      <c r="BS782" s="80" t="s">
        <v>153</v>
      </c>
      <c r="BT782" s="81" t="s">
        <v>153</v>
      </c>
      <c r="BU782" s="82" t="s">
        <v>153</v>
      </c>
      <c r="BV782" s="83" t="s">
        <v>471</v>
      </c>
      <c r="BW782" s="84" t="s">
        <v>153</v>
      </c>
      <c r="BX782" s="85" t="s">
        <v>153</v>
      </c>
      <c r="BY782" s="86" t="s">
        <v>472</v>
      </c>
      <c r="BZ782" s="87" t="s">
        <v>153</v>
      </c>
      <c r="CA782" s="88" t="s">
        <v>190</v>
      </c>
      <c r="CB782" s="89">
        <v>43287</v>
      </c>
      <c r="CC782" s="90">
        <v>6161.79</v>
      </c>
      <c r="CD782" s="91" t="s">
        <v>186</v>
      </c>
      <c r="CE782" s="92">
        <v>6161.79</v>
      </c>
      <c r="CF782" s="93" t="s">
        <v>187</v>
      </c>
      <c r="CG782" s="94" t="s">
        <v>226</v>
      </c>
      <c r="CH782" s="95" t="s">
        <v>153</v>
      </c>
      <c r="CI782" s="96" t="s">
        <v>153</v>
      </c>
      <c r="CJ782" s="97" t="s">
        <v>225</v>
      </c>
      <c r="CK782" s="98">
        <v>43287</v>
      </c>
      <c r="CL782" s="99" t="s">
        <v>153</v>
      </c>
      <c r="CM782" s="100" t="s">
        <v>153</v>
      </c>
      <c r="CN782" s="101" t="s">
        <v>190</v>
      </c>
      <c r="CO782" s="102" t="s">
        <v>153</v>
      </c>
      <c r="CP782" s="103" t="s">
        <v>153</v>
      </c>
      <c r="CQ782" s="104" t="s">
        <v>153</v>
      </c>
      <c r="CR782" s="105" t="s">
        <v>153</v>
      </c>
      <c r="CS782" s="106" t="s">
        <v>153</v>
      </c>
      <c r="CT782" s="107" t="s">
        <v>153</v>
      </c>
      <c r="CU782" s="108" t="s">
        <v>153</v>
      </c>
      <c r="CV782" s="109" t="s">
        <v>153</v>
      </c>
      <c r="CW782" s="110" t="s">
        <v>153</v>
      </c>
      <c r="CX782" s="111" t="s">
        <v>153</v>
      </c>
      <c r="CY782" s="112" t="s">
        <v>153</v>
      </c>
      <c r="CZ782" s="113" t="s">
        <v>153</v>
      </c>
      <c r="DA782" s="114" t="s">
        <v>153</v>
      </c>
      <c r="DB782" s="115" t="s">
        <v>153</v>
      </c>
      <c r="DC782" s="116" t="s">
        <v>153</v>
      </c>
      <c r="DD782" s="117" t="s">
        <v>153</v>
      </c>
      <c r="DE782" s="118" t="s">
        <v>153</v>
      </c>
      <c r="DF782" s="119" t="s">
        <v>153</v>
      </c>
      <c r="DG782" s="120" t="s">
        <v>153</v>
      </c>
      <c r="DH782" s="121" t="s">
        <v>153</v>
      </c>
      <c r="DI782" s="122" t="s">
        <v>153</v>
      </c>
      <c r="DJ782" s="123" t="s">
        <v>153</v>
      </c>
      <c r="DK782" s="124" t="s">
        <v>153</v>
      </c>
      <c r="DL782" s="125" t="s">
        <v>153</v>
      </c>
      <c r="DM782" s="126" t="s">
        <v>153</v>
      </c>
      <c r="DN782" s="127" t="s">
        <v>153</v>
      </c>
      <c r="DO782" s="128" t="s">
        <v>153</v>
      </c>
      <c r="DP782" s="129" t="s">
        <v>153</v>
      </c>
      <c r="DQ782" s="130" t="s">
        <v>153</v>
      </c>
      <c r="DR782" s="131" t="s">
        <v>153</v>
      </c>
      <c r="DS782" s="132" t="s">
        <v>153</v>
      </c>
      <c r="DT782" s="133" t="s">
        <v>153</v>
      </c>
      <c r="DU782" s="134" t="s">
        <v>153</v>
      </c>
      <c r="DV782" s="135" t="s">
        <v>153</v>
      </c>
      <c r="DW782" s="136" t="s">
        <v>153</v>
      </c>
      <c r="DX782" s="137" t="s">
        <v>153</v>
      </c>
      <c r="DY782" s="138" t="s">
        <v>153</v>
      </c>
      <c r="DZ782" s="139" t="s">
        <v>191</v>
      </c>
      <c r="EA782" s="140">
        <v>44330</v>
      </c>
      <c r="EB782" s="141">
        <v>6161.79</v>
      </c>
      <c r="EC782" s="142">
        <v>43287</v>
      </c>
      <c r="ED782" s="143" t="s">
        <v>226</v>
      </c>
      <c r="EE782" s="278" t="str">
        <f>HYPERLINK("https://my.pitchbook.com?c=42016-69", "View company online")</f>
        <v>View company online</v>
      </c>
    </row>
    <row r="783" spans="1:135" x14ac:dyDescent="0.45">
      <c r="A783" s="144" t="s">
        <v>15647</v>
      </c>
      <c r="B783" s="145" t="s">
        <v>15648</v>
      </c>
      <c r="C783" s="146" t="s">
        <v>153</v>
      </c>
      <c r="D783" s="147" t="s">
        <v>153</v>
      </c>
      <c r="E783" s="148" t="s">
        <v>153</v>
      </c>
      <c r="F783" s="149" t="s">
        <v>153</v>
      </c>
      <c r="G783" s="150" t="s">
        <v>153</v>
      </c>
      <c r="H783" s="151" t="s">
        <v>153</v>
      </c>
      <c r="I783" s="152" t="s">
        <v>15647</v>
      </c>
      <c r="J783" s="153" t="s">
        <v>15649</v>
      </c>
      <c r="K783" s="154" t="s">
        <v>882</v>
      </c>
      <c r="L783" s="155" t="s">
        <v>2888</v>
      </c>
      <c r="M783" s="156" t="s">
        <v>2889</v>
      </c>
      <c r="N783" s="157" t="s">
        <v>2890</v>
      </c>
      <c r="O783" s="158" t="s">
        <v>153</v>
      </c>
      <c r="P783" s="159" t="s">
        <v>15650</v>
      </c>
      <c r="Q783" s="160" t="s">
        <v>162</v>
      </c>
      <c r="R783" s="161" t="s">
        <v>153</v>
      </c>
      <c r="S783" s="162" t="s">
        <v>163</v>
      </c>
      <c r="T783" s="163" t="s">
        <v>1392</v>
      </c>
      <c r="U783" s="164" t="s">
        <v>165</v>
      </c>
      <c r="V783" s="165" t="s">
        <v>153</v>
      </c>
      <c r="W783" s="166" t="s">
        <v>153</v>
      </c>
      <c r="X783" s="167" t="s">
        <v>153</v>
      </c>
      <c r="Y783" s="168" t="s">
        <v>153</v>
      </c>
      <c r="Z783" s="169" t="s">
        <v>153</v>
      </c>
      <c r="AA783" s="170" t="s">
        <v>153</v>
      </c>
      <c r="AB783" s="171" t="s">
        <v>153</v>
      </c>
      <c r="AC783" s="172" t="s">
        <v>153</v>
      </c>
      <c r="AD783" s="173" t="s">
        <v>153</v>
      </c>
      <c r="AE783" s="174" t="s">
        <v>153</v>
      </c>
      <c r="AF783" s="175" t="s">
        <v>153</v>
      </c>
      <c r="AG783" s="176" t="s">
        <v>153</v>
      </c>
      <c r="AH783" s="177" t="s">
        <v>153</v>
      </c>
      <c r="AI783" s="178" t="s">
        <v>153</v>
      </c>
      <c r="AJ783" s="179" t="s">
        <v>153</v>
      </c>
      <c r="AK783" s="180" t="s">
        <v>153</v>
      </c>
      <c r="AL783" s="181" t="s">
        <v>153</v>
      </c>
      <c r="AM783" s="182" t="s">
        <v>153</v>
      </c>
      <c r="AN783" s="183" t="s">
        <v>153</v>
      </c>
      <c r="AO783" s="184" t="s">
        <v>153</v>
      </c>
      <c r="AP783" s="185" t="s">
        <v>153</v>
      </c>
      <c r="AQ783" s="186" t="s">
        <v>153</v>
      </c>
      <c r="AR783" s="187" t="s">
        <v>153</v>
      </c>
      <c r="AS783" s="188" t="s">
        <v>153</v>
      </c>
      <c r="AT783" s="189" t="s">
        <v>2121</v>
      </c>
      <c r="AU783" s="190" t="s">
        <v>153</v>
      </c>
      <c r="AV783" s="191" t="s">
        <v>153</v>
      </c>
      <c r="AW783" s="192" t="s">
        <v>153</v>
      </c>
      <c r="AX783" s="193" t="s">
        <v>153</v>
      </c>
      <c r="AY783" s="194" t="s">
        <v>153</v>
      </c>
      <c r="AZ783" s="195" t="s">
        <v>2121</v>
      </c>
      <c r="BA783" s="196" t="s">
        <v>153</v>
      </c>
      <c r="BB783" s="197" t="s">
        <v>153</v>
      </c>
      <c r="BC783" s="198" t="s">
        <v>153</v>
      </c>
      <c r="BD783" s="199" t="s">
        <v>180</v>
      </c>
      <c r="BE783" s="200" t="s">
        <v>684</v>
      </c>
      <c r="BF783" s="201" t="s">
        <v>15651</v>
      </c>
      <c r="BG783" s="202" t="s">
        <v>15652</v>
      </c>
      <c r="BH783" s="203">
        <v>2</v>
      </c>
      <c r="BI783" s="204" t="s">
        <v>153</v>
      </c>
      <c r="BJ783" s="205" t="s">
        <v>153</v>
      </c>
      <c r="BK783" s="206" t="s">
        <v>15653</v>
      </c>
      <c r="BL783" s="207" t="s">
        <v>15654</v>
      </c>
      <c r="BM783" s="208" t="s">
        <v>153</v>
      </c>
      <c r="BN783" s="209" t="s">
        <v>15655</v>
      </c>
      <c r="BO783" s="210" t="s">
        <v>153</v>
      </c>
      <c r="BP783" s="211" t="s">
        <v>153</v>
      </c>
      <c r="BQ783" s="212">
        <v>43182</v>
      </c>
      <c r="BR783" s="213">
        <v>6156.85</v>
      </c>
      <c r="BS783" s="214" t="s">
        <v>186</v>
      </c>
      <c r="BT783" s="215">
        <v>12559.97</v>
      </c>
      <c r="BU783" s="216" t="s">
        <v>187</v>
      </c>
      <c r="BV783" s="217" t="s">
        <v>188</v>
      </c>
      <c r="BW783" s="218" t="s">
        <v>1525</v>
      </c>
      <c r="BX783" s="219" t="s">
        <v>153</v>
      </c>
      <c r="BY783" s="220" t="s">
        <v>165</v>
      </c>
      <c r="BZ783" s="221" t="s">
        <v>153</v>
      </c>
      <c r="CA783" s="222" t="s">
        <v>190</v>
      </c>
      <c r="CB783" s="223">
        <v>43182</v>
      </c>
      <c r="CC783" s="224">
        <v>6156.85</v>
      </c>
      <c r="CD783" s="225" t="s">
        <v>186</v>
      </c>
      <c r="CE783" s="226">
        <v>12559.97</v>
      </c>
      <c r="CF783" s="227" t="s">
        <v>187</v>
      </c>
      <c r="CG783" s="228" t="s">
        <v>188</v>
      </c>
      <c r="CH783" s="229" t="s">
        <v>1525</v>
      </c>
      <c r="CI783" s="230" t="s">
        <v>153</v>
      </c>
      <c r="CJ783" s="231" t="s">
        <v>165</v>
      </c>
      <c r="CK783" s="232">
        <v>43182</v>
      </c>
      <c r="CL783" s="233" t="s">
        <v>153</v>
      </c>
      <c r="CM783" s="234" t="s">
        <v>153</v>
      </c>
      <c r="CN783" s="235" t="s">
        <v>190</v>
      </c>
      <c r="CO783" s="236" t="s">
        <v>153</v>
      </c>
      <c r="CP783" s="237" t="s">
        <v>153</v>
      </c>
      <c r="CQ783" s="238" t="s">
        <v>153</v>
      </c>
      <c r="CR783" s="239" t="s">
        <v>153</v>
      </c>
      <c r="CS783" s="240" t="s">
        <v>153</v>
      </c>
      <c r="CT783" s="241" t="s">
        <v>153</v>
      </c>
      <c r="CU783" s="242" t="s">
        <v>153</v>
      </c>
      <c r="CV783" s="243" t="s">
        <v>153</v>
      </c>
      <c r="CW783" s="244" t="s">
        <v>153</v>
      </c>
      <c r="CX783" s="245" t="s">
        <v>153</v>
      </c>
      <c r="CY783" s="246" t="s">
        <v>153</v>
      </c>
      <c r="CZ783" s="247" t="s">
        <v>153</v>
      </c>
      <c r="DA783" s="248" t="s">
        <v>153</v>
      </c>
      <c r="DB783" s="249" t="s">
        <v>153</v>
      </c>
      <c r="DC783" s="250" t="s">
        <v>153</v>
      </c>
      <c r="DD783" s="251" t="s">
        <v>153</v>
      </c>
      <c r="DE783" s="252" t="s">
        <v>153</v>
      </c>
      <c r="DF783" s="253" t="s">
        <v>153</v>
      </c>
      <c r="DG783" s="254" t="s">
        <v>153</v>
      </c>
      <c r="DH783" s="255" t="s">
        <v>153</v>
      </c>
      <c r="DI783" s="256" t="s">
        <v>153</v>
      </c>
      <c r="DJ783" s="257" t="s">
        <v>153</v>
      </c>
      <c r="DK783" s="258" t="s">
        <v>153</v>
      </c>
      <c r="DL783" s="259" t="s">
        <v>153</v>
      </c>
      <c r="DM783" s="260" t="s">
        <v>153</v>
      </c>
      <c r="DN783" s="261" t="s">
        <v>153</v>
      </c>
      <c r="DO783" s="262" t="s">
        <v>153</v>
      </c>
      <c r="DP783" s="263" t="s">
        <v>153</v>
      </c>
      <c r="DQ783" s="264" t="s">
        <v>153</v>
      </c>
      <c r="DR783" s="265" t="s">
        <v>153</v>
      </c>
      <c r="DS783" s="266" t="s">
        <v>153</v>
      </c>
      <c r="DT783" s="267" t="s">
        <v>153</v>
      </c>
      <c r="DU783" s="268" t="s">
        <v>153</v>
      </c>
      <c r="DV783" s="269" t="s">
        <v>153</v>
      </c>
      <c r="DW783" s="270" t="s">
        <v>153</v>
      </c>
      <c r="DX783" s="271" t="s">
        <v>153</v>
      </c>
      <c r="DY783" s="272" t="s">
        <v>153</v>
      </c>
      <c r="DZ783" s="273" t="s">
        <v>191</v>
      </c>
      <c r="EA783" s="274">
        <v>44000</v>
      </c>
      <c r="EB783" s="275">
        <v>12559.97</v>
      </c>
      <c r="EC783" s="276">
        <v>43182</v>
      </c>
      <c r="ED783" s="277" t="s">
        <v>188</v>
      </c>
      <c r="EE783" s="279" t="str">
        <f>HYPERLINK("https://my.pitchbook.com?c=179180-02", "View company online")</f>
        <v>View company online</v>
      </c>
    </row>
    <row r="784" spans="1:135" x14ac:dyDescent="0.45">
      <c r="A784" s="10" t="s">
        <v>15656</v>
      </c>
      <c r="B784" s="11" t="s">
        <v>15657</v>
      </c>
      <c r="C784" s="12" t="s">
        <v>153</v>
      </c>
      <c r="D784" s="13" t="s">
        <v>153</v>
      </c>
      <c r="E784" s="14" t="s">
        <v>15658</v>
      </c>
      <c r="F784" s="15" t="s">
        <v>15659</v>
      </c>
      <c r="G784" s="16" t="s">
        <v>15660</v>
      </c>
      <c r="H784" s="17" t="s">
        <v>15661</v>
      </c>
      <c r="I784" s="18" t="s">
        <v>15656</v>
      </c>
      <c r="J784" s="19" t="s">
        <v>15662</v>
      </c>
      <c r="K784" s="20" t="s">
        <v>792</v>
      </c>
      <c r="L784" s="21" t="s">
        <v>793</v>
      </c>
      <c r="M784" s="22" t="s">
        <v>9233</v>
      </c>
      <c r="N784" s="23" t="s">
        <v>15663</v>
      </c>
      <c r="O784" s="24" t="s">
        <v>1119</v>
      </c>
      <c r="P784" s="25" t="s">
        <v>15664</v>
      </c>
      <c r="Q784" s="26" t="s">
        <v>367</v>
      </c>
      <c r="R784" s="27">
        <v>732.66</v>
      </c>
      <c r="S784" s="28" t="s">
        <v>368</v>
      </c>
      <c r="T784" s="29" t="s">
        <v>291</v>
      </c>
      <c r="U784" s="30" t="s">
        <v>369</v>
      </c>
      <c r="V784" s="31" t="s">
        <v>15665</v>
      </c>
      <c r="W784" s="32">
        <v>8372</v>
      </c>
      <c r="X784" s="33" t="s">
        <v>15666</v>
      </c>
      <c r="Y784" s="34" t="s">
        <v>3506</v>
      </c>
      <c r="Z784" s="35" t="s">
        <v>15667</v>
      </c>
      <c r="AA784" s="36">
        <v>1842</v>
      </c>
      <c r="AB784" s="37" t="s">
        <v>153</v>
      </c>
      <c r="AC784" s="38" t="s">
        <v>570</v>
      </c>
      <c r="AD784" s="39" t="s">
        <v>1794</v>
      </c>
      <c r="AE784" s="40">
        <v>18104.5</v>
      </c>
      <c r="AF784" s="41">
        <v>5819.3</v>
      </c>
      <c r="AG784" s="42">
        <v>-189.9</v>
      </c>
      <c r="AH784" s="43">
        <v>43347.55</v>
      </c>
      <c r="AI784" s="44">
        <v>3406.54</v>
      </c>
      <c r="AJ784" s="45">
        <v>767.75</v>
      </c>
      <c r="AK784" s="46">
        <v>25521.25</v>
      </c>
      <c r="AL784" s="47">
        <v>15546.93</v>
      </c>
      <c r="AM784" s="48">
        <v>-17.79</v>
      </c>
      <c r="AN784" s="49" t="s">
        <v>376</v>
      </c>
      <c r="AO784" s="50" t="s">
        <v>15668</v>
      </c>
      <c r="AP784" s="51" t="s">
        <v>15669</v>
      </c>
      <c r="AQ784" s="52" t="s">
        <v>512</v>
      </c>
      <c r="AR784" s="53" t="s">
        <v>15670</v>
      </c>
      <c r="AS784" s="54" t="s">
        <v>15671</v>
      </c>
      <c r="AT784" s="55" t="s">
        <v>2116</v>
      </c>
      <c r="AU784" s="56" t="s">
        <v>15672</v>
      </c>
      <c r="AV784" s="57" t="s">
        <v>153</v>
      </c>
      <c r="AW784" s="58" t="s">
        <v>2119</v>
      </c>
      <c r="AX784" s="59" t="s">
        <v>15673</v>
      </c>
      <c r="AY784" s="60" t="s">
        <v>2120</v>
      </c>
      <c r="AZ784" s="61" t="s">
        <v>2121</v>
      </c>
      <c r="BA784" s="62" t="s">
        <v>15671</v>
      </c>
      <c r="BB784" s="63" t="s">
        <v>15674</v>
      </c>
      <c r="BC784" s="64" t="s">
        <v>153</v>
      </c>
      <c r="BD784" s="65" t="s">
        <v>180</v>
      </c>
      <c r="BE784" s="66" t="s">
        <v>684</v>
      </c>
      <c r="BF784" s="67" t="s">
        <v>15675</v>
      </c>
      <c r="BG784" s="68" t="s">
        <v>15676</v>
      </c>
      <c r="BH784" s="69">
        <v>6</v>
      </c>
      <c r="BI784" s="70" t="s">
        <v>153</v>
      </c>
      <c r="BJ784" s="71" t="s">
        <v>10832</v>
      </c>
      <c r="BK784" s="72" t="s">
        <v>153</v>
      </c>
      <c r="BL784" s="73" t="s">
        <v>15677</v>
      </c>
      <c r="BM784" s="74" t="s">
        <v>15678</v>
      </c>
      <c r="BN784" s="75" t="s">
        <v>153</v>
      </c>
      <c r="BO784" s="76" t="s">
        <v>15679</v>
      </c>
      <c r="BP784" s="77" t="s">
        <v>15680</v>
      </c>
      <c r="BQ784" s="78">
        <v>-1</v>
      </c>
      <c r="BR784" s="79" t="s">
        <v>153</v>
      </c>
      <c r="BS784" s="80" t="s">
        <v>153</v>
      </c>
      <c r="BT784" s="81" t="s">
        <v>153</v>
      </c>
      <c r="BU784" s="82" t="s">
        <v>153</v>
      </c>
      <c r="BV784" s="83" t="s">
        <v>251</v>
      </c>
      <c r="BW784" s="84" t="s">
        <v>153</v>
      </c>
      <c r="BX784" s="85" t="s">
        <v>153</v>
      </c>
      <c r="BY784" s="86" t="s">
        <v>252</v>
      </c>
      <c r="BZ784" s="87" t="s">
        <v>153</v>
      </c>
      <c r="CA784" s="88" t="s">
        <v>190</v>
      </c>
      <c r="CB784" s="89">
        <v>44222</v>
      </c>
      <c r="CC784" s="90">
        <v>6155.07</v>
      </c>
      <c r="CD784" s="91" t="s">
        <v>186</v>
      </c>
      <c r="CE784" s="92">
        <v>27126.799999999999</v>
      </c>
      <c r="CF784" s="93" t="s">
        <v>187</v>
      </c>
      <c r="CG784" s="94" t="s">
        <v>906</v>
      </c>
      <c r="CH784" s="95" t="s">
        <v>153</v>
      </c>
      <c r="CI784" s="96" t="s">
        <v>153</v>
      </c>
      <c r="CJ784" s="97" t="s">
        <v>225</v>
      </c>
      <c r="CK784" s="98">
        <v>44222</v>
      </c>
      <c r="CL784" s="99" t="s">
        <v>153</v>
      </c>
      <c r="CM784" s="100" t="s">
        <v>153</v>
      </c>
      <c r="CN784" s="101" t="s">
        <v>1278</v>
      </c>
      <c r="CO784" s="102">
        <v>0.31</v>
      </c>
      <c r="CP784" s="103">
        <v>91</v>
      </c>
      <c r="CQ784" s="104">
        <v>0.44</v>
      </c>
      <c r="CR784" s="105">
        <v>323.22000000000003</v>
      </c>
      <c r="CS784" s="106">
        <v>1.63</v>
      </c>
      <c r="CT784" s="107">
        <v>97</v>
      </c>
      <c r="CU784" s="108">
        <v>0.13</v>
      </c>
      <c r="CV784" s="109">
        <v>88</v>
      </c>
      <c r="CW784" s="110">
        <v>0.3</v>
      </c>
      <c r="CX784" s="111">
        <v>78</v>
      </c>
      <c r="CY784" s="112">
        <v>2.97</v>
      </c>
      <c r="CZ784" s="113">
        <v>100</v>
      </c>
      <c r="DA784" s="114">
        <v>0.13</v>
      </c>
      <c r="DB784" s="115">
        <v>88</v>
      </c>
      <c r="DC784" s="116">
        <v>145.62</v>
      </c>
      <c r="DD784" s="117">
        <v>100</v>
      </c>
      <c r="DE784" s="118">
        <v>10.52</v>
      </c>
      <c r="DF784" s="119">
        <v>7.79</v>
      </c>
      <c r="DG784" s="120">
        <v>92.05</v>
      </c>
      <c r="DH784" s="121">
        <v>99</v>
      </c>
      <c r="DI784" s="122">
        <v>118.54</v>
      </c>
      <c r="DJ784" s="123">
        <v>98</v>
      </c>
      <c r="DK784" s="124">
        <v>61.23</v>
      </c>
      <c r="DL784" s="125">
        <v>96</v>
      </c>
      <c r="DM784" s="126">
        <v>122.88</v>
      </c>
      <c r="DN784" s="127">
        <v>100</v>
      </c>
      <c r="DO784" s="128">
        <v>118.54</v>
      </c>
      <c r="DP784" s="129">
        <v>98</v>
      </c>
      <c r="DQ784" s="130">
        <v>36646</v>
      </c>
      <c r="DR784" s="131">
        <v>-1233</v>
      </c>
      <c r="DS784" s="132">
        <v>-3.26</v>
      </c>
      <c r="DT784" s="133">
        <v>1916</v>
      </c>
      <c r="DU784" s="134">
        <v>130</v>
      </c>
      <c r="DV784" s="135">
        <v>7.28</v>
      </c>
      <c r="DW784" s="136">
        <v>37216</v>
      </c>
      <c r="DX784" s="137">
        <v>46</v>
      </c>
      <c r="DY784" s="138">
        <v>0.12</v>
      </c>
      <c r="DZ784" s="139" t="s">
        <v>191</v>
      </c>
      <c r="EA784" s="140">
        <v>44368</v>
      </c>
      <c r="EB784" s="141">
        <v>27126.799999999999</v>
      </c>
      <c r="EC784" s="142">
        <v>44222</v>
      </c>
      <c r="ED784" s="143" t="s">
        <v>906</v>
      </c>
      <c r="EE784" s="278" t="str">
        <f>HYPERLINK("https://my.pitchbook.com?c=42313-33", "View company online")</f>
        <v>View company online</v>
      </c>
    </row>
    <row r="785" spans="1:135" x14ac:dyDescent="0.45">
      <c r="A785" s="144" t="s">
        <v>15681</v>
      </c>
      <c r="B785" s="145" t="s">
        <v>15682</v>
      </c>
      <c r="C785" s="146" t="s">
        <v>153</v>
      </c>
      <c r="D785" s="147" t="s">
        <v>153</v>
      </c>
      <c r="E785" s="148" t="s">
        <v>15683</v>
      </c>
      <c r="F785" s="149" t="s">
        <v>153</v>
      </c>
      <c r="G785" s="150" t="s">
        <v>15684</v>
      </c>
      <c r="H785" s="151" t="s">
        <v>15685</v>
      </c>
      <c r="I785" s="152" t="s">
        <v>15681</v>
      </c>
      <c r="J785" s="153" t="s">
        <v>15686</v>
      </c>
      <c r="K785" s="154" t="s">
        <v>257</v>
      </c>
      <c r="L785" s="155" t="s">
        <v>258</v>
      </c>
      <c r="M785" s="156" t="s">
        <v>3389</v>
      </c>
      <c r="N785" s="157" t="s">
        <v>15687</v>
      </c>
      <c r="O785" s="158" t="s">
        <v>153</v>
      </c>
      <c r="P785" s="159" t="s">
        <v>15688</v>
      </c>
      <c r="Q785" s="160" t="s">
        <v>204</v>
      </c>
      <c r="R785" s="161" t="s">
        <v>153</v>
      </c>
      <c r="S785" s="162" t="s">
        <v>290</v>
      </c>
      <c r="T785" s="163" t="s">
        <v>1392</v>
      </c>
      <c r="U785" s="164" t="s">
        <v>237</v>
      </c>
      <c r="V785" s="165" t="s">
        <v>15689</v>
      </c>
      <c r="W785" s="166">
        <v>21000</v>
      </c>
      <c r="X785" s="167" t="s">
        <v>15690</v>
      </c>
      <c r="Y785" s="168" t="s">
        <v>153</v>
      </c>
      <c r="Z785" s="169" t="s">
        <v>153</v>
      </c>
      <c r="AA785" s="170">
        <v>1996</v>
      </c>
      <c r="AB785" s="171" t="s">
        <v>15691</v>
      </c>
      <c r="AC785" s="172" t="s">
        <v>153</v>
      </c>
      <c r="AD785" s="173" t="s">
        <v>153</v>
      </c>
      <c r="AE785" s="174" t="s">
        <v>153</v>
      </c>
      <c r="AF785" s="175" t="s">
        <v>153</v>
      </c>
      <c r="AG785" s="176" t="s">
        <v>153</v>
      </c>
      <c r="AH785" s="177" t="s">
        <v>153</v>
      </c>
      <c r="AI785" s="178" t="s">
        <v>153</v>
      </c>
      <c r="AJ785" s="179" t="s">
        <v>153</v>
      </c>
      <c r="AK785" s="180" t="s">
        <v>153</v>
      </c>
      <c r="AL785" s="181" t="s">
        <v>153</v>
      </c>
      <c r="AM785" s="182" t="s">
        <v>153</v>
      </c>
      <c r="AN785" s="183" t="s">
        <v>484</v>
      </c>
      <c r="AO785" s="184" t="s">
        <v>15692</v>
      </c>
      <c r="AP785" s="185" t="s">
        <v>15693</v>
      </c>
      <c r="AQ785" s="186" t="s">
        <v>15694</v>
      </c>
      <c r="AR785" s="187" t="s">
        <v>15695</v>
      </c>
      <c r="AS785" s="188" t="s">
        <v>15696</v>
      </c>
      <c r="AT785" s="189" t="s">
        <v>15697</v>
      </c>
      <c r="AU785" s="190" t="s">
        <v>15698</v>
      </c>
      <c r="AV785" s="191" t="s">
        <v>15699</v>
      </c>
      <c r="AW785" s="192" t="s">
        <v>15700</v>
      </c>
      <c r="AX785" s="193" t="s">
        <v>6023</v>
      </c>
      <c r="AY785" s="194" t="s">
        <v>15701</v>
      </c>
      <c r="AZ785" s="195" t="s">
        <v>215</v>
      </c>
      <c r="BA785" s="196" t="s">
        <v>15696</v>
      </c>
      <c r="BB785" s="197" t="s">
        <v>153</v>
      </c>
      <c r="BC785" s="198" t="s">
        <v>15702</v>
      </c>
      <c r="BD785" s="199" t="s">
        <v>216</v>
      </c>
      <c r="BE785" s="200" t="s">
        <v>217</v>
      </c>
      <c r="BF785" s="201" t="s">
        <v>15703</v>
      </c>
      <c r="BG785" s="202" t="s">
        <v>153</v>
      </c>
      <c r="BH785" s="203" t="s">
        <v>153</v>
      </c>
      <c r="BI785" s="204" t="s">
        <v>15691</v>
      </c>
      <c r="BJ785" s="205" t="s">
        <v>15704</v>
      </c>
      <c r="BK785" s="206" t="s">
        <v>153</v>
      </c>
      <c r="BL785" s="207" t="s">
        <v>153</v>
      </c>
      <c r="BM785" s="208" t="s">
        <v>15705</v>
      </c>
      <c r="BN785" s="209" t="s">
        <v>153</v>
      </c>
      <c r="BO785" s="210" t="s">
        <v>15706</v>
      </c>
      <c r="BP785" s="211" t="s">
        <v>15707</v>
      </c>
      <c r="BQ785" s="212">
        <v>35416</v>
      </c>
      <c r="BR785" s="213" t="s">
        <v>153</v>
      </c>
      <c r="BS785" s="214" t="s">
        <v>153</v>
      </c>
      <c r="BT785" s="215" t="s">
        <v>153</v>
      </c>
      <c r="BU785" s="216" t="s">
        <v>153</v>
      </c>
      <c r="BV785" s="217" t="s">
        <v>251</v>
      </c>
      <c r="BW785" s="218" t="s">
        <v>524</v>
      </c>
      <c r="BX785" s="219" t="s">
        <v>153</v>
      </c>
      <c r="BY785" s="220" t="s">
        <v>252</v>
      </c>
      <c r="BZ785" s="221" t="s">
        <v>153</v>
      </c>
      <c r="CA785" s="222" t="s">
        <v>190</v>
      </c>
      <c r="CB785" s="223">
        <v>42054</v>
      </c>
      <c r="CC785" s="224">
        <v>6150.7</v>
      </c>
      <c r="CD785" s="225" t="s">
        <v>186</v>
      </c>
      <c r="CE785" s="226">
        <v>6150.7</v>
      </c>
      <c r="CF785" s="227" t="s">
        <v>187</v>
      </c>
      <c r="CG785" s="228" t="s">
        <v>226</v>
      </c>
      <c r="CH785" s="229" t="s">
        <v>153</v>
      </c>
      <c r="CI785" s="230" t="s">
        <v>153</v>
      </c>
      <c r="CJ785" s="231" t="s">
        <v>225</v>
      </c>
      <c r="CK785" s="232">
        <v>42054</v>
      </c>
      <c r="CL785" s="233" t="s">
        <v>153</v>
      </c>
      <c r="CM785" s="234" t="s">
        <v>153</v>
      </c>
      <c r="CN785" s="235" t="s">
        <v>190</v>
      </c>
      <c r="CO785" s="236">
        <v>-0.39</v>
      </c>
      <c r="CP785" s="237">
        <v>5</v>
      </c>
      <c r="CQ785" s="238">
        <v>-0.05</v>
      </c>
      <c r="CR785" s="239">
        <v>-15.69</v>
      </c>
      <c r="CS785" s="240">
        <v>-0.87</v>
      </c>
      <c r="CT785" s="241">
        <v>4</v>
      </c>
      <c r="CU785" s="242">
        <v>0.08</v>
      </c>
      <c r="CV785" s="243">
        <v>84</v>
      </c>
      <c r="CW785" s="244">
        <v>-1.49</v>
      </c>
      <c r="CX785" s="245">
        <v>14</v>
      </c>
      <c r="CY785" s="246">
        <v>-0.24</v>
      </c>
      <c r="CZ785" s="247">
        <v>3</v>
      </c>
      <c r="DA785" s="248">
        <v>0.08</v>
      </c>
      <c r="DB785" s="249">
        <v>84</v>
      </c>
      <c r="DC785" s="250">
        <v>67.62</v>
      </c>
      <c r="DD785" s="251">
        <v>99</v>
      </c>
      <c r="DE785" s="252">
        <v>-0.36</v>
      </c>
      <c r="DF785" s="253">
        <v>-0.53</v>
      </c>
      <c r="DG785" s="254">
        <v>97.11</v>
      </c>
      <c r="DH785" s="255">
        <v>99</v>
      </c>
      <c r="DI785" s="256">
        <v>38.14</v>
      </c>
      <c r="DJ785" s="257">
        <v>95</v>
      </c>
      <c r="DK785" s="258">
        <v>40.03</v>
      </c>
      <c r="DL785" s="259">
        <v>94</v>
      </c>
      <c r="DM785" s="260">
        <v>154.19</v>
      </c>
      <c r="DN785" s="261">
        <v>100</v>
      </c>
      <c r="DO785" s="262">
        <v>38.14</v>
      </c>
      <c r="DP785" s="263">
        <v>95</v>
      </c>
      <c r="DQ785" s="264">
        <v>23945</v>
      </c>
      <c r="DR785" s="265">
        <v>-756</v>
      </c>
      <c r="DS785" s="266">
        <v>-3.06</v>
      </c>
      <c r="DT785" s="267">
        <v>2480</v>
      </c>
      <c r="DU785" s="268">
        <v>-33</v>
      </c>
      <c r="DV785" s="269">
        <v>-1.31</v>
      </c>
      <c r="DW785" s="270">
        <v>11976</v>
      </c>
      <c r="DX785" s="271">
        <v>14</v>
      </c>
      <c r="DY785" s="272">
        <v>0.12</v>
      </c>
      <c r="DZ785" s="273" t="s">
        <v>191</v>
      </c>
      <c r="EA785" s="274">
        <v>44322</v>
      </c>
      <c r="EB785" s="275">
        <v>6150.7</v>
      </c>
      <c r="EC785" s="276">
        <v>42054</v>
      </c>
      <c r="ED785" s="277" t="s">
        <v>226</v>
      </c>
      <c r="EE785" s="279" t="str">
        <f>HYPERLINK("https://my.pitchbook.com?c=41336-02", "View company online")</f>
        <v>View company online</v>
      </c>
    </row>
    <row r="786" spans="1:135" x14ac:dyDescent="0.45">
      <c r="A786" s="10" t="s">
        <v>15708</v>
      </c>
      <c r="B786" s="11" t="s">
        <v>15709</v>
      </c>
      <c r="C786" s="12" t="s">
        <v>153</v>
      </c>
      <c r="D786" s="13" t="s">
        <v>153</v>
      </c>
      <c r="E786" s="14" t="s">
        <v>153</v>
      </c>
      <c r="F786" s="15" t="s">
        <v>15710</v>
      </c>
      <c r="G786" s="16" t="s">
        <v>15711</v>
      </c>
      <c r="H786" s="17" t="s">
        <v>153</v>
      </c>
      <c r="I786" s="18" t="s">
        <v>15708</v>
      </c>
      <c r="J786" s="19" t="s">
        <v>15712</v>
      </c>
      <c r="K786" s="20" t="s">
        <v>257</v>
      </c>
      <c r="L786" s="21" t="s">
        <v>258</v>
      </c>
      <c r="M786" s="22" t="s">
        <v>259</v>
      </c>
      <c r="N786" s="23" t="s">
        <v>15713</v>
      </c>
      <c r="O786" s="24" t="s">
        <v>15714</v>
      </c>
      <c r="P786" s="25" t="s">
        <v>15715</v>
      </c>
      <c r="Q786" s="26" t="s">
        <v>204</v>
      </c>
      <c r="R786" s="27" t="s">
        <v>153</v>
      </c>
      <c r="S786" s="28" t="s">
        <v>163</v>
      </c>
      <c r="T786" s="29" t="s">
        <v>164</v>
      </c>
      <c r="U786" s="30" t="s">
        <v>206</v>
      </c>
      <c r="V786" s="31" t="s">
        <v>15716</v>
      </c>
      <c r="W786" s="32" t="s">
        <v>153</v>
      </c>
      <c r="X786" s="33" t="s">
        <v>153</v>
      </c>
      <c r="Y786" s="34" t="s">
        <v>153</v>
      </c>
      <c r="Z786" s="35" t="s">
        <v>153</v>
      </c>
      <c r="AA786" s="36">
        <v>2012</v>
      </c>
      <c r="AB786" s="37" t="s">
        <v>15717</v>
      </c>
      <c r="AC786" s="38" t="s">
        <v>153</v>
      </c>
      <c r="AD786" s="39" t="s">
        <v>153</v>
      </c>
      <c r="AE786" s="40" t="s">
        <v>153</v>
      </c>
      <c r="AF786" s="41" t="s">
        <v>153</v>
      </c>
      <c r="AG786" s="42" t="s">
        <v>153</v>
      </c>
      <c r="AH786" s="43" t="s">
        <v>153</v>
      </c>
      <c r="AI786" s="44" t="s">
        <v>153</v>
      </c>
      <c r="AJ786" s="45" t="s">
        <v>153</v>
      </c>
      <c r="AK786" s="46" t="s">
        <v>153</v>
      </c>
      <c r="AL786" s="47" t="s">
        <v>153</v>
      </c>
      <c r="AM786" s="48" t="s">
        <v>153</v>
      </c>
      <c r="AN786" s="49" t="s">
        <v>153</v>
      </c>
      <c r="AO786" s="50" t="s">
        <v>15718</v>
      </c>
      <c r="AP786" s="51" t="s">
        <v>15719</v>
      </c>
      <c r="AQ786" s="52" t="s">
        <v>2928</v>
      </c>
      <c r="AR786" s="53" t="s">
        <v>15720</v>
      </c>
      <c r="AS786" s="54" t="s">
        <v>15721</v>
      </c>
      <c r="AT786" s="55" t="s">
        <v>15722</v>
      </c>
      <c r="AU786" s="56" t="s">
        <v>15723</v>
      </c>
      <c r="AV786" s="57" t="s">
        <v>153</v>
      </c>
      <c r="AW786" s="58" t="s">
        <v>15724</v>
      </c>
      <c r="AX786" s="59" t="s">
        <v>385</v>
      </c>
      <c r="AY786" s="60" t="s">
        <v>15725</v>
      </c>
      <c r="AZ786" s="61" t="s">
        <v>215</v>
      </c>
      <c r="BA786" s="62" t="s">
        <v>15721</v>
      </c>
      <c r="BB786" s="63" t="s">
        <v>153</v>
      </c>
      <c r="BC786" s="64" t="s">
        <v>153</v>
      </c>
      <c r="BD786" s="65" t="s">
        <v>216</v>
      </c>
      <c r="BE786" s="66" t="s">
        <v>217</v>
      </c>
      <c r="BF786" s="67" t="s">
        <v>15726</v>
      </c>
      <c r="BG786" s="68" t="s">
        <v>153</v>
      </c>
      <c r="BH786" s="69" t="s">
        <v>153</v>
      </c>
      <c r="BI786" s="70" t="s">
        <v>15717</v>
      </c>
      <c r="BJ786" s="71" t="s">
        <v>153</v>
      </c>
      <c r="BK786" s="72" t="s">
        <v>153</v>
      </c>
      <c r="BL786" s="73" t="s">
        <v>153</v>
      </c>
      <c r="BM786" s="74" t="s">
        <v>153</v>
      </c>
      <c r="BN786" s="75" t="s">
        <v>153</v>
      </c>
      <c r="BO786" s="76" t="s">
        <v>153</v>
      </c>
      <c r="BP786" s="77" t="s">
        <v>153</v>
      </c>
      <c r="BQ786" s="78">
        <v>43104</v>
      </c>
      <c r="BR786" s="79">
        <v>6137.28</v>
      </c>
      <c r="BS786" s="80" t="s">
        <v>186</v>
      </c>
      <c r="BT786" s="81">
        <v>6137.28</v>
      </c>
      <c r="BU786" s="82" t="s">
        <v>186</v>
      </c>
      <c r="BV786" s="83" t="s">
        <v>226</v>
      </c>
      <c r="BW786" s="84" t="s">
        <v>153</v>
      </c>
      <c r="BX786" s="85" t="s">
        <v>153</v>
      </c>
      <c r="BY786" s="86" t="s">
        <v>225</v>
      </c>
      <c r="BZ786" s="87" t="s">
        <v>153</v>
      </c>
      <c r="CA786" s="88" t="s">
        <v>190</v>
      </c>
      <c r="CB786" s="89">
        <v>43104</v>
      </c>
      <c r="CC786" s="90">
        <v>6137.28</v>
      </c>
      <c r="CD786" s="91" t="s">
        <v>186</v>
      </c>
      <c r="CE786" s="92">
        <v>6137.28</v>
      </c>
      <c r="CF786" s="93" t="s">
        <v>186</v>
      </c>
      <c r="CG786" s="94" t="s">
        <v>226</v>
      </c>
      <c r="CH786" s="95" t="s">
        <v>153</v>
      </c>
      <c r="CI786" s="96" t="s">
        <v>153</v>
      </c>
      <c r="CJ786" s="97" t="s">
        <v>225</v>
      </c>
      <c r="CK786" s="98">
        <v>43104</v>
      </c>
      <c r="CL786" s="99" t="s">
        <v>153</v>
      </c>
      <c r="CM786" s="100" t="s">
        <v>153</v>
      </c>
      <c r="CN786" s="101" t="s">
        <v>190</v>
      </c>
      <c r="CO786" s="102">
        <v>-0.18</v>
      </c>
      <c r="CP786" s="103">
        <v>7</v>
      </c>
      <c r="CQ786" s="104">
        <v>0</v>
      </c>
      <c r="CR786" s="105">
        <v>0</v>
      </c>
      <c r="CS786" s="106">
        <v>-0.31</v>
      </c>
      <c r="CT786" s="107">
        <v>6</v>
      </c>
      <c r="CU786" s="108">
        <v>-0.06</v>
      </c>
      <c r="CV786" s="109">
        <v>29</v>
      </c>
      <c r="CW786" s="110">
        <v>-0.62</v>
      </c>
      <c r="CX786" s="111">
        <v>18</v>
      </c>
      <c r="CY786" s="112">
        <v>0</v>
      </c>
      <c r="CZ786" s="113">
        <v>5</v>
      </c>
      <c r="DA786" s="114">
        <v>-0.06</v>
      </c>
      <c r="DB786" s="115">
        <v>29</v>
      </c>
      <c r="DC786" s="116">
        <v>5.46</v>
      </c>
      <c r="DD786" s="117">
        <v>86</v>
      </c>
      <c r="DE786" s="118">
        <v>0.01</v>
      </c>
      <c r="DF786" s="119">
        <v>0.2</v>
      </c>
      <c r="DG786" s="120">
        <v>7.53</v>
      </c>
      <c r="DH786" s="121">
        <v>89</v>
      </c>
      <c r="DI786" s="122">
        <v>3.39</v>
      </c>
      <c r="DJ786" s="123">
        <v>72</v>
      </c>
      <c r="DK786" s="124">
        <v>10.69</v>
      </c>
      <c r="DL786" s="125">
        <v>86</v>
      </c>
      <c r="DM786" s="126">
        <v>4.38</v>
      </c>
      <c r="DN786" s="127">
        <v>80</v>
      </c>
      <c r="DO786" s="128">
        <v>3.39</v>
      </c>
      <c r="DP786" s="129">
        <v>72</v>
      </c>
      <c r="DQ786" s="130">
        <v>6322</v>
      </c>
      <c r="DR786" s="131">
        <v>66</v>
      </c>
      <c r="DS786" s="132">
        <v>1.05</v>
      </c>
      <c r="DT786" s="133">
        <v>70</v>
      </c>
      <c r="DU786" s="134">
        <v>0</v>
      </c>
      <c r="DV786" s="135">
        <v>0</v>
      </c>
      <c r="DW786" s="136">
        <v>1065</v>
      </c>
      <c r="DX786" s="137">
        <v>-2</v>
      </c>
      <c r="DY786" s="138">
        <v>-0.19</v>
      </c>
      <c r="DZ786" s="139" t="s">
        <v>191</v>
      </c>
      <c r="EA786" s="140">
        <v>44210</v>
      </c>
      <c r="EB786" s="141">
        <v>6137.28</v>
      </c>
      <c r="EC786" s="142">
        <v>43104</v>
      </c>
      <c r="ED786" s="143" t="s">
        <v>226</v>
      </c>
      <c r="EE786" s="278" t="str">
        <f>HYPERLINK("https://my.pitchbook.com?c=228333-16", "View company online")</f>
        <v>View company online</v>
      </c>
    </row>
    <row r="787" spans="1:135" x14ac:dyDescent="0.45">
      <c r="A787" s="144" t="s">
        <v>15727</v>
      </c>
      <c r="B787" s="145" t="s">
        <v>15728</v>
      </c>
      <c r="C787" s="146" t="s">
        <v>153</v>
      </c>
      <c r="D787" s="147" t="s">
        <v>153</v>
      </c>
      <c r="E787" s="148" t="s">
        <v>153</v>
      </c>
      <c r="F787" s="149" t="s">
        <v>153</v>
      </c>
      <c r="G787" s="150" t="s">
        <v>153</v>
      </c>
      <c r="H787" s="151" t="s">
        <v>153</v>
      </c>
      <c r="I787" s="152" t="s">
        <v>15727</v>
      </c>
      <c r="J787" s="153" t="s">
        <v>15729</v>
      </c>
      <c r="K787" s="154" t="s">
        <v>882</v>
      </c>
      <c r="L787" s="155" t="s">
        <v>1257</v>
      </c>
      <c r="M787" s="156" t="s">
        <v>6983</v>
      </c>
      <c r="N787" s="157" t="s">
        <v>15730</v>
      </c>
      <c r="O787" s="158" t="s">
        <v>153</v>
      </c>
      <c r="P787" s="159" t="s">
        <v>15731</v>
      </c>
      <c r="Q787" s="160" t="s">
        <v>1487</v>
      </c>
      <c r="R787" s="161" t="s">
        <v>153</v>
      </c>
      <c r="S787" s="162" t="s">
        <v>163</v>
      </c>
      <c r="T787" s="163" t="s">
        <v>1488</v>
      </c>
      <c r="U787" s="164" t="s">
        <v>206</v>
      </c>
      <c r="V787" s="165" t="s">
        <v>153</v>
      </c>
      <c r="W787" s="166" t="s">
        <v>153</v>
      </c>
      <c r="X787" s="167" t="s">
        <v>153</v>
      </c>
      <c r="Y787" s="168" t="s">
        <v>153</v>
      </c>
      <c r="Z787" s="169" t="s">
        <v>153</v>
      </c>
      <c r="AA787" s="170" t="s">
        <v>153</v>
      </c>
      <c r="AB787" s="171" t="s">
        <v>153</v>
      </c>
      <c r="AC787" s="172" t="s">
        <v>153</v>
      </c>
      <c r="AD787" s="173" t="s">
        <v>153</v>
      </c>
      <c r="AE787" s="174" t="s">
        <v>153</v>
      </c>
      <c r="AF787" s="175" t="s">
        <v>153</v>
      </c>
      <c r="AG787" s="176" t="s">
        <v>153</v>
      </c>
      <c r="AH787" s="177" t="s">
        <v>153</v>
      </c>
      <c r="AI787" s="178" t="s">
        <v>153</v>
      </c>
      <c r="AJ787" s="179" t="s">
        <v>153</v>
      </c>
      <c r="AK787" s="180" t="s">
        <v>153</v>
      </c>
      <c r="AL787" s="181" t="s">
        <v>153</v>
      </c>
      <c r="AM787" s="182" t="s">
        <v>153</v>
      </c>
      <c r="AN787" s="183" t="s">
        <v>153</v>
      </c>
      <c r="AO787" s="184" t="s">
        <v>153</v>
      </c>
      <c r="AP787" s="185" t="s">
        <v>153</v>
      </c>
      <c r="AQ787" s="186" t="s">
        <v>153</v>
      </c>
      <c r="AR787" s="187" t="s">
        <v>153</v>
      </c>
      <c r="AS787" s="188" t="s">
        <v>153</v>
      </c>
      <c r="AT787" s="189" t="s">
        <v>2116</v>
      </c>
      <c r="AU787" s="190" t="s">
        <v>15732</v>
      </c>
      <c r="AV787" s="191" t="s">
        <v>153</v>
      </c>
      <c r="AW787" s="192" t="s">
        <v>2119</v>
      </c>
      <c r="AX787" s="193" t="s">
        <v>153</v>
      </c>
      <c r="AY787" s="194" t="s">
        <v>15733</v>
      </c>
      <c r="AZ787" s="195" t="s">
        <v>2121</v>
      </c>
      <c r="BA787" s="196" t="s">
        <v>153</v>
      </c>
      <c r="BB787" s="197" t="s">
        <v>153</v>
      </c>
      <c r="BC787" s="198" t="s">
        <v>153</v>
      </c>
      <c r="BD787" s="199" t="s">
        <v>180</v>
      </c>
      <c r="BE787" s="200" t="s">
        <v>684</v>
      </c>
      <c r="BF787" s="201" t="s">
        <v>15734</v>
      </c>
      <c r="BG787" s="202" t="s">
        <v>15735</v>
      </c>
      <c r="BH787" s="203">
        <v>1</v>
      </c>
      <c r="BI787" s="204" t="s">
        <v>153</v>
      </c>
      <c r="BJ787" s="205" t="s">
        <v>153</v>
      </c>
      <c r="BK787" s="206" t="s">
        <v>7313</v>
      </c>
      <c r="BL787" s="207" t="s">
        <v>15736</v>
      </c>
      <c r="BM787" s="208" t="s">
        <v>153</v>
      </c>
      <c r="BN787" s="209" t="s">
        <v>15737</v>
      </c>
      <c r="BO787" s="210" t="s">
        <v>153</v>
      </c>
      <c r="BP787" s="211" t="s">
        <v>153</v>
      </c>
      <c r="BQ787" s="212">
        <v>44106</v>
      </c>
      <c r="BR787" s="213">
        <v>6124.91</v>
      </c>
      <c r="BS787" s="214" t="s">
        <v>186</v>
      </c>
      <c r="BT787" s="215">
        <v>6124.91</v>
      </c>
      <c r="BU787" s="216" t="s">
        <v>186</v>
      </c>
      <c r="BV787" s="217" t="s">
        <v>226</v>
      </c>
      <c r="BW787" s="218" t="s">
        <v>153</v>
      </c>
      <c r="BX787" s="219" t="s">
        <v>153</v>
      </c>
      <c r="BY787" s="220" t="s">
        <v>225</v>
      </c>
      <c r="BZ787" s="221" t="s">
        <v>153</v>
      </c>
      <c r="CA787" s="222" t="s">
        <v>1278</v>
      </c>
      <c r="CB787" s="223">
        <v>44106</v>
      </c>
      <c r="CC787" s="224">
        <v>6124.91</v>
      </c>
      <c r="CD787" s="225" t="s">
        <v>186</v>
      </c>
      <c r="CE787" s="226">
        <v>6124.91</v>
      </c>
      <c r="CF787" s="227" t="s">
        <v>186</v>
      </c>
      <c r="CG787" s="228" t="s">
        <v>226</v>
      </c>
      <c r="CH787" s="229" t="s">
        <v>153</v>
      </c>
      <c r="CI787" s="230" t="s">
        <v>153</v>
      </c>
      <c r="CJ787" s="231" t="s">
        <v>225</v>
      </c>
      <c r="CK787" s="232">
        <v>44106</v>
      </c>
      <c r="CL787" s="233" t="s">
        <v>153</v>
      </c>
      <c r="CM787" s="234" t="s">
        <v>153</v>
      </c>
      <c r="CN787" s="235" t="s">
        <v>1278</v>
      </c>
      <c r="CO787" s="236" t="s">
        <v>153</v>
      </c>
      <c r="CP787" s="237" t="s">
        <v>153</v>
      </c>
      <c r="CQ787" s="238" t="s">
        <v>153</v>
      </c>
      <c r="CR787" s="239" t="s">
        <v>153</v>
      </c>
      <c r="CS787" s="240" t="s">
        <v>153</v>
      </c>
      <c r="CT787" s="241" t="s">
        <v>153</v>
      </c>
      <c r="CU787" s="242" t="s">
        <v>153</v>
      </c>
      <c r="CV787" s="243" t="s">
        <v>153</v>
      </c>
      <c r="CW787" s="244" t="s">
        <v>153</v>
      </c>
      <c r="CX787" s="245" t="s">
        <v>153</v>
      </c>
      <c r="CY787" s="246" t="s">
        <v>153</v>
      </c>
      <c r="CZ787" s="247" t="s">
        <v>153</v>
      </c>
      <c r="DA787" s="248" t="s">
        <v>153</v>
      </c>
      <c r="DB787" s="249" t="s">
        <v>153</v>
      </c>
      <c r="DC787" s="250" t="s">
        <v>153</v>
      </c>
      <c r="DD787" s="251" t="s">
        <v>153</v>
      </c>
      <c r="DE787" s="252" t="s">
        <v>153</v>
      </c>
      <c r="DF787" s="253" t="s">
        <v>153</v>
      </c>
      <c r="DG787" s="254" t="s">
        <v>153</v>
      </c>
      <c r="DH787" s="255" t="s">
        <v>153</v>
      </c>
      <c r="DI787" s="256" t="s">
        <v>153</v>
      </c>
      <c r="DJ787" s="257" t="s">
        <v>153</v>
      </c>
      <c r="DK787" s="258" t="s">
        <v>153</v>
      </c>
      <c r="DL787" s="259" t="s">
        <v>153</v>
      </c>
      <c r="DM787" s="260" t="s">
        <v>153</v>
      </c>
      <c r="DN787" s="261" t="s">
        <v>153</v>
      </c>
      <c r="DO787" s="262" t="s">
        <v>153</v>
      </c>
      <c r="DP787" s="263" t="s">
        <v>153</v>
      </c>
      <c r="DQ787" s="264" t="s">
        <v>153</v>
      </c>
      <c r="DR787" s="265" t="s">
        <v>153</v>
      </c>
      <c r="DS787" s="266" t="s">
        <v>153</v>
      </c>
      <c r="DT787" s="267" t="s">
        <v>153</v>
      </c>
      <c r="DU787" s="268" t="s">
        <v>153</v>
      </c>
      <c r="DV787" s="269" t="s">
        <v>153</v>
      </c>
      <c r="DW787" s="270" t="s">
        <v>153</v>
      </c>
      <c r="DX787" s="271" t="s">
        <v>153</v>
      </c>
      <c r="DY787" s="272" t="s">
        <v>153</v>
      </c>
      <c r="DZ787" s="273" t="s">
        <v>191</v>
      </c>
      <c r="EA787" s="274">
        <v>44364</v>
      </c>
      <c r="EB787" s="275">
        <v>6124.91</v>
      </c>
      <c r="EC787" s="276">
        <v>44106</v>
      </c>
      <c r="ED787" s="277" t="s">
        <v>226</v>
      </c>
      <c r="EE787" s="279" t="str">
        <f>HYPERLINK("https://my.pitchbook.com?c=439900-84", "View company online")</f>
        <v>View company online</v>
      </c>
    </row>
    <row r="788" spans="1:135" x14ac:dyDescent="0.45">
      <c r="A788" s="10" t="s">
        <v>15738</v>
      </c>
      <c r="B788" s="11" t="s">
        <v>15739</v>
      </c>
      <c r="C788" s="12" t="s">
        <v>153</v>
      </c>
      <c r="D788" s="13" t="s">
        <v>153</v>
      </c>
      <c r="E788" s="14" t="s">
        <v>153</v>
      </c>
      <c r="F788" s="15" t="s">
        <v>153</v>
      </c>
      <c r="G788" s="16" t="s">
        <v>15740</v>
      </c>
      <c r="H788" s="17" t="s">
        <v>15741</v>
      </c>
      <c r="I788" s="18" t="s">
        <v>15738</v>
      </c>
      <c r="J788" s="19" t="s">
        <v>15742</v>
      </c>
      <c r="K788" s="20" t="s">
        <v>157</v>
      </c>
      <c r="L788" s="21" t="s">
        <v>817</v>
      </c>
      <c r="M788" s="22" t="s">
        <v>863</v>
      </c>
      <c r="N788" s="23" t="s">
        <v>2494</v>
      </c>
      <c r="O788" s="24" t="s">
        <v>261</v>
      </c>
      <c r="P788" s="25" t="s">
        <v>15743</v>
      </c>
      <c r="Q788" s="26" t="s">
        <v>204</v>
      </c>
      <c r="R788" s="27" t="s">
        <v>153</v>
      </c>
      <c r="S788" s="28" t="s">
        <v>290</v>
      </c>
      <c r="T788" s="29" t="s">
        <v>205</v>
      </c>
      <c r="U788" s="30" t="s">
        <v>237</v>
      </c>
      <c r="V788" s="31" t="s">
        <v>15744</v>
      </c>
      <c r="W788" s="32">
        <v>5900</v>
      </c>
      <c r="X788" s="33" t="s">
        <v>15745</v>
      </c>
      <c r="Y788" s="34" t="s">
        <v>153</v>
      </c>
      <c r="Z788" s="35" t="s">
        <v>153</v>
      </c>
      <c r="AA788" s="36">
        <v>2010</v>
      </c>
      <c r="AB788" s="37" t="s">
        <v>15746</v>
      </c>
      <c r="AC788" s="38" t="s">
        <v>153</v>
      </c>
      <c r="AD788" s="39" t="s">
        <v>153</v>
      </c>
      <c r="AE788" s="40" t="s">
        <v>153</v>
      </c>
      <c r="AF788" s="41" t="s">
        <v>153</v>
      </c>
      <c r="AG788" s="42" t="s">
        <v>153</v>
      </c>
      <c r="AH788" s="43" t="s">
        <v>153</v>
      </c>
      <c r="AI788" s="44" t="s">
        <v>153</v>
      </c>
      <c r="AJ788" s="45" t="s">
        <v>153</v>
      </c>
      <c r="AK788" s="46" t="s">
        <v>153</v>
      </c>
      <c r="AL788" s="47" t="s">
        <v>153</v>
      </c>
      <c r="AM788" s="48" t="s">
        <v>153</v>
      </c>
      <c r="AN788" s="49" t="s">
        <v>868</v>
      </c>
      <c r="AO788" s="50" t="s">
        <v>15747</v>
      </c>
      <c r="AP788" s="51" t="s">
        <v>15748</v>
      </c>
      <c r="AQ788" s="52" t="s">
        <v>15749</v>
      </c>
      <c r="AR788" s="53" t="s">
        <v>153</v>
      </c>
      <c r="AS788" s="54" t="s">
        <v>15750</v>
      </c>
      <c r="AT788" s="55" t="s">
        <v>2806</v>
      </c>
      <c r="AU788" s="56" t="s">
        <v>15751</v>
      </c>
      <c r="AV788" s="57" t="s">
        <v>153</v>
      </c>
      <c r="AW788" s="58" t="s">
        <v>2809</v>
      </c>
      <c r="AX788" s="59" t="s">
        <v>1862</v>
      </c>
      <c r="AY788" s="60" t="s">
        <v>15752</v>
      </c>
      <c r="AZ788" s="61" t="s">
        <v>215</v>
      </c>
      <c r="BA788" s="62" t="s">
        <v>15753</v>
      </c>
      <c r="BB788" s="63" t="s">
        <v>153</v>
      </c>
      <c r="BC788" s="64" t="s">
        <v>153</v>
      </c>
      <c r="BD788" s="65" t="s">
        <v>216</v>
      </c>
      <c r="BE788" s="66" t="s">
        <v>217</v>
      </c>
      <c r="BF788" s="67" t="s">
        <v>15754</v>
      </c>
      <c r="BG788" s="68" t="s">
        <v>153</v>
      </c>
      <c r="BH788" s="69" t="s">
        <v>153</v>
      </c>
      <c r="BI788" s="70" t="s">
        <v>15746</v>
      </c>
      <c r="BJ788" s="71" t="s">
        <v>153</v>
      </c>
      <c r="BK788" s="72" t="s">
        <v>153</v>
      </c>
      <c r="BL788" s="73" t="s">
        <v>153</v>
      </c>
      <c r="BM788" s="74" t="s">
        <v>153</v>
      </c>
      <c r="BN788" s="75" t="s">
        <v>153</v>
      </c>
      <c r="BO788" s="76" t="s">
        <v>15755</v>
      </c>
      <c r="BP788" s="77" t="s">
        <v>15756</v>
      </c>
      <c r="BQ788" s="78">
        <v>40381</v>
      </c>
      <c r="BR788" s="79" t="s">
        <v>153</v>
      </c>
      <c r="BS788" s="80" t="s">
        <v>153</v>
      </c>
      <c r="BT788" s="81" t="s">
        <v>153</v>
      </c>
      <c r="BU788" s="82" t="s">
        <v>153</v>
      </c>
      <c r="BV788" s="83" t="s">
        <v>589</v>
      </c>
      <c r="BW788" s="84" t="s">
        <v>153</v>
      </c>
      <c r="BX788" s="85" t="s">
        <v>153</v>
      </c>
      <c r="BY788" s="86" t="s">
        <v>225</v>
      </c>
      <c r="BZ788" s="87" t="s">
        <v>153</v>
      </c>
      <c r="CA788" s="88" t="s">
        <v>190</v>
      </c>
      <c r="CB788" s="89">
        <v>43185</v>
      </c>
      <c r="CC788" s="90">
        <v>6112</v>
      </c>
      <c r="CD788" s="91" t="s">
        <v>186</v>
      </c>
      <c r="CE788" s="92">
        <v>6112</v>
      </c>
      <c r="CF788" s="93" t="s">
        <v>187</v>
      </c>
      <c r="CG788" s="94" t="s">
        <v>226</v>
      </c>
      <c r="CH788" s="95" t="s">
        <v>153</v>
      </c>
      <c r="CI788" s="96" t="s">
        <v>153</v>
      </c>
      <c r="CJ788" s="97" t="s">
        <v>225</v>
      </c>
      <c r="CK788" s="98">
        <v>43185</v>
      </c>
      <c r="CL788" s="99" t="s">
        <v>153</v>
      </c>
      <c r="CM788" s="100" t="s">
        <v>153</v>
      </c>
      <c r="CN788" s="101" t="s">
        <v>190</v>
      </c>
      <c r="CO788" s="102" t="s">
        <v>153</v>
      </c>
      <c r="CP788" s="103" t="s">
        <v>153</v>
      </c>
      <c r="CQ788" s="104" t="s">
        <v>153</v>
      </c>
      <c r="CR788" s="105" t="s">
        <v>153</v>
      </c>
      <c r="CS788" s="106" t="s">
        <v>153</v>
      </c>
      <c r="CT788" s="107" t="s">
        <v>153</v>
      </c>
      <c r="CU788" s="108" t="s">
        <v>153</v>
      </c>
      <c r="CV788" s="109" t="s">
        <v>153</v>
      </c>
      <c r="CW788" s="110" t="s">
        <v>153</v>
      </c>
      <c r="CX788" s="111" t="s">
        <v>153</v>
      </c>
      <c r="CY788" s="112" t="s">
        <v>153</v>
      </c>
      <c r="CZ788" s="113" t="s">
        <v>153</v>
      </c>
      <c r="DA788" s="114" t="s">
        <v>153</v>
      </c>
      <c r="DB788" s="115" t="s">
        <v>153</v>
      </c>
      <c r="DC788" s="116" t="s">
        <v>153</v>
      </c>
      <c r="DD788" s="117" t="s">
        <v>153</v>
      </c>
      <c r="DE788" s="118" t="s">
        <v>153</v>
      </c>
      <c r="DF788" s="119" t="s">
        <v>153</v>
      </c>
      <c r="DG788" s="120" t="s">
        <v>153</v>
      </c>
      <c r="DH788" s="121" t="s">
        <v>153</v>
      </c>
      <c r="DI788" s="122" t="s">
        <v>153</v>
      </c>
      <c r="DJ788" s="123" t="s">
        <v>153</v>
      </c>
      <c r="DK788" s="124" t="s">
        <v>153</v>
      </c>
      <c r="DL788" s="125" t="s">
        <v>153</v>
      </c>
      <c r="DM788" s="126" t="s">
        <v>153</v>
      </c>
      <c r="DN788" s="127" t="s">
        <v>153</v>
      </c>
      <c r="DO788" s="128" t="s">
        <v>153</v>
      </c>
      <c r="DP788" s="129" t="s">
        <v>153</v>
      </c>
      <c r="DQ788" s="130" t="s">
        <v>153</v>
      </c>
      <c r="DR788" s="131" t="s">
        <v>153</v>
      </c>
      <c r="DS788" s="132" t="s">
        <v>153</v>
      </c>
      <c r="DT788" s="133" t="s">
        <v>153</v>
      </c>
      <c r="DU788" s="134" t="s">
        <v>153</v>
      </c>
      <c r="DV788" s="135" t="s">
        <v>153</v>
      </c>
      <c r="DW788" s="136" t="s">
        <v>153</v>
      </c>
      <c r="DX788" s="137" t="s">
        <v>153</v>
      </c>
      <c r="DY788" s="138" t="s">
        <v>153</v>
      </c>
      <c r="DZ788" s="139" t="s">
        <v>191</v>
      </c>
      <c r="EA788" s="140">
        <v>44329</v>
      </c>
      <c r="EB788" s="141">
        <v>6112</v>
      </c>
      <c r="EC788" s="142">
        <v>43185</v>
      </c>
      <c r="ED788" s="143" t="s">
        <v>226</v>
      </c>
      <c r="EE788" s="278" t="str">
        <f>HYPERLINK("https://my.pitchbook.com?c=119856-43", "View company online")</f>
        <v>View company online</v>
      </c>
    </row>
    <row r="789" spans="1:135" x14ac:dyDescent="0.45">
      <c r="A789" s="144" t="s">
        <v>15757</v>
      </c>
      <c r="B789" s="145" t="s">
        <v>15758</v>
      </c>
      <c r="C789" s="146" t="s">
        <v>153</v>
      </c>
      <c r="D789" s="147" t="s">
        <v>153</v>
      </c>
      <c r="E789" s="148" t="s">
        <v>153</v>
      </c>
      <c r="F789" s="149" t="s">
        <v>153</v>
      </c>
      <c r="G789" s="150" t="s">
        <v>153</v>
      </c>
      <c r="H789" s="151" t="s">
        <v>153</v>
      </c>
      <c r="I789" s="152" t="s">
        <v>15757</v>
      </c>
      <c r="J789" s="153" t="s">
        <v>15759</v>
      </c>
      <c r="K789" s="154" t="s">
        <v>792</v>
      </c>
      <c r="L789" s="155" t="s">
        <v>1516</v>
      </c>
      <c r="M789" s="156" t="s">
        <v>1516</v>
      </c>
      <c r="N789" s="157" t="s">
        <v>4075</v>
      </c>
      <c r="O789" s="158" t="s">
        <v>796</v>
      </c>
      <c r="P789" s="159" t="s">
        <v>15760</v>
      </c>
      <c r="Q789" s="160" t="s">
        <v>204</v>
      </c>
      <c r="R789" s="161" t="s">
        <v>153</v>
      </c>
      <c r="S789" s="162" t="s">
        <v>153</v>
      </c>
      <c r="T789" s="163" t="s">
        <v>205</v>
      </c>
      <c r="U789" s="164" t="s">
        <v>206</v>
      </c>
      <c r="V789" s="165" t="s">
        <v>153</v>
      </c>
      <c r="W789" s="166" t="s">
        <v>153</v>
      </c>
      <c r="X789" s="167" t="s">
        <v>153</v>
      </c>
      <c r="Y789" s="168" t="s">
        <v>153</v>
      </c>
      <c r="Z789" s="169" t="s">
        <v>153</v>
      </c>
      <c r="AA789" s="170" t="s">
        <v>153</v>
      </c>
      <c r="AB789" s="171" t="s">
        <v>153</v>
      </c>
      <c r="AC789" s="172" t="s">
        <v>153</v>
      </c>
      <c r="AD789" s="173" t="s">
        <v>153</v>
      </c>
      <c r="AE789" s="174" t="s">
        <v>153</v>
      </c>
      <c r="AF789" s="175" t="s">
        <v>153</v>
      </c>
      <c r="AG789" s="176" t="s">
        <v>153</v>
      </c>
      <c r="AH789" s="177" t="s">
        <v>153</v>
      </c>
      <c r="AI789" s="178" t="s">
        <v>153</v>
      </c>
      <c r="AJ789" s="179" t="s">
        <v>153</v>
      </c>
      <c r="AK789" s="180" t="s">
        <v>153</v>
      </c>
      <c r="AL789" s="181" t="s">
        <v>153</v>
      </c>
      <c r="AM789" s="182" t="s">
        <v>153</v>
      </c>
      <c r="AN789" s="183" t="s">
        <v>153</v>
      </c>
      <c r="AO789" s="184" t="s">
        <v>153</v>
      </c>
      <c r="AP789" s="185" t="s">
        <v>153</v>
      </c>
      <c r="AQ789" s="186" t="s">
        <v>153</v>
      </c>
      <c r="AR789" s="187" t="s">
        <v>153</v>
      </c>
      <c r="AS789" s="188" t="s">
        <v>153</v>
      </c>
      <c r="AT789" s="189" t="s">
        <v>15761</v>
      </c>
      <c r="AU789" s="190" t="s">
        <v>153</v>
      </c>
      <c r="AV789" s="191" t="s">
        <v>153</v>
      </c>
      <c r="AW789" s="192" t="s">
        <v>153</v>
      </c>
      <c r="AX789" s="193" t="s">
        <v>15762</v>
      </c>
      <c r="AY789" s="194" t="s">
        <v>153</v>
      </c>
      <c r="AZ789" s="195" t="s">
        <v>215</v>
      </c>
      <c r="BA789" s="196" t="s">
        <v>153</v>
      </c>
      <c r="BB789" s="197" t="s">
        <v>153</v>
      </c>
      <c r="BC789" s="198" t="s">
        <v>153</v>
      </c>
      <c r="BD789" s="199" t="s">
        <v>216</v>
      </c>
      <c r="BE789" s="200" t="s">
        <v>217</v>
      </c>
      <c r="BF789" s="201" t="s">
        <v>15763</v>
      </c>
      <c r="BG789" s="202" t="s">
        <v>153</v>
      </c>
      <c r="BH789" s="203" t="s">
        <v>153</v>
      </c>
      <c r="BI789" s="204" t="s">
        <v>14262</v>
      </c>
      <c r="BJ789" s="205" t="s">
        <v>15764</v>
      </c>
      <c r="BK789" s="206" t="s">
        <v>153</v>
      </c>
      <c r="BL789" s="207" t="s">
        <v>153</v>
      </c>
      <c r="BM789" s="208" t="s">
        <v>15765</v>
      </c>
      <c r="BN789" s="209" t="s">
        <v>153</v>
      </c>
      <c r="BO789" s="210" t="s">
        <v>153</v>
      </c>
      <c r="BP789" s="211" t="s">
        <v>153</v>
      </c>
      <c r="BQ789" s="212">
        <v>41243</v>
      </c>
      <c r="BR789" s="213">
        <v>6110</v>
      </c>
      <c r="BS789" s="214" t="s">
        <v>186</v>
      </c>
      <c r="BT789" s="215">
        <v>6110</v>
      </c>
      <c r="BU789" s="216" t="s">
        <v>186</v>
      </c>
      <c r="BV789" s="217" t="s">
        <v>1524</v>
      </c>
      <c r="BW789" s="218" t="s">
        <v>1525</v>
      </c>
      <c r="BX789" s="219" t="s">
        <v>1526</v>
      </c>
      <c r="BY789" s="220" t="s">
        <v>225</v>
      </c>
      <c r="BZ789" s="221" t="s">
        <v>153</v>
      </c>
      <c r="CA789" s="222" t="s">
        <v>190</v>
      </c>
      <c r="CB789" s="223">
        <v>41243</v>
      </c>
      <c r="CC789" s="224">
        <v>6110</v>
      </c>
      <c r="CD789" s="225" t="s">
        <v>186</v>
      </c>
      <c r="CE789" s="226">
        <v>6110</v>
      </c>
      <c r="CF789" s="227" t="s">
        <v>186</v>
      </c>
      <c r="CG789" s="228" t="s">
        <v>1524</v>
      </c>
      <c r="CH789" s="229" t="s">
        <v>1525</v>
      </c>
      <c r="CI789" s="230" t="s">
        <v>1526</v>
      </c>
      <c r="CJ789" s="231" t="s">
        <v>225</v>
      </c>
      <c r="CK789" s="232">
        <v>41243</v>
      </c>
      <c r="CL789" s="233" t="s">
        <v>153</v>
      </c>
      <c r="CM789" s="234" t="s">
        <v>153</v>
      </c>
      <c r="CN789" s="235" t="s">
        <v>190</v>
      </c>
      <c r="CO789" s="236" t="s">
        <v>153</v>
      </c>
      <c r="CP789" s="237" t="s">
        <v>153</v>
      </c>
      <c r="CQ789" s="238" t="s">
        <v>153</v>
      </c>
      <c r="CR789" s="239" t="s">
        <v>153</v>
      </c>
      <c r="CS789" s="240" t="s">
        <v>153</v>
      </c>
      <c r="CT789" s="241" t="s">
        <v>153</v>
      </c>
      <c r="CU789" s="242" t="s">
        <v>153</v>
      </c>
      <c r="CV789" s="243" t="s">
        <v>153</v>
      </c>
      <c r="CW789" s="244" t="s">
        <v>153</v>
      </c>
      <c r="CX789" s="245" t="s">
        <v>153</v>
      </c>
      <c r="CY789" s="246" t="s">
        <v>153</v>
      </c>
      <c r="CZ789" s="247" t="s">
        <v>153</v>
      </c>
      <c r="DA789" s="248" t="s">
        <v>153</v>
      </c>
      <c r="DB789" s="249" t="s">
        <v>153</v>
      </c>
      <c r="DC789" s="250" t="s">
        <v>153</v>
      </c>
      <c r="DD789" s="251" t="s">
        <v>153</v>
      </c>
      <c r="DE789" s="252" t="s">
        <v>153</v>
      </c>
      <c r="DF789" s="253" t="s">
        <v>153</v>
      </c>
      <c r="DG789" s="254" t="s">
        <v>153</v>
      </c>
      <c r="DH789" s="255" t="s">
        <v>153</v>
      </c>
      <c r="DI789" s="256" t="s">
        <v>153</v>
      </c>
      <c r="DJ789" s="257" t="s">
        <v>153</v>
      </c>
      <c r="DK789" s="258" t="s">
        <v>153</v>
      </c>
      <c r="DL789" s="259" t="s">
        <v>153</v>
      </c>
      <c r="DM789" s="260" t="s">
        <v>153</v>
      </c>
      <c r="DN789" s="261" t="s">
        <v>153</v>
      </c>
      <c r="DO789" s="262" t="s">
        <v>153</v>
      </c>
      <c r="DP789" s="263" t="s">
        <v>153</v>
      </c>
      <c r="DQ789" s="264" t="s">
        <v>153</v>
      </c>
      <c r="DR789" s="265" t="s">
        <v>153</v>
      </c>
      <c r="DS789" s="266" t="s">
        <v>153</v>
      </c>
      <c r="DT789" s="267" t="s">
        <v>153</v>
      </c>
      <c r="DU789" s="268" t="s">
        <v>153</v>
      </c>
      <c r="DV789" s="269" t="s">
        <v>153</v>
      </c>
      <c r="DW789" s="270" t="s">
        <v>153</v>
      </c>
      <c r="DX789" s="271" t="s">
        <v>153</v>
      </c>
      <c r="DY789" s="272" t="s">
        <v>153</v>
      </c>
      <c r="DZ789" s="273" t="s">
        <v>191</v>
      </c>
      <c r="EA789" s="274">
        <v>44224</v>
      </c>
      <c r="EB789" s="275">
        <v>6110</v>
      </c>
      <c r="EC789" s="276">
        <v>41243</v>
      </c>
      <c r="ED789" s="277" t="s">
        <v>1524</v>
      </c>
      <c r="EE789" s="279" t="str">
        <f>HYPERLINK("https://my.pitchbook.com?c=65281-60", "View company online")</f>
        <v>View company online</v>
      </c>
    </row>
    <row r="790" spans="1:135" x14ac:dyDescent="0.45">
      <c r="A790" s="10" t="s">
        <v>15766</v>
      </c>
      <c r="B790" s="11" t="s">
        <v>15767</v>
      </c>
      <c r="C790" s="12" t="s">
        <v>153</v>
      </c>
      <c r="D790" s="13" t="s">
        <v>153</v>
      </c>
      <c r="E790" s="14" t="s">
        <v>15768</v>
      </c>
      <c r="F790" s="15" t="s">
        <v>153</v>
      </c>
      <c r="G790" s="16" t="s">
        <v>153</v>
      </c>
      <c r="H790" s="17" t="s">
        <v>15769</v>
      </c>
      <c r="I790" s="18" t="s">
        <v>15766</v>
      </c>
      <c r="J790" s="19" t="s">
        <v>15770</v>
      </c>
      <c r="K790" s="20" t="s">
        <v>882</v>
      </c>
      <c r="L790" s="21" t="s">
        <v>883</v>
      </c>
      <c r="M790" s="22" t="s">
        <v>7704</v>
      </c>
      <c r="N790" s="23" t="s">
        <v>7705</v>
      </c>
      <c r="O790" s="24" t="s">
        <v>365</v>
      </c>
      <c r="P790" s="25" t="s">
        <v>15771</v>
      </c>
      <c r="Q790" s="26" t="s">
        <v>204</v>
      </c>
      <c r="R790" s="27" t="s">
        <v>153</v>
      </c>
      <c r="S790" s="28" t="s">
        <v>290</v>
      </c>
      <c r="T790" s="29" t="s">
        <v>164</v>
      </c>
      <c r="U790" s="30" t="s">
        <v>237</v>
      </c>
      <c r="V790" s="31" t="s">
        <v>15772</v>
      </c>
      <c r="W790" s="32">
        <v>7580</v>
      </c>
      <c r="X790" s="33" t="s">
        <v>15773</v>
      </c>
      <c r="Y790" s="34" t="s">
        <v>153</v>
      </c>
      <c r="Z790" s="35" t="s">
        <v>153</v>
      </c>
      <c r="AA790" s="36">
        <v>1981</v>
      </c>
      <c r="AB790" s="37" t="s">
        <v>15774</v>
      </c>
      <c r="AC790" s="38" t="s">
        <v>153</v>
      </c>
      <c r="AD790" s="39" t="s">
        <v>153</v>
      </c>
      <c r="AE790" s="40" t="s">
        <v>153</v>
      </c>
      <c r="AF790" s="41" t="s">
        <v>153</v>
      </c>
      <c r="AG790" s="42" t="s">
        <v>153</v>
      </c>
      <c r="AH790" s="43" t="s">
        <v>153</v>
      </c>
      <c r="AI790" s="44" t="s">
        <v>153</v>
      </c>
      <c r="AJ790" s="45" t="s">
        <v>153</v>
      </c>
      <c r="AK790" s="46" t="s">
        <v>153</v>
      </c>
      <c r="AL790" s="47" t="s">
        <v>153</v>
      </c>
      <c r="AM790" s="48" t="s">
        <v>153</v>
      </c>
      <c r="AN790" s="49" t="s">
        <v>403</v>
      </c>
      <c r="AO790" s="50" t="s">
        <v>15775</v>
      </c>
      <c r="AP790" s="51" t="s">
        <v>15776</v>
      </c>
      <c r="AQ790" s="52" t="s">
        <v>1241</v>
      </c>
      <c r="AR790" s="53" t="s">
        <v>153</v>
      </c>
      <c r="AS790" s="54" t="s">
        <v>15777</v>
      </c>
      <c r="AT790" s="55" t="s">
        <v>15778</v>
      </c>
      <c r="AU790" s="56" t="s">
        <v>15779</v>
      </c>
      <c r="AV790" s="57" t="s">
        <v>153</v>
      </c>
      <c r="AW790" s="58" t="s">
        <v>15780</v>
      </c>
      <c r="AX790" s="59" t="s">
        <v>15781</v>
      </c>
      <c r="AY790" s="60" t="s">
        <v>15782</v>
      </c>
      <c r="AZ790" s="61" t="s">
        <v>215</v>
      </c>
      <c r="BA790" s="62" t="s">
        <v>15777</v>
      </c>
      <c r="BB790" s="63" t="s">
        <v>15783</v>
      </c>
      <c r="BC790" s="64" t="s">
        <v>153</v>
      </c>
      <c r="BD790" s="65" t="s">
        <v>216</v>
      </c>
      <c r="BE790" s="66" t="s">
        <v>217</v>
      </c>
      <c r="BF790" s="67" t="s">
        <v>15784</v>
      </c>
      <c r="BG790" s="68" t="s">
        <v>153</v>
      </c>
      <c r="BH790" s="69" t="s">
        <v>153</v>
      </c>
      <c r="BI790" s="70" t="s">
        <v>15774</v>
      </c>
      <c r="BJ790" s="71" t="s">
        <v>153</v>
      </c>
      <c r="BK790" s="72" t="s">
        <v>153</v>
      </c>
      <c r="BL790" s="73" t="s">
        <v>153</v>
      </c>
      <c r="BM790" s="74" t="s">
        <v>153</v>
      </c>
      <c r="BN790" s="75" t="s">
        <v>153</v>
      </c>
      <c r="BO790" s="76" t="s">
        <v>15785</v>
      </c>
      <c r="BP790" s="77" t="s">
        <v>15786</v>
      </c>
      <c r="BQ790" s="78">
        <v>32346</v>
      </c>
      <c r="BR790" s="79" t="s">
        <v>153</v>
      </c>
      <c r="BS790" s="80" t="s">
        <v>153</v>
      </c>
      <c r="BT790" s="81" t="s">
        <v>153</v>
      </c>
      <c r="BU790" s="82" t="s">
        <v>153</v>
      </c>
      <c r="BV790" s="83" t="s">
        <v>251</v>
      </c>
      <c r="BW790" s="84" t="s">
        <v>153</v>
      </c>
      <c r="BX790" s="85" t="s">
        <v>153</v>
      </c>
      <c r="BY790" s="86" t="s">
        <v>252</v>
      </c>
      <c r="BZ790" s="87" t="s">
        <v>153</v>
      </c>
      <c r="CA790" s="88" t="s">
        <v>190</v>
      </c>
      <c r="CB790" s="89">
        <v>39127</v>
      </c>
      <c r="CC790" s="90">
        <v>6100</v>
      </c>
      <c r="CD790" s="91" t="s">
        <v>187</v>
      </c>
      <c r="CE790" s="92">
        <v>6100</v>
      </c>
      <c r="CF790" s="93" t="s">
        <v>187</v>
      </c>
      <c r="CG790" s="94" t="s">
        <v>226</v>
      </c>
      <c r="CH790" s="95" t="s">
        <v>153</v>
      </c>
      <c r="CI790" s="96" t="s">
        <v>153</v>
      </c>
      <c r="CJ790" s="97" t="s">
        <v>225</v>
      </c>
      <c r="CK790" s="98">
        <v>39127</v>
      </c>
      <c r="CL790" s="99" t="s">
        <v>153</v>
      </c>
      <c r="CM790" s="100" t="s">
        <v>153</v>
      </c>
      <c r="CN790" s="101" t="s">
        <v>190</v>
      </c>
      <c r="CO790" s="102">
        <v>-0.77</v>
      </c>
      <c r="CP790" s="103">
        <v>4</v>
      </c>
      <c r="CQ790" s="104">
        <v>-0.02</v>
      </c>
      <c r="CR790" s="105">
        <v>-2.0099999999999998</v>
      </c>
      <c r="CS790" s="106">
        <v>-1.51</v>
      </c>
      <c r="CT790" s="107">
        <v>3</v>
      </c>
      <c r="CU790" s="108">
        <v>-0.02</v>
      </c>
      <c r="CV790" s="109">
        <v>38</v>
      </c>
      <c r="CW790" s="110">
        <v>-3</v>
      </c>
      <c r="CX790" s="111">
        <v>9</v>
      </c>
      <c r="CY790" s="112">
        <v>-0.02</v>
      </c>
      <c r="CZ790" s="113">
        <v>5</v>
      </c>
      <c r="DA790" s="114">
        <v>-0.02</v>
      </c>
      <c r="DB790" s="115">
        <v>38</v>
      </c>
      <c r="DC790" s="116">
        <v>63.24</v>
      </c>
      <c r="DD790" s="117">
        <v>99</v>
      </c>
      <c r="DE790" s="118">
        <v>0.14000000000000001</v>
      </c>
      <c r="DF790" s="119">
        <v>0.22</v>
      </c>
      <c r="DG790" s="120">
        <v>88.33</v>
      </c>
      <c r="DH790" s="121">
        <v>99</v>
      </c>
      <c r="DI790" s="122">
        <v>38.14</v>
      </c>
      <c r="DJ790" s="123">
        <v>95</v>
      </c>
      <c r="DK790" s="124">
        <v>3.17</v>
      </c>
      <c r="DL790" s="125">
        <v>72</v>
      </c>
      <c r="DM790" s="126">
        <v>173.5</v>
      </c>
      <c r="DN790" s="127">
        <v>100</v>
      </c>
      <c r="DO790" s="128">
        <v>38.14</v>
      </c>
      <c r="DP790" s="129">
        <v>95</v>
      </c>
      <c r="DQ790" s="130">
        <v>1900</v>
      </c>
      <c r="DR790" s="131">
        <v>-79</v>
      </c>
      <c r="DS790" s="132">
        <v>-3.99</v>
      </c>
      <c r="DT790" s="133">
        <v>2776</v>
      </c>
      <c r="DU790" s="134">
        <v>1</v>
      </c>
      <c r="DV790" s="135">
        <v>0.04</v>
      </c>
      <c r="DW790" s="136">
        <v>11975</v>
      </c>
      <c r="DX790" s="137">
        <v>2</v>
      </c>
      <c r="DY790" s="138">
        <v>0.02</v>
      </c>
      <c r="DZ790" s="139" t="s">
        <v>191</v>
      </c>
      <c r="EA790" s="140">
        <v>44330</v>
      </c>
      <c r="EB790" s="141">
        <v>6100</v>
      </c>
      <c r="EC790" s="142">
        <v>39127</v>
      </c>
      <c r="ED790" s="143" t="s">
        <v>226</v>
      </c>
      <c r="EE790" s="278" t="str">
        <f>HYPERLINK("https://my.pitchbook.com?c=41086-72", "View company online")</f>
        <v>View company online</v>
      </c>
    </row>
    <row r="791" spans="1:135" x14ac:dyDescent="0.45">
      <c r="A791" s="144" t="s">
        <v>15787</v>
      </c>
      <c r="B791" s="145" t="s">
        <v>15788</v>
      </c>
      <c r="C791" s="146" t="s">
        <v>153</v>
      </c>
      <c r="D791" s="147" t="s">
        <v>153</v>
      </c>
      <c r="E791" s="148" t="s">
        <v>153</v>
      </c>
      <c r="F791" s="149" t="s">
        <v>153</v>
      </c>
      <c r="G791" s="150" t="s">
        <v>153</v>
      </c>
      <c r="H791" s="151" t="s">
        <v>153</v>
      </c>
      <c r="I791" s="152" t="s">
        <v>15787</v>
      </c>
      <c r="J791" s="153" t="s">
        <v>15789</v>
      </c>
      <c r="K791" s="154" t="s">
        <v>257</v>
      </c>
      <c r="L791" s="155" t="s">
        <v>530</v>
      </c>
      <c r="M791" s="156" t="s">
        <v>15790</v>
      </c>
      <c r="N791" s="157" t="s">
        <v>15791</v>
      </c>
      <c r="O791" s="158" t="s">
        <v>153</v>
      </c>
      <c r="P791" s="159" t="s">
        <v>15792</v>
      </c>
      <c r="Q791" s="160" t="s">
        <v>15793</v>
      </c>
      <c r="R791" s="161">
        <v>6100</v>
      </c>
      <c r="S791" s="162" t="s">
        <v>153</v>
      </c>
      <c r="T791" s="163" t="s">
        <v>205</v>
      </c>
      <c r="U791" s="164" t="s">
        <v>15794</v>
      </c>
      <c r="V791" s="165" t="s">
        <v>153</v>
      </c>
      <c r="W791" s="166" t="s">
        <v>153</v>
      </c>
      <c r="X791" s="167" t="s">
        <v>153</v>
      </c>
      <c r="Y791" s="168" t="s">
        <v>153</v>
      </c>
      <c r="Z791" s="169" t="s">
        <v>153</v>
      </c>
      <c r="AA791" s="170" t="s">
        <v>153</v>
      </c>
      <c r="AB791" s="171" t="s">
        <v>153</v>
      </c>
      <c r="AC791" s="172" t="s">
        <v>153</v>
      </c>
      <c r="AD791" s="173" t="s">
        <v>153</v>
      </c>
      <c r="AE791" s="174" t="s">
        <v>153</v>
      </c>
      <c r="AF791" s="175" t="s">
        <v>153</v>
      </c>
      <c r="AG791" s="176" t="s">
        <v>153</v>
      </c>
      <c r="AH791" s="177" t="s">
        <v>153</v>
      </c>
      <c r="AI791" s="178" t="s">
        <v>153</v>
      </c>
      <c r="AJ791" s="179" t="s">
        <v>153</v>
      </c>
      <c r="AK791" s="180" t="s">
        <v>153</v>
      </c>
      <c r="AL791" s="181" t="s">
        <v>153</v>
      </c>
      <c r="AM791" s="182" t="s">
        <v>153</v>
      </c>
      <c r="AN791" s="183" t="s">
        <v>153</v>
      </c>
      <c r="AO791" s="184" t="s">
        <v>15795</v>
      </c>
      <c r="AP791" s="185" t="s">
        <v>15796</v>
      </c>
      <c r="AQ791" s="186" t="s">
        <v>512</v>
      </c>
      <c r="AR791" s="187" t="s">
        <v>153</v>
      </c>
      <c r="AS791" s="188" t="s">
        <v>15797</v>
      </c>
      <c r="AT791" s="189" t="s">
        <v>15798</v>
      </c>
      <c r="AU791" s="190" t="s">
        <v>15799</v>
      </c>
      <c r="AV791" s="191" t="s">
        <v>153</v>
      </c>
      <c r="AW791" s="192" t="s">
        <v>15800</v>
      </c>
      <c r="AX791" s="193" t="s">
        <v>724</v>
      </c>
      <c r="AY791" s="194" t="s">
        <v>15801</v>
      </c>
      <c r="AZ791" s="195" t="s">
        <v>215</v>
      </c>
      <c r="BA791" s="196" t="s">
        <v>15797</v>
      </c>
      <c r="BB791" s="197" t="s">
        <v>15802</v>
      </c>
      <c r="BC791" s="198" t="s">
        <v>153</v>
      </c>
      <c r="BD791" s="199" t="s">
        <v>216</v>
      </c>
      <c r="BE791" s="200" t="s">
        <v>217</v>
      </c>
      <c r="BF791" s="201" t="s">
        <v>15803</v>
      </c>
      <c r="BG791" s="202" t="s">
        <v>153</v>
      </c>
      <c r="BH791" s="203" t="s">
        <v>153</v>
      </c>
      <c r="BI791" s="204" t="s">
        <v>15804</v>
      </c>
      <c r="BJ791" s="205" t="s">
        <v>15805</v>
      </c>
      <c r="BK791" s="206" t="s">
        <v>153</v>
      </c>
      <c r="BL791" s="207" t="s">
        <v>153</v>
      </c>
      <c r="BM791" s="208" t="s">
        <v>15806</v>
      </c>
      <c r="BN791" s="209" t="s">
        <v>153</v>
      </c>
      <c r="BO791" s="210" t="s">
        <v>153</v>
      </c>
      <c r="BP791" s="211" t="s">
        <v>15807</v>
      </c>
      <c r="BQ791" s="212">
        <v>40641</v>
      </c>
      <c r="BR791" s="213">
        <v>6100</v>
      </c>
      <c r="BS791" s="214" t="s">
        <v>186</v>
      </c>
      <c r="BT791" s="215">
        <v>6100</v>
      </c>
      <c r="BU791" s="216" t="s">
        <v>186</v>
      </c>
      <c r="BV791" s="217" t="s">
        <v>15808</v>
      </c>
      <c r="BW791" s="218" t="s">
        <v>153</v>
      </c>
      <c r="BX791" s="219" t="s">
        <v>153</v>
      </c>
      <c r="BY791" s="220" t="s">
        <v>4290</v>
      </c>
      <c r="BZ791" s="221" t="s">
        <v>153</v>
      </c>
      <c r="CA791" s="222" t="s">
        <v>190</v>
      </c>
      <c r="CB791" s="223">
        <v>40641</v>
      </c>
      <c r="CC791" s="224">
        <v>6100</v>
      </c>
      <c r="CD791" s="225" t="s">
        <v>186</v>
      </c>
      <c r="CE791" s="226">
        <v>6100</v>
      </c>
      <c r="CF791" s="227" t="s">
        <v>186</v>
      </c>
      <c r="CG791" s="228" t="s">
        <v>15808</v>
      </c>
      <c r="CH791" s="229" t="s">
        <v>153</v>
      </c>
      <c r="CI791" s="230" t="s">
        <v>153</v>
      </c>
      <c r="CJ791" s="231" t="s">
        <v>4290</v>
      </c>
      <c r="CK791" s="232">
        <v>40641</v>
      </c>
      <c r="CL791" s="233" t="s">
        <v>153</v>
      </c>
      <c r="CM791" s="234" t="s">
        <v>153</v>
      </c>
      <c r="CN791" s="235" t="s">
        <v>190</v>
      </c>
      <c r="CO791" s="236" t="s">
        <v>153</v>
      </c>
      <c r="CP791" s="237" t="s">
        <v>153</v>
      </c>
      <c r="CQ791" s="238" t="s">
        <v>153</v>
      </c>
      <c r="CR791" s="239" t="s">
        <v>153</v>
      </c>
      <c r="CS791" s="240" t="s">
        <v>153</v>
      </c>
      <c r="CT791" s="241" t="s">
        <v>153</v>
      </c>
      <c r="CU791" s="242" t="s">
        <v>153</v>
      </c>
      <c r="CV791" s="243" t="s">
        <v>153</v>
      </c>
      <c r="CW791" s="244" t="s">
        <v>153</v>
      </c>
      <c r="CX791" s="245" t="s">
        <v>153</v>
      </c>
      <c r="CY791" s="246" t="s">
        <v>153</v>
      </c>
      <c r="CZ791" s="247" t="s">
        <v>153</v>
      </c>
      <c r="DA791" s="248" t="s">
        <v>153</v>
      </c>
      <c r="DB791" s="249" t="s">
        <v>153</v>
      </c>
      <c r="DC791" s="250" t="s">
        <v>153</v>
      </c>
      <c r="DD791" s="251" t="s">
        <v>153</v>
      </c>
      <c r="DE791" s="252" t="s">
        <v>153</v>
      </c>
      <c r="DF791" s="253" t="s">
        <v>153</v>
      </c>
      <c r="DG791" s="254" t="s">
        <v>153</v>
      </c>
      <c r="DH791" s="255" t="s">
        <v>153</v>
      </c>
      <c r="DI791" s="256" t="s">
        <v>153</v>
      </c>
      <c r="DJ791" s="257" t="s">
        <v>153</v>
      </c>
      <c r="DK791" s="258" t="s">
        <v>153</v>
      </c>
      <c r="DL791" s="259" t="s">
        <v>153</v>
      </c>
      <c r="DM791" s="260" t="s">
        <v>153</v>
      </c>
      <c r="DN791" s="261" t="s">
        <v>153</v>
      </c>
      <c r="DO791" s="262" t="s">
        <v>153</v>
      </c>
      <c r="DP791" s="263" t="s">
        <v>153</v>
      </c>
      <c r="DQ791" s="264" t="s">
        <v>153</v>
      </c>
      <c r="DR791" s="265" t="s">
        <v>153</v>
      </c>
      <c r="DS791" s="266" t="s">
        <v>153</v>
      </c>
      <c r="DT791" s="267" t="s">
        <v>153</v>
      </c>
      <c r="DU791" s="268" t="s">
        <v>153</v>
      </c>
      <c r="DV791" s="269" t="s">
        <v>153</v>
      </c>
      <c r="DW791" s="270" t="s">
        <v>153</v>
      </c>
      <c r="DX791" s="271" t="s">
        <v>153</v>
      </c>
      <c r="DY791" s="272" t="s">
        <v>153</v>
      </c>
      <c r="DZ791" s="273" t="s">
        <v>191</v>
      </c>
      <c r="EA791" s="274">
        <v>43931</v>
      </c>
      <c r="EB791" s="275">
        <v>6100</v>
      </c>
      <c r="EC791" s="276">
        <v>40641</v>
      </c>
      <c r="ED791" s="277" t="s">
        <v>15808</v>
      </c>
      <c r="EE791" s="279" t="str">
        <f>HYPERLINK("https://my.pitchbook.com?c=42137-02", "View company online")</f>
        <v>View company online</v>
      </c>
    </row>
    <row r="792" spans="1:135" x14ac:dyDescent="0.45">
      <c r="A792" s="10" t="s">
        <v>15809</v>
      </c>
      <c r="B792" s="11" t="s">
        <v>15810</v>
      </c>
      <c r="C792" s="12" t="s">
        <v>153</v>
      </c>
      <c r="D792" s="13" t="s">
        <v>153</v>
      </c>
      <c r="E792" s="14" t="s">
        <v>153</v>
      </c>
      <c r="F792" s="15" t="s">
        <v>153</v>
      </c>
      <c r="G792" s="16" t="s">
        <v>153</v>
      </c>
      <c r="H792" s="17" t="s">
        <v>153</v>
      </c>
      <c r="I792" s="18" t="s">
        <v>15809</v>
      </c>
      <c r="J792" s="19" t="s">
        <v>15811</v>
      </c>
      <c r="K792" s="20" t="s">
        <v>257</v>
      </c>
      <c r="L792" s="21" t="s">
        <v>478</v>
      </c>
      <c r="M792" s="22" t="s">
        <v>1819</v>
      </c>
      <c r="N792" s="23" t="s">
        <v>5949</v>
      </c>
      <c r="O792" s="24" t="s">
        <v>6151</v>
      </c>
      <c r="P792" s="25" t="s">
        <v>15812</v>
      </c>
      <c r="Q792" s="26" t="s">
        <v>204</v>
      </c>
      <c r="R792" s="27" t="s">
        <v>153</v>
      </c>
      <c r="S792" s="28" t="s">
        <v>290</v>
      </c>
      <c r="T792" s="29" t="s">
        <v>205</v>
      </c>
      <c r="U792" s="30" t="s">
        <v>206</v>
      </c>
      <c r="V792" s="31" t="s">
        <v>153</v>
      </c>
      <c r="W792" s="32">
        <v>10000</v>
      </c>
      <c r="X792" s="33" t="s">
        <v>15813</v>
      </c>
      <c r="Y792" s="34" t="s">
        <v>153</v>
      </c>
      <c r="Z792" s="35" t="s">
        <v>153</v>
      </c>
      <c r="AA792" s="36" t="s">
        <v>153</v>
      </c>
      <c r="AB792" s="37" t="s">
        <v>153</v>
      </c>
      <c r="AC792" s="38" t="s">
        <v>153</v>
      </c>
      <c r="AD792" s="39" t="s">
        <v>153</v>
      </c>
      <c r="AE792" s="40" t="s">
        <v>153</v>
      </c>
      <c r="AF792" s="41" t="s">
        <v>153</v>
      </c>
      <c r="AG792" s="42" t="s">
        <v>153</v>
      </c>
      <c r="AH792" s="43" t="s">
        <v>153</v>
      </c>
      <c r="AI792" s="44" t="s">
        <v>153</v>
      </c>
      <c r="AJ792" s="45" t="s">
        <v>153</v>
      </c>
      <c r="AK792" s="46" t="s">
        <v>153</v>
      </c>
      <c r="AL792" s="47" t="s">
        <v>153</v>
      </c>
      <c r="AM792" s="48" t="s">
        <v>153</v>
      </c>
      <c r="AN792" s="49" t="s">
        <v>2112</v>
      </c>
      <c r="AO792" s="50" t="s">
        <v>153</v>
      </c>
      <c r="AP792" s="51" t="s">
        <v>153</v>
      </c>
      <c r="AQ792" s="52" t="s">
        <v>153</v>
      </c>
      <c r="AR792" s="53" t="s">
        <v>153</v>
      </c>
      <c r="AS792" s="54" t="s">
        <v>153</v>
      </c>
      <c r="AT792" s="55" t="s">
        <v>624</v>
      </c>
      <c r="AU792" s="56" t="s">
        <v>1047</v>
      </c>
      <c r="AV792" s="57" t="s">
        <v>153</v>
      </c>
      <c r="AW792" s="58" t="s">
        <v>627</v>
      </c>
      <c r="AX792" s="59" t="s">
        <v>153</v>
      </c>
      <c r="AY792" s="60" t="s">
        <v>761</v>
      </c>
      <c r="AZ792" s="61" t="s">
        <v>629</v>
      </c>
      <c r="BA792" s="62" t="s">
        <v>153</v>
      </c>
      <c r="BB792" s="63" t="s">
        <v>153</v>
      </c>
      <c r="BC792" s="64" t="s">
        <v>153</v>
      </c>
      <c r="BD792" s="65" t="s">
        <v>180</v>
      </c>
      <c r="BE792" s="66" t="s">
        <v>181</v>
      </c>
      <c r="BF792" s="67" t="s">
        <v>15814</v>
      </c>
      <c r="BG792" s="68" t="s">
        <v>153</v>
      </c>
      <c r="BH792" s="69" t="s">
        <v>153</v>
      </c>
      <c r="BI792" s="70" t="s">
        <v>15815</v>
      </c>
      <c r="BJ792" s="71" t="s">
        <v>1049</v>
      </c>
      <c r="BK792" s="72" t="s">
        <v>153</v>
      </c>
      <c r="BL792" s="73" t="s">
        <v>153</v>
      </c>
      <c r="BM792" s="74" t="s">
        <v>15816</v>
      </c>
      <c r="BN792" s="75" t="s">
        <v>153</v>
      </c>
      <c r="BO792" s="76" t="s">
        <v>153</v>
      </c>
      <c r="BP792" s="77" t="s">
        <v>15817</v>
      </c>
      <c r="BQ792" s="78">
        <v>42946</v>
      </c>
      <c r="BR792" s="79">
        <v>6100</v>
      </c>
      <c r="BS792" s="80" t="s">
        <v>186</v>
      </c>
      <c r="BT792" s="81">
        <v>6100</v>
      </c>
      <c r="BU792" s="82" t="s">
        <v>186</v>
      </c>
      <c r="BV792" s="83" t="s">
        <v>226</v>
      </c>
      <c r="BW792" s="84" t="s">
        <v>729</v>
      </c>
      <c r="BX792" s="85" t="s">
        <v>153</v>
      </c>
      <c r="BY792" s="86" t="s">
        <v>225</v>
      </c>
      <c r="BZ792" s="87" t="s">
        <v>15818</v>
      </c>
      <c r="CA792" s="88" t="s">
        <v>190</v>
      </c>
      <c r="CB792" s="89">
        <v>42946</v>
      </c>
      <c r="CC792" s="90">
        <v>6100</v>
      </c>
      <c r="CD792" s="91" t="s">
        <v>186</v>
      </c>
      <c r="CE792" s="92">
        <v>6100</v>
      </c>
      <c r="CF792" s="93" t="s">
        <v>186</v>
      </c>
      <c r="CG792" s="94" t="s">
        <v>226</v>
      </c>
      <c r="CH792" s="95" t="s">
        <v>729</v>
      </c>
      <c r="CI792" s="96" t="s">
        <v>153</v>
      </c>
      <c r="CJ792" s="97" t="s">
        <v>225</v>
      </c>
      <c r="CK792" s="98">
        <v>42946</v>
      </c>
      <c r="CL792" s="99">
        <v>4500</v>
      </c>
      <c r="CM792" s="100" t="s">
        <v>15818</v>
      </c>
      <c r="CN792" s="101" t="s">
        <v>190</v>
      </c>
      <c r="CO792" s="102" t="s">
        <v>153</v>
      </c>
      <c r="CP792" s="103" t="s">
        <v>153</v>
      </c>
      <c r="CQ792" s="104" t="s">
        <v>153</v>
      </c>
      <c r="CR792" s="105" t="s">
        <v>153</v>
      </c>
      <c r="CS792" s="106" t="s">
        <v>153</v>
      </c>
      <c r="CT792" s="107" t="s">
        <v>153</v>
      </c>
      <c r="CU792" s="108" t="s">
        <v>153</v>
      </c>
      <c r="CV792" s="109" t="s">
        <v>153</v>
      </c>
      <c r="CW792" s="110" t="s">
        <v>153</v>
      </c>
      <c r="CX792" s="111" t="s">
        <v>153</v>
      </c>
      <c r="CY792" s="112" t="s">
        <v>153</v>
      </c>
      <c r="CZ792" s="113" t="s">
        <v>153</v>
      </c>
      <c r="DA792" s="114" t="s">
        <v>153</v>
      </c>
      <c r="DB792" s="115" t="s">
        <v>153</v>
      </c>
      <c r="DC792" s="116" t="s">
        <v>153</v>
      </c>
      <c r="DD792" s="117" t="s">
        <v>153</v>
      </c>
      <c r="DE792" s="118" t="s">
        <v>153</v>
      </c>
      <c r="DF792" s="119" t="s">
        <v>153</v>
      </c>
      <c r="DG792" s="120" t="s">
        <v>153</v>
      </c>
      <c r="DH792" s="121" t="s">
        <v>153</v>
      </c>
      <c r="DI792" s="122" t="s">
        <v>153</v>
      </c>
      <c r="DJ792" s="123" t="s">
        <v>153</v>
      </c>
      <c r="DK792" s="124" t="s">
        <v>153</v>
      </c>
      <c r="DL792" s="125" t="s">
        <v>153</v>
      </c>
      <c r="DM792" s="126" t="s">
        <v>153</v>
      </c>
      <c r="DN792" s="127" t="s">
        <v>153</v>
      </c>
      <c r="DO792" s="128" t="s">
        <v>153</v>
      </c>
      <c r="DP792" s="129" t="s">
        <v>153</v>
      </c>
      <c r="DQ792" s="130" t="s">
        <v>153</v>
      </c>
      <c r="DR792" s="131" t="s">
        <v>153</v>
      </c>
      <c r="DS792" s="132" t="s">
        <v>153</v>
      </c>
      <c r="DT792" s="133" t="s">
        <v>153</v>
      </c>
      <c r="DU792" s="134" t="s">
        <v>153</v>
      </c>
      <c r="DV792" s="135" t="s">
        <v>153</v>
      </c>
      <c r="DW792" s="136" t="s">
        <v>153</v>
      </c>
      <c r="DX792" s="137" t="s">
        <v>153</v>
      </c>
      <c r="DY792" s="138" t="s">
        <v>153</v>
      </c>
      <c r="DZ792" s="139" t="s">
        <v>191</v>
      </c>
      <c r="EA792" s="140">
        <v>43964</v>
      </c>
      <c r="EB792" s="141">
        <v>6100</v>
      </c>
      <c r="EC792" s="142">
        <v>42946</v>
      </c>
      <c r="ED792" s="143" t="s">
        <v>226</v>
      </c>
      <c r="EE792" s="278" t="str">
        <f>HYPERLINK("https://my.pitchbook.com?c=170234-02", "View company online")</f>
        <v>View company online</v>
      </c>
    </row>
    <row r="793" spans="1:135" x14ac:dyDescent="0.45">
      <c r="A793" s="144" t="s">
        <v>15819</v>
      </c>
      <c r="B793" s="145" t="s">
        <v>15820</v>
      </c>
      <c r="C793" s="146" t="s">
        <v>153</v>
      </c>
      <c r="D793" s="147" t="s">
        <v>153</v>
      </c>
      <c r="E793" s="148" t="s">
        <v>153</v>
      </c>
      <c r="F793" s="149" t="s">
        <v>15821</v>
      </c>
      <c r="G793" s="150" t="s">
        <v>15822</v>
      </c>
      <c r="H793" s="151" t="s">
        <v>15823</v>
      </c>
      <c r="I793" s="152" t="s">
        <v>15819</v>
      </c>
      <c r="J793" s="153" t="s">
        <v>15824</v>
      </c>
      <c r="K793" s="154" t="s">
        <v>257</v>
      </c>
      <c r="L793" s="155" t="s">
        <v>258</v>
      </c>
      <c r="M793" s="156" t="s">
        <v>3389</v>
      </c>
      <c r="N793" s="157" t="s">
        <v>15825</v>
      </c>
      <c r="O793" s="158" t="s">
        <v>596</v>
      </c>
      <c r="P793" s="159" t="s">
        <v>15826</v>
      </c>
      <c r="Q793" s="160" t="s">
        <v>289</v>
      </c>
      <c r="R793" s="161">
        <v>378.9</v>
      </c>
      <c r="S793" s="162" t="s">
        <v>368</v>
      </c>
      <c r="T793" s="163" t="s">
        <v>205</v>
      </c>
      <c r="U793" s="164" t="s">
        <v>292</v>
      </c>
      <c r="V793" s="165" t="s">
        <v>15827</v>
      </c>
      <c r="W793" s="166">
        <v>118</v>
      </c>
      <c r="X793" s="167" t="s">
        <v>15828</v>
      </c>
      <c r="Y793" s="168" t="s">
        <v>153</v>
      </c>
      <c r="Z793" s="169" t="s">
        <v>153</v>
      </c>
      <c r="AA793" s="170">
        <v>2001</v>
      </c>
      <c r="AB793" s="171" t="s">
        <v>2138</v>
      </c>
      <c r="AC793" s="172" t="s">
        <v>153</v>
      </c>
      <c r="AD793" s="173" t="s">
        <v>428</v>
      </c>
      <c r="AE793" s="174">
        <v>30.07</v>
      </c>
      <c r="AF793" s="175">
        <v>-127.42</v>
      </c>
      <c r="AG793" s="176">
        <v>-227.83</v>
      </c>
      <c r="AH793" s="177">
        <v>3489.06</v>
      </c>
      <c r="AI793" s="178">
        <v>-223.55</v>
      </c>
      <c r="AJ793" s="179">
        <v>-227.83</v>
      </c>
      <c r="AK793" s="180" t="s">
        <v>153</v>
      </c>
      <c r="AL793" s="181">
        <v>-399.21</v>
      </c>
      <c r="AM793" s="182">
        <v>-55.12</v>
      </c>
      <c r="AN793" s="183" t="s">
        <v>3395</v>
      </c>
      <c r="AO793" s="184" t="s">
        <v>15829</v>
      </c>
      <c r="AP793" s="185" t="s">
        <v>15830</v>
      </c>
      <c r="AQ793" s="186" t="s">
        <v>15831</v>
      </c>
      <c r="AR793" s="187" t="s">
        <v>15832</v>
      </c>
      <c r="AS793" s="188" t="s">
        <v>153</v>
      </c>
      <c r="AT793" s="189" t="s">
        <v>3450</v>
      </c>
      <c r="AU793" s="190" t="s">
        <v>15833</v>
      </c>
      <c r="AV793" s="191" t="s">
        <v>153</v>
      </c>
      <c r="AW793" s="192" t="s">
        <v>3452</v>
      </c>
      <c r="AX793" s="193" t="s">
        <v>385</v>
      </c>
      <c r="AY793" s="194" t="s">
        <v>3453</v>
      </c>
      <c r="AZ793" s="195" t="s">
        <v>215</v>
      </c>
      <c r="BA793" s="196" t="s">
        <v>153</v>
      </c>
      <c r="BB793" s="197" t="s">
        <v>153</v>
      </c>
      <c r="BC793" s="198" t="s">
        <v>153</v>
      </c>
      <c r="BD793" s="199" t="s">
        <v>216</v>
      </c>
      <c r="BE793" s="200" t="s">
        <v>217</v>
      </c>
      <c r="BF793" s="201" t="s">
        <v>15834</v>
      </c>
      <c r="BG793" s="202" t="s">
        <v>153</v>
      </c>
      <c r="BH793" s="203" t="s">
        <v>153</v>
      </c>
      <c r="BI793" s="204" t="s">
        <v>2138</v>
      </c>
      <c r="BJ793" s="205" t="s">
        <v>15835</v>
      </c>
      <c r="BK793" s="206" t="s">
        <v>6916</v>
      </c>
      <c r="BL793" s="207" t="s">
        <v>153</v>
      </c>
      <c r="BM793" s="208" t="s">
        <v>15836</v>
      </c>
      <c r="BN793" s="209" t="s">
        <v>15837</v>
      </c>
      <c r="BO793" s="210" t="s">
        <v>153</v>
      </c>
      <c r="BP793" s="211" t="s">
        <v>15838</v>
      </c>
      <c r="BQ793" s="212">
        <v>37278</v>
      </c>
      <c r="BR793" s="213">
        <v>1.77</v>
      </c>
      <c r="BS793" s="214" t="s">
        <v>186</v>
      </c>
      <c r="BT793" s="215">
        <v>8.2799999999999994</v>
      </c>
      <c r="BU793" s="216" t="s">
        <v>186</v>
      </c>
      <c r="BV793" s="217" t="s">
        <v>471</v>
      </c>
      <c r="BW793" s="218" t="s">
        <v>1811</v>
      </c>
      <c r="BX793" s="219" t="s">
        <v>153</v>
      </c>
      <c r="BY793" s="220" t="s">
        <v>472</v>
      </c>
      <c r="BZ793" s="221" t="s">
        <v>153</v>
      </c>
      <c r="CA793" s="222" t="s">
        <v>190</v>
      </c>
      <c r="CB793" s="223">
        <v>44105</v>
      </c>
      <c r="CC793" s="224">
        <v>6100</v>
      </c>
      <c r="CD793" s="225" t="s">
        <v>186</v>
      </c>
      <c r="CE793" s="226">
        <v>6100</v>
      </c>
      <c r="CF793" s="227" t="s">
        <v>187</v>
      </c>
      <c r="CG793" s="228" t="s">
        <v>226</v>
      </c>
      <c r="CH793" s="229" t="s">
        <v>153</v>
      </c>
      <c r="CI793" s="230" t="s">
        <v>153</v>
      </c>
      <c r="CJ793" s="231" t="s">
        <v>225</v>
      </c>
      <c r="CK793" s="232">
        <v>44105</v>
      </c>
      <c r="CL793" s="233" t="s">
        <v>153</v>
      </c>
      <c r="CM793" s="234" t="s">
        <v>153</v>
      </c>
      <c r="CN793" s="235" t="s">
        <v>190</v>
      </c>
      <c r="CO793" s="236" t="s">
        <v>153</v>
      </c>
      <c r="CP793" s="237" t="s">
        <v>153</v>
      </c>
      <c r="CQ793" s="238" t="s">
        <v>153</v>
      </c>
      <c r="CR793" s="239" t="s">
        <v>153</v>
      </c>
      <c r="CS793" s="240" t="s">
        <v>153</v>
      </c>
      <c r="CT793" s="241" t="s">
        <v>153</v>
      </c>
      <c r="CU793" s="242" t="s">
        <v>153</v>
      </c>
      <c r="CV793" s="243" t="s">
        <v>153</v>
      </c>
      <c r="CW793" s="244" t="s">
        <v>153</v>
      </c>
      <c r="CX793" s="245" t="s">
        <v>153</v>
      </c>
      <c r="CY793" s="246" t="s">
        <v>153</v>
      </c>
      <c r="CZ793" s="247" t="s">
        <v>153</v>
      </c>
      <c r="DA793" s="248" t="s">
        <v>153</v>
      </c>
      <c r="DB793" s="249" t="s">
        <v>153</v>
      </c>
      <c r="DC793" s="250" t="s">
        <v>153</v>
      </c>
      <c r="DD793" s="251" t="s">
        <v>153</v>
      </c>
      <c r="DE793" s="252" t="s">
        <v>153</v>
      </c>
      <c r="DF793" s="253" t="s">
        <v>153</v>
      </c>
      <c r="DG793" s="254" t="s">
        <v>153</v>
      </c>
      <c r="DH793" s="255" t="s">
        <v>153</v>
      </c>
      <c r="DI793" s="256" t="s">
        <v>153</v>
      </c>
      <c r="DJ793" s="257" t="s">
        <v>153</v>
      </c>
      <c r="DK793" s="258" t="s">
        <v>153</v>
      </c>
      <c r="DL793" s="259" t="s">
        <v>153</v>
      </c>
      <c r="DM793" s="260" t="s">
        <v>153</v>
      </c>
      <c r="DN793" s="261" t="s">
        <v>153</v>
      </c>
      <c r="DO793" s="262" t="s">
        <v>153</v>
      </c>
      <c r="DP793" s="263" t="s">
        <v>153</v>
      </c>
      <c r="DQ793" s="264" t="s">
        <v>153</v>
      </c>
      <c r="DR793" s="265" t="s">
        <v>153</v>
      </c>
      <c r="DS793" s="266" t="s">
        <v>153</v>
      </c>
      <c r="DT793" s="267" t="s">
        <v>153</v>
      </c>
      <c r="DU793" s="268" t="s">
        <v>153</v>
      </c>
      <c r="DV793" s="269" t="s">
        <v>153</v>
      </c>
      <c r="DW793" s="270" t="s">
        <v>153</v>
      </c>
      <c r="DX793" s="271" t="s">
        <v>153</v>
      </c>
      <c r="DY793" s="272" t="s">
        <v>153</v>
      </c>
      <c r="DZ793" s="273" t="s">
        <v>191</v>
      </c>
      <c r="EA793" s="274">
        <v>44391</v>
      </c>
      <c r="EB793" s="275">
        <v>6100</v>
      </c>
      <c r="EC793" s="276">
        <v>44105</v>
      </c>
      <c r="ED793" s="277" t="s">
        <v>226</v>
      </c>
      <c r="EE793" s="279" t="str">
        <f>HYPERLINK("https://my.pitchbook.com?c=42027-04", "View company online")</f>
        <v>View company online</v>
      </c>
    </row>
    <row r="794" spans="1:135" x14ac:dyDescent="0.45">
      <c r="A794" s="10" t="s">
        <v>15839</v>
      </c>
      <c r="B794" s="11" t="s">
        <v>15840</v>
      </c>
      <c r="C794" s="12" t="s">
        <v>153</v>
      </c>
      <c r="D794" s="13" t="s">
        <v>153</v>
      </c>
      <c r="E794" s="14" t="s">
        <v>15841</v>
      </c>
      <c r="F794" s="15" t="s">
        <v>15842</v>
      </c>
      <c r="G794" s="16" t="s">
        <v>15843</v>
      </c>
      <c r="H794" s="17" t="s">
        <v>15844</v>
      </c>
      <c r="I794" s="18" t="s">
        <v>15839</v>
      </c>
      <c r="J794" s="19" t="s">
        <v>15845</v>
      </c>
      <c r="K794" s="20" t="s">
        <v>559</v>
      </c>
      <c r="L794" s="21" t="s">
        <v>3055</v>
      </c>
      <c r="M794" s="22" t="s">
        <v>7212</v>
      </c>
      <c r="N794" s="23" t="s">
        <v>15846</v>
      </c>
      <c r="O794" s="24" t="s">
        <v>261</v>
      </c>
      <c r="P794" s="25" t="s">
        <v>15847</v>
      </c>
      <c r="Q794" s="26" t="s">
        <v>564</v>
      </c>
      <c r="R794" s="27">
        <v>125.61</v>
      </c>
      <c r="S794" s="28" t="s">
        <v>290</v>
      </c>
      <c r="T794" s="29" t="s">
        <v>164</v>
      </c>
      <c r="U794" s="30" t="s">
        <v>369</v>
      </c>
      <c r="V794" s="31" t="s">
        <v>15848</v>
      </c>
      <c r="W794" s="32">
        <v>25000</v>
      </c>
      <c r="X794" s="33" t="s">
        <v>15849</v>
      </c>
      <c r="Y794" s="34" t="s">
        <v>153</v>
      </c>
      <c r="Z794" s="35" t="s">
        <v>153</v>
      </c>
      <c r="AA794" s="36">
        <v>1991</v>
      </c>
      <c r="AB794" s="37" t="s">
        <v>15850</v>
      </c>
      <c r="AC794" s="38" t="s">
        <v>153</v>
      </c>
      <c r="AD794" s="39" t="s">
        <v>428</v>
      </c>
      <c r="AE794" s="40" t="s">
        <v>153</v>
      </c>
      <c r="AF794" s="41" t="s">
        <v>153</v>
      </c>
      <c r="AG794" s="42" t="s">
        <v>153</v>
      </c>
      <c r="AH794" s="43" t="s">
        <v>153</v>
      </c>
      <c r="AI794" s="44" t="s">
        <v>153</v>
      </c>
      <c r="AJ794" s="45" t="s">
        <v>153</v>
      </c>
      <c r="AK794" s="46" t="s">
        <v>153</v>
      </c>
      <c r="AL794" s="47" t="s">
        <v>153</v>
      </c>
      <c r="AM794" s="48" t="s">
        <v>153</v>
      </c>
      <c r="AN794" s="49" t="s">
        <v>509</v>
      </c>
      <c r="AO794" s="50" t="s">
        <v>153</v>
      </c>
      <c r="AP794" s="51" t="s">
        <v>153</v>
      </c>
      <c r="AQ794" s="52" t="s">
        <v>153</v>
      </c>
      <c r="AR794" s="53" t="s">
        <v>153</v>
      </c>
      <c r="AS794" s="54" t="s">
        <v>153</v>
      </c>
      <c r="AT794" s="55" t="s">
        <v>15851</v>
      </c>
      <c r="AU794" s="56" t="s">
        <v>15852</v>
      </c>
      <c r="AV794" s="57" t="s">
        <v>15853</v>
      </c>
      <c r="AW794" s="58" t="s">
        <v>15854</v>
      </c>
      <c r="AX794" s="59" t="s">
        <v>177</v>
      </c>
      <c r="AY794" s="60" t="s">
        <v>15855</v>
      </c>
      <c r="AZ794" s="61" t="s">
        <v>179</v>
      </c>
      <c r="BA794" s="62" t="s">
        <v>153</v>
      </c>
      <c r="BB794" s="63" t="s">
        <v>153</v>
      </c>
      <c r="BC794" s="64" t="s">
        <v>153</v>
      </c>
      <c r="BD794" s="65" t="s">
        <v>180</v>
      </c>
      <c r="BE794" s="66" t="s">
        <v>181</v>
      </c>
      <c r="BF794" s="67" t="s">
        <v>15856</v>
      </c>
      <c r="BG794" s="68" t="s">
        <v>153</v>
      </c>
      <c r="BH794" s="69" t="s">
        <v>153</v>
      </c>
      <c r="BI794" s="70" t="s">
        <v>15850</v>
      </c>
      <c r="BJ794" s="71" t="s">
        <v>15857</v>
      </c>
      <c r="BK794" s="72" t="s">
        <v>12958</v>
      </c>
      <c r="BL794" s="73" t="s">
        <v>153</v>
      </c>
      <c r="BM794" s="74" t="s">
        <v>15858</v>
      </c>
      <c r="BN794" s="75" t="s">
        <v>12960</v>
      </c>
      <c r="BO794" s="76" t="s">
        <v>15859</v>
      </c>
      <c r="BP794" s="77" t="s">
        <v>15860</v>
      </c>
      <c r="BQ794" s="78">
        <v>33298</v>
      </c>
      <c r="BR794" s="79" t="s">
        <v>153</v>
      </c>
      <c r="BS794" s="80" t="s">
        <v>153</v>
      </c>
      <c r="BT794" s="81" t="s">
        <v>153</v>
      </c>
      <c r="BU794" s="82" t="s">
        <v>153</v>
      </c>
      <c r="BV794" s="83" t="s">
        <v>524</v>
      </c>
      <c r="BW794" s="84" t="s">
        <v>153</v>
      </c>
      <c r="BX794" s="85" t="s">
        <v>153</v>
      </c>
      <c r="BY794" s="86" t="s">
        <v>252</v>
      </c>
      <c r="BZ794" s="87" t="s">
        <v>153</v>
      </c>
      <c r="CA794" s="88" t="s">
        <v>190</v>
      </c>
      <c r="CB794" s="89">
        <v>43647</v>
      </c>
      <c r="CC794" s="90">
        <v>6100</v>
      </c>
      <c r="CD794" s="91" t="s">
        <v>186</v>
      </c>
      <c r="CE794" s="92">
        <v>6100</v>
      </c>
      <c r="CF794" s="93" t="s">
        <v>186</v>
      </c>
      <c r="CG794" s="94" t="s">
        <v>226</v>
      </c>
      <c r="CH794" s="95" t="s">
        <v>153</v>
      </c>
      <c r="CI794" s="96" t="s">
        <v>153</v>
      </c>
      <c r="CJ794" s="97" t="s">
        <v>225</v>
      </c>
      <c r="CK794" s="98">
        <v>43647</v>
      </c>
      <c r="CL794" s="99" t="s">
        <v>153</v>
      </c>
      <c r="CM794" s="100" t="s">
        <v>1607</v>
      </c>
      <c r="CN794" s="101" t="s">
        <v>190</v>
      </c>
      <c r="CO794" s="102" t="s">
        <v>153</v>
      </c>
      <c r="CP794" s="103" t="s">
        <v>153</v>
      </c>
      <c r="CQ794" s="104" t="s">
        <v>153</v>
      </c>
      <c r="CR794" s="105" t="s">
        <v>153</v>
      </c>
      <c r="CS794" s="106" t="s">
        <v>153</v>
      </c>
      <c r="CT794" s="107" t="s">
        <v>153</v>
      </c>
      <c r="CU794" s="108" t="s">
        <v>153</v>
      </c>
      <c r="CV794" s="109" t="s">
        <v>153</v>
      </c>
      <c r="CW794" s="110" t="s">
        <v>153</v>
      </c>
      <c r="CX794" s="111" t="s">
        <v>153</v>
      </c>
      <c r="CY794" s="112" t="s">
        <v>153</v>
      </c>
      <c r="CZ794" s="113" t="s">
        <v>153</v>
      </c>
      <c r="DA794" s="114" t="s">
        <v>153</v>
      </c>
      <c r="DB794" s="115" t="s">
        <v>153</v>
      </c>
      <c r="DC794" s="116" t="s">
        <v>153</v>
      </c>
      <c r="DD794" s="117" t="s">
        <v>153</v>
      </c>
      <c r="DE794" s="118" t="s">
        <v>153</v>
      </c>
      <c r="DF794" s="119" t="s">
        <v>153</v>
      </c>
      <c r="DG794" s="120" t="s">
        <v>153</v>
      </c>
      <c r="DH794" s="121" t="s">
        <v>153</v>
      </c>
      <c r="DI794" s="122" t="s">
        <v>153</v>
      </c>
      <c r="DJ794" s="123" t="s">
        <v>153</v>
      </c>
      <c r="DK794" s="124" t="s">
        <v>153</v>
      </c>
      <c r="DL794" s="125" t="s">
        <v>153</v>
      </c>
      <c r="DM794" s="126" t="s">
        <v>153</v>
      </c>
      <c r="DN794" s="127" t="s">
        <v>153</v>
      </c>
      <c r="DO794" s="128" t="s">
        <v>153</v>
      </c>
      <c r="DP794" s="129" t="s">
        <v>153</v>
      </c>
      <c r="DQ794" s="130" t="s">
        <v>153</v>
      </c>
      <c r="DR794" s="131" t="s">
        <v>153</v>
      </c>
      <c r="DS794" s="132" t="s">
        <v>153</v>
      </c>
      <c r="DT794" s="133" t="s">
        <v>153</v>
      </c>
      <c r="DU794" s="134" t="s">
        <v>153</v>
      </c>
      <c r="DV794" s="135" t="s">
        <v>153</v>
      </c>
      <c r="DW794" s="136" t="s">
        <v>153</v>
      </c>
      <c r="DX794" s="137" t="s">
        <v>153</v>
      </c>
      <c r="DY794" s="138" t="s">
        <v>153</v>
      </c>
      <c r="DZ794" s="139" t="s">
        <v>191</v>
      </c>
      <c r="EA794" s="140">
        <v>44223</v>
      </c>
      <c r="EB794" s="141">
        <v>6100</v>
      </c>
      <c r="EC794" s="142">
        <v>43647</v>
      </c>
      <c r="ED794" s="143" t="s">
        <v>226</v>
      </c>
      <c r="EE794" s="278" t="str">
        <f>HYPERLINK("https://my.pitchbook.com?c=58475-44", "View company online")</f>
        <v>View company online</v>
      </c>
    </row>
    <row r="795" spans="1:135" x14ac:dyDescent="0.45">
      <c r="A795" s="144" t="s">
        <v>15861</v>
      </c>
      <c r="B795" s="145" t="s">
        <v>15862</v>
      </c>
      <c r="C795" s="146" t="s">
        <v>153</v>
      </c>
      <c r="D795" s="147" t="s">
        <v>153</v>
      </c>
      <c r="E795" s="148" t="s">
        <v>15863</v>
      </c>
      <c r="F795" s="149" t="s">
        <v>153</v>
      </c>
      <c r="G795" s="150" t="s">
        <v>15864</v>
      </c>
      <c r="H795" s="151" t="s">
        <v>153</v>
      </c>
      <c r="I795" s="152" t="s">
        <v>15861</v>
      </c>
      <c r="J795" s="153" t="s">
        <v>15865</v>
      </c>
      <c r="K795" s="154" t="s">
        <v>559</v>
      </c>
      <c r="L795" s="155" t="s">
        <v>3022</v>
      </c>
      <c r="M795" s="156" t="s">
        <v>3197</v>
      </c>
      <c r="N795" s="157" t="s">
        <v>15866</v>
      </c>
      <c r="O795" s="158" t="s">
        <v>261</v>
      </c>
      <c r="P795" s="159" t="s">
        <v>15867</v>
      </c>
      <c r="Q795" s="160" t="s">
        <v>204</v>
      </c>
      <c r="R795" s="161" t="s">
        <v>153</v>
      </c>
      <c r="S795" s="162" t="s">
        <v>290</v>
      </c>
      <c r="T795" s="163" t="s">
        <v>205</v>
      </c>
      <c r="U795" s="164" t="s">
        <v>237</v>
      </c>
      <c r="V795" s="165" t="s">
        <v>15868</v>
      </c>
      <c r="W795" s="166">
        <v>15000</v>
      </c>
      <c r="X795" s="167" t="s">
        <v>15869</v>
      </c>
      <c r="Y795" s="168" t="s">
        <v>153</v>
      </c>
      <c r="Z795" s="169" t="s">
        <v>153</v>
      </c>
      <c r="AA795" s="170">
        <v>1906</v>
      </c>
      <c r="AB795" s="171" t="s">
        <v>153</v>
      </c>
      <c r="AC795" s="172" t="s">
        <v>153</v>
      </c>
      <c r="AD795" s="173" t="s">
        <v>153</v>
      </c>
      <c r="AE795" s="174" t="s">
        <v>153</v>
      </c>
      <c r="AF795" s="175" t="s">
        <v>153</v>
      </c>
      <c r="AG795" s="176" t="s">
        <v>153</v>
      </c>
      <c r="AH795" s="177" t="s">
        <v>153</v>
      </c>
      <c r="AI795" s="178" t="s">
        <v>153</v>
      </c>
      <c r="AJ795" s="179" t="s">
        <v>153</v>
      </c>
      <c r="AK795" s="180" t="s">
        <v>153</v>
      </c>
      <c r="AL795" s="181" t="s">
        <v>153</v>
      </c>
      <c r="AM795" s="182" t="s">
        <v>153</v>
      </c>
      <c r="AN795" s="183" t="s">
        <v>11741</v>
      </c>
      <c r="AO795" s="184" t="s">
        <v>15870</v>
      </c>
      <c r="AP795" s="185" t="s">
        <v>15871</v>
      </c>
      <c r="AQ795" s="186" t="s">
        <v>1241</v>
      </c>
      <c r="AR795" s="187" t="s">
        <v>153</v>
      </c>
      <c r="AS795" s="188" t="s">
        <v>153</v>
      </c>
      <c r="AT795" s="189" t="s">
        <v>1575</v>
      </c>
      <c r="AU795" s="190" t="s">
        <v>15872</v>
      </c>
      <c r="AV795" s="191" t="s">
        <v>15873</v>
      </c>
      <c r="AW795" s="192" t="s">
        <v>1578</v>
      </c>
      <c r="AX795" s="193" t="s">
        <v>1579</v>
      </c>
      <c r="AY795" s="194" t="s">
        <v>15874</v>
      </c>
      <c r="AZ795" s="195" t="s">
        <v>215</v>
      </c>
      <c r="BA795" s="196" t="s">
        <v>153</v>
      </c>
      <c r="BB795" s="197" t="s">
        <v>153</v>
      </c>
      <c r="BC795" s="198" t="s">
        <v>153</v>
      </c>
      <c r="BD795" s="199" t="s">
        <v>216</v>
      </c>
      <c r="BE795" s="200" t="s">
        <v>217</v>
      </c>
      <c r="BF795" s="201" t="s">
        <v>15875</v>
      </c>
      <c r="BG795" s="202" t="s">
        <v>153</v>
      </c>
      <c r="BH795" s="203" t="s">
        <v>153</v>
      </c>
      <c r="BI795" s="204" t="s">
        <v>10659</v>
      </c>
      <c r="BJ795" s="205" t="s">
        <v>153</v>
      </c>
      <c r="BK795" s="206" t="s">
        <v>153</v>
      </c>
      <c r="BL795" s="207" t="s">
        <v>153</v>
      </c>
      <c r="BM795" s="208" t="s">
        <v>153</v>
      </c>
      <c r="BN795" s="209" t="s">
        <v>153</v>
      </c>
      <c r="BO795" s="210" t="s">
        <v>153</v>
      </c>
      <c r="BP795" s="211" t="s">
        <v>355</v>
      </c>
      <c r="BQ795" s="212">
        <v>32958</v>
      </c>
      <c r="BR795" s="213" t="s">
        <v>153</v>
      </c>
      <c r="BS795" s="214" t="s">
        <v>153</v>
      </c>
      <c r="BT795" s="215" t="s">
        <v>153</v>
      </c>
      <c r="BU795" s="216" t="s">
        <v>153</v>
      </c>
      <c r="BV795" s="217" t="s">
        <v>251</v>
      </c>
      <c r="BW795" s="218" t="s">
        <v>153</v>
      </c>
      <c r="BX795" s="219" t="s">
        <v>153</v>
      </c>
      <c r="BY795" s="220" t="s">
        <v>252</v>
      </c>
      <c r="BZ795" s="221" t="s">
        <v>153</v>
      </c>
      <c r="CA795" s="222" t="s">
        <v>190</v>
      </c>
      <c r="CB795" s="223">
        <v>37278</v>
      </c>
      <c r="CC795" s="224">
        <v>6100</v>
      </c>
      <c r="CD795" s="225" t="s">
        <v>186</v>
      </c>
      <c r="CE795" s="226">
        <v>6100</v>
      </c>
      <c r="CF795" s="227" t="s">
        <v>186</v>
      </c>
      <c r="CG795" s="228" t="s">
        <v>226</v>
      </c>
      <c r="CH795" s="229" t="s">
        <v>153</v>
      </c>
      <c r="CI795" s="230" t="s">
        <v>153</v>
      </c>
      <c r="CJ795" s="231" t="s">
        <v>225</v>
      </c>
      <c r="CK795" s="232">
        <v>37278</v>
      </c>
      <c r="CL795" s="233" t="s">
        <v>153</v>
      </c>
      <c r="CM795" s="234" t="s">
        <v>153</v>
      </c>
      <c r="CN795" s="235" t="s">
        <v>190</v>
      </c>
      <c r="CO795" s="236" t="s">
        <v>153</v>
      </c>
      <c r="CP795" s="237" t="s">
        <v>153</v>
      </c>
      <c r="CQ795" s="238" t="s">
        <v>153</v>
      </c>
      <c r="CR795" s="239" t="s">
        <v>153</v>
      </c>
      <c r="CS795" s="240" t="s">
        <v>153</v>
      </c>
      <c r="CT795" s="241" t="s">
        <v>153</v>
      </c>
      <c r="CU795" s="242" t="s">
        <v>153</v>
      </c>
      <c r="CV795" s="243" t="s">
        <v>153</v>
      </c>
      <c r="CW795" s="244" t="s">
        <v>153</v>
      </c>
      <c r="CX795" s="245" t="s">
        <v>153</v>
      </c>
      <c r="CY795" s="246" t="s">
        <v>153</v>
      </c>
      <c r="CZ795" s="247" t="s">
        <v>153</v>
      </c>
      <c r="DA795" s="248" t="s">
        <v>153</v>
      </c>
      <c r="DB795" s="249" t="s">
        <v>153</v>
      </c>
      <c r="DC795" s="250" t="s">
        <v>153</v>
      </c>
      <c r="DD795" s="251" t="s">
        <v>153</v>
      </c>
      <c r="DE795" s="252" t="s">
        <v>153</v>
      </c>
      <c r="DF795" s="253" t="s">
        <v>153</v>
      </c>
      <c r="DG795" s="254" t="s">
        <v>153</v>
      </c>
      <c r="DH795" s="255" t="s">
        <v>153</v>
      </c>
      <c r="DI795" s="256" t="s">
        <v>153</v>
      </c>
      <c r="DJ795" s="257" t="s">
        <v>153</v>
      </c>
      <c r="DK795" s="258" t="s">
        <v>153</v>
      </c>
      <c r="DL795" s="259" t="s">
        <v>153</v>
      </c>
      <c r="DM795" s="260" t="s">
        <v>153</v>
      </c>
      <c r="DN795" s="261" t="s">
        <v>153</v>
      </c>
      <c r="DO795" s="262" t="s">
        <v>153</v>
      </c>
      <c r="DP795" s="263" t="s">
        <v>153</v>
      </c>
      <c r="DQ795" s="264" t="s">
        <v>153</v>
      </c>
      <c r="DR795" s="265" t="s">
        <v>153</v>
      </c>
      <c r="DS795" s="266" t="s">
        <v>153</v>
      </c>
      <c r="DT795" s="267" t="s">
        <v>153</v>
      </c>
      <c r="DU795" s="268" t="s">
        <v>153</v>
      </c>
      <c r="DV795" s="269" t="s">
        <v>153</v>
      </c>
      <c r="DW795" s="270" t="s">
        <v>153</v>
      </c>
      <c r="DX795" s="271" t="s">
        <v>153</v>
      </c>
      <c r="DY795" s="272" t="s">
        <v>153</v>
      </c>
      <c r="DZ795" s="273" t="s">
        <v>191</v>
      </c>
      <c r="EA795" s="274">
        <v>44217</v>
      </c>
      <c r="EB795" s="275">
        <v>6100</v>
      </c>
      <c r="EC795" s="276">
        <v>37278</v>
      </c>
      <c r="ED795" s="277" t="s">
        <v>226</v>
      </c>
      <c r="EE795" s="279" t="str">
        <f>HYPERLINK("https://my.pitchbook.com?c=119620-18", "View company online")</f>
        <v>View company online</v>
      </c>
    </row>
    <row r="796" spans="1:135" x14ac:dyDescent="0.45">
      <c r="A796" s="10" t="s">
        <v>15876</v>
      </c>
      <c r="B796" s="11" t="s">
        <v>15877</v>
      </c>
      <c r="C796" s="12" t="s">
        <v>153</v>
      </c>
      <c r="D796" s="13" t="s">
        <v>153</v>
      </c>
      <c r="E796" s="14" t="s">
        <v>153</v>
      </c>
      <c r="F796" s="15" t="s">
        <v>15878</v>
      </c>
      <c r="G796" s="16" t="s">
        <v>15879</v>
      </c>
      <c r="H796" s="17" t="s">
        <v>15880</v>
      </c>
      <c r="I796" s="18" t="s">
        <v>15876</v>
      </c>
      <c r="J796" s="19" t="s">
        <v>15881</v>
      </c>
      <c r="K796" s="20" t="s">
        <v>257</v>
      </c>
      <c r="L796" s="21" t="s">
        <v>258</v>
      </c>
      <c r="M796" s="22" t="s">
        <v>259</v>
      </c>
      <c r="N796" s="23" t="s">
        <v>260</v>
      </c>
      <c r="O796" s="24" t="s">
        <v>755</v>
      </c>
      <c r="P796" s="25" t="s">
        <v>15882</v>
      </c>
      <c r="Q796" s="26" t="s">
        <v>289</v>
      </c>
      <c r="R796" s="27">
        <v>145</v>
      </c>
      <c r="S796" s="28" t="s">
        <v>290</v>
      </c>
      <c r="T796" s="29" t="s">
        <v>291</v>
      </c>
      <c r="U796" s="30" t="s">
        <v>4270</v>
      </c>
      <c r="V796" s="31" t="s">
        <v>15883</v>
      </c>
      <c r="W796" s="32">
        <v>9123</v>
      </c>
      <c r="X796" s="33" t="s">
        <v>15884</v>
      </c>
      <c r="Y796" s="34" t="s">
        <v>295</v>
      </c>
      <c r="Z796" s="35" t="s">
        <v>15885</v>
      </c>
      <c r="AA796" s="36">
        <v>1988</v>
      </c>
      <c r="AB796" s="37" t="s">
        <v>153</v>
      </c>
      <c r="AC796" s="38" t="s">
        <v>428</v>
      </c>
      <c r="AD796" s="39" t="s">
        <v>8165</v>
      </c>
      <c r="AE796" s="40">
        <v>9197.6</v>
      </c>
      <c r="AF796" s="41">
        <v>7987</v>
      </c>
      <c r="AG796" s="42">
        <v>4003.8</v>
      </c>
      <c r="AH796" s="43">
        <v>49797.09</v>
      </c>
      <c r="AI796" s="44">
        <v>4707.3999999999996</v>
      </c>
      <c r="AJ796" s="45">
        <v>4460.2</v>
      </c>
      <c r="AK796" s="46">
        <v>62471.96</v>
      </c>
      <c r="AL796" s="47">
        <v>-807.1</v>
      </c>
      <c r="AM796" s="48">
        <v>31.15</v>
      </c>
      <c r="AN796" s="49" t="s">
        <v>376</v>
      </c>
      <c r="AO796" s="50" t="s">
        <v>15886</v>
      </c>
      <c r="AP796" s="51" t="s">
        <v>15887</v>
      </c>
      <c r="AQ796" s="52" t="s">
        <v>15888</v>
      </c>
      <c r="AR796" s="53" t="s">
        <v>15889</v>
      </c>
      <c r="AS796" s="54" t="s">
        <v>15890</v>
      </c>
      <c r="AT796" s="55" t="s">
        <v>15891</v>
      </c>
      <c r="AU796" s="56" t="s">
        <v>15892</v>
      </c>
      <c r="AV796" s="57" t="s">
        <v>153</v>
      </c>
      <c r="AW796" s="58" t="s">
        <v>15893</v>
      </c>
      <c r="AX796" s="59" t="s">
        <v>436</v>
      </c>
      <c r="AY796" s="60" t="s">
        <v>15894</v>
      </c>
      <c r="AZ796" s="61" t="s">
        <v>215</v>
      </c>
      <c r="BA796" s="62" t="s">
        <v>15890</v>
      </c>
      <c r="BB796" s="63" t="s">
        <v>153</v>
      </c>
      <c r="BC796" s="64" t="s">
        <v>153</v>
      </c>
      <c r="BD796" s="65" t="s">
        <v>216</v>
      </c>
      <c r="BE796" s="66" t="s">
        <v>217</v>
      </c>
      <c r="BF796" s="67" t="s">
        <v>15895</v>
      </c>
      <c r="BG796" s="68" t="s">
        <v>15896</v>
      </c>
      <c r="BH796" s="69">
        <v>3</v>
      </c>
      <c r="BI796" s="70" t="s">
        <v>153</v>
      </c>
      <c r="BJ796" s="71" t="s">
        <v>15897</v>
      </c>
      <c r="BK796" s="72" t="s">
        <v>153</v>
      </c>
      <c r="BL796" s="73" t="s">
        <v>15898</v>
      </c>
      <c r="BM796" s="74" t="s">
        <v>15899</v>
      </c>
      <c r="BN796" s="75" t="s">
        <v>153</v>
      </c>
      <c r="BO796" s="76" t="s">
        <v>15900</v>
      </c>
      <c r="BP796" s="77" t="s">
        <v>15901</v>
      </c>
      <c r="BQ796" s="78" t="s">
        <v>153</v>
      </c>
      <c r="BR796" s="79">
        <v>1</v>
      </c>
      <c r="BS796" s="80" t="s">
        <v>186</v>
      </c>
      <c r="BT796" s="81" t="s">
        <v>153</v>
      </c>
      <c r="BU796" s="82" t="s">
        <v>153</v>
      </c>
      <c r="BV796" s="83" t="s">
        <v>471</v>
      </c>
      <c r="BW796" s="84" t="s">
        <v>153</v>
      </c>
      <c r="BX796" s="85" t="s">
        <v>153</v>
      </c>
      <c r="BY796" s="86" t="s">
        <v>472</v>
      </c>
      <c r="BZ796" s="87" t="s">
        <v>153</v>
      </c>
      <c r="CA796" s="88" t="s">
        <v>190</v>
      </c>
      <c r="CB796" s="89">
        <v>43979</v>
      </c>
      <c r="CC796" s="90">
        <v>6093.22</v>
      </c>
      <c r="CD796" s="91" t="s">
        <v>186</v>
      </c>
      <c r="CE796" s="92" t="s">
        <v>153</v>
      </c>
      <c r="CF796" s="93" t="s">
        <v>153</v>
      </c>
      <c r="CG796" s="94" t="s">
        <v>5867</v>
      </c>
      <c r="CH796" s="95" t="s">
        <v>153</v>
      </c>
      <c r="CI796" s="96" t="s">
        <v>153</v>
      </c>
      <c r="CJ796" s="97" t="s">
        <v>153</v>
      </c>
      <c r="CK796" s="98">
        <v>43979</v>
      </c>
      <c r="CL796" s="99" t="s">
        <v>153</v>
      </c>
      <c r="CM796" s="100" t="s">
        <v>153</v>
      </c>
      <c r="CN796" s="101" t="s">
        <v>190</v>
      </c>
      <c r="CO796" s="102">
        <v>0.31</v>
      </c>
      <c r="CP796" s="103">
        <v>91</v>
      </c>
      <c r="CQ796" s="104">
        <v>0</v>
      </c>
      <c r="CR796" s="105">
        <v>0</v>
      </c>
      <c r="CS796" s="106">
        <v>0.43</v>
      </c>
      <c r="CT796" s="107">
        <v>92</v>
      </c>
      <c r="CU796" s="108">
        <v>0.2</v>
      </c>
      <c r="CV796" s="109">
        <v>91</v>
      </c>
      <c r="CW796" s="110">
        <v>0.43</v>
      </c>
      <c r="CX796" s="111">
        <v>79</v>
      </c>
      <c r="CY796" s="112" t="s">
        <v>153</v>
      </c>
      <c r="CZ796" s="113" t="s">
        <v>153</v>
      </c>
      <c r="DA796" s="114">
        <v>0.2</v>
      </c>
      <c r="DB796" s="115">
        <v>91</v>
      </c>
      <c r="DC796" s="116">
        <v>68.05</v>
      </c>
      <c r="DD796" s="117">
        <v>99</v>
      </c>
      <c r="DE796" s="118">
        <v>0.28999999999999998</v>
      </c>
      <c r="DF796" s="119">
        <v>0.43</v>
      </c>
      <c r="DG796" s="120">
        <v>44.89</v>
      </c>
      <c r="DH796" s="121">
        <v>98</v>
      </c>
      <c r="DI796" s="122">
        <v>91.22</v>
      </c>
      <c r="DJ796" s="123">
        <v>98</v>
      </c>
      <c r="DK796" s="124">
        <v>44.89</v>
      </c>
      <c r="DL796" s="125">
        <v>95</v>
      </c>
      <c r="DM796" s="126" t="s">
        <v>153</v>
      </c>
      <c r="DN796" s="127" t="s">
        <v>153</v>
      </c>
      <c r="DO796" s="128">
        <v>91.22</v>
      </c>
      <c r="DP796" s="129">
        <v>98</v>
      </c>
      <c r="DQ796" s="130">
        <v>26428</v>
      </c>
      <c r="DR796" s="131">
        <v>700</v>
      </c>
      <c r="DS796" s="132">
        <v>2.72</v>
      </c>
      <c r="DT796" s="133" t="s">
        <v>153</v>
      </c>
      <c r="DU796" s="134" t="s">
        <v>153</v>
      </c>
      <c r="DV796" s="135" t="s">
        <v>153</v>
      </c>
      <c r="DW796" s="136">
        <v>28642</v>
      </c>
      <c r="DX796" s="137">
        <v>48</v>
      </c>
      <c r="DY796" s="138">
        <v>0.17</v>
      </c>
      <c r="DZ796" s="139" t="s">
        <v>191</v>
      </c>
      <c r="EA796" s="140">
        <v>44402</v>
      </c>
      <c r="EB796" s="141" t="s">
        <v>153</v>
      </c>
      <c r="EC796" s="142" t="s">
        <v>153</v>
      </c>
      <c r="ED796" s="143" t="s">
        <v>153</v>
      </c>
      <c r="EE796" s="278" t="str">
        <f>HYPERLINK("https://my.pitchbook.com?c=41163-58", "View company online")</f>
        <v>View company online</v>
      </c>
    </row>
    <row r="797" spans="1:135" x14ac:dyDescent="0.45">
      <c r="A797" s="144" t="s">
        <v>15902</v>
      </c>
      <c r="B797" s="145" t="s">
        <v>15903</v>
      </c>
      <c r="C797" s="146" t="s">
        <v>153</v>
      </c>
      <c r="D797" s="147" t="s">
        <v>153</v>
      </c>
      <c r="E797" s="148" t="s">
        <v>15904</v>
      </c>
      <c r="F797" s="149" t="s">
        <v>153</v>
      </c>
      <c r="G797" s="150" t="s">
        <v>15905</v>
      </c>
      <c r="H797" s="151" t="s">
        <v>15906</v>
      </c>
      <c r="I797" s="152" t="s">
        <v>15902</v>
      </c>
      <c r="J797" s="153" t="s">
        <v>15907</v>
      </c>
      <c r="K797" s="154" t="s">
        <v>792</v>
      </c>
      <c r="L797" s="155" t="s">
        <v>793</v>
      </c>
      <c r="M797" s="156" t="s">
        <v>9233</v>
      </c>
      <c r="N797" s="157" t="s">
        <v>15908</v>
      </c>
      <c r="O797" s="158" t="s">
        <v>796</v>
      </c>
      <c r="P797" s="159" t="s">
        <v>15909</v>
      </c>
      <c r="Q797" s="160" t="s">
        <v>367</v>
      </c>
      <c r="R797" s="161" t="s">
        <v>153</v>
      </c>
      <c r="S797" s="162" t="s">
        <v>368</v>
      </c>
      <c r="T797" s="163" t="s">
        <v>291</v>
      </c>
      <c r="U797" s="164" t="s">
        <v>237</v>
      </c>
      <c r="V797" s="165" t="s">
        <v>15910</v>
      </c>
      <c r="W797" s="166">
        <v>7644</v>
      </c>
      <c r="X797" s="167" t="s">
        <v>15911</v>
      </c>
      <c r="Y797" s="168" t="s">
        <v>4435</v>
      </c>
      <c r="Z797" s="169" t="s">
        <v>15912</v>
      </c>
      <c r="AA797" s="170">
        <v>1900</v>
      </c>
      <c r="AB797" s="171" t="s">
        <v>153</v>
      </c>
      <c r="AC797" s="172" t="s">
        <v>153</v>
      </c>
      <c r="AD797" s="173" t="s">
        <v>153</v>
      </c>
      <c r="AE797" s="174">
        <v>10437.790000000001</v>
      </c>
      <c r="AF797" s="175">
        <v>670.67</v>
      </c>
      <c r="AG797" s="176">
        <v>-333.51</v>
      </c>
      <c r="AH797" s="177">
        <v>6703.04</v>
      </c>
      <c r="AI797" s="178">
        <v>-114.31</v>
      </c>
      <c r="AJ797" s="179">
        <v>-499.27</v>
      </c>
      <c r="AK797" s="180">
        <v>5059.74</v>
      </c>
      <c r="AL797" s="181">
        <v>1036.5</v>
      </c>
      <c r="AM797" s="182">
        <v>-31.21</v>
      </c>
      <c r="AN797" s="183" t="s">
        <v>168</v>
      </c>
      <c r="AO797" s="184" t="s">
        <v>15913</v>
      </c>
      <c r="AP797" s="185" t="s">
        <v>15914</v>
      </c>
      <c r="AQ797" s="186" t="s">
        <v>10239</v>
      </c>
      <c r="AR797" s="187" t="s">
        <v>15915</v>
      </c>
      <c r="AS797" s="188" t="s">
        <v>15916</v>
      </c>
      <c r="AT797" s="189" t="s">
        <v>2540</v>
      </c>
      <c r="AU797" s="190" t="s">
        <v>15917</v>
      </c>
      <c r="AV797" s="191" t="s">
        <v>15918</v>
      </c>
      <c r="AW797" s="192" t="s">
        <v>2543</v>
      </c>
      <c r="AX797" s="193" t="s">
        <v>2544</v>
      </c>
      <c r="AY797" s="194" t="s">
        <v>2545</v>
      </c>
      <c r="AZ797" s="195" t="s">
        <v>2546</v>
      </c>
      <c r="BA797" s="196" t="s">
        <v>15916</v>
      </c>
      <c r="BB797" s="197" t="s">
        <v>153</v>
      </c>
      <c r="BC797" s="198" t="s">
        <v>153</v>
      </c>
      <c r="BD797" s="199" t="s">
        <v>2547</v>
      </c>
      <c r="BE797" s="200" t="s">
        <v>2547</v>
      </c>
      <c r="BF797" s="201" t="s">
        <v>15919</v>
      </c>
      <c r="BG797" s="202" t="s">
        <v>153</v>
      </c>
      <c r="BH797" s="203" t="s">
        <v>153</v>
      </c>
      <c r="BI797" s="204" t="s">
        <v>153</v>
      </c>
      <c r="BJ797" s="205" t="s">
        <v>1216</v>
      </c>
      <c r="BK797" s="206" t="s">
        <v>153</v>
      </c>
      <c r="BL797" s="207" t="s">
        <v>153</v>
      </c>
      <c r="BM797" s="208" t="s">
        <v>1719</v>
      </c>
      <c r="BN797" s="209" t="s">
        <v>153</v>
      </c>
      <c r="BO797" s="210" t="s">
        <v>15920</v>
      </c>
      <c r="BP797" s="211" t="s">
        <v>15921</v>
      </c>
      <c r="BQ797" s="212">
        <v>29586</v>
      </c>
      <c r="BR797" s="213" t="s">
        <v>153</v>
      </c>
      <c r="BS797" s="214" t="s">
        <v>153</v>
      </c>
      <c r="BT797" s="215" t="s">
        <v>153</v>
      </c>
      <c r="BU797" s="216" t="s">
        <v>153</v>
      </c>
      <c r="BV797" s="217" t="s">
        <v>251</v>
      </c>
      <c r="BW797" s="218" t="s">
        <v>153</v>
      </c>
      <c r="BX797" s="219" t="s">
        <v>153</v>
      </c>
      <c r="BY797" s="220" t="s">
        <v>252</v>
      </c>
      <c r="BZ797" s="221" t="s">
        <v>153</v>
      </c>
      <c r="CA797" s="222" t="s">
        <v>190</v>
      </c>
      <c r="CB797" s="223">
        <v>43836</v>
      </c>
      <c r="CC797" s="224">
        <v>6082.53</v>
      </c>
      <c r="CD797" s="225" t="s">
        <v>186</v>
      </c>
      <c r="CE797" s="226">
        <v>6082.53</v>
      </c>
      <c r="CF797" s="227" t="s">
        <v>186</v>
      </c>
      <c r="CG797" s="228" t="s">
        <v>226</v>
      </c>
      <c r="CH797" s="229" t="s">
        <v>153</v>
      </c>
      <c r="CI797" s="230" t="s">
        <v>153</v>
      </c>
      <c r="CJ797" s="231" t="s">
        <v>225</v>
      </c>
      <c r="CK797" s="232">
        <v>43836</v>
      </c>
      <c r="CL797" s="233" t="s">
        <v>153</v>
      </c>
      <c r="CM797" s="234" t="s">
        <v>153</v>
      </c>
      <c r="CN797" s="235" t="s">
        <v>394</v>
      </c>
      <c r="CO797" s="236">
        <v>2.0299999999999998</v>
      </c>
      <c r="CP797" s="237">
        <v>98</v>
      </c>
      <c r="CQ797" s="238">
        <v>-0.01</v>
      </c>
      <c r="CR797" s="239">
        <v>-0.52</v>
      </c>
      <c r="CS797" s="240">
        <v>4.08</v>
      </c>
      <c r="CT797" s="241">
        <v>100</v>
      </c>
      <c r="CU797" s="242">
        <v>-0.03</v>
      </c>
      <c r="CV797" s="243">
        <v>36</v>
      </c>
      <c r="CW797" s="244">
        <v>4.54</v>
      </c>
      <c r="CX797" s="245">
        <v>93</v>
      </c>
      <c r="CY797" s="246">
        <v>3.61</v>
      </c>
      <c r="CZ797" s="247">
        <v>100</v>
      </c>
      <c r="DA797" s="248">
        <v>-0.03</v>
      </c>
      <c r="DB797" s="249">
        <v>36</v>
      </c>
      <c r="DC797" s="250">
        <v>24.38</v>
      </c>
      <c r="DD797" s="251">
        <v>97</v>
      </c>
      <c r="DE797" s="252">
        <v>0.26</v>
      </c>
      <c r="DF797" s="253">
        <v>1.0900000000000001</v>
      </c>
      <c r="DG797" s="254">
        <v>39.909999999999997</v>
      </c>
      <c r="DH797" s="255">
        <v>98</v>
      </c>
      <c r="DI797" s="256">
        <v>8.85</v>
      </c>
      <c r="DJ797" s="257">
        <v>85</v>
      </c>
      <c r="DK797" s="258">
        <v>30.38</v>
      </c>
      <c r="DL797" s="259">
        <v>93</v>
      </c>
      <c r="DM797" s="260">
        <v>49.44</v>
      </c>
      <c r="DN797" s="261">
        <v>98</v>
      </c>
      <c r="DO797" s="262">
        <v>8.85</v>
      </c>
      <c r="DP797" s="263">
        <v>85</v>
      </c>
      <c r="DQ797" s="264">
        <v>17760</v>
      </c>
      <c r="DR797" s="265">
        <v>939</v>
      </c>
      <c r="DS797" s="266">
        <v>5.58</v>
      </c>
      <c r="DT797" s="267">
        <v>784</v>
      </c>
      <c r="DU797" s="268">
        <v>16</v>
      </c>
      <c r="DV797" s="269">
        <v>2.08</v>
      </c>
      <c r="DW797" s="270">
        <v>2779</v>
      </c>
      <c r="DX797" s="271">
        <v>1</v>
      </c>
      <c r="DY797" s="272">
        <v>0.04</v>
      </c>
      <c r="DZ797" s="273" t="s">
        <v>191</v>
      </c>
      <c r="EA797" s="274">
        <v>44379</v>
      </c>
      <c r="EB797" s="275">
        <v>6082.53</v>
      </c>
      <c r="EC797" s="276">
        <v>43836</v>
      </c>
      <c r="ED797" s="277" t="s">
        <v>226</v>
      </c>
      <c r="EE797" s="279" t="str">
        <f>HYPERLINK("https://my.pitchbook.com?c=58867-66", "View company online")</f>
        <v>View company online</v>
      </c>
    </row>
    <row r="798" spans="1:135" x14ac:dyDescent="0.45">
      <c r="A798" s="10" t="s">
        <v>15922</v>
      </c>
      <c r="B798" s="11" t="s">
        <v>15923</v>
      </c>
      <c r="C798" s="12" t="s">
        <v>153</v>
      </c>
      <c r="D798" s="13" t="s">
        <v>153</v>
      </c>
      <c r="E798" s="14" t="s">
        <v>153</v>
      </c>
      <c r="F798" s="15" t="s">
        <v>153</v>
      </c>
      <c r="G798" s="16" t="s">
        <v>15924</v>
      </c>
      <c r="H798" s="17" t="s">
        <v>153</v>
      </c>
      <c r="I798" s="18" t="s">
        <v>15922</v>
      </c>
      <c r="J798" s="19" t="s">
        <v>15925</v>
      </c>
      <c r="K798" s="20" t="s">
        <v>198</v>
      </c>
      <c r="L798" s="21" t="s">
        <v>199</v>
      </c>
      <c r="M798" s="22" t="s">
        <v>344</v>
      </c>
      <c r="N798" s="23" t="s">
        <v>6501</v>
      </c>
      <c r="O798" s="24" t="s">
        <v>399</v>
      </c>
      <c r="P798" s="25" t="s">
        <v>15926</v>
      </c>
      <c r="Q798" s="26" t="s">
        <v>204</v>
      </c>
      <c r="R798" s="27" t="s">
        <v>153</v>
      </c>
      <c r="S798" s="28" t="s">
        <v>290</v>
      </c>
      <c r="T798" s="29" t="s">
        <v>205</v>
      </c>
      <c r="U798" s="30" t="s">
        <v>237</v>
      </c>
      <c r="V798" s="31" t="s">
        <v>153</v>
      </c>
      <c r="W798" s="32">
        <v>16000</v>
      </c>
      <c r="X798" s="33" t="s">
        <v>15927</v>
      </c>
      <c r="Y798" s="34" t="s">
        <v>153</v>
      </c>
      <c r="Z798" s="35" t="s">
        <v>153</v>
      </c>
      <c r="AA798" s="36" t="s">
        <v>153</v>
      </c>
      <c r="AB798" s="37" t="s">
        <v>153</v>
      </c>
      <c r="AC798" s="38" t="s">
        <v>153</v>
      </c>
      <c r="AD798" s="39" t="s">
        <v>153</v>
      </c>
      <c r="AE798" s="40" t="s">
        <v>153</v>
      </c>
      <c r="AF798" s="41" t="s">
        <v>153</v>
      </c>
      <c r="AG798" s="42" t="s">
        <v>153</v>
      </c>
      <c r="AH798" s="43" t="s">
        <v>153</v>
      </c>
      <c r="AI798" s="44" t="s">
        <v>153</v>
      </c>
      <c r="AJ798" s="45" t="s">
        <v>153</v>
      </c>
      <c r="AK798" s="46" t="s">
        <v>153</v>
      </c>
      <c r="AL798" s="47" t="s">
        <v>153</v>
      </c>
      <c r="AM798" s="48" t="s">
        <v>153</v>
      </c>
      <c r="AN798" s="49" t="s">
        <v>14966</v>
      </c>
      <c r="AO798" s="50" t="s">
        <v>15928</v>
      </c>
      <c r="AP798" s="51" t="s">
        <v>15929</v>
      </c>
      <c r="AQ798" s="52" t="s">
        <v>2655</v>
      </c>
      <c r="AR798" s="53" t="s">
        <v>153</v>
      </c>
      <c r="AS798" s="54" t="s">
        <v>153</v>
      </c>
      <c r="AT798" s="55" t="s">
        <v>14208</v>
      </c>
      <c r="AU798" s="56" t="s">
        <v>15930</v>
      </c>
      <c r="AV798" s="57" t="s">
        <v>153</v>
      </c>
      <c r="AW798" s="58" t="s">
        <v>14210</v>
      </c>
      <c r="AX798" s="59" t="s">
        <v>4835</v>
      </c>
      <c r="AY798" s="60" t="s">
        <v>15295</v>
      </c>
      <c r="AZ798" s="61" t="s">
        <v>215</v>
      </c>
      <c r="BA798" s="62" t="s">
        <v>153</v>
      </c>
      <c r="BB798" s="63" t="s">
        <v>153</v>
      </c>
      <c r="BC798" s="64" t="s">
        <v>153</v>
      </c>
      <c r="BD798" s="65" t="s">
        <v>216</v>
      </c>
      <c r="BE798" s="66" t="s">
        <v>217</v>
      </c>
      <c r="BF798" s="67" t="s">
        <v>15931</v>
      </c>
      <c r="BG798" s="68" t="s">
        <v>153</v>
      </c>
      <c r="BH798" s="69" t="s">
        <v>153</v>
      </c>
      <c r="BI798" s="70" t="s">
        <v>3680</v>
      </c>
      <c r="BJ798" s="71" t="s">
        <v>15932</v>
      </c>
      <c r="BK798" s="72" t="s">
        <v>153</v>
      </c>
      <c r="BL798" s="73" t="s">
        <v>153</v>
      </c>
      <c r="BM798" s="74" t="s">
        <v>153</v>
      </c>
      <c r="BN798" s="75" t="s">
        <v>153</v>
      </c>
      <c r="BO798" s="76" t="s">
        <v>15933</v>
      </c>
      <c r="BP798" s="77" t="s">
        <v>15934</v>
      </c>
      <c r="BQ798" s="78">
        <v>38841</v>
      </c>
      <c r="BR798" s="79" t="s">
        <v>153</v>
      </c>
      <c r="BS798" s="80" t="s">
        <v>153</v>
      </c>
      <c r="BT798" s="81" t="s">
        <v>153</v>
      </c>
      <c r="BU798" s="82" t="s">
        <v>153</v>
      </c>
      <c r="BV798" s="83" t="s">
        <v>251</v>
      </c>
      <c r="BW798" s="84" t="s">
        <v>524</v>
      </c>
      <c r="BX798" s="85" t="s">
        <v>153</v>
      </c>
      <c r="BY798" s="86" t="s">
        <v>252</v>
      </c>
      <c r="BZ798" s="87" t="s">
        <v>153</v>
      </c>
      <c r="CA798" s="88" t="s">
        <v>190</v>
      </c>
      <c r="CB798" s="89">
        <v>39995</v>
      </c>
      <c r="CC798" s="90">
        <v>6070</v>
      </c>
      <c r="CD798" s="91" t="s">
        <v>186</v>
      </c>
      <c r="CE798" s="92">
        <v>6070</v>
      </c>
      <c r="CF798" s="93" t="s">
        <v>186</v>
      </c>
      <c r="CG798" s="94" t="s">
        <v>226</v>
      </c>
      <c r="CH798" s="95" t="s">
        <v>153</v>
      </c>
      <c r="CI798" s="96" t="s">
        <v>153</v>
      </c>
      <c r="CJ798" s="97" t="s">
        <v>225</v>
      </c>
      <c r="CK798" s="98">
        <v>39995</v>
      </c>
      <c r="CL798" s="99" t="s">
        <v>153</v>
      </c>
      <c r="CM798" s="100" t="s">
        <v>153</v>
      </c>
      <c r="CN798" s="101" t="s">
        <v>190</v>
      </c>
      <c r="CO798" s="102" t="s">
        <v>153</v>
      </c>
      <c r="CP798" s="103" t="s">
        <v>153</v>
      </c>
      <c r="CQ798" s="104" t="s">
        <v>153</v>
      </c>
      <c r="CR798" s="105" t="s">
        <v>153</v>
      </c>
      <c r="CS798" s="106" t="s">
        <v>153</v>
      </c>
      <c r="CT798" s="107" t="s">
        <v>153</v>
      </c>
      <c r="CU798" s="108" t="s">
        <v>153</v>
      </c>
      <c r="CV798" s="109" t="s">
        <v>153</v>
      </c>
      <c r="CW798" s="110" t="s">
        <v>153</v>
      </c>
      <c r="CX798" s="111" t="s">
        <v>153</v>
      </c>
      <c r="CY798" s="112" t="s">
        <v>153</v>
      </c>
      <c r="CZ798" s="113" t="s">
        <v>153</v>
      </c>
      <c r="DA798" s="114" t="s">
        <v>153</v>
      </c>
      <c r="DB798" s="115" t="s">
        <v>153</v>
      </c>
      <c r="DC798" s="116" t="s">
        <v>153</v>
      </c>
      <c r="DD798" s="117" t="s">
        <v>153</v>
      </c>
      <c r="DE798" s="118" t="s">
        <v>153</v>
      </c>
      <c r="DF798" s="119" t="s">
        <v>153</v>
      </c>
      <c r="DG798" s="120" t="s">
        <v>153</v>
      </c>
      <c r="DH798" s="121" t="s">
        <v>153</v>
      </c>
      <c r="DI798" s="122" t="s">
        <v>153</v>
      </c>
      <c r="DJ798" s="123" t="s">
        <v>153</v>
      </c>
      <c r="DK798" s="124" t="s">
        <v>153</v>
      </c>
      <c r="DL798" s="125" t="s">
        <v>153</v>
      </c>
      <c r="DM798" s="126" t="s">
        <v>153</v>
      </c>
      <c r="DN798" s="127" t="s">
        <v>153</v>
      </c>
      <c r="DO798" s="128" t="s">
        <v>153</v>
      </c>
      <c r="DP798" s="129" t="s">
        <v>153</v>
      </c>
      <c r="DQ798" s="130" t="s">
        <v>153</v>
      </c>
      <c r="DR798" s="131" t="s">
        <v>153</v>
      </c>
      <c r="DS798" s="132" t="s">
        <v>153</v>
      </c>
      <c r="DT798" s="133" t="s">
        <v>153</v>
      </c>
      <c r="DU798" s="134" t="s">
        <v>153</v>
      </c>
      <c r="DV798" s="135" t="s">
        <v>153</v>
      </c>
      <c r="DW798" s="136" t="s">
        <v>153</v>
      </c>
      <c r="DX798" s="137" t="s">
        <v>153</v>
      </c>
      <c r="DY798" s="138" t="s">
        <v>153</v>
      </c>
      <c r="DZ798" s="139" t="s">
        <v>191</v>
      </c>
      <c r="EA798" s="140">
        <v>44293</v>
      </c>
      <c r="EB798" s="141">
        <v>6070</v>
      </c>
      <c r="EC798" s="142">
        <v>39995</v>
      </c>
      <c r="ED798" s="143" t="s">
        <v>226</v>
      </c>
      <c r="EE798" s="278" t="str">
        <f>HYPERLINK("https://my.pitchbook.com?c=41609-53", "View company online")</f>
        <v>View company online</v>
      </c>
    </row>
    <row r="799" spans="1:135" x14ac:dyDescent="0.45">
      <c r="A799" s="144" t="s">
        <v>15935</v>
      </c>
      <c r="B799" s="145" t="s">
        <v>15936</v>
      </c>
      <c r="C799" s="146" t="s">
        <v>153</v>
      </c>
      <c r="D799" s="147" t="s">
        <v>153</v>
      </c>
      <c r="E799" s="148" t="s">
        <v>153</v>
      </c>
      <c r="F799" s="149" t="s">
        <v>15937</v>
      </c>
      <c r="G799" s="150" t="s">
        <v>153</v>
      </c>
      <c r="H799" s="151" t="s">
        <v>153</v>
      </c>
      <c r="I799" s="152" t="s">
        <v>15935</v>
      </c>
      <c r="J799" s="153" t="s">
        <v>15938</v>
      </c>
      <c r="K799" s="154" t="s">
        <v>882</v>
      </c>
      <c r="L799" s="155" t="s">
        <v>2888</v>
      </c>
      <c r="M799" s="156" t="s">
        <v>2889</v>
      </c>
      <c r="N799" s="157" t="s">
        <v>2890</v>
      </c>
      <c r="O799" s="158" t="s">
        <v>153</v>
      </c>
      <c r="P799" s="159" t="s">
        <v>15939</v>
      </c>
      <c r="Q799" s="160" t="s">
        <v>162</v>
      </c>
      <c r="R799" s="161" t="s">
        <v>153</v>
      </c>
      <c r="S799" s="162" t="s">
        <v>153</v>
      </c>
      <c r="T799" s="163" t="s">
        <v>1392</v>
      </c>
      <c r="U799" s="164" t="s">
        <v>165</v>
      </c>
      <c r="V799" s="165" t="s">
        <v>153</v>
      </c>
      <c r="W799" s="166" t="s">
        <v>153</v>
      </c>
      <c r="X799" s="167" t="s">
        <v>153</v>
      </c>
      <c r="Y799" s="168" t="s">
        <v>153</v>
      </c>
      <c r="Z799" s="169" t="s">
        <v>153</v>
      </c>
      <c r="AA799" s="170" t="s">
        <v>153</v>
      </c>
      <c r="AB799" s="171" t="s">
        <v>153</v>
      </c>
      <c r="AC799" s="172" t="s">
        <v>153</v>
      </c>
      <c r="AD799" s="173" t="s">
        <v>153</v>
      </c>
      <c r="AE799" s="174" t="s">
        <v>153</v>
      </c>
      <c r="AF799" s="175" t="s">
        <v>153</v>
      </c>
      <c r="AG799" s="176" t="s">
        <v>153</v>
      </c>
      <c r="AH799" s="177" t="s">
        <v>153</v>
      </c>
      <c r="AI799" s="178" t="s">
        <v>153</v>
      </c>
      <c r="AJ799" s="179" t="s">
        <v>153</v>
      </c>
      <c r="AK799" s="180" t="s">
        <v>153</v>
      </c>
      <c r="AL799" s="181" t="s">
        <v>153</v>
      </c>
      <c r="AM799" s="182" t="s">
        <v>153</v>
      </c>
      <c r="AN799" s="183" t="s">
        <v>153</v>
      </c>
      <c r="AO799" s="184" t="s">
        <v>153</v>
      </c>
      <c r="AP799" s="185" t="s">
        <v>153</v>
      </c>
      <c r="AQ799" s="186" t="s">
        <v>153</v>
      </c>
      <c r="AR799" s="187" t="s">
        <v>153</v>
      </c>
      <c r="AS799" s="188" t="s">
        <v>153</v>
      </c>
      <c r="AT799" s="189" t="s">
        <v>2121</v>
      </c>
      <c r="AU799" s="190" t="s">
        <v>153</v>
      </c>
      <c r="AV799" s="191" t="s">
        <v>153</v>
      </c>
      <c r="AW799" s="192" t="s">
        <v>153</v>
      </c>
      <c r="AX799" s="193" t="s">
        <v>153</v>
      </c>
      <c r="AY799" s="194" t="s">
        <v>153</v>
      </c>
      <c r="AZ799" s="195" t="s">
        <v>2121</v>
      </c>
      <c r="BA799" s="196" t="s">
        <v>153</v>
      </c>
      <c r="BB799" s="197" t="s">
        <v>153</v>
      </c>
      <c r="BC799" s="198" t="s">
        <v>153</v>
      </c>
      <c r="BD799" s="199" t="s">
        <v>180</v>
      </c>
      <c r="BE799" s="200" t="s">
        <v>684</v>
      </c>
      <c r="BF799" s="201" t="s">
        <v>15940</v>
      </c>
      <c r="BG799" s="202" t="s">
        <v>15941</v>
      </c>
      <c r="BH799" s="203">
        <v>2</v>
      </c>
      <c r="BI799" s="204" t="s">
        <v>153</v>
      </c>
      <c r="BJ799" s="205" t="s">
        <v>5761</v>
      </c>
      <c r="BK799" s="206" t="s">
        <v>153</v>
      </c>
      <c r="BL799" s="207" t="s">
        <v>15942</v>
      </c>
      <c r="BM799" s="208" t="s">
        <v>15943</v>
      </c>
      <c r="BN799" s="209" t="s">
        <v>153</v>
      </c>
      <c r="BO799" s="210" t="s">
        <v>153</v>
      </c>
      <c r="BP799" s="211" t="s">
        <v>153</v>
      </c>
      <c r="BQ799" s="212">
        <v>41801</v>
      </c>
      <c r="BR799" s="213">
        <v>6002.99</v>
      </c>
      <c r="BS799" s="214" t="s">
        <v>186</v>
      </c>
      <c r="BT799" s="215">
        <v>6002.99</v>
      </c>
      <c r="BU799" s="216" t="s">
        <v>187</v>
      </c>
      <c r="BV799" s="217" t="s">
        <v>188</v>
      </c>
      <c r="BW799" s="218" t="s">
        <v>1525</v>
      </c>
      <c r="BX799" s="219" t="s">
        <v>1526</v>
      </c>
      <c r="BY799" s="220" t="s">
        <v>165</v>
      </c>
      <c r="BZ799" s="221" t="s">
        <v>153</v>
      </c>
      <c r="CA799" s="222" t="s">
        <v>190</v>
      </c>
      <c r="CB799" s="223">
        <v>41801</v>
      </c>
      <c r="CC799" s="224">
        <v>6002.99</v>
      </c>
      <c r="CD799" s="225" t="s">
        <v>186</v>
      </c>
      <c r="CE799" s="226">
        <v>6002.99</v>
      </c>
      <c r="CF799" s="227" t="s">
        <v>187</v>
      </c>
      <c r="CG799" s="228" t="s">
        <v>188</v>
      </c>
      <c r="CH799" s="229" t="s">
        <v>1525</v>
      </c>
      <c r="CI799" s="230" t="s">
        <v>1526</v>
      </c>
      <c r="CJ799" s="231" t="s">
        <v>165</v>
      </c>
      <c r="CK799" s="232">
        <v>41801</v>
      </c>
      <c r="CL799" s="233" t="s">
        <v>153</v>
      </c>
      <c r="CM799" s="234" t="s">
        <v>153</v>
      </c>
      <c r="CN799" s="235" t="s">
        <v>190</v>
      </c>
      <c r="CO799" s="236" t="s">
        <v>153</v>
      </c>
      <c r="CP799" s="237" t="s">
        <v>153</v>
      </c>
      <c r="CQ799" s="238" t="s">
        <v>153</v>
      </c>
      <c r="CR799" s="239" t="s">
        <v>153</v>
      </c>
      <c r="CS799" s="240" t="s">
        <v>153</v>
      </c>
      <c r="CT799" s="241" t="s">
        <v>153</v>
      </c>
      <c r="CU799" s="242" t="s">
        <v>153</v>
      </c>
      <c r="CV799" s="243" t="s">
        <v>153</v>
      </c>
      <c r="CW799" s="244" t="s">
        <v>153</v>
      </c>
      <c r="CX799" s="245" t="s">
        <v>153</v>
      </c>
      <c r="CY799" s="246" t="s">
        <v>153</v>
      </c>
      <c r="CZ799" s="247" t="s">
        <v>153</v>
      </c>
      <c r="DA799" s="248" t="s">
        <v>153</v>
      </c>
      <c r="DB799" s="249" t="s">
        <v>153</v>
      </c>
      <c r="DC799" s="250" t="s">
        <v>153</v>
      </c>
      <c r="DD799" s="251" t="s">
        <v>153</v>
      </c>
      <c r="DE799" s="252" t="s">
        <v>153</v>
      </c>
      <c r="DF799" s="253" t="s">
        <v>153</v>
      </c>
      <c r="DG799" s="254" t="s">
        <v>153</v>
      </c>
      <c r="DH799" s="255" t="s">
        <v>153</v>
      </c>
      <c r="DI799" s="256" t="s">
        <v>153</v>
      </c>
      <c r="DJ799" s="257" t="s">
        <v>153</v>
      </c>
      <c r="DK799" s="258" t="s">
        <v>153</v>
      </c>
      <c r="DL799" s="259" t="s">
        <v>153</v>
      </c>
      <c r="DM799" s="260" t="s">
        <v>153</v>
      </c>
      <c r="DN799" s="261" t="s">
        <v>153</v>
      </c>
      <c r="DO799" s="262" t="s">
        <v>153</v>
      </c>
      <c r="DP799" s="263" t="s">
        <v>153</v>
      </c>
      <c r="DQ799" s="264" t="s">
        <v>153</v>
      </c>
      <c r="DR799" s="265" t="s">
        <v>153</v>
      </c>
      <c r="DS799" s="266" t="s">
        <v>153</v>
      </c>
      <c r="DT799" s="267" t="s">
        <v>153</v>
      </c>
      <c r="DU799" s="268" t="s">
        <v>153</v>
      </c>
      <c r="DV799" s="269" t="s">
        <v>153</v>
      </c>
      <c r="DW799" s="270" t="s">
        <v>153</v>
      </c>
      <c r="DX799" s="271" t="s">
        <v>153</v>
      </c>
      <c r="DY799" s="272" t="s">
        <v>153</v>
      </c>
      <c r="DZ799" s="273" t="s">
        <v>191</v>
      </c>
      <c r="EA799" s="274">
        <v>44147</v>
      </c>
      <c r="EB799" s="275">
        <v>6002.99</v>
      </c>
      <c r="EC799" s="276">
        <v>41801</v>
      </c>
      <c r="ED799" s="277" t="s">
        <v>188</v>
      </c>
      <c r="EE799" s="279" t="str">
        <f>HYPERLINK("https://my.pitchbook.com?c=63306-19", "View company online")</f>
        <v>View company online</v>
      </c>
    </row>
    <row r="800" spans="1:135" x14ac:dyDescent="0.45">
      <c r="A800" s="10" t="s">
        <v>15944</v>
      </c>
      <c r="B800" s="11" t="s">
        <v>15945</v>
      </c>
      <c r="C800" s="12" t="s">
        <v>153</v>
      </c>
      <c r="D800" s="13" t="s">
        <v>153</v>
      </c>
      <c r="E800" s="14" t="s">
        <v>15946</v>
      </c>
      <c r="F800" s="15" t="s">
        <v>153</v>
      </c>
      <c r="G800" s="16" t="s">
        <v>15947</v>
      </c>
      <c r="H800" s="17" t="s">
        <v>15948</v>
      </c>
      <c r="I800" s="18" t="s">
        <v>15944</v>
      </c>
      <c r="J800" s="19" t="s">
        <v>15949</v>
      </c>
      <c r="K800" s="20" t="s">
        <v>882</v>
      </c>
      <c r="L800" s="21" t="s">
        <v>1257</v>
      </c>
      <c r="M800" s="22" t="s">
        <v>2561</v>
      </c>
      <c r="N800" s="23" t="s">
        <v>15950</v>
      </c>
      <c r="O800" s="24" t="s">
        <v>15951</v>
      </c>
      <c r="P800" s="25" t="s">
        <v>15952</v>
      </c>
      <c r="Q800" s="26" t="s">
        <v>162</v>
      </c>
      <c r="R800" s="27" t="s">
        <v>153</v>
      </c>
      <c r="S800" s="28" t="s">
        <v>290</v>
      </c>
      <c r="T800" s="29" t="s">
        <v>1392</v>
      </c>
      <c r="U800" s="30" t="s">
        <v>452</v>
      </c>
      <c r="V800" s="31" t="s">
        <v>15953</v>
      </c>
      <c r="W800" s="32">
        <v>5300</v>
      </c>
      <c r="X800" s="33" t="s">
        <v>15954</v>
      </c>
      <c r="Y800" s="34" t="s">
        <v>153</v>
      </c>
      <c r="Z800" s="35" t="s">
        <v>153</v>
      </c>
      <c r="AA800" s="36">
        <v>2010</v>
      </c>
      <c r="AB800" s="37" t="s">
        <v>153</v>
      </c>
      <c r="AC800" s="38" t="s">
        <v>428</v>
      </c>
      <c r="AD800" s="39" t="s">
        <v>508</v>
      </c>
      <c r="AE800" s="40">
        <v>1804.62</v>
      </c>
      <c r="AF800" s="41">
        <v>1115.3900000000001</v>
      </c>
      <c r="AG800" s="42">
        <v>321.10000000000002</v>
      </c>
      <c r="AH800" s="43">
        <v>7649.85</v>
      </c>
      <c r="AI800" s="44">
        <v>607.80999999999995</v>
      </c>
      <c r="AJ800" s="45">
        <v>417.3</v>
      </c>
      <c r="AK800" s="46" t="s">
        <v>153</v>
      </c>
      <c r="AL800" s="47">
        <v>1657.9</v>
      </c>
      <c r="AM800" s="48">
        <v>17.12</v>
      </c>
      <c r="AN800" s="49" t="s">
        <v>376</v>
      </c>
      <c r="AO800" s="50" t="s">
        <v>15955</v>
      </c>
      <c r="AP800" s="51" t="s">
        <v>15956</v>
      </c>
      <c r="AQ800" s="52" t="s">
        <v>4199</v>
      </c>
      <c r="AR800" s="53" t="s">
        <v>15957</v>
      </c>
      <c r="AS800" s="54" t="s">
        <v>15958</v>
      </c>
      <c r="AT800" s="55" t="s">
        <v>485</v>
      </c>
      <c r="AU800" s="56" t="s">
        <v>15959</v>
      </c>
      <c r="AV800" s="57" t="s">
        <v>3421</v>
      </c>
      <c r="AW800" s="58" t="s">
        <v>487</v>
      </c>
      <c r="AX800" s="59" t="s">
        <v>308</v>
      </c>
      <c r="AY800" s="60" t="s">
        <v>15960</v>
      </c>
      <c r="AZ800" s="61" t="s">
        <v>215</v>
      </c>
      <c r="BA800" s="62" t="s">
        <v>15958</v>
      </c>
      <c r="BB800" s="63" t="s">
        <v>153</v>
      </c>
      <c r="BC800" s="64" t="s">
        <v>153</v>
      </c>
      <c r="BD800" s="65" t="s">
        <v>216</v>
      </c>
      <c r="BE800" s="66" t="s">
        <v>217</v>
      </c>
      <c r="BF800" s="67" t="s">
        <v>15961</v>
      </c>
      <c r="BG800" s="68" t="s">
        <v>15962</v>
      </c>
      <c r="BH800" s="69">
        <v>3</v>
      </c>
      <c r="BI800" s="70" t="s">
        <v>153</v>
      </c>
      <c r="BJ800" s="71" t="s">
        <v>15963</v>
      </c>
      <c r="BK800" s="72" t="s">
        <v>15964</v>
      </c>
      <c r="BL800" s="73" t="s">
        <v>15965</v>
      </c>
      <c r="BM800" s="74" t="s">
        <v>15966</v>
      </c>
      <c r="BN800" s="75" t="s">
        <v>15967</v>
      </c>
      <c r="BO800" s="76" t="s">
        <v>15968</v>
      </c>
      <c r="BP800" s="77" t="s">
        <v>15969</v>
      </c>
      <c r="BQ800" s="78">
        <v>40331</v>
      </c>
      <c r="BR800" s="79" t="s">
        <v>153</v>
      </c>
      <c r="BS800" s="80" t="s">
        <v>153</v>
      </c>
      <c r="BT800" s="81" t="s">
        <v>153</v>
      </c>
      <c r="BU800" s="82" t="s">
        <v>153</v>
      </c>
      <c r="BV800" s="83" t="s">
        <v>251</v>
      </c>
      <c r="BW800" s="84" t="s">
        <v>524</v>
      </c>
      <c r="BX800" s="85" t="s">
        <v>153</v>
      </c>
      <c r="BY800" s="86" t="s">
        <v>252</v>
      </c>
      <c r="BZ800" s="87" t="s">
        <v>153</v>
      </c>
      <c r="CA800" s="88" t="s">
        <v>190</v>
      </c>
      <c r="CB800" s="89">
        <v>44351</v>
      </c>
      <c r="CC800" s="90">
        <v>6000</v>
      </c>
      <c r="CD800" s="91" t="s">
        <v>186</v>
      </c>
      <c r="CE800" s="92">
        <v>6000</v>
      </c>
      <c r="CF800" s="93" t="s">
        <v>187</v>
      </c>
      <c r="CG800" s="94" t="s">
        <v>188</v>
      </c>
      <c r="CH800" s="95" t="s">
        <v>930</v>
      </c>
      <c r="CI800" s="96" t="s">
        <v>153</v>
      </c>
      <c r="CJ800" s="97" t="s">
        <v>165</v>
      </c>
      <c r="CK800" s="98">
        <v>44351</v>
      </c>
      <c r="CL800" s="99">
        <v>4000</v>
      </c>
      <c r="CM800" s="100" t="s">
        <v>15970</v>
      </c>
      <c r="CN800" s="101" t="s">
        <v>190</v>
      </c>
      <c r="CO800" s="102">
        <v>0.16</v>
      </c>
      <c r="CP800" s="103">
        <v>90</v>
      </c>
      <c r="CQ800" s="104">
        <v>0</v>
      </c>
      <c r="CR800" s="105">
        <v>-1.82</v>
      </c>
      <c r="CS800" s="106">
        <v>0.26</v>
      </c>
      <c r="CT800" s="107">
        <v>91</v>
      </c>
      <c r="CU800" s="108">
        <v>0.06</v>
      </c>
      <c r="CV800" s="109">
        <v>82</v>
      </c>
      <c r="CW800" s="110">
        <v>0.27</v>
      </c>
      <c r="CX800" s="111">
        <v>78</v>
      </c>
      <c r="CY800" s="112">
        <v>0.26</v>
      </c>
      <c r="CZ800" s="113">
        <v>92</v>
      </c>
      <c r="DA800" s="114">
        <v>0.06</v>
      </c>
      <c r="DB800" s="115">
        <v>82</v>
      </c>
      <c r="DC800" s="116">
        <v>271.42</v>
      </c>
      <c r="DD800" s="117">
        <v>100</v>
      </c>
      <c r="DE800" s="118">
        <v>0.36</v>
      </c>
      <c r="DF800" s="119">
        <v>0.13</v>
      </c>
      <c r="DG800" s="120">
        <v>502.02</v>
      </c>
      <c r="DH800" s="121">
        <v>100</v>
      </c>
      <c r="DI800" s="122">
        <v>40.81</v>
      </c>
      <c r="DJ800" s="123">
        <v>95</v>
      </c>
      <c r="DK800" s="124">
        <v>168.17</v>
      </c>
      <c r="DL800" s="125">
        <v>98</v>
      </c>
      <c r="DM800" s="126">
        <v>835.88</v>
      </c>
      <c r="DN800" s="127">
        <v>100</v>
      </c>
      <c r="DO800" s="128">
        <v>40.81</v>
      </c>
      <c r="DP800" s="129">
        <v>95</v>
      </c>
      <c r="DQ800" s="130">
        <v>99781</v>
      </c>
      <c r="DR800" s="131">
        <v>-206</v>
      </c>
      <c r="DS800" s="132">
        <v>-0.21</v>
      </c>
      <c r="DT800" s="133">
        <v>13368</v>
      </c>
      <c r="DU800" s="134">
        <v>14</v>
      </c>
      <c r="DV800" s="135">
        <v>0.1</v>
      </c>
      <c r="DW800" s="136">
        <v>12809</v>
      </c>
      <c r="DX800" s="137">
        <v>17</v>
      </c>
      <c r="DY800" s="138">
        <v>0.13</v>
      </c>
      <c r="DZ800" s="139" t="s">
        <v>191</v>
      </c>
      <c r="EA800" s="140">
        <v>44390</v>
      </c>
      <c r="EB800" s="141">
        <v>6000</v>
      </c>
      <c r="EC800" s="142">
        <v>44351</v>
      </c>
      <c r="ED800" s="143" t="s">
        <v>188</v>
      </c>
      <c r="EE800" s="278" t="str">
        <f>HYPERLINK("https://my.pitchbook.com?c=11430-73", "View company online")</f>
        <v>View company online</v>
      </c>
    </row>
    <row r="801" spans="1:135" x14ac:dyDescent="0.45">
      <c r="A801" s="144" t="s">
        <v>15971</v>
      </c>
      <c r="B801" s="145" t="s">
        <v>15972</v>
      </c>
      <c r="C801" s="146" t="s">
        <v>153</v>
      </c>
      <c r="D801" s="147" t="s">
        <v>153</v>
      </c>
      <c r="E801" s="148" t="s">
        <v>153</v>
      </c>
      <c r="F801" s="149" t="s">
        <v>15973</v>
      </c>
      <c r="G801" s="150" t="s">
        <v>15974</v>
      </c>
      <c r="H801" s="151" t="s">
        <v>153</v>
      </c>
      <c r="I801" s="152" t="s">
        <v>15971</v>
      </c>
      <c r="J801" s="153" t="s">
        <v>15975</v>
      </c>
      <c r="K801" s="154" t="s">
        <v>232</v>
      </c>
      <c r="L801" s="155" t="s">
        <v>362</v>
      </c>
      <c r="M801" s="156" t="s">
        <v>4656</v>
      </c>
      <c r="N801" s="157" t="s">
        <v>4657</v>
      </c>
      <c r="O801" s="158" t="s">
        <v>153</v>
      </c>
      <c r="P801" s="159" t="s">
        <v>15976</v>
      </c>
      <c r="Q801" s="160" t="s">
        <v>204</v>
      </c>
      <c r="R801" s="161">
        <v>2000</v>
      </c>
      <c r="S801" s="162" t="s">
        <v>290</v>
      </c>
      <c r="T801" s="163" t="s">
        <v>205</v>
      </c>
      <c r="U801" s="164" t="s">
        <v>237</v>
      </c>
      <c r="V801" s="165" t="s">
        <v>15977</v>
      </c>
      <c r="W801" s="166" t="s">
        <v>153</v>
      </c>
      <c r="X801" s="167" t="s">
        <v>153</v>
      </c>
      <c r="Y801" s="168" t="s">
        <v>153</v>
      </c>
      <c r="Z801" s="169" t="s">
        <v>153</v>
      </c>
      <c r="AA801" s="170" t="s">
        <v>153</v>
      </c>
      <c r="AB801" s="171" t="s">
        <v>153</v>
      </c>
      <c r="AC801" s="172" t="s">
        <v>153</v>
      </c>
      <c r="AD801" s="173" t="s">
        <v>153</v>
      </c>
      <c r="AE801" s="174" t="s">
        <v>153</v>
      </c>
      <c r="AF801" s="175" t="s">
        <v>153</v>
      </c>
      <c r="AG801" s="176" t="s">
        <v>153</v>
      </c>
      <c r="AH801" s="177" t="s">
        <v>153</v>
      </c>
      <c r="AI801" s="178" t="s">
        <v>153</v>
      </c>
      <c r="AJ801" s="179" t="s">
        <v>153</v>
      </c>
      <c r="AK801" s="180" t="s">
        <v>153</v>
      </c>
      <c r="AL801" s="181" t="s">
        <v>153</v>
      </c>
      <c r="AM801" s="182" t="s">
        <v>153</v>
      </c>
      <c r="AN801" s="183" t="s">
        <v>648</v>
      </c>
      <c r="AO801" s="184" t="s">
        <v>15978</v>
      </c>
      <c r="AP801" s="185" t="s">
        <v>15979</v>
      </c>
      <c r="AQ801" s="186" t="s">
        <v>512</v>
      </c>
      <c r="AR801" s="187" t="s">
        <v>153</v>
      </c>
      <c r="AS801" s="188" t="s">
        <v>153</v>
      </c>
      <c r="AT801" s="189" t="s">
        <v>433</v>
      </c>
      <c r="AU801" s="190" t="s">
        <v>15980</v>
      </c>
      <c r="AV801" s="191" t="s">
        <v>153</v>
      </c>
      <c r="AW801" s="192" t="s">
        <v>436</v>
      </c>
      <c r="AX801" s="193" t="s">
        <v>436</v>
      </c>
      <c r="AY801" s="194" t="s">
        <v>15981</v>
      </c>
      <c r="AZ801" s="195" t="s">
        <v>215</v>
      </c>
      <c r="BA801" s="196" t="s">
        <v>153</v>
      </c>
      <c r="BB801" s="197" t="s">
        <v>153</v>
      </c>
      <c r="BC801" s="198" t="s">
        <v>153</v>
      </c>
      <c r="BD801" s="199" t="s">
        <v>216</v>
      </c>
      <c r="BE801" s="200" t="s">
        <v>217</v>
      </c>
      <c r="BF801" s="201" t="s">
        <v>15982</v>
      </c>
      <c r="BG801" s="202" t="s">
        <v>153</v>
      </c>
      <c r="BH801" s="203" t="s">
        <v>153</v>
      </c>
      <c r="BI801" s="204" t="s">
        <v>15983</v>
      </c>
      <c r="BJ801" s="205" t="s">
        <v>153</v>
      </c>
      <c r="BK801" s="206" t="s">
        <v>153</v>
      </c>
      <c r="BL801" s="207" t="s">
        <v>153</v>
      </c>
      <c r="BM801" s="208" t="s">
        <v>153</v>
      </c>
      <c r="BN801" s="209" t="s">
        <v>153</v>
      </c>
      <c r="BO801" s="210" t="s">
        <v>153</v>
      </c>
      <c r="BP801" s="211" t="s">
        <v>15984</v>
      </c>
      <c r="BQ801" s="212">
        <v>39395</v>
      </c>
      <c r="BR801" s="213">
        <v>2000</v>
      </c>
      <c r="BS801" s="214" t="s">
        <v>186</v>
      </c>
      <c r="BT801" s="215" t="s">
        <v>153</v>
      </c>
      <c r="BU801" s="216" t="s">
        <v>153</v>
      </c>
      <c r="BV801" s="217" t="s">
        <v>251</v>
      </c>
      <c r="BW801" s="218" t="s">
        <v>153</v>
      </c>
      <c r="BX801" s="219" t="s">
        <v>153</v>
      </c>
      <c r="BY801" s="220" t="s">
        <v>252</v>
      </c>
      <c r="BZ801" s="221" t="s">
        <v>153</v>
      </c>
      <c r="CA801" s="222" t="s">
        <v>190</v>
      </c>
      <c r="CB801" s="223">
        <v>43404</v>
      </c>
      <c r="CC801" s="224">
        <v>6000</v>
      </c>
      <c r="CD801" s="225" t="s">
        <v>186</v>
      </c>
      <c r="CE801" s="226">
        <v>6000</v>
      </c>
      <c r="CF801" s="227" t="s">
        <v>187</v>
      </c>
      <c r="CG801" s="228" t="s">
        <v>226</v>
      </c>
      <c r="CH801" s="229" t="s">
        <v>153</v>
      </c>
      <c r="CI801" s="230" t="s">
        <v>153</v>
      </c>
      <c r="CJ801" s="231" t="s">
        <v>225</v>
      </c>
      <c r="CK801" s="232">
        <v>43404</v>
      </c>
      <c r="CL801" s="233" t="s">
        <v>153</v>
      </c>
      <c r="CM801" s="234" t="s">
        <v>153</v>
      </c>
      <c r="CN801" s="235" t="s">
        <v>190</v>
      </c>
      <c r="CO801" s="236" t="s">
        <v>153</v>
      </c>
      <c r="CP801" s="237" t="s">
        <v>153</v>
      </c>
      <c r="CQ801" s="238" t="s">
        <v>153</v>
      </c>
      <c r="CR801" s="239" t="s">
        <v>153</v>
      </c>
      <c r="CS801" s="240" t="s">
        <v>153</v>
      </c>
      <c r="CT801" s="241" t="s">
        <v>153</v>
      </c>
      <c r="CU801" s="242" t="s">
        <v>153</v>
      </c>
      <c r="CV801" s="243" t="s">
        <v>153</v>
      </c>
      <c r="CW801" s="244" t="s">
        <v>153</v>
      </c>
      <c r="CX801" s="245" t="s">
        <v>153</v>
      </c>
      <c r="CY801" s="246" t="s">
        <v>153</v>
      </c>
      <c r="CZ801" s="247" t="s">
        <v>153</v>
      </c>
      <c r="DA801" s="248" t="s">
        <v>153</v>
      </c>
      <c r="DB801" s="249" t="s">
        <v>153</v>
      </c>
      <c r="DC801" s="250" t="s">
        <v>153</v>
      </c>
      <c r="DD801" s="251" t="s">
        <v>153</v>
      </c>
      <c r="DE801" s="252" t="s">
        <v>153</v>
      </c>
      <c r="DF801" s="253" t="s">
        <v>153</v>
      </c>
      <c r="DG801" s="254" t="s">
        <v>153</v>
      </c>
      <c r="DH801" s="255" t="s">
        <v>153</v>
      </c>
      <c r="DI801" s="256" t="s">
        <v>153</v>
      </c>
      <c r="DJ801" s="257" t="s">
        <v>153</v>
      </c>
      <c r="DK801" s="258" t="s">
        <v>153</v>
      </c>
      <c r="DL801" s="259" t="s">
        <v>153</v>
      </c>
      <c r="DM801" s="260" t="s">
        <v>153</v>
      </c>
      <c r="DN801" s="261" t="s">
        <v>153</v>
      </c>
      <c r="DO801" s="262" t="s">
        <v>153</v>
      </c>
      <c r="DP801" s="263" t="s">
        <v>153</v>
      </c>
      <c r="DQ801" s="264" t="s">
        <v>153</v>
      </c>
      <c r="DR801" s="265" t="s">
        <v>153</v>
      </c>
      <c r="DS801" s="266" t="s">
        <v>153</v>
      </c>
      <c r="DT801" s="267" t="s">
        <v>153</v>
      </c>
      <c r="DU801" s="268" t="s">
        <v>153</v>
      </c>
      <c r="DV801" s="269" t="s">
        <v>153</v>
      </c>
      <c r="DW801" s="270" t="s">
        <v>153</v>
      </c>
      <c r="DX801" s="271" t="s">
        <v>153</v>
      </c>
      <c r="DY801" s="272" t="s">
        <v>153</v>
      </c>
      <c r="DZ801" s="273" t="s">
        <v>191</v>
      </c>
      <c r="EA801" s="274">
        <v>44217</v>
      </c>
      <c r="EB801" s="275">
        <v>6000</v>
      </c>
      <c r="EC801" s="276">
        <v>43404</v>
      </c>
      <c r="ED801" s="277" t="s">
        <v>226</v>
      </c>
      <c r="EE801" s="279" t="str">
        <f>HYPERLINK("https://my.pitchbook.com?c=43226-83", "View company online")</f>
        <v>View company online</v>
      </c>
    </row>
    <row r="802" spans="1:135" x14ac:dyDescent="0.45">
      <c r="A802" s="10" t="s">
        <v>15985</v>
      </c>
      <c r="B802" s="11" t="s">
        <v>15986</v>
      </c>
      <c r="C802" s="12" t="s">
        <v>153</v>
      </c>
      <c r="D802" s="13" t="s">
        <v>153</v>
      </c>
      <c r="E802" s="14" t="s">
        <v>15987</v>
      </c>
      <c r="F802" s="15" t="s">
        <v>15988</v>
      </c>
      <c r="G802" s="16" t="s">
        <v>15989</v>
      </c>
      <c r="H802" s="17" t="s">
        <v>15990</v>
      </c>
      <c r="I802" s="18" t="s">
        <v>15985</v>
      </c>
      <c r="J802" s="19" t="s">
        <v>15991</v>
      </c>
      <c r="K802" s="20" t="s">
        <v>157</v>
      </c>
      <c r="L802" s="21" t="s">
        <v>817</v>
      </c>
      <c r="M802" s="22" t="s">
        <v>6518</v>
      </c>
      <c r="N802" s="23" t="s">
        <v>15992</v>
      </c>
      <c r="O802" s="24" t="s">
        <v>365</v>
      </c>
      <c r="P802" s="25" t="s">
        <v>15993</v>
      </c>
      <c r="Q802" s="26" t="s">
        <v>162</v>
      </c>
      <c r="R802" s="27">
        <v>85</v>
      </c>
      <c r="S802" s="28" t="s">
        <v>163</v>
      </c>
      <c r="T802" s="29" t="s">
        <v>1392</v>
      </c>
      <c r="U802" s="30" t="s">
        <v>2534</v>
      </c>
      <c r="V802" s="31" t="s">
        <v>15994</v>
      </c>
      <c r="W802" s="32">
        <v>7500</v>
      </c>
      <c r="X802" s="33" t="s">
        <v>15995</v>
      </c>
      <c r="Y802" s="34" t="s">
        <v>153</v>
      </c>
      <c r="Z802" s="35" t="s">
        <v>153</v>
      </c>
      <c r="AA802" s="36">
        <v>1936</v>
      </c>
      <c r="AB802" s="37" t="s">
        <v>153</v>
      </c>
      <c r="AC802" s="38" t="s">
        <v>153</v>
      </c>
      <c r="AD802" s="39" t="s">
        <v>153</v>
      </c>
      <c r="AE802" s="40" t="s">
        <v>153</v>
      </c>
      <c r="AF802" s="41" t="s">
        <v>153</v>
      </c>
      <c r="AG802" s="42" t="s">
        <v>153</v>
      </c>
      <c r="AH802" s="43" t="s">
        <v>153</v>
      </c>
      <c r="AI802" s="44" t="s">
        <v>153</v>
      </c>
      <c r="AJ802" s="45" t="s">
        <v>153</v>
      </c>
      <c r="AK802" s="46" t="s">
        <v>153</v>
      </c>
      <c r="AL802" s="47" t="s">
        <v>153</v>
      </c>
      <c r="AM802" s="48" t="s">
        <v>153</v>
      </c>
      <c r="AN802" s="49" t="s">
        <v>1765</v>
      </c>
      <c r="AO802" s="50" t="s">
        <v>15996</v>
      </c>
      <c r="AP802" s="51" t="s">
        <v>15997</v>
      </c>
      <c r="AQ802" s="52" t="s">
        <v>1376</v>
      </c>
      <c r="AR802" s="53" t="s">
        <v>15998</v>
      </c>
      <c r="AS802" s="54" t="s">
        <v>15999</v>
      </c>
      <c r="AT802" s="55" t="s">
        <v>16000</v>
      </c>
      <c r="AU802" s="56" t="s">
        <v>16001</v>
      </c>
      <c r="AV802" s="57" t="s">
        <v>16002</v>
      </c>
      <c r="AW802" s="58" t="s">
        <v>16003</v>
      </c>
      <c r="AX802" s="59" t="s">
        <v>783</v>
      </c>
      <c r="AY802" s="60" t="s">
        <v>16004</v>
      </c>
      <c r="AZ802" s="61" t="s">
        <v>215</v>
      </c>
      <c r="BA802" s="62" t="s">
        <v>15999</v>
      </c>
      <c r="BB802" s="63" t="s">
        <v>153</v>
      </c>
      <c r="BC802" s="64" t="s">
        <v>16005</v>
      </c>
      <c r="BD802" s="65" t="s">
        <v>216</v>
      </c>
      <c r="BE802" s="66" t="s">
        <v>217</v>
      </c>
      <c r="BF802" s="67" t="s">
        <v>16006</v>
      </c>
      <c r="BG802" s="68" t="s">
        <v>16007</v>
      </c>
      <c r="BH802" s="69">
        <v>1</v>
      </c>
      <c r="BI802" s="70" t="s">
        <v>153</v>
      </c>
      <c r="BJ802" s="71" t="s">
        <v>16008</v>
      </c>
      <c r="BK802" s="72" t="s">
        <v>16009</v>
      </c>
      <c r="BL802" s="73" t="s">
        <v>16010</v>
      </c>
      <c r="BM802" s="74" t="s">
        <v>16011</v>
      </c>
      <c r="BN802" s="75" t="s">
        <v>16012</v>
      </c>
      <c r="BO802" s="76" t="s">
        <v>16013</v>
      </c>
      <c r="BP802" s="77" t="s">
        <v>16014</v>
      </c>
      <c r="BQ802" s="78" t="s">
        <v>153</v>
      </c>
      <c r="BR802" s="79" t="s">
        <v>153</v>
      </c>
      <c r="BS802" s="80" t="s">
        <v>153</v>
      </c>
      <c r="BT802" s="81" t="s">
        <v>153</v>
      </c>
      <c r="BU802" s="82" t="s">
        <v>153</v>
      </c>
      <c r="BV802" s="83" t="s">
        <v>251</v>
      </c>
      <c r="BW802" s="84" t="s">
        <v>153</v>
      </c>
      <c r="BX802" s="85" t="s">
        <v>153</v>
      </c>
      <c r="BY802" s="86" t="s">
        <v>252</v>
      </c>
      <c r="BZ802" s="87" t="s">
        <v>153</v>
      </c>
      <c r="CA802" s="88" t="s">
        <v>190</v>
      </c>
      <c r="CB802" s="89">
        <v>44341</v>
      </c>
      <c r="CC802" s="90">
        <v>6000</v>
      </c>
      <c r="CD802" s="91" t="s">
        <v>187</v>
      </c>
      <c r="CE802" s="92">
        <v>6000</v>
      </c>
      <c r="CF802" s="93" t="s">
        <v>187</v>
      </c>
      <c r="CG802" s="94" t="s">
        <v>188</v>
      </c>
      <c r="CH802" s="95" t="s">
        <v>5549</v>
      </c>
      <c r="CI802" s="96" t="s">
        <v>153</v>
      </c>
      <c r="CJ802" s="97" t="s">
        <v>165</v>
      </c>
      <c r="CK802" s="98">
        <v>44341</v>
      </c>
      <c r="CL802" s="99" t="s">
        <v>153</v>
      </c>
      <c r="CM802" s="100" t="s">
        <v>153</v>
      </c>
      <c r="CN802" s="101" t="s">
        <v>1278</v>
      </c>
      <c r="CO802" s="102">
        <v>3.97</v>
      </c>
      <c r="CP802" s="103">
        <v>100</v>
      </c>
      <c r="CQ802" s="104">
        <v>-1.07</v>
      </c>
      <c r="CR802" s="105">
        <v>-21.26</v>
      </c>
      <c r="CS802" s="106">
        <v>0.89</v>
      </c>
      <c r="CT802" s="107">
        <v>95</v>
      </c>
      <c r="CU802" s="108">
        <v>-0.04</v>
      </c>
      <c r="CV802" s="109">
        <v>34</v>
      </c>
      <c r="CW802" s="110">
        <v>1.37</v>
      </c>
      <c r="CX802" s="111">
        <v>83</v>
      </c>
      <c r="CY802" s="112">
        <v>0.42</v>
      </c>
      <c r="CZ802" s="113">
        <v>94</v>
      </c>
      <c r="DA802" s="114">
        <v>-0.04</v>
      </c>
      <c r="DB802" s="115">
        <v>34</v>
      </c>
      <c r="DC802" s="116">
        <v>88.11</v>
      </c>
      <c r="DD802" s="117">
        <v>99</v>
      </c>
      <c r="DE802" s="118">
        <v>-0.1</v>
      </c>
      <c r="DF802" s="119">
        <v>-0.11</v>
      </c>
      <c r="DG802" s="120">
        <v>132.87</v>
      </c>
      <c r="DH802" s="121">
        <v>100</v>
      </c>
      <c r="DI802" s="122">
        <v>16.77</v>
      </c>
      <c r="DJ802" s="123">
        <v>90</v>
      </c>
      <c r="DK802" s="124">
        <v>121.19</v>
      </c>
      <c r="DL802" s="125">
        <v>98</v>
      </c>
      <c r="DM802" s="126">
        <v>144.56</v>
      </c>
      <c r="DN802" s="127">
        <v>100</v>
      </c>
      <c r="DO802" s="128">
        <v>16.77</v>
      </c>
      <c r="DP802" s="129">
        <v>90</v>
      </c>
      <c r="DQ802" s="130">
        <v>71238</v>
      </c>
      <c r="DR802" s="131">
        <v>2292</v>
      </c>
      <c r="DS802" s="132">
        <v>3.32</v>
      </c>
      <c r="DT802" s="133">
        <v>2318</v>
      </c>
      <c r="DU802" s="134">
        <v>-4</v>
      </c>
      <c r="DV802" s="135">
        <v>-0.17</v>
      </c>
      <c r="DW802" s="136">
        <v>5265</v>
      </c>
      <c r="DX802" s="137">
        <v>0</v>
      </c>
      <c r="DY802" s="138">
        <v>0</v>
      </c>
      <c r="DZ802" s="139" t="s">
        <v>191</v>
      </c>
      <c r="EA802" s="140">
        <v>44400</v>
      </c>
      <c r="EB802" s="141">
        <v>6000</v>
      </c>
      <c r="EC802" s="142">
        <v>44341</v>
      </c>
      <c r="ED802" s="143" t="s">
        <v>188</v>
      </c>
      <c r="EE802" s="278" t="str">
        <f>HYPERLINK("https://my.pitchbook.com?c=10154-89", "View company online")</f>
        <v>View company online</v>
      </c>
    </row>
    <row r="803" spans="1:135" x14ac:dyDescent="0.45">
      <c r="A803" s="144" t="s">
        <v>16015</v>
      </c>
      <c r="B803" s="145" t="s">
        <v>16016</v>
      </c>
      <c r="C803" s="146" t="s">
        <v>153</v>
      </c>
      <c r="D803" s="147" t="s">
        <v>153</v>
      </c>
      <c r="E803" s="148" t="s">
        <v>153</v>
      </c>
      <c r="F803" s="149" t="s">
        <v>153</v>
      </c>
      <c r="G803" s="150" t="s">
        <v>16017</v>
      </c>
      <c r="H803" s="151" t="s">
        <v>153</v>
      </c>
      <c r="I803" s="152" t="s">
        <v>16015</v>
      </c>
      <c r="J803" s="153" t="s">
        <v>16018</v>
      </c>
      <c r="K803" s="154" t="s">
        <v>198</v>
      </c>
      <c r="L803" s="155" t="s">
        <v>1846</v>
      </c>
      <c r="M803" s="156" t="s">
        <v>1847</v>
      </c>
      <c r="N803" s="157" t="s">
        <v>16019</v>
      </c>
      <c r="O803" s="158" t="s">
        <v>8399</v>
      </c>
      <c r="P803" s="159" t="s">
        <v>16020</v>
      </c>
      <c r="Q803" s="160" t="s">
        <v>289</v>
      </c>
      <c r="R803" s="161">
        <v>170</v>
      </c>
      <c r="S803" s="162" t="s">
        <v>163</v>
      </c>
      <c r="T803" s="163" t="s">
        <v>205</v>
      </c>
      <c r="U803" s="164" t="s">
        <v>941</v>
      </c>
      <c r="V803" s="165" t="s">
        <v>16021</v>
      </c>
      <c r="W803" s="166">
        <v>768</v>
      </c>
      <c r="X803" s="167" t="s">
        <v>16022</v>
      </c>
      <c r="Y803" s="168" t="s">
        <v>153</v>
      </c>
      <c r="Z803" s="169" t="s">
        <v>153</v>
      </c>
      <c r="AA803" s="170">
        <v>1996</v>
      </c>
      <c r="AB803" s="171" t="s">
        <v>153</v>
      </c>
      <c r="AC803" s="172" t="s">
        <v>153</v>
      </c>
      <c r="AD803" s="173" t="s">
        <v>153</v>
      </c>
      <c r="AE803" s="174" t="s">
        <v>153</v>
      </c>
      <c r="AF803" s="175" t="s">
        <v>153</v>
      </c>
      <c r="AG803" s="176" t="s">
        <v>153</v>
      </c>
      <c r="AH803" s="177" t="s">
        <v>153</v>
      </c>
      <c r="AI803" s="178" t="s">
        <v>153</v>
      </c>
      <c r="AJ803" s="179" t="s">
        <v>153</v>
      </c>
      <c r="AK803" s="180" t="s">
        <v>153</v>
      </c>
      <c r="AL803" s="181" t="s">
        <v>153</v>
      </c>
      <c r="AM803" s="182" t="s">
        <v>153</v>
      </c>
      <c r="AN803" s="183" t="s">
        <v>153</v>
      </c>
      <c r="AO803" s="184" t="s">
        <v>153</v>
      </c>
      <c r="AP803" s="185" t="s">
        <v>153</v>
      </c>
      <c r="AQ803" s="186" t="s">
        <v>153</v>
      </c>
      <c r="AR803" s="187" t="s">
        <v>153</v>
      </c>
      <c r="AS803" s="188" t="s">
        <v>153</v>
      </c>
      <c r="AT803" s="189" t="s">
        <v>16023</v>
      </c>
      <c r="AU803" s="190" t="s">
        <v>16024</v>
      </c>
      <c r="AV803" s="191" t="s">
        <v>153</v>
      </c>
      <c r="AW803" s="192" t="s">
        <v>16025</v>
      </c>
      <c r="AX803" s="193" t="s">
        <v>5957</v>
      </c>
      <c r="AY803" s="194" t="s">
        <v>16026</v>
      </c>
      <c r="AZ803" s="195" t="s">
        <v>215</v>
      </c>
      <c r="BA803" s="196" t="s">
        <v>16027</v>
      </c>
      <c r="BB803" s="197" t="s">
        <v>16028</v>
      </c>
      <c r="BC803" s="198" t="s">
        <v>153</v>
      </c>
      <c r="BD803" s="199" t="s">
        <v>216</v>
      </c>
      <c r="BE803" s="200" t="s">
        <v>217</v>
      </c>
      <c r="BF803" s="201" t="s">
        <v>16029</v>
      </c>
      <c r="BG803" s="202" t="s">
        <v>153</v>
      </c>
      <c r="BH803" s="203" t="s">
        <v>153</v>
      </c>
      <c r="BI803" s="204" t="s">
        <v>153</v>
      </c>
      <c r="BJ803" s="205" t="s">
        <v>16030</v>
      </c>
      <c r="BK803" s="206" t="s">
        <v>153</v>
      </c>
      <c r="BL803" s="207" t="s">
        <v>153</v>
      </c>
      <c r="BM803" s="208" t="s">
        <v>16031</v>
      </c>
      <c r="BN803" s="209" t="s">
        <v>153</v>
      </c>
      <c r="BO803" s="210" t="s">
        <v>153</v>
      </c>
      <c r="BP803" s="211" t="s">
        <v>16032</v>
      </c>
      <c r="BQ803" s="212" t="s">
        <v>153</v>
      </c>
      <c r="BR803" s="213" t="s">
        <v>153</v>
      </c>
      <c r="BS803" s="214" t="s">
        <v>153</v>
      </c>
      <c r="BT803" s="215" t="s">
        <v>153</v>
      </c>
      <c r="BU803" s="216" t="s">
        <v>153</v>
      </c>
      <c r="BV803" s="217" t="s">
        <v>471</v>
      </c>
      <c r="BW803" s="218" t="s">
        <v>153</v>
      </c>
      <c r="BX803" s="219" t="s">
        <v>153</v>
      </c>
      <c r="BY803" s="220" t="s">
        <v>472</v>
      </c>
      <c r="BZ803" s="221" t="s">
        <v>1432</v>
      </c>
      <c r="CA803" s="222" t="s">
        <v>190</v>
      </c>
      <c r="CB803" s="223">
        <v>36774</v>
      </c>
      <c r="CC803" s="224">
        <v>6000</v>
      </c>
      <c r="CD803" s="225" t="s">
        <v>153</v>
      </c>
      <c r="CE803" s="226">
        <v>6000</v>
      </c>
      <c r="CF803" s="227" t="s">
        <v>153</v>
      </c>
      <c r="CG803" s="228" t="s">
        <v>226</v>
      </c>
      <c r="CH803" s="229" t="s">
        <v>153</v>
      </c>
      <c r="CI803" s="230" t="s">
        <v>153</v>
      </c>
      <c r="CJ803" s="231" t="s">
        <v>225</v>
      </c>
      <c r="CK803" s="232">
        <v>36774</v>
      </c>
      <c r="CL803" s="233" t="s">
        <v>153</v>
      </c>
      <c r="CM803" s="234" t="s">
        <v>153</v>
      </c>
      <c r="CN803" s="235" t="s">
        <v>190</v>
      </c>
      <c r="CO803" s="236" t="s">
        <v>153</v>
      </c>
      <c r="CP803" s="237" t="s">
        <v>153</v>
      </c>
      <c r="CQ803" s="238" t="s">
        <v>153</v>
      </c>
      <c r="CR803" s="239" t="s">
        <v>153</v>
      </c>
      <c r="CS803" s="240" t="s">
        <v>153</v>
      </c>
      <c r="CT803" s="241" t="s">
        <v>153</v>
      </c>
      <c r="CU803" s="242" t="s">
        <v>153</v>
      </c>
      <c r="CV803" s="243" t="s">
        <v>153</v>
      </c>
      <c r="CW803" s="244" t="s">
        <v>153</v>
      </c>
      <c r="CX803" s="245" t="s">
        <v>153</v>
      </c>
      <c r="CY803" s="246" t="s">
        <v>153</v>
      </c>
      <c r="CZ803" s="247" t="s">
        <v>153</v>
      </c>
      <c r="DA803" s="248" t="s">
        <v>153</v>
      </c>
      <c r="DB803" s="249" t="s">
        <v>153</v>
      </c>
      <c r="DC803" s="250" t="s">
        <v>153</v>
      </c>
      <c r="DD803" s="251" t="s">
        <v>153</v>
      </c>
      <c r="DE803" s="252" t="s">
        <v>153</v>
      </c>
      <c r="DF803" s="253" t="s">
        <v>153</v>
      </c>
      <c r="DG803" s="254" t="s">
        <v>153</v>
      </c>
      <c r="DH803" s="255" t="s">
        <v>153</v>
      </c>
      <c r="DI803" s="256" t="s">
        <v>153</v>
      </c>
      <c r="DJ803" s="257" t="s">
        <v>153</v>
      </c>
      <c r="DK803" s="258" t="s">
        <v>153</v>
      </c>
      <c r="DL803" s="259" t="s">
        <v>153</v>
      </c>
      <c r="DM803" s="260" t="s">
        <v>153</v>
      </c>
      <c r="DN803" s="261" t="s">
        <v>153</v>
      </c>
      <c r="DO803" s="262" t="s">
        <v>153</v>
      </c>
      <c r="DP803" s="263" t="s">
        <v>153</v>
      </c>
      <c r="DQ803" s="264" t="s">
        <v>153</v>
      </c>
      <c r="DR803" s="265" t="s">
        <v>153</v>
      </c>
      <c r="DS803" s="266" t="s">
        <v>153</v>
      </c>
      <c r="DT803" s="267" t="s">
        <v>153</v>
      </c>
      <c r="DU803" s="268" t="s">
        <v>153</v>
      </c>
      <c r="DV803" s="269" t="s">
        <v>153</v>
      </c>
      <c r="DW803" s="270" t="s">
        <v>153</v>
      </c>
      <c r="DX803" s="271" t="s">
        <v>153</v>
      </c>
      <c r="DY803" s="272" t="s">
        <v>153</v>
      </c>
      <c r="DZ803" s="273" t="s">
        <v>191</v>
      </c>
      <c r="EA803" s="274">
        <v>44147</v>
      </c>
      <c r="EB803" s="275">
        <v>6000</v>
      </c>
      <c r="EC803" s="276">
        <v>36774</v>
      </c>
      <c r="ED803" s="277" t="s">
        <v>226</v>
      </c>
      <c r="EE803" s="279" t="str">
        <f>HYPERLINK("https://my.pitchbook.com?c=12030-49", "View company online")</f>
        <v>View company online</v>
      </c>
    </row>
    <row r="804" spans="1:135" x14ac:dyDescent="0.45">
      <c r="A804" s="10" t="s">
        <v>16033</v>
      </c>
      <c r="B804" s="11" t="s">
        <v>16034</v>
      </c>
      <c r="C804" s="12" t="s">
        <v>153</v>
      </c>
      <c r="D804" s="13" t="s">
        <v>153</v>
      </c>
      <c r="E804" s="14" t="s">
        <v>153</v>
      </c>
      <c r="F804" s="15" t="s">
        <v>16035</v>
      </c>
      <c r="G804" s="16" t="s">
        <v>16036</v>
      </c>
      <c r="H804" s="17" t="s">
        <v>153</v>
      </c>
      <c r="I804" s="18" t="s">
        <v>16033</v>
      </c>
      <c r="J804" s="19" t="s">
        <v>16037</v>
      </c>
      <c r="K804" s="20" t="s">
        <v>792</v>
      </c>
      <c r="L804" s="21" t="s">
        <v>841</v>
      </c>
      <c r="M804" s="22" t="s">
        <v>913</v>
      </c>
      <c r="N804" s="23" t="s">
        <v>10376</v>
      </c>
      <c r="O804" s="24" t="s">
        <v>16038</v>
      </c>
      <c r="P804" s="25" t="s">
        <v>16039</v>
      </c>
      <c r="Q804" s="26" t="s">
        <v>162</v>
      </c>
      <c r="R804" s="27" t="s">
        <v>153</v>
      </c>
      <c r="S804" s="28" t="s">
        <v>163</v>
      </c>
      <c r="T804" s="29" t="s">
        <v>1392</v>
      </c>
      <c r="U804" s="30" t="s">
        <v>165</v>
      </c>
      <c r="V804" s="31" t="s">
        <v>16040</v>
      </c>
      <c r="W804" s="32" t="s">
        <v>153</v>
      </c>
      <c r="X804" s="33" t="s">
        <v>153</v>
      </c>
      <c r="Y804" s="34" t="s">
        <v>153</v>
      </c>
      <c r="Z804" s="35" t="s">
        <v>153</v>
      </c>
      <c r="AA804" s="36">
        <v>2017</v>
      </c>
      <c r="AB804" s="37" t="s">
        <v>153</v>
      </c>
      <c r="AC804" s="38" t="s">
        <v>153</v>
      </c>
      <c r="AD804" s="39" t="s">
        <v>153</v>
      </c>
      <c r="AE804" s="40" t="s">
        <v>153</v>
      </c>
      <c r="AF804" s="41" t="s">
        <v>153</v>
      </c>
      <c r="AG804" s="42" t="s">
        <v>153</v>
      </c>
      <c r="AH804" s="43" t="s">
        <v>153</v>
      </c>
      <c r="AI804" s="44" t="s">
        <v>153</v>
      </c>
      <c r="AJ804" s="45" t="s">
        <v>153</v>
      </c>
      <c r="AK804" s="46" t="s">
        <v>153</v>
      </c>
      <c r="AL804" s="47" t="s">
        <v>153</v>
      </c>
      <c r="AM804" s="48" t="s">
        <v>153</v>
      </c>
      <c r="AN804" s="49" t="s">
        <v>153</v>
      </c>
      <c r="AO804" s="50" t="s">
        <v>16041</v>
      </c>
      <c r="AP804" s="51" t="s">
        <v>16042</v>
      </c>
      <c r="AQ804" s="52" t="s">
        <v>512</v>
      </c>
      <c r="AR804" s="53" t="s">
        <v>16043</v>
      </c>
      <c r="AS804" s="54" t="s">
        <v>16044</v>
      </c>
      <c r="AT804" s="55" t="s">
        <v>2998</v>
      </c>
      <c r="AU804" s="56" t="s">
        <v>16045</v>
      </c>
      <c r="AV804" s="57" t="s">
        <v>16046</v>
      </c>
      <c r="AW804" s="58" t="s">
        <v>3000</v>
      </c>
      <c r="AX804" s="59" t="s">
        <v>153</v>
      </c>
      <c r="AY804" s="60" t="s">
        <v>16047</v>
      </c>
      <c r="AZ804" s="61" t="s">
        <v>3002</v>
      </c>
      <c r="BA804" s="62" t="s">
        <v>16044</v>
      </c>
      <c r="BB804" s="63" t="s">
        <v>153</v>
      </c>
      <c r="BC804" s="64" t="s">
        <v>16048</v>
      </c>
      <c r="BD804" s="65" t="s">
        <v>216</v>
      </c>
      <c r="BE804" s="66" t="s">
        <v>3004</v>
      </c>
      <c r="BF804" s="67" t="s">
        <v>16049</v>
      </c>
      <c r="BG804" s="68" t="s">
        <v>16050</v>
      </c>
      <c r="BH804" s="69">
        <v>1</v>
      </c>
      <c r="BI804" s="70" t="s">
        <v>153</v>
      </c>
      <c r="BJ804" s="71" t="s">
        <v>153</v>
      </c>
      <c r="BK804" s="72" t="s">
        <v>153</v>
      </c>
      <c r="BL804" s="73" t="s">
        <v>16051</v>
      </c>
      <c r="BM804" s="74" t="s">
        <v>153</v>
      </c>
      <c r="BN804" s="75" t="s">
        <v>153</v>
      </c>
      <c r="BO804" s="76" t="s">
        <v>153</v>
      </c>
      <c r="BP804" s="77" t="s">
        <v>153</v>
      </c>
      <c r="BQ804" s="78">
        <v>42736</v>
      </c>
      <c r="BR804" s="79" t="s">
        <v>153</v>
      </c>
      <c r="BS804" s="80" t="s">
        <v>153</v>
      </c>
      <c r="BT804" s="81" t="s">
        <v>153</v>
      </c>
      <c r="BU804" s="82" t="s">
        <v>153</v>
      </c>
      <c r="BV804" s="83" t="s">
        <v>589</v>
      </c>
      <c r="BW804" s="84" t="s">
        <v>153</v>
      </c>
      <c r="BX804" s="85" t="s">
        <v>153</v>
      </c>
      <c r="BY804" s="86" t="s">
        <v>165</v>
      </c>
      <c r="BZ804" s="87" t="s">
        <v>153</v>
      </c>
      <c r="CA804" s="88" t="s">
        <v>190</v>
      </c>
      <c r="CB804" s="89">
        <v>43809</v>
      </c>
      <c r="CC804" s="90">
        <v>6000</v>
      </c>
      <c r="CD804" s="91" t="s">
        <v>187</v>
      </c>
      <c r="CE804" s="92">
        <v>6000</v>
      </c>
      <c r="CF804" s="93" t="s">
        <v>187</v>
      </c>
      <c r="CG804" s="94" t="s">
        <v>226</v>
      </c>
      <c r="CH804" s="95" t="s">
        <v>153</v>
      </c>
      <c r="CI804" s="96" t="s">
        <v>153</v>
      </c>
      <c r="CJ804" s="97" t="s">
        <v>321</v>
      </c>
      <c r="CK804" s="98">
        <v>43809</v>
      </c>
      <c r="CL804" s="99" t="s">
        <v>153</v>
      </c>
      <c r="CM804" s="100" t="s">
        <v>153</v>
      </c>
      <c r="CN804" s="101" t="s">
        <v>394</v>
      </c>
      <c r="CO804" s="102">
        <v>0</v>
      </c>
      <c r="CP804" s="103">
        <v>11</v>
      </c>
      <c r="CQ804" s="104">
        <v>0</v>
      </c>
      <c r="CR804" s="105">
        <v>0</v>
      </c>
      <c r="CS804" s="106">
        <v>0</v>
      </c>
      <c r="CT804" s="107">
        <v>8</v>
      </c>
      <c r="CU804" s="108" t="s">
        <v>153</v>
      </c>
      <c r="CV804" s="109" t="s">
        <v>153</v>
      </c>
      <c r="CW804" s="110" t="s">
        <v>153</v>
      </c>
      <c r="CX804" s="111" t="s">
        <v>153</v>
      </c>
      <c r="CY804" s="112">
        <v>0</v>
      </c>
      <c r="CZ804" s="113">
        <v>5</v>
      </c>
      <c r="DA804" s="114" t="s">
        <v>153</v>
      </c>
      <c r="DB804" s="115" t="s">
        <v>153</v>
      </c>
      <c r="DC804" s="116">
        <v>1.94</v>
      </c>
      <c r="DD804" s="117">
        <v>68</v>
      </c>
      <c r="DE804" s="118">
        <v>0</v>
      </c>
      <c r="DF804" s="119">
        <v>0</v>
      </c>
      <c r="DG804" s="120">
        <v>1.94</v>
      </c>
      <c r="DH804" s="121">
        <v>67</v>
      </c>
      <c r="DI804" s="122" t="s">
        <v>153</v>
      </c>
      <c r="DJ804" s="123" t="s">
        <v>153</v>
      </c>
      <c r="DK804" s="124" t="s">
        <v>153</v>
      </c>
      <c r="DL804" s="125" t="s">
        <v>153</v>
      </c>
      <c r="DM804" s="126">
        <v>1.94</v>
      </c>
      <c r="DN804" s="127">
        <v>66</v>
      </c>
      <c r="DO804" s="128" t="s">
        <v>153</v>
      </c>
      <c r="DP804" s="129" t="s">
        <v>153</v>
      </c>
      <c r="DQ804" s="130" t="s">
        <v>153</v>
      </c>
      <c r="DR804" s="131" t="s">
        <v>153</v>
      </c>
      <c r="DS804" s="132" t="s">
        <v>153</v>
      </c>
      <c r="DT804" s="133">
        <v>31</v>
      </c>
      <c r="DU804" s="134">
        <v>0</v>
      </c>
      <c r="DV804" s="135">
        <v>0</v>
      </c>
      <c r="DW804" s="136" t="s">
        <v>153</v>
      </c>
      <c r="DX804" s="137" t="s">
        <v>153</v>
      </c>
      <c r="DY804" s="138" t="s">
        <v>153</v>
      </c>
      <c r="DZ804" s="139" t="s">
        <v>191</v>
      </c>
      <c r="EA804" s="140">
        <v>44265</v>
      </c>
      <c r="EB804" s="141">
        <v>6000</v>
      </c>
      <c r="EC804" s="142">
        <v>43809</v>
      </c>
      <c r="ED804" s="143" t="s">
        <v>226</v>
      </c>
      <c r="EE804" s="278" t="str">
        <f>HYPERLINK("https://my.pitchbook.com?c=181283-68", "View company online")</f>
        <v>View company online</v>
      </c>
    </row>
    <row r="805" spans="1:135" x14ac:dyDescent="0.45">
      <c r="A805" s="144" t="s">
        <v>16052</v>
      </c>
      <c r="B805" s="145" t="s">
        <v>16053</v>
      </c>
      <c r="C805" s="146" t="s">
        <v>153</v>
      </c>
      <c r="D805" s="147" t="s">
        <v>153</v>
      </c>
      <c r="E805" s="148" t="s">
        <v>153</v>
      </c>
      <c r="F805" s="149" t="s">
        <v>153</v>
      </c>
      <c r="G805" s="150" t="s">
        <v>153</v>
      </c>
      <c r="H805" s="151" t="s">
        <v>153</v>
      </c>
      <c r="I805" s="152" t="s">
        <v>16052</v>
      </c>
      <c r="J805" s="153" t="s">
        <v>16054</v>
      </c>
      <c r="K805" s="154" t="s">
        <v>792</v>
      </c>
      <c r="L805" s="155" t="s">
        <v>841</v>
      </c>
      <c r="M805" s="156" t="s">
        <v>842</v>
      </c>
      <c r="N805" s="157" t="s">
        <v>16055</v>
      </c>
      <c r="O805" s="158" t="s">
        <v>796</v>
      </c>
      <c r="P805" s="159" t="s">
        <v>16056</v>
      </c>
      <c r="Q805" s="160" t="s">
        <v>564</v>
      </c>
      <c r="R805" s="161" t="s">
        <v>153</v>
      </c>
      <c r="S805" s="162" t="s">
        <v>163</v>
      </c>
      <c r="T805" s="163" t="s">
        <v>205</v>
      </c>
      <c r="U805" s="164" t="s">
        <v>2000</v>
      </c>
      <c r="V805" s="165" t="s">
        <v>153</v>
      </c>
      <c r="W805" s="166" t="s">
        <v>153</v>
      </c>
      <c r="X805" s="167" t="s">
        <v>153</v>
      </c>
      <c r="Y805" s="168" t="s">
        <v>153</v>
      </c>
      <c r="Z805" s="169" t="s">
        <v>153</v>
      </c>
      <c r="AA805" s="170" t="s">
        <v>153</v>
      </c>
      <c r="AB805" s="171" t="s">
        <v>153</v>
      </c>
      <c r="AC805" s="172" t="s">
        <v>153</v>
      </c>
      <c r="AD805" s="173" t="s">
        <v>153</v>
      </c>
      <c r="AE805" s="174" t="s">
        <v>153</v>
      </c>
      <c r="AF805" s="175" t="s">
        <v>153</v>
      </c>
      <c r="AG805" s="176" t="s">
        <v>153</v>
      </c>
      <c r="AH805" s="177" t="s">
        <v>153</v>
      </c>
      <c r="AI805" s="178" t="s">
        <v>153</v>
      </c>
      <c r="AJ805" s="179" t="s">
        <v>153</v>
      </c>
      <c r="AK805" s="180" t="s">
        <v>153</v>
      </c>
      <c r="AL805" s="181" t="s">
        <v>153</v>
      </c>
      <c r="AM805" s="182" t="s">
        <v>153</v>
      </c>
      <c r="AN805" s="183" t="s">
        <v>153</v>
      </c>
      <c r="AO805" s="184" t="s">
        <v>153</v>
      </c>
      <c r="AP805" s="185" t="s">
        <v>153</v>
      </c>
      <c r="AQ805" s="186" t="s">
        <v>153</v>
      </c>
      <c r="AR805" s="187" t="s">
        <v>153</v>
      </c>
      <c r="AS805" s="188" t="s">
        <v>153</v>
      </c>
      <c r="AT805" s="189" t="s">
        <v>2618</v>
      </c>
      <c r="AU805" s="190" t="s">
        <v>16057</v>
      </c>
      <c r="AV805" s="191" t="s">
        <v>8512</v>
      </c>
      <c r="AW805" s="192" t="s">
        <v>2620</v>
      </c>
      <c r="AX805" s="193" t="s">
        <v>1128</v>
      </c>
      <c r="AY805" s="194" t="s">
        <v>1716</v>
      </c>
      <c r="AZ805" s="195" t="s">
        <v>215</v>
      </c>
      <c r="BA805" s="196" t="s">
        <v>16058</v>
      </c>
      <c r="BB805" s="197" t="s">
        <v>16059</v>
      </c>
      <c r="BC805" s="198" t="s">
        <v>153</v>
      </c>
      <c r="BD805" s="199" t="s">
        <v>216</v>
      </c>
      <c r="BE805" s="200" t="s">
        <v>217</v>
      </c>
      <c r="BF805" s="201" t="s">
        <v>16060</v>
      </c>
      <c r="BG805" s="202" t="s">
        <v>153</v>
      </c>
      <c r="BH805" s="203" t="s">
        <v>153</v>
      </c>
      <c r="BI805" s="204" t="s">
        <v>16061</v>
      </c>
      <c r="BJ805" s="205" t="s">
        <v>16062</v>
      </c>
      <c r="BK805" s="206" t="s">
        <v>153</v>
      </c>
      <c r="BL805" s="207" t="s">
        <v>153</v>
      </c>
      <c r="BM805" s="208" t="s">
        <v>2881</v>
      </c>
      <c r="BN805" s="209" t="s">
        <v>153</v>
      </c>
      <c r="BO805" s="210" t="s">
        <v>153</v>
      </c>
      <c r="BP805" s="211" t="s">
        <v>16063</v>
      </c>
      <c r="BQ805" s="212">
        <v>41698</v>
      </c>
      <c r="BR805" s="213">
        <v>6000</v>
      </c>
      <c r="BS805" s="214" t="s">
        <v>186</v>
      </c>
      <c r="BT805" s="215">
        <v>6000</v>
      </c>
      <c r="BU805" s="216" t="s">
        <v>186</v>
      </c>
      <c r="BV805" s="217" t="s">
        <v>226</v>
      </c>
      <c r="BW805" s="218" t="s">
        <v>729</v>
      </c>
      <c r="BX805" s="219" t="s">
        <v>153</v>
      </c>
      <c r="BY805" s="220" t="s">
        <v>225</v>
      </c>
      <c r="BZ805" s="221" t="s">
        <v>153</v>
      </c>
      <c r="CA805" s="222" t="s">
        <v>190</v>
      </c>
      <c r="CB805" s="223">
        <v>41698</v>
      </c>
      <c r="CC805" s="224">
        <v>6000</v>
      </c>
      <c r="CD805" s="225" t="s">
        <v>186</v>
      </c>
      <c r="CE805" s="226">
        <v>6000</v>
      </c>
      <c r="CF805" s="227" t="s">
        <v>186</v>
      </c>
      <c r="CG805" s="228" t="s">
        <v>226</v>
      </c>
      <c r="CH805" s="229" t="s">
        <v>729</v>
      </c>
      <c r="CI805" s="230" t="s">
        <v>153</v>
      </c>
      <c r="CJ805" s="231" t="s">
        <v>225</v>
      </c>
      <c r="CK805" s="232">
        <v>41698</v>
      </c>
      <c r="CL805" s="233" t="s">
        <v>153</v>
      </c>
      <c r="CM805" s="234" t="s">
        <v>153</v>
      </c>
      <c r="CN805" s="235" t="s">
        <v>190</v>
      </c>
      <c r="CO805" s="236" t="s">
        <v>153</v>
      </c>
      <c r="CP805" s="237" t="s">
        <v>153</v>
      </c>
      <c r="CQ805" s="238" t="s">
        <v>153</v>
      </c>
      <c r="CR805" s="239" t="s">
        <v>153</v>
      </c>
      <c r="CS805" s="240" t="s">
        <v>153</v>
      </c>
      <c r="CT805" s="241" t="s">
        <v>153</v>
      </c>
      <c r="CU805" s="242" t="s">
        <v>153</v>
      </c>
      <c r="CV805" s="243" t="s">
        <v>153</v>
      </c>
      <c r="CW805" s="244" t="s">
        <v>153</v>
      </c>
      <c r="CX805" s="245" t="s">
        <v>153</v>
      </c>
      <c r="CY805" s="246" t="s">
        <v>153</v>
      </c>
      <c r="CZ805" s="247" t="s">
        <v>153</v>
      </c>
      <c r="DA805" s="248" t="s">
        <v>153</v>
      </c>
      <c r="DB805" s="249" t="s">
        <v>153</v>
      </c>
      <c r="DC805" s="250" t="s">
        <v>153</v>
      </c>
      <c r="DD805" s="251" t="s">
        <v>153</v>
      </c>
      <c r="DE805" s="252" t="s">
        <v>153</v>
      </c>
      <c r="DF805" s="253" t="s">
        <v>153</v>
      </c>
      <c r="DG805" s="254" t="s">
        <v>153</v>
      </c>
      <c r="DH805" s="255" t="s">
        <v>153</v>
      </c>
      <c r="DI805" s="256" t="s">
        <v>153</v>
      </c>
      <c r="DJ805" s="257" t="s">
        <v>153</v>
      </c>
      <c r="DK805" s="258" t="s">
        <v>153</v>
      </c>
      <c r="DL805" s="259" t="s">
        <v>153</v>
      </c>
      <c r="DM805" s="260" t="s">
        <v>153</v>
      </c>
      <c r="DN805" s="261" t="s">
        <v>153</v>
      </c>
      <c r="DO805" s="262" t="s">
        <v>153</v>
      </c>
      <c r="DP805" s="263" t="s">
        <v>153</v>
      </c>
      <c r="DQ805" s="264" t="s">
        <v>153</v>
      </c>
      <c r="DR805" s="265" t="s">
        <v>153</v>
      </c>
      <c r="DS805" s="266" t="s">
        <v>153</v>
      </c>
      <c r="DT805" s="267" t="s">
        <v>153</v>
      </c>
      <c r="DU805" s="268" t="s">
        <v>153</v>
      </c>
      <c r="DV805" s="269" t="s">
        <v>153</v>
      </c>
      <c r="DW805" s="270" t="s">
        <v>153</v>
      </c>
      <c r="DX805" s="271" t="s">
        <v>153</v>
      </c>
      <c r="DY805" s="272" t="s">
        <v>153</v>
      </c>
      <c r="DZ805" s="273" t="s">
        <v>191</v>
      </c>
      <c r="EA805" s="274">
        <v>44400</v>
      </c>
      <c r="EB805" s="275">
        <v>6000</v>
      </c>
      <c r="EC805" s="276">
        <v>41698</v>
      </c>
      <c r="ED805" s="277" t="s">
        <v>226</v>
      </c>
      <c r="EE805" s="279" t="str">
        <f>HYPERLINK("https://my.pitchbook.com?c=61749-55", "View company online")</f>
        <v>View company online</v>
      </c>
    </row>
    <row r="806" spans="1:135" x14ac:dyDescent="0.45">
      <c r="A806" s="10" t="s">
        <v>16064</v>
      </c>
      <c r="B806" s="11" t="s">
        <v>16065</v>
      </c>
      <c r="C806" s="12" t="s">
        <v>153</v>
      </c>
      <c r="D806" s="13" t="s">
        <v>153</v>
      </c>
      <c r="E806" s="14" t="s">
        <v>16066</v>
      </c>
      <c r="F806" s="15" t="s">
        <v>16067</v>
      </c>
      <c r="G806" s="16" t="s">
        <v>16068</v>
      </c>
      <c r="H806" s="17" t="s">
        <v>16069</v>
      </c>
      <c r="I806" s="18" t="s">
        <v>16064</v>
      </c>
      <c r="J806" s="19" t="s">
        <v>16070</v>
      </c>
      <c r="K806" s="20" t="s">
        <v>157</v>
      </c>
      <c r="L806" s="21" t="s">
        <v>158</v>
      </c>
      <c r="M806" s="22" t="s">
        <v>159</v>
      </c>
      <c r="N806" s="23" t="s">
        <v>3093</v>
      </c>
      <c r="O806" s="24" t="s">
        <v>153</v>
      </c>
      <c r="P806" s="25" t="s">
        <v>16071</v>
      </c>
      <c r="Q806" s="26" t="s">
        <v>162</v>
      </c>
      <c r="R806" s="27">
        <v>478.67</v>
      </c>
      <c r="S806" s="28" t="s">
        <v>163</v>
      </c>
      <c r="T806" s="29" t="s">
        <v>1392</v>
      </c>
      <c r="U806" s="30" t="s">
        <v>5464</v>
      </c>
      <c r="V806" s="31" t="s">
        <v>16072</v>
      </c>
      <c r="W806" s="32">
        <v>204</v>
      </c>
      <c r="X806" s="33" t="s">
        <v>16073</v>
      </c>
      <c r="Y806" s="34" t="s">
        <v>153</v>
      </c>
      <c r="Z806" s="35" t="s">
        <v>153</v>
      </c>
      <c r="AA806" s="36">
        <v>2012</v>
      </c>
      <c r="AB806" s="37" t="s">
        <v>153</v>
      </c>
      <c r="AC806" s="38" t="s">
        <v>153</v>
      </c>
      <c r="AD806" s="39" t="s">
        <v>570</v>
      </c>
      <c r="AE806" s="40" t="s">
        <v>153</v>
      </c>
      <c r="AF806" s="41" t="s">
        <v>153</v>
      </c>
      <c r="AG806" s="42" t="s">
        <v>153</v>
      </c>
      <c r="AH806" s="43" t="s">
        <v>153</v>
      </c>
      <c r="AI806" s="44" t="s">
        <v>153</v>
      </c>
      <c r="AJ806" s="45" t="s">
        <v>153</v>
      </c>
      <c r="AK806" s="46" t="s">
        <v>153</v>
      </c>
      <c r="AL806" s="47" t="s">
        <v>153</v>
      </c>
      <c r="AM806" s="48" t="s">
        <v>153</v>
      </c>
      <c r="AN806" s="49" t="s">
        <v>153</v>
      </c>
      <c r="AO806" s="50" t="s">
        <v>16074</v>
      </c>
      <c r="AP806" s="51" t="s">
        <v>16075</v>
      </c>
      <c r="AQ806" s="52" t="s">
        <v>16076</v>
      </c>
      <c r="AR806" s="53" t="s">
        <v>16077</v>
      </c>
      <c r="AS806" s="54" t="s">
        <v>16078</v>
      </c>
      <c r="AT806" s="55" t="s">
        <v>780</v>
      </c>
      <c r="AU806" s="56" t="s">
        <v>16079</v>
      </c>
      <c r="AV806" s="57" t="s">
        <v>1179</v>
      </c>
      <c r="AW806" s="58" t="s">
        <v>782</v>
      </c>
      <c r="AX806" s="59" t="s">
        <v>783</v>
      </c>
      <c r="AY806" s="60" t="s">
        <v>2876</v>
      </c>
      <c r="AZ806" s="61" t="s">
        <v>215</v>
      </c>
      <c r="BA806" s="62" t="s">
        <v>16078</v>
      </c>
      <c r="BB806" s="63" t="s">
        <v>153</v>
      </c>
      <c r="BC806" s="64" t="s">
        <v>153</v>
      </c>
      <c r="BD806" s="65" t="s">
        <v>216</v>
      </c>
      <c r="BE806" s="66" t="s">
        <v>217</v>
      </c>
      <c r="BF806" s="67" t="s">
        <v>16080</v>
      </c>
      <c r="BG806" s="68" t="s">
        <v>16081</v>
      </c>
      <c r="BH806" s="69">
        <v>4</v>
      </c>
      <c r="BI806" s="70" t="s">
        <v>153</v>
      </c>
      <c r="BJ806" s="71" t="s">
        <v>153</v>
      </c>
      <c r="BK806" s="72" t="s">
        <v>2879</v>
      </c>
      <c r="BL806" s="73" t="s">
        <v>16082</v>
      </c>
      <c r="BM806" s="74" t="s">
        <v>153</v>
      </c>
      <c r="BN806" s="75" t="s">
        <v>2881</v>
      </c>
      <c r="BO806" s="76" t="s">
        <v>153</v>
      </c>
      <c r="BP806" s="77" t="s">
        <v>16083</v>
      </c>
      <c r="BQ806" s="78">
        <v>42513</v>
      </c>
      <c r="BR806" s="79">
        <v>767.62</v>
      </c>
      <c r="BS806" s="80" t="s">
        <v>186</v>
      </c>
      <c r="BT806" s="81">
        <v>767.62</v>
      </c>
      <c r="BU806" s="82" t="s">
        <v>153</v>
      </c>
      <c r="BV806" s="83" t="s">
        <v>188</v>
      </c>
      <c r="BW806" s="84" t="s">
        <v>153</v>
      </c>
      <c r="BX806" s="85" t="s">
        <v>153</v>
      </c>
      <c r="BY806" s="86" t="s">
        <v>165</v>
      </c>
      <c r="BZ806" s="87" t="s">
        <v>153</v>
      </c>
      <c r="CA806" s="88" t="s">
        <v>190</v>
      </c>
      <c r="CB806" s="89">
        <v>44369</v>
      </c>
      <c r="CC806" s="90">
        <v>6000</v>
      </c>
      <c r="CD806" s="91" t="s">
        <v>186</v>
      </c>
      <c r="CE806" s="92">
        <v>6000</v>
      </c>
      <c r="CF806" s="93" t="s">
        <v>153</v>
      </c>
      <c r="CG806" s="94" t="s">
        <v>188</v>
      </c>
      <c r="CH806" s="95" t="s">
        <v>5549</v>
      </c>
      <c r="CI806" s="96" t="s">
        <v>153</v>
      </c>
      <c r="CJ806" s="97" t="s">
        <v>165</v>
      </c>
      <c r="CK806" s="98">
        <v>44369</v>
      </c>
      <c r="CL806" s="99" t="s">
        <v>153</v>
      </c>
      <c r="CM806" s="100" t="s">
        <v>153</v>
      </c>
      <c r="CN806" s="101" t="s">
        <v>1278</v>
      </c>
      <c r="CO806" s="102">
        <v>1</v>
      </c>
      <c r="CP806" s="103">
        <v>96</v>
      </c>
      <c r="CQ806" s="104">
        <v>-0.04</v>
      </c>
      <c r="CR806" s="105">
        <v>-4.07</v>
      </c>
      <c r="CS806" s="106">
        <v>2.98</v>
      </c>
      <c r="CT806" s="107">
        <v>99</v>
      </c>
      <c r="CU806" s="108">
        <v>0.01</v>
      </c>
      <c r="CV806" s="109">
        <v>77</v>
      </c>
      <c r="CW806" s="110">
        <v>5.07</v>
      </c>
      <c r="CX806" s="111">
        <v>94</v>
      </c>
      <c r="CY806" s="112">
        <v>0.9</v>
      </c>
      <c r="CZ806" s="113">
        <v>97</v>
      </c>
      <c r="DA806" s="114">
        <v>0.01</v>
      </c>
      <c r="DB806" s="115">
        <v>77</v>
      </c>
      <c r="DC806" s="116">
        <v>21.34</v>
      </c>
      <c r="DD806" s="117">
        <v>96</v>
      </c>
      <c r="DE806" s="118">
        <v>-0.09</v>
      </c>
      <c r="DF806" s="119">
        <v>-0.41</v>
      </c>
      <c r="DG806" s="120">
        <v>60.35</v>
      </c>
      <c r="DH806" s="121">
        <v>99</v>
      </c>
      <c r="DI806" s="122">
        <v>2.77</v>
      </c>
      <c r="DJ806" s="123">
        <v>69</v>
      </c>
      <c r="DK806" s="124">
        <v>76.19</v>
      </c>
      <c r="DL806" s="125">
        <v>96</v>
      </c>
      <c r="DM806" s="126">
        <v>44.5</v>
      </c>
      <c r="DN806" s="127">
        <v>98</v>
      </c>
      <c r="DO806" s="128">
        <v>2.77</v>
      </c>
      <c r="DP806" s="129">
        <v>69</v>
      </c>
      <c r="DQ806" s="130">
        <v>44786</v>
      </c>
      <c r="DR806" s="131">
        <v>1457</v>
      </c>
      <c r="DS806" s="132">
        <v>3.36</v>
      </c>
      <c r="DT806" s="133">
        <v>715</v>
      </c>
      <c r="DU806" s="134">
        <v>-2</v>
      </c>
      <c r="DV806" s="135">
        <v>-0.28000000000000003</v>
      </c>
      <c r="DW806" s="136">
        <v>869</v>
      </c>
      <c r="DX806" s="137">
        <v>0</v>
      </c>
      <c r="DY806" s="138">
        <v>0</v>
      </c>
      <c r="DZ806" s="139" t="s">
        <v>191</v>
      </c>
      <c r="EA806" s="140">
        <v>44385</v>
      </c>
      <c r="EB806" s="141">
        <v>6000</v>
      </c>
      <c r="EC806" s="142">
        <v>44369</v>
      </c>
      <c r="ED806" s="143" t="s">
        <v>188</v>
      </c>
      <c r="EE806" s="278" t="str">
        <f>HYPERLINK("https://my.pitchbook.com?c=99264-34", "View company online")</f>
        <v>View company online</v>
      </c>
    </row>
    <row r="807" spans="1:135" x14ac:dyDescent="0.45">
      <c r="A807" s="144" t="s">
        <v>16084</v>
      </c>
      <c r="B807" s="145" t="s">
        <v>16085</v>
      </c>
      <c r="C807" s="146" t="s">
        <v>153</v>
      </c>
      <c r="D807" s="147" t="s">
        <v>153</v>
      </c>
      <c r="E807" s="148" t="s">
        <v>16086</v>
      </c>
      <c r="F807" s="149" t="s">
        <v>16087</v>
      </c>
      <c r="G807" s="150" t="s">
        <v>16088</v>
      </c>
      <c r="H807" s="151" t="s">
        <v>16089</v>
      </c>
      <c r="I807" s="152" t="s">
        <v>16084</v>
      </c>
      <c r="J807" s="153" t="s">
        <v>16090</v>
      </c>
      <c r="K807" s="154" t="s">
        <v>157</v>
      </c>
      <c r="L807" s="155" t="s">
        <v>1667</v>
      </c>
      <c r="M807" s="156" t="s">
        <v>1668</v>
      </c>
      <c r="N807" s="157" t="s">
        <v>16091</v>
      </c>
      <c r="O807" s="158" t="s">
        <v>1234</v>
      </c>
      <c r="P807" s="159" t="s">
        <v>16092</v>
      </c>
      <c r="Q807" s="160" t="s">
        <v>162</v>
      </c>
      <c r="R807" s="161">
        <v>478.01</v>
      </c>
      <c r="S807" s="162" t="s">
        <v>163</v>
      </c>
      <c r="T807" s="163" t="s">
        <v>1392</v>
      </c>
      <c r="U807" s="164" t="s">
        <v>5464</v>
      </c>
      <c r="V807" s="165" t="s">
        <v>16093</v>
      </c>
      <c r="W807" s="166">
        <v>808</v>
      </c>
      <c r="X807" s="167" t="s">
        <v>16094</v>
      </c>
      <c r="Y807" s="168" t="s">
        <v>153</v>
      </c>
      <c r="Z807" s="169" t="s">
        <v>153</v>
      </c>
      <c r="AA807" s="170">
        <v>1949</v>
      </c>
      <c r="AB807" s="171" t="s">
        <v>153</v>
      </c>
      <c r="AC807" s="172" t="s">
        <v>153</v>
      </c>
      <c r="AD807" s="173" t="s">
        <v>153</v>
      </c>
      <c r="AE807" s="174" t="s">
        <v>153</v>
      </c>
      <c r="AF807" s="175" t="s">
        <v>153</v>
      </c>
      <c r="AG807" s="176" t="s">
        <v>153</v>
      </c>
      <c r="AH807" s="177" t="s">
        <v>153</v>
      </c>
      <c r="AI807" s="178" t="s">
        <v>153</v>
      </c>
      <c r="AJ807" s="179" t="s">
        <v>153</v>
      </c>
      <c r="AK807" s="180" t="s">
        <v>153</v>
      </c>
      <c r="AL807" s="181" t="s">
        <v>153</v>
      </c>
      <c r="AM807" s="182" t="s">
        <v>153</v>
      </c>
      <c r="AN807" s="183" t="s">
        <v>1765</v>
      </c>
      <c r="AO807" s="184" t="s">
        <v>16095</v>
      </c>
      <c r="AP807" s="185" t="s">
        <v>16096</v>
      </c>
      <c r="AQ807" s="186" t="s">
        <v>16097</v>
      </c>
      <c r="AR807" s="187" t="s">
        <v>16098</v>
      </c>
      <c r="AS807" s="188" t="s">
        <v>16099</v>
      </c>
      <c r="AT807" s="189" t="s">
        <v>16100</v>
      </c>
      <c r="AU807" s="190" t="s">
        <v>16101</v>
      </c>
      <c r="AV807" s="191" t="s">
        <v>153</v>
      </c>
      <c r="AW807" s="192" t="s">
        <v>16102</v>
      </c>
      <c r="AX807" s="193" t="s">
        <v>436</v>
      </c>
      <c r="AY807" s="194" t="s">
        <v>16103</v>
      </c>
      <c r="AZ807" s="195" t="s">
        <v>215</v>
      </c>
      <c r="BA807" s="196" t="s">
        <v>16099</v>
      </c>
      <c r="BB807" s="197" t="s">
        <v>153</v>
      </c>
      <c r="BC807" s="198" t="s">
        <v>16104</v>
      </c>
      <c r="BD807" s="199" t="s">
        <v>216</v>
      </c>
      <c r="BE807" s="200" t="s">
        <v>217</v>
      </c>
      <c r="BF807" s="201" t="s">
        <v>16105</v>
      </c>
      <c r="BG807" s="202" t="s">
        <v>16106</v>
      </c>
      <c r="BH807" s="203">
        <v>4</v>
      </c>
      <c r="BI807" s="204" t="s">
        <v>153</v>
      </c>
      <c r="BJ807" s="205" t="s">
        <v>16107</v>
      </c>
      <c r="BK807" s="206" t="s">
        <v>16108</v>
      </c>
      <c r="BL807" s="207" t="s">
        <v>16109</v>
      </c>
      <c r="BM807" s="208" t="s">
        <v>16110</v>
      </c>
      <c r="BN807" s="209" t="s">
        <v>16111</v>
      </c>
      <c r="BO807" s="210" t="s">
        <v>153</v>
      </c>
      <c r="BP807" s="211" t="s">
        <v>16112</v>
      </c>
      <c r="BQ807" s="212">
        <v>27456</v>
      </c>
      <c r="BR807" s="213" t="s">
        <v>153</v>
      </c>
      <c r="BS807" s="214" t="s">
        <v>153</v>
      </c>
      <c r="BT807" s="215" t="s">
        <v>153</v>
      </c>
      <c r="BU807" s="216" t="s">
        <v>153</v>
      </c>
      <c r="BV807" s="217" t="s">
        <v>4289</v>
      </c>
      <c r="BW807" s="218" t="s">
        <v>153</v>
      </c>
      <c r="BX807" s="219" t="s">
        <v>153</v>
      </c>
      <c r="BY807" s="220" t="s">
        <v>4290</v>
      </c>
      <c r="BZ807" s="221" t="s">
        <v>16113</v>
      </c>
      <c r="CA807" s="222" t="s">
        <v>190</v>
      </c>
      <c r="CB807" s="223">
        <v>44320</v>
      </c>
      <c r="CC807" s="224">
        <v>6000</v>
      </c>
      <c r="CD807" s="225" t="s">
        <v>186</v>
      </c>
      <c r="CE807" s="226">
        <v>6000</v>
      </c>
      <c r="CF807" s="227" t="s">
        <v>153</v>
      </c>
      <c r="CG807" s="228" t="s">
        <v>188</v>
      </c>
      <c r="CH807" s="229" t="s">
        <v>153</v>
      </c>
      <c r="CI807" s="230" t="s">
        <v>153</v>
      </c>
      <c r="CJ807" s="231" t="s">
        <v>165</v>
      </c>
      <c r="CK807" s="232">
        <v>44320</v>
      </c>
      <c r="CL807" s="233">
        <v>1915</v>
      </c>
      <c r="CM807" s="234" t="s">
        <v>16114</v>
      </c>
      <c r="CN807" s="235" t="s">
        <v>190</v>
      </c>
      <c r="CO807" s="236">
        <v>0.28999999999999998</v>
      </c>
      <c r="CP807" s="237">
        <v>91</v>
      </c>
      <c r="CQ807" s="238">
        <v>0</v>
      </c>
      <c r="CR807" s="239">
        <v>-0.26</v>
      </c>
      <c r="CS807" s="240">
        <v>0.57999999999999996</v>
      </c>
      <c r="CT807" s="241">
        <v>93</v>
      </c>
      <c r="CU807" s="242">
        <v>0</v>
      </c>
      <c r="CV807" s="243">
        <v>41</v>
      </c>
      <c r="CW807" s="244">
        <v>0.73</v>
      </c>
      <c r="CX807" s="245">
        <v>80</v>
      </c>
      <c r="CY807" s="246">
        <v>0.43</v>
      </c>
      <c r="CZ807" s="247">
        <v>94</v>
      </c>
      <c r="DA807" s="248">
        <v>0</v>
      </c>
      <c r="DB807" s="249">
        <v>41</v>
      </c>
      <c r="DC807" s="250">
        <v>101.78</v>
      </c>
      <c r="DD807" s="251">
        <v>99</v>
      </c>
      <c r="DE807" s="252">
        <v>0.15</v>
      </c>
      <c r="DF807" s="253">
        <v>0.14000000000000001</v>
      </c>
      <c r="DG807" s="254">
        <v>201.92</v>
      </c>
      <c r="DH807" s="255">
        <v>100</v>
      </c>
      <c r="DI807" s="256">
        <v>1.64</v>
      </c>
      <c r="DJ807" s="257">
        <v>59</v>
      </c>
      <c r="DK807" s="258">
        <v>321.29000000000002</v>
      </c>
      <c r="DL807" s="259">
        <v>99</v>
      </c>
      <c r="DM807" s="260">
        <v>82.56</v>
      </c>
      <c r="DN807" s="261">
        <v>99</v>
      </c>
      <c r="DO807" s="262">
        <v>1.64</v>
      </c>
      <c r="DP807" s="263">
        <v>59</v>
      </c>
      <c r="DQ807" s="264">
        <v>189632</v>
      </c>
      <c r="DR807" s="265">
        <v>3267</v>
      </c>
      <c r="DS807" s="266">
        <v>1.75</v>
      </c>
      <c r="DT807" s="267">
        <v>1317</v>
      </c>
      <c r="DU807" s="268">
        <v>9</v>
      </c>
      <c r="DV807" s="269">
        <v>0.69</v>
      </c>
      <c r="DW807" s="270">
        <v>515</v>
      </c>
      <c r="DX807" s="271">
        <v>0</v>
      </c>
      <c r="DY807" s="272">
        <v>0</v>
      </c>
      <c r="DZ807" s="273" t="s">
        <v>191</v>
      </c>
      <c r="EA807" s="274">
        <v>44401</v>
      </c>
      <c r="EB807" s="275">
        <v>6000</v>
      </c>
      <c r="EC807" s="276">
        <v>44320</v>
      </c>
      <c r="ED807" s="277" t="s">
        <v>188</v>
      </c>
      <c r="EE807" s="279" t="str">
        <f>HYPERLINK("https://my.pitchbook.com?c=99596-35", "View company online")</f>
        <v>View company online</v>
      </c>
    </row>
    <row r="808" spans="1:135" x14ac:dyDescent="0.45">
      <c r="A808" s="10" t="s">
        <v>16115</v>
      </c>
      <c r="B808" s="11" t="s">
        <v>16116</v>
      </c>
      <c r="C808" s="12" t="s">
        <v>153</v>
      </c>
      <c r="D808" s="13" t="s">
        <v>153</v>
      </c>
      <c r="E808" s="14" t="s">
        <v>153</v>
      </c>
      <c r="F808" s="15" t="s">
        <v>153</v>
      </c>
      <c r="G808" s="16" t="s">
        <v>153</v>
      </c>
      <c r="H808" s="17" t="s">
        <v>153</v>
      </c>
      <c r="I808" s="18" t="s">
        <v>16115</v>
      </c>
      <c r="J808" s="19" t="s">
        <v>16117</v>
      </c>
      <c r="K808" s="20" t="s">
        <v>792</v>
      </c>
      <c r="L808" s="21" t="s">
        <v>2586</v>
      </c>
      <c r="M808" s="22" t="s">
        <v>2587</v>
      </c>
      <c r="N808" s="23" t="s">
        <v>16118</v>
      </c>
      <c r="O808" s="24" t="s">
        <v>1088</v>
      </c>
      <c r="P808" s="25" t="s">
        <v>16119</v>
      </c>
      <c r="Q808" s="26" t="s">
        <v>204</v>
      </c>
      <c r="R808" s="27" t="s">
        <v>153</v>
      </c>
      <c r="S808" s="28" t="s">
        <v>163</v>
      </c>
      <c r="T808" s="29" t="s">
        <v>1392</v>
      </c>
      <c r="U808" s="30" t="s">
        <v>206</v>
      </c>
      <c r="V808" s="31" t="s">
        <v>153</v>
      </c>
      <c r="W808" s="32" t="s">
        <v>153</v>
      </c>
      <c r="X808" s="33" t="s">
        <v>153</v>
      </c>
      <c r="Y808" s="34" t="s">
        <v>153</v>
      </c>
      <c r="Z808" s="35" t="s">
        <v>153</v>
      </c>
      <c r="AA808" s="36" t="s">
        <v>153</v>
      </c>
      <c r="AB808" s="37" t="s">
        <v>153</v>
      </c>
      <c r="AC808" s="38" t="s">
        <v>153</v>
      </c>
      <c r="AD808" s="39" t="s">
        <v>153</v>
      </c>
      <c r="AE808" s="40" t="s">
        <v>153</v>
      </c>
      <c r="AF808" s="41" t="s">
        <v>153</v>
      </c>
      <c r="AG808" s="42" t="s">
        <v>153</v>
      </c>
      <c r="AH808" s="43" t="s">
        <v>153</v>
      </c>
      <c r="AI808" s="44" t="s">
        <v>153</v>
      </c>
      <c r="AJ808" s="45" t="s">
        <v>153</v>
      </c>
      <c r="AK808" s="46" t="s">
        <v>153</v>
      </c>
      <c r="AL808" s="47" t="s">
        <v>153</v>
      </c>
      <c r="AM808" s="48" t="s">
        <v>153</v>
      </c>
      <c r="AN808" s="49" t="s">
        <v>153</v>
      </c>
      <c r="AO808" s="50" t="s">
        <v>153</v>
      </c>
      <c r="AP808" s="51" t="s">
        <v>153</v>
      </c>
      <c r="AQ808" s="52" t="s">
        <v>153</v>
      </c>
      <c r="AR808" s="53" t="s">
        <v>153</v>
      </c>
      <c r="AS808" s="54" t="s">
        <v>153</v>
      </c>
      <c r="AT808" s="55" t="s">
        <v>1124</v>
      </c>
      <c r="AU808" s="56" t="s">
        <v>16120</v>
      </c>
      <c r="AV808" s="57" t="s">
        <v>153</v>
      </c>
      <c r="AW808" s="58" t="s">
        <v>1127</v>
      </c>
      <c r="AX808" s="59" t="s">
        <v>1128</v>
      </c>
      <c r="AY808" s="60" t="s">
        <v>16121</v>
      </c>
      <c r="AZ808" s="61" t="s">
        <v>215</v>
      </c>
      <c r="BA808" s="62" t="s">
        <v>153</v>
      </c>
      <c r="BB808" s="63" t="s">
        <v>153</v>
      </c>
      <c r="BC808" s="64" t="s">
        <v>153</v>
      </c>
      <c r="BD808" s="65" t="s">
        <v>216</v>
      </c>
      <c r="BE808" s="66" t="s">
        <v>217</v>
      </c>
      <c r="BF808" s="67" t="s">
        <v>16122</v>
      </c>
      <c r="BG808" s="68" t="s">
        <v>16123</v>
      </c>
      <c r="BH808" s="69">
        <v>2</v>
      </c>
      <c r="BI808" s="70" t="s">
        <v>153</v>
      </c>
      <c r="BJ808" s="71" t="s">
        <v>153</v>
      </c>
      <c r="BK808" s="72" t="s">
        <v>153</v>
      </c>
      <c r="BL808" s="73" t="s">
        <v>16124</v>
      </c>
      <c r="BM808" s="74" t="s">
        <v>153</v>
      </c>
      <c r="BN808" s="75" t="s">
        <v>153</v>
      </c>
      <c r="BO808" s="76" t="s">
        <v>153</v>
      </c>
      <c r="BP808" s="77" t="s">
        <v>153</v>
      </c>
      <c r="BQ808" s="78">
        <v>43280</v>
      </c>
      <c r="BR808" s="79">
        <v>6000</v>
      </c>
      <c r="BS808" s="80" t="s">
        <v>186</v>
      </c>
      <c r="BT808" s="81">
        <v>6000</v>
      </c>
      <c r="BU808" s="82" t="s">
        <v>186</v>
      </c>
      <c r="BV808" s="83" t="s">
        <v>224</v>
      </c>
      <c r="BW808" s="84" t="s">
        <v>153</v>
      </c>
      <c r="BX808" s="85" t="s">
        <v>153</v>
      </c>
      <c r="BY808" s="86" t="s">
        <v>321</v>
      </c>
      <c r="BZ808" s="87" t="s">
        <v>153</v>
      </c>
      <c r="CA808" s="88" t="s">
        <v>190</v>
      </c>
      <c r="CB808" s="89">
        <v>43280</v>
      </c>
      <c r="CC808" s="90">
        <v>6000</v>
      </c>
      <c r="CD808" s="91" t="s">
        <v>186</v>
      </c>
      <c r="CE808" s="92">
        <v>6000</v>
      </c>
      <c r="CF808" s="93" t="s">
        <v>186</v>
      </c>
      <c r="CG808" s="94" t="s">
        <v>224</v>
      </c>
      <c r="CH808" s="95" t="s">
        <v>153</v>
      </c>
      <c r="CI808" s="96" t="s">
        <v>153</v>
      </c>
      <c r="CJ808" s="97" t="s">
        <v>321</v>
      </c>
      <c r="CK808" s="98">
        <v>43280</v>
      </c>
      <c r="CL808" s="99" t="s">
        <v>153</v>
      </c>
      <c r="CM808" s="100" t="s">
        <v>153</v>
      </c>
      <c r="CN808" s="101" t="s">
        <v>190</v>
      </c>
      <c r="CO808" s="102" t="s">
        <v>153</v>
      </c>
      <c r="CP808" s="103" t="s">
        <v>153</v>
      </c>
      <c r="CQ808" s="104" t="s">
        <v>153</v>
      </c>
      <c r="CR808" s="105" t="s">
        <v>153</v>
      </c>
      <c r="CS808" s="106" t="s">
        <v>153</v>
      </c>
      <c r="CT808" s="107" t="s">
        <v>153</v>
      </c>
      <c r="CU808" s="108" t="s">
        <v>153</v>
      </c>
      <c r="CV808" s="109" t="s">
        <v>153</v>
      </c>
      <c r="CW808" s="110" t="s">
        <v>153</v>
      </c>
      <c r="CX808" s="111" t="s">
        <v>153</v>
      </c>
      <c r="CY808" s="112" t="s">
        <v>153</v>
      </c>
      <c r="CZ808" s="113" t="s">
        <v>153</v>
      </c>
      <c r="DA808" s="114" t="s">
        <v>153</v>
      </c>
      <c r="DB808" s="115" t="s">
        <v>153</v>
      </c>
      <c r="DC808" s="116" t="s">
        <v>153</v>
      </c>
      <c r="DD808" s="117" t="s">
        <v>153</v>
      </c>
      <c r="DE808" s="118" t="s">
        <v>153</v>
      </c>
      <c r="DF808" s="119" t="s">
        <v>153</v>
      </c>
      <c r="DG808" s="120" t="s">
        <v>153</v>
      </c>
      <c r="DH808" s="121" t="s">
        <v>153</v>
      </c>
      <c r="DI808" s="122" t="s">
        <v>153</v>
      </c>
      <c r="DJ808" s="123" t="s">
        <v>153</v>
      </c>
      <c r="DK808" s="124" t="s">
        <v>153</v>
      </c>
      <c r="DL808" s="125" t="s">
        <v>153</v>
      </c>
      <c r="DM808" s="126" t="s">
        <v>153</v>
      </c>
      <c r="DN808" s="127" t="s">
        <v>153</v>
      </c>
      <c r="DO808" s="128" t="s">
        <v>153</v>
      </c>
      <c r="DP808" s="129" t="s">
        <v>153</v>
      </c>
      <c r="DQ808" s="130" t="s">
        <v>153</v>
      </c>
      <c r="DR808" s="131" t="s">
        <v>153</v>
      </c>
      <c r="DS808" s="132" t="s">
        <v>153</v>
      </c>
      <c r="DT808" s="133" t="s">
        <v>153</v>
      </c>
      <c r="DU808" s="134" t="s">
        <v>153</v>
      </c>
      <c r="DV808" s="135" t="s">
        <v>153</v>
      </c>
      <c r="DW808" s="136" t="s">
        <v>153</v>
      </c>
      <c r="DX808" s="137" t="s">
        <v>153</v>
      </c>
      <c r="DY808" s="138" t="s">
        <v>153</v>
      </c>
      <c r="DZ808" s="139" t="s">
        <v>191</v>
      </c>
      <c r="EA808" s="140">
        <v>43403</v>
      </c>
      <c r="EB808" s="141">
        <v>6000</v>
      </c>
      <c r="EC808" s="142">
        <v>43280</v>
      </c>
      <c r="ED808" s="143" t="s">
        <v>224</v>
      </c>
      <c r="EE808" s="278" t="str">
        <f>HYPERLINK("https://my.pitchbook.com?c=234088-75", "View company online")</f>
        <v>View company online</v>
      </c>
    </row>
    <row r="809" spans="1:135" x14ac:dyDescent="0.45">
      <c r="A809" s="144" t="s">
        <v>16125</v>
      </c>
      <c r="B809" s="145" t="s">
        <v>16126</v>
      </c>
      <c r="C809" s="146" t="s">
        <v>153</v>
      </c>
      <c r="D809" s="147" t="s">
        <v>153</v>
      </c>
      <c r="E809" s="148" t="s">
        <v>153</v>
      </c>
      <c r="F809" s="149" t="s">
        <v>153</v>
      </c>
      <c r="G809" s="150" t="s">
        <v>16127</v>
      </c>
      <c r="H809" s="151" t="s">
        <v>153</v>
      </c>
      <c r="I809" s="152" t="s">
        <v>16125</v>
      </c>
      <c r="J809" s="153" t="s">
        <v>16128</v>
      </c>
      <c r="K809" s="154" t="s">
        <v>792</v>
      </c>
      <c r="L809" s="155" t="s">
        <v>793</v>
      </c>
      <c r="M809" s="156" t="s">
        <v>3119</v>
      </c>
      <c r="N809" s="157" t="s">
        <v>7976</v>
      </c>
      <c r="O809" s="158" t="s">
        <v>1119</v>
      </c>
      <c r="P809" s="159" t="s">
        <v>16129</v>
      </c>
      <c r="Q809" s="160" t="s">
        <v>204</v>
      </c>
      <c r="R809" s="161" t="s">
        <v>153</v>
      </c>
      <c r="S809" s="162" t="s">
        <v>290</v>
      </c>
      <c r="T809" s="163" t="s">
        <v>164</v>
      </c>
      <c r="U809" s="164" t="s">
        <v>237</v>
      </c>
      <c r="V809" s="165" t="s">
        <v>153</v>
      </c>
      <c r="W809" s="166">
        <v>220</v>
      </c>
      <c r="X809" s="167" t="s">
        <v>16130</v>
      </c>
      <c r="Y809" s="168" t="s">
        <v>153</v>
      </c>
      <c r="Z809" s="169" t="s">
        <v>153</v>
      </c>
      <c r="AA809" s="170">
        <v>2011</v>
      </c>
      <c r="AB809" s="171" t="s">
        <v>16131</v>
      </c>
      <c r="AC809" s="172" t="s">
        <v>153</v>
      </c>
      <c r="AD809" s="173" t="s">
        <v>153</v>
      </c>
      <c r="AE809" s="174" t="s">
        <v>153</v>
      </c>
      <c r="AF809" s="175" t="s">
        <v>153</v>
      </c>
      <c r="AG809" s="176" t="s">
        <v>153</v>
      </c>
      <c r="AH809" s="177" t="s">
        <v>153</v>
      </c>
      <c r="AI809" s="178" t="s">
        <v>153</v>
      </c>
      <c r="AJ809" s="179" t="s">
        <v>153</v>
      </c>
      <c r="AK809" s="180" t="s">
        <v>153</v>
      </c>
      <c r="AL809" s="181" t="s">
        <v>153</v>
      </c>
      <c r="AM809" s="182" t="s">
        <v>153</v>
      </c>
      <c r="AN809" s="183" t="s">
        <v>1123</v>
      </c>
      <c r="AO809" s="184" t="s">
        <v>16132</v>
      </c>
      <c r="AP809" s="185" t="s">
        <v>16133</v>
      </c>
      <c r="AQ809" s="186" t="s">
        <v>16134</v>
      </c>
      <c r="AR809" s="187" t="s">
        <v>16135</v>
      </c>
      <c r="AS809" s="188" t="s">
        <v>16136</v>
      </c>
      <c r="AT809" s="189" t="s">
        <v>1124</v>
      </c>
      <c r="AU809" s="190" t="s">
        <v>16137</v>
      </c>
      <c r="AV809" s="191" t="s">
        <v>16138</v>
      </c>
      <c r="AW809" s="192" t="s">
        <v>1127</v>
      </c>
      <c r="AX809" s="193" t="s">
        <v>1128</v>
      </c>
      <c r="AY809" s="194" t="s">
        <v>1129</v>
      </c>
      <c r="AZ809" s="195" t="s">
        <v>215</v>
      </c>
      <c r="BA809" s="196" t="s">
        <v>16139</v>
      </c>
      <c r="BB809" s="197" t="s">
        <v>16140</v>
      </c>
      <c r="BC809" s="198" t="s">
        <v>16141</v>
      </c>
      <c r="BD809" s="199" t="s">
        <v>216</v>
      </c>
      <c r="BE809" s="200" t="s">
        <v>217</v>
      </c>
      <c r="BF809" s="201" t="s">
        <v>16142</v>
      </c>
      <c r="BG809" s="202" t="s">
        <v>153</v>
      </c>
      <c r="BH809" s="203" t="s">
        <v>153</v>
      </c>
      <c r="BI809" s="204" t="s">
        <v>16131</v>
      </c>
      <c r="BJ809" s="205" t="s">
        <v>16143</v>
      </c>
      <c r="BK809" s="206" t="s">
        <v>153</v>
      </c>
      <c r="BL809" s="207" t="s">
        <v>153</v>
      </c>
      <c r="BM809" s="208" t="s">
        <v>16144</v>
      </c>
      <c r="BN809" s="209" t="s">
        <v>153</v>
      </c>
      <c r="BO809" s="210" t="s">
        <v>16145</v>
      </c>
      <c r="BP809" s="211" t="s">
        <v>16146</v>
      </c>
      <c r="BQ809" s="212">
        <v>42048</v>
      </c>
      <c r="BR809" s="213">
        <v>6000</v>
      </c>
      <c r="BS809" s="214" t="s">
        <v>186</v>
      </c>
      <c r="BT809" s="215">
        <v>6000</v>
      </c>
      <c r="BU809" s="216" t="s">
        <v>186</v>
      </c>
      <c r="BV809" s="217" t="s">
        <v>226</v>
      </c>
      <c r="BW809" s="218" t="s">
        <v>729</v>
      </c>
      <c r="BX809" s="219" t="s">
        <v>153</v>
      </c>
      <c r="BY809" s="220" t="s">
        <v>225</v>
      </c>
      <c r="BZ809" s="221" t="s">
        <v>153</v>
      </c>
      <c r="CA809" s="222" t="s">
        <v>190</v>
      </c>
      <c r="CB809" s="223">
        <v>42048</v>
      </c>
      <c r="CC809" s="224">
        <v>6000</v>
      </c>
      <c r="CD809" s="225" t="s">
        <v>186</v>
      </c>
      <c r="CE809" s="226">
        <v>6000</v>
      </c>
      <c r="CF809" s="227" t="s">
        <v>186</v>
      </c>
      <c r="CG809" s="228" t="s">
        <v>226</v>
      </c>
      <c r="CH809" s="229" t="s">
        <v>729</v>
      </c>
      <c r="CI809" s="230" t="s">
        <v>153</v>
      </c>
      <c r="CJ809" s="231" t="s">
        <v>225</v>
      </c>
      <c r="CK809" s="232">
        <v>42048</v>
      </c>
      <c r="CL809" s="233" t="s">
        <v>153</v>
      </c>
      <c r="CM809" s="234" t="s">
        <v>153</v>
      </c>
      <c r="CN809" s="235" t="s">
        <v>190</v>
      </c>
      <c r="CO809" s="236" t="s">
        <v>153</v>
      </c>
      <c r="CP809" s="237" t="s">
        <v>153</v>
      </c>
      <c r="CQ809" s="238" t="s">
        <v>153</v>
      </c>
      <c r="CR809" s="239" t="s">
        <v>153</v>
      </c>
      <c r="CS809" s="240" t="s">
        <v>153</v>
      </c>
      <c r="CT809" s="241" t="s">
        <v>153</v>
      </c>
      <c r="CU809" s="242" t="s">
        <v>153</v>
      </c>
      <c r="CV809" s="243" t="s">
        <v>153</v>
      </c>
      <c r="CW809" s="244" t="s">
        <v>153</v>
      </c>
      <c r="CX809" s="245" t="s">
        <v>153</v>
      </c>
      <c r="CY809" s="246" t="s">
        <v>153</v>
      </c>
      <c r="CZ809" s="247" t="s">
        <v>153</v>
      </c>
      <c r="DA809" s="248" t="s">
        <v>153</v>
      </c>
      <c r="DB809" s="249" t="s">
        <v>153</v>
      </c>
      <c r="DC809" s="250" t="s">
        <v>153</v>
      </c>
      <c r="DD809" s="251" t="s">
        <v>153</v>
      </c>
      <c r="DE809" s="252" t="s">
        <v>153</v>
      </c>
      <c r="DF809" s="253" t="s">
        <v>153</v>
      </c>
      <c r="DG809" s="254" t="s">
        <v>153</v>
      </c>
      <c r="DH809" s="255" t="s">
        <v>153</v>
      </c>
      <c r="DI809" s="256" t="s">
        <v>153</v>
      </c>
      <c r="DJ809" s="257" t="s">
        <v>153</v>
      </c>
      <c r="DK809" s="258" t="s">
        <v>153</v>
      </c>
      <c r="DL809" s="259" t="s">
        <v>153</v>
      </c>
      <c r="DM809" s="260" t="s">
        <v>153</v>
      </c>
      <c r="DN809" s="261" t="s">
        <v>153</v>
      </c>
      <c r="DO809" s="262" t="s">
        <v>153</v>
      </c>
      <c r="DP809" s="263" t="s">
        <v>153</v>
      </c>
      <c r="DQ809" s="264" t="s">
        <v>153</v>
      </c>
      <c r="DR809" s="265" t="s">
        <v>153</v>
      </c>
      <c r="DS809" s="266" t="s">
        <v>153</v>
      </c>
      <c r="DT809" s="267" t="s">
        <v>153</v>
      </c>
      <c r="DU809" s="268" t="s">
        <v>153</v>
      </c>
      <c r="DV809" s="269" t="s">
        <v>153</v>
      </c>
      <c r="DW809" s="270" t="s">
        <v>153</v>
      </c>
      <c r="DX809" s="271" t="s">
        <v>153</v>
      </c>
      <c r="DY809" s="272" t="s">
        <v>153</v>
      </c>
      <c r="DZ809" s="273" t="s">
        <v>191</v>
      </c>
      <c r="EA809" s="274">
        <v>44319</v>
      </c>
      <c r="EB809" s="275">
        <v>6000</v>
      </c>
      <c r="EC809" s="276">
        <v>42048</v>
      </c>
      <c r="ED809" s="277" t="s">
        <v>226</v>
      </c>
      <c r="EE809" s="279" t="str">
        <f>HYPERLINK("https://my.pitchbook.com?c=51777-19", "View company online")</f>
        <v>View company online</v>
      </c>
    </row>
    <row r="810" spans="1:135" x14ac:dyDescent="0.45">
      <c r="A810" s="10" t="s">
        <v>16147</v>
      </c>
      <c r="B810" s="11" t="s">
        <v>16148</v>
      </c>
      <c r="C810" s="12" t="s">
        <v>153</v>
      </c>
      <c r="D810" s="13" t="s">
        <v>153</v>
      </c>
      <c r="E810" s="14" t="s">
        <v>16149</v>
      </c>
      <c r="F810" s="15" t="s">
        <v>16150</v>
      </c>
      <c r="G810" s="16" t="s">
        <v>16151</v>
      </c>
      <c r="H810" s="17" t="s">
        <v>16152</v>
      </c>
      <c r="I810" s="18" t="s">
        <v>16147</v>
      </c>
      <c r="J810" s="19" t="s">
        <v>16153</v>
      </c>
      <c r="K810" s="20" t="s">
        <v>157</v>
      </c>
      <c r="L810" s="21" t="s">
        <v>817</v>
      </c>
      <c r="M810" s="22" t="s">
        <v>863</v>
      </c>
      <c r="N810" s="23" t="s">
        <v>4410</v>
      </c>
      <c r="O810" s="24" t="s">
        <v>261</v>
      </c>
      <c r="P810" s="25" t="s">
        <v>16154</v>
      </c>
      <c r="Q810" s="26" t="s">
        <v>204</v>
      </c>
      <c r="R810" s="27" t="s">
        <v>153</v>
      </c>
      <c r="S810" s="28" t="s">
        <v>163</v>
      </c>
      <c r="T810" s="29" t="s">
        <v>164</v>
      </c>
      <c r="U810" s="30" t="s">
        <v>237</v>
      </c>
      <c r="V810" s="31" t="s">
        <v>16155</v>
      </c>
      <c r="W810" s="32">
        <v>104000</v>
      </c>
      <c r="X810" s="33" t="s">
        <v>16156</v>
      </c>
      <c r="Y810" s="34" t="s">
        <v>153</v>
      </c>
      <c r="Z810" s="35" t="s">
        <v>153</v>
      </c>
      <c r="AA810" s="36">
        <v>1868</v>
      </c>
      <c r="AB810" s="37" t="s">
        <v>11373</v>
      </c>
      <c r="AC810" s="38" t="s">
        <v>428</v>
      </c>
      <c r="AD810" s="39" t="s">
        <v>428</v>
      </c>
      <c r="AE810" s="40" t="s">
        <v>153</v>
      </c>
      <c r="AF810" s="41" t="s">
        <v>153</v>
      </c>
      <c r="AG810" s="42" t="s">
        <v>153</v>
      </c>
      <c r="AH810" s="43" t="s">
        <v>153</v>
      </c>
      <c r="AI810" s="44" t="s">
        <v>153</v>
      </c>
      <c r="AJ810" s="45" t="s">
        <v>153</v>
      </c>
      <c r="AK810" s="46" t="s">
        <v>153</v>
      </c>
      <c r="AL810" s="47" t="s">
        <v>153</v>
      </c>
      <c r="AM810" s="48" t="s">
        <v>153</v>
      </c>
      <c r="AN810" s="49" t="s">
        <v>1373</v>
      </c>
      <c r="AO810" s="50" t="s">
        <v>16157</v>
      </c>
      <c r="AP810" s="51" t="s">
        <v>16158</v>
      </c>
      <c r="AQ810" s="52" t="s">
        <v>269</v>
      </c>
      <c r="AR810" s="53" t="s">
        <v>153</v>
      </c>
      <c r="AS810" s="54" t="s">
        <v>16159</v>
      </c>
      <c r="AT810" s="55" t="s">
        <v>8558</v>
      </c>
      <c r="AU810" s="56" t="s">
        <v>16160</v>
      </c>
      <c r="AV810" s="57" t="s">
        <v>153</v>
      </c>
      <c r="AW810" s="58" t="s">
        <v>8560</v>
      </c>
      <c r="AX810" s="59" t="s">
        <v>2760</v>
      </c>
      <c r="AY810" s="60" t="s">
        <v>8561</v>
      </c>
      <c r="AZ810" s="61" t="s">
        <v>215</v>
      </c>
      <c r="BA810" s="62" t="s">
        <v>16159</v>
      </c>
      <c r="BB810" s="63" t="s">
        <v>16161</v>
      </c>
      <c r="BC810" s="64" t="s">
        <v>153</v>
      </c>
      <c r="BD810" s="65" t="s">
        <v>216</v>
      </c>
      <c r="BE810" s="66" t="s">
        <v>217</v>
      </c>
      <c r="BF810" s="67" t="s">
        <v>16162</v>
      </c>
      <c r="BG810" s="68" t="s">
        <v>153</v>
      </c>
      <c r="BH810" s="69" t="s">
        <v>153</v>
      </c>
      <c r="BI810" s="70" t="s">
        <v>11373</v>
      </c>
      <c r="BJ810" s="71" t="s">
        <v>16163</v>
      </c>
      <c r="BK810" s="72" t="s">
        <v>153</v>
      </c>
      <c r="BL810" s="73" t="s">
        <v>153</v>
      </c>
      <c r="BM810" s="74" t="s">
        <v>16164</v>
      </c>
      <c r="BN810" s="75" t="s">
        <v>153</v>
      </c>
      <c r="BO810" s="76" t="s">
        <v>16165</v>
      </c>
      <c r="BP810" s="77" t="s">
        <v>16166</v>
      </c>
      <c r="BQ810" s="78" t="s">
        <v>153</v>
      </c>
      <c r="BR810" s="79" t="s">
        <v>153</v>
      </c>
      <c r="BS810" s="80" t="s">
        <v>153</v>
      </c>
      <c r="BT810" s="81" t="s">
        <v>153</v>
      </c>
      <c r="BU810" s="82" t="s">
        <v>153</v>
      </c>
      <c r="BV810" s="83" t="s">
        <v>251</v>
      </c>
      <c r="BW810" s="84" t="s">
        <v>153</v>
      </c>
      <c r="BX810" s="85" t="s">
        <v>153</v>
      </c>
      <c r="BY810" s="86" t="s">
        <v>252</v>
      </c>
      <c r="BZ810" s="87" t="s">
        <v>153</v>
      </c>
      <c r="CA810" s="88" t="s">
        <v>190</v>
      </c>
      <c r="CB810" s="89">
        <v>37195</v>
      </c>
      <c r="CC810" s="90">
        <v>6000</v>
      </c>
      <c r="CD810" s="91" t="s">
        <v>186</v>
      </c>
      <c r="CE810" s="92">
        <v>6000</v>
      </c>
      <c r="CF810" s="93" t="s">
        <v>186</v>
      </c>
      <c r="CG810" s="94" t="s">
        <v>226</v>
      </c>
      <c r="CH810" s="95" t="s">
        <v>729</v>
      </c>
      <c r="CI810" s="96" t="s">
        <v>153</v>
      </c>
      <c r="CJ810" s="97" t="s">
        <v>225</v>
      </c>
      <c r="CK810" s="98">
        <v>37195</v>
      </c>
      <c r="CL810" s="99" t="s">
        <v>153</v>
      </c>
      <c r="CM810" s="100" t="s">
        <v>153</v>
      </c>
      <c r="CN810" s="101" t="s">
        <v>190</v>
      </c>
      <c r="CO810" s="102">
        <v>-0.02</v>
      </c>
      <c r="CP810" s="103">
        <v>10</v>
      </c>
      <c r="CQ810" s="104">
        <v>-0.01</v>
      </c>
      <c r="CR810" s="105">
        <v>-114.53</v>
      </c>
      <c r="CS810" s="106">
        <v>0.04</v>
      </c>
      <c r="CT810" s="107">
        <v>89</v>
      </c>
      <c r="CU810" s="108">
        <v>-0.08</v>
      </c>
      <c r="CV810" s="109">
        <v>24</v>
      </c>
      <c r="CW810" s="110">
        <v>0.02</v>
      </c>
      <c r="CX810" s="111">
        <v>76</v>
      </c>
      <c r="CY810" s="112">
        <v>0.05</v>
      </c>
      <c r="CZ810" s="113">
        <v>90</v>
      </c>
      <c r="DA810" s="114">
        <v>-0.08</v>
      </c>
      <c r="DB810" s="115">
        <v>24</v>
      </c>
      <c r="DC810" s="116">
        <v>651.09</v>
      </c>
      <c r="DD810" s="117">
        <v>100</v>
      </c>
      <c r="DE810" s="118">
        <v>1.48</v>
      </c>
      <c r="DF810" s="119">
        <v>0.23</v>
      </c>
      <c r="DG810" s="120">
        <v>843.79</v>
      </c>
      <c r="DH810" s="121">
        <v>100</v>
      </c>
      <c r="DI810" s="122">
        <v>458.38</v>
      </c>
      <c r="DJ810" s="123">
        <v>100</v>
      </c>
      <c r="DK810" s="124">
        <v>951.09</v>
      </c>
      <c r="DL810" s="125">
        <v>100</v>
      </c>
      <c r="DM810" s="126">
        <v>736.5</v>
      </c>
      <c r="DN810" s="127">
        <v>100</v>
      </c>
      <c r="DO810" s="128">
        <v>458.38</v>
      </c>
      <c r="DP810" s="129">
        <v>100</v>
      </c>
      <c r="DQ810" s="130">
        <v>564431</v>
      </c>
      <c r="DR810" s="131">
        <v>-1595</v>
      </c>
      <c r="DS810" s="132">
        <v>-0.28000000000000003</v>
      </c>
      <c r="DT810" s="133">
        <v>11783</v>
      </c>
      <c r="DU810" s="134">
        <v>3</v>
      </c>
      <c r="DV810" s="135">
        <v>0.03</v>
      </c>
      <c r="DW810" s="136">
        <v>143932</v>
      </c>
      <c r="DX810" s="137">
        <v>0</v>
      </c>
      <c r="DY810" s="138">
        <v>0</v>
      </c>
      <c r="DZ810" s="139" t="s">
        <v>191</v>
      </c>
      <c r="EA810" s="140">
        <v>44147</v>
      </c>
      <c r="EB810" s="141">
        <v>6000</v>
      </c>
      <c r="EC810" s="142">
        <v>37195</v>
      </c>
      <c r="ED810" s="143" t="s">
        <v>226</v>
      </c>
      <c r="EE810" s="278" t="str">
        <f>HYPERLINK("https://my.pitchbook.com?c=125296-21", "View company online")</f>
        <v>View company online</v>
      </c>
    </row>
    <row r="811" spans="1:135" x14ac:dyDescent="0.45">
      <c r="A811" s="144" t="s">
        <v>16167</v>
      </c>
      <c r="B811" s="145" t="s">
        <v>16168</v>
      </c>
      <c r="C811" s="146" t="s">
        <v>153</v>
      </c>
      <c r="D811" s="147" t="s">
        <v>153</v>
      </c>
      <c r="E811" s="148" t="s">
        <v>153</v>
      </c>
      <c r="F811" s="149" t="s">
        <v>16169</v>
      </c>
      <c r="G811" s="150" t="s">
        <v>16170</v>
      </c>
      <c r="H811" s="151" t="s">
        <v>153</v>
      </c>
      <c r="I811" s="152" t="s">
        <v>16167</v>
      </c>
      <c r="J811" s="153" t="s">
        <v>16171</v>
      </c>
      <c r="K811" s="154" t="s">
        <v>232</v>
      </c>
      <c r="L811" s="155" t="s">
        <v>362</v>
      </c>
      <c r="M811" s="156" t="s">
        <v>4656</v>
      </c>
      <c r="N811" s="157" t="s">
        <v>4657</v>
      </c>
      <c r="O811" s="158" t="s">
        <v>153</v>
      </c>
      <c r="P811" s="159" t="s">
        <v>16172</v>
      </c>
      <c r="Q811" s="160" t="s">
        <v>204</v>
      </c>
      <c r="R811" s="161" t="s">
        <v>153</v>
      </c>
      <c r="S811" s="162" t="s">
        <v>163</v>
      </c>
      <c r="T811" s="163" t="s">
        <v>205</v>
      </c>
      <c r="U811" s="164" t="s">
        <v>237</v>
      </c>
      <c r="V811" s="165" t="s">
        <v>16173</v>
      </c>
      <c r="W811" s="166">
        <v>300</v>
      </c>
      <c r="X811" s="167" t="s">
        <v>16174</v>
      </c>
      <c r="Y811" s="168" t="s">
        <v>153</v>
      </c>
      <c r="Z811" s="169" t="s">
        <v>153</v>
      </c>
      <c r="AA811" s="170">
        <v>1968</v>
      </c>
      <c r="AB811" s="171" t="s">
        <v>153</v>
      </c>
      <c r="AC811" s="172" t="s">
        <v>153</v>
      </c>
      <c r="AD811" s="173" t="s">
        <v>153</v>
      </c>
      <c r="AE811" s="174" t="s">
        <v>153</v>
      </c>
      <c r="AF811" s="175" t="s">
        <v>153</v>
      </c>
      <c r="AG811" s="176" t="s">
        <v>153</v>
      </c>
      <c r="AH811" s="177" t="s">
        <v>153</v>
      </c>
      <c r="AI811" s="178" t="s">
        <v>153</v>
      </c>
      <c r="AJ811" s="179" t="s">
        <v>153</v>
      </c>
      <c r="AK811" s="180" t="s">
        <v>153</v>
      </c>
      <c r="AL811" s="181" t="s">
        <v>153</v>
      </c>
      <c r="AM811" s="182" t="s">
        <v>153</v>
      </c>
      <c r="AN811" s="183" t="s">
        <v>403</v>
      </c>
      <c r="AO811" s="184" t="s">
        <v>153</v>
      </c>
      <c r="AP811" s="185" t="s">
        <v>153</v>
      </c>
      <c r="AQ811" s="186" t="s">
        <v>153</v>
      </c>
      <c r="AR811" s="187" t="s">
        <v>153</v>
      </c>
      <c r="AS811" s="188" t="s">
        <v>153</v>
      </c>
      <c r="AT811" s="189" t="s">
        <v>5359</v>
      </c>
      <c r="AU811" s="190" t="s">
        <v>16175</v>
      </c>
      <c r="AV811" s="191" t="s">
        <v>153</v>
      </c>
      <c r="AW811" s="192" t="s">
        <v>5362</v>
      </c>
      <c r="AX811" s="193" t="s">
        <v>436</v>
      </c>
      <c r="AY811" s="194" t="s">
        <v>5363</v>
      </c>
      <c r="AZ811" s="195" t="s">
        <v>215</v>
      </c>
      <c r="BA811" s="196" t="s">
        <v>153</v>
      </c>
      <c r="BB811" s="197" t="s">
        <v>153</v>
      </c>
      <c r="BC811" s="198" t="s">
        <v>153</v>
      </c>
      <c r="BD811" s="199" t="s">
        <v>216</v>
      </c>
      <c r="BE811" s="200" t="s">
        <v>217</v>
      </c>
      <c r="BF811" s="201" t="s">
        <v>16176</v>
      </c>
      <c r="BG811" s="202" t="s">
        <v>153</v>
      </c>
      <c r="BH811" s="203" t="s">
        <v>153</v>
      </c>
      <c r="BI811" s="204" t="s">
        <v>12156</v>
      </c>
      <c r="BJ811" s="205" t="s">
        <v>153</v>
      </c>
      <c r="BK811" s="206" t="s">
        <v>153</v>
      </c>
      <c r="BL811" s="207" t="s">
        <v>153</v>
      </c>
      <c r="BM811" s="208" t="s">
        <v>153</v>
      </c>
      <c r="BN811" s="209" t="s">
        <v>153</v>
      </c>
      <c r="BO811" s="210" t="s">
        <v>153</v>
      </c>
      <c r="BP811" s="211" t="s">
        <v>16177</v>
      </c>
      <c r="BQ811" s="212">
        <v>34700</v>
      </c>
      <c r="BR811" s="213" t="s">
        <v>153</v>
      </c>
      <c r="BS811" s="214" t="s">
        <v>153</v>
      </c>
      <c r="BT811" s="215" t="s">
        <v>153</v>
      </c>
      <c r="BU811" s="216" t="s">
        <v>153</v>
      </c>
      <c r="BV811" s="217" t="s">
        <v>251</v>
      </c>
      <c r="BW811" s="218" t="s">
        <v>153</v>
      </c>
      <c r="BX811" s="219" t="s">
        <v>153</v>
      </c>
      <c r="BY811" s="220" t="s">
        <v>252</v>
      </c>
      <c r="BZ811" s="221" t="s">
        <v>153</v>
      </c>
      <c r="CA811" s="222" t="s">
        <v>190</v>
      </c>
      <c r="CB811" s="223">
        <v>39107</v>
      </c>
      <c r="CC811" s="224">
        <v>6000</v>
      </c>
      <c r="CD811" s="225" t="s">
        <v>186</v>
      </c>
      <c r="CE811" s="226">
        <v>6000</v>
      </c>
      <c r="CF811" s="227" t="s">
        <v>186</v>
      </c>
      <c r="CG811" s="228" t="s">
        <v>226</v>
      </c>
      <c r="CH811" s="229" t="s">
        <v>153</v>
      </c>
      <c r="CI811" s="230" t="s">
        <v>153</v>
      </c>
      <c r="CJ811" s="231" t="s">
        <v>225</v>
      </c>
      <c r="CK811" s="232">
        <v>39107</v>
      </c>
      <c r="CL811" s="233" t="s">
        <v>153</v>
      </c>
      <c r="CM811" s="234" t="s">
        <v>153</v>
      </c>
      <c r="CN811" s="235" t="s">
        <v>190</v>
      </c>
      <c r="CO811" s="236" t="s">
        <v>153</v>
      </c>
      <c r="CP811" s="237" t="s">
        <v>153</v>
      </c>
      <c r="CQ811" s="238" t="s">
        <v>153</v>
      </c>
      <c r="CR811" s="239" t="s">
        <v>153</v>
      </c>
      <c r="CS811" s="240" t="s">
        <v>153</v>
      </c>
      <c r="CT811" s="241" t="s">
        <v>153</v>
      </c>
      <c r="CU811" s="242" t="s">
        <v>153</v>
      </c>
      <c r="CV811" s="243" t="s">
        <v>153</v>
      </c>
      <c r="CW811" s="244" t="s">
        <v>153</v>
      </c>
      <c r="CX811" s="245" t="s">
        <v>153</v>
      </c>
      <c r="CY811" s="246" t="s">
        <v>153</v>
      </c>
      <c r="CZ811" s="247" t="s">
        <v>153</v>
      </c>
      <c r="DA811" s="248" t="s">
        <v>153</v>
      </c>
      <c r="DB811" s="249" t="s">
        <v>153</v>
      </c>
      <c r="DC811" s="250" t="s">
        <v>153</v>
      </c>
      <c r="DD811" s="251" t="s">
        <v>153</v>
      </c>
      <c r="DE811" s="252" t="s">
        <v>153</v>
      </c>
      <c r="DF811" s="253" t="s">
        <v>153</v>
      </c>
      <c r="DG811" s="254" t="s">
        <v>153</v>
      </c>
      <c r="DH811" s="255" t="s">
        <v>153</v>
      </c>
      <c r="DI811" s="256" t="s">
        <v>153</v>
      </c>
      <c r="DJ811" s="257" t="s">
        <v>153</v>
      </c>
      <c r="DK811" s="258" t="s">
        <v>153</v>
      </c>
      <c r="DL811" s="259" t="s">
        <v>153</v>
      </c>
      <c r="DM811" s="260" t="s">
        <v>153</v>
      </c>
      <c r="DN811" s="261" t="s">
        <v>153</v>
      </c>
      <c r="DO811" s="262" t="s">
        <v>153</v>
      </c>
      <c r="DP811" s="263" t="s">
        <v>153</v>
      </c>
      <c r="DQ811" s="264" t="s">
        <v>153</v>
      </c>
      <c r="DR811" s="265" t="s">
        <v>153</v>
      </c>
      <c r="DS811" s="266" t="s">
        <v>153</v>
      </c>
      <c r="DT811" s="267" t="s">
        <v>153</v>
      </c>
      <c r="DU811" s="268" t="s">
        <v>153</v>
      </c>
      <c r="DV811" s="269" t="s">
        <v>153</v>
      </c>
      <c r="DW811" s="270" t="s">
        <v>153</v>
      </c>
      <c r="DX811" s="271" t="s">
        <v>153</v>
      </c>
      <c r="DY811" s="272" t="s">
        <v>153</v>
      </c>
      <c r="DZ811" s="273" t="s">
        <v>191</v>
      </c>
      <c r="EA811" s="274">
        <v>44217</v>
      </c>
      <c r="EB811" s="275">
        <v>6000</v>
      </c>
      <c r="EC811" s="276">
        <v>39107</v>
      </c>
      <c r="ED811" s="277" t="s">
        <v>226</v>
      </c>
      <c r="EE811" s="279" t="str">
        <f>HYPERLINK("https://my.pitchbook.com?c=41234-14", "View company online")</f>
        <v>View company online</v>
      </c>
    </row>
    <row r="812" spans="1:135" x14ac:dyDescent="0.45">
      <c r="A812" s="10" t="s">
        <v>16178</v>
      </c>
      <c r="B812" s="11" t="s">
        <v>16179</v>
      </c>
      <c r="C812" s="12" t="s">
        <v>153</v>
      </c>
      <c r="D812" s="13" t="s">
        <v>153</v>
      </c>
      <c r="E812" s="14" t="s">
        <v>153</v>
      </c>
      <c r="F812" s="15" t="s">
        <v>153</v>
      </c>
      <c r="G812" s="16" t="s">
        <v>16180</v>
      </c>
      <c r="H812" s="17" t="s">
        <v>16181</v>
      </c>
      <c r="I812" s="18" t="s">
        <v>16178</v>
      </c>
      <c r="J812" s="19" t="s">
        <v>16182</v>
      </c>
      <c r="K812" s="20" t="s">
        <v>257</v>
      </c>
      <c r="L812" s="21" t="s">
        <v>5591</v>
      </c>
      <c r="M812" s="22" t="s">
        <v>16183</v>
      </c>
      <c r="N812" s="23" t="s">
        <v>16184</v>
      </c>
      <c r="O812" s="24" t="s">
        <v>16185</v>
      </c>
      <c r="P812" s="25" t="s">
        <v>16186</v>
      </c>
      <c r="Q812" s="26" t="s">
        <v>162</v>
      </c>
      <c r="R812" s="27">
        <v>125</v>
      </c>
      <c r="S812" s="28" t="s">
        <v>163</v>
      </c>
      <c r="T812" s="29" t="s">
        <v>164</v>
      </c>
      <c r="U812" s="30" t="s">
        <v>3170</v>
      </c>
      <c r="V812" s="31" t="s">
        <v>16187</v>
      </c>
      <c r="W812" s="32" t="s">
        <v>153</v>
      </c>
      <c r="X812" s="33" t="s">
        <v>153</v>
      </c>
      <c r="Y812" s="34" t="s">
        <v>153</v>
      </c>
      <c r="Z812" s="35" t="s">
        <v>153</v>
      </c>
      <c r="AA812" s="36">
        <v>2006</v>
      </c>
      <c r="AB812" s="37" t="s">
        <v>16188</v>
      </c>
      <c r="AC812" s="38" t="s">
        <v>153</v>
      </c>
      <c r="AD812" s="39" t="s">
        <v>153</v>
      </c>
      <c r="AE812" s="40" t="s">
        <v>153</v>
      </c>
      <c r="AF812" s="41" t="s">
        <v>153</v>
      </c>
      <c r="AG812" s="42" t="s">
        <v>153</v>
      </c>
      <c r="AH812" s="43" t="s">
        <v>153</v>
      </c>
      <c r="AI812" s="44" t="s">
        <v>153</v>
      </c>
      <c r="AJ812" s="45" t="s">
        <v>153</v>
      </c>
      <c r="AK812" s="46" t="s">
        <v>153</v>
      </c>
      <c r="AL812" s="47" t="s">
        <v>153</v>
      </c>
      <c r="AM812" s="48" t="s">
        <v>153</v>
      </c>
      <c r="AN812" s="49" t="s">
        <v>153</v>
      </c>
      <c r="AO812" s="50" t="s">
        <v>16189</v>
      </c>
      <c r="AP812" s="51" t="s">
        <v>16190</v>
      </c>
      <c r="AQ812" s="52" t="s">
        <v>3781</v>
      </c>
      <c r="AR812" s="53" t="s">
        <v>16191</v>
      </c>
      <c r="AS812" s="54" t="s">
        <v>16192</v>
      </c>
      <c r="AT812" s="55" t="s">
        <v>649</v>
      </c>
      <c r="AU812" s="56" t="s">
        <v>16193</v>
      </c>
      <c r="AV812" s="57" t="s">
        <v>153</v>
      </c>
      <c r="AW812" s="58" t="s">
        <v>651</v>
      </c>
      <c r="AX812" s="59" t="s">
        <v>652</v>
      </c>
      <c r="AY812" s="60" t="s">
        <v>16194</v>
      </c>
      <c r="AZ812" s="61" t="s">
        <v>215</v>
      </c>
      <c r="BA812" s="62" t="s">
        <v>16195</v>
      </c>
      <c r="BB812" s="63" t="s">
        <v>16196</v>
      </c>
      <c r="BC812" s="64" t="s">
        <v>16197</v>
      </c>
      <c r="BD812" s="65" t="s">
        <v>216</v>
      </c>
      <c r="BE812" s="66" t="s">
        <v>217</v>
      </c>
      <c r="BF812" s="67" t="s">
        <v>16198</v>
      </c>
      <c r="BG812" s="68" t="s">
        <v>153</v>
      </c>
      <c r="BH812" s="69" t="s">
        <v>153</v>
      </c>
      <c r="BI812" s="70" t="s">
        <v>16188</v>
      </c>
      <c r="BJ812" s="71" t="s">
        <v>153</v>
      </c>
      <c r="BK812" s="72" t="s">
        <v>16199</v>
      </c>
      <c r="BL812" s="73" t="s">
        <v>153</v>
      </c>
      <c r="BM812" s="74" t="s">
        <v>153</v>
      </c>
      <c r="BN812" s="75" t="s">
        <v>16200</v>
      </c>
      <c r="BO812" s="76" t="s">
        <v>153</v>
      </c>
      <c r="BP812" s="77" t="s">
        <v>16201</v>
      </c>
      <c r="BQ812" s="78">
        <v>43157</v>
      </c>
      <c r="BR812" s="79" t="s">
        <v>153</v>
      </c>
      <c r="BS812" s="80" t="s">
        <v>153</v>
      </c>
      <c r="BT812" s="81" t="s">
        <v>153</v>
      </c>
      <c r="BU812" s="82" t="s">
        <v>153</v>
      </c>
      <c r="BV812" s="83" t="s">
        <v>709</v>
      </c>
      <c r="BW812" s="84" t="s">
        <v>16202</v>
      </c>
      <c r="BX812" s="85" t="s">
        <v>153</v>
      </c>
      <c r="BY812" s="86" t="s">
        <v>165</v>
      </c>
      <c r="BZ812" s="87" t="s">
        <v>16203</v>
      </c>
      <c r="CA812" s="88" t="s">
        <v>190</v>
      </c>
      <c r="CB812" s="89">
        <v>43742</v>
      </c>
      <c r="CC812" s="90">
        <v>6000</v>
      </c>
      <c r="CD812" s="91" t="s">
        <v>186</v>
      </c>
      <c r="CE812" s="92">
        <v>6000</v>
      </c>
      <c r="CF812" s="93" t="s">
        <v>187</v>
      </c>
      <c r="CG812" s="94" t="s">
        <v>188</v>
      </c>
      <c r="CH812" s="95" t="s">
        <v>189</v>
      </c>
      <c r="CI812" s="96" t="s">
        <v>153</v>
      </c>
      <c r="CJ812" s="97" t="s">
        <v>165</v>
      </c>
      <c r="CK812" s="98">
        <v>43742</v>
      </c>
      <c r="CL812" s="99">
        <v>2</v>
      </c>
      <c r="CM812" s="100" t="s">
        <v>16204</v>
      </c>
      <c r="CN812" s="101" t="s">
        <v>190</v>
      </c>
      <c r="CO812" s="102">
        <v>-0.76</v>
      </c>
      <c r="CP812" s="103">
        <v>4</v>
      </c>
      <c r="CQ812" s="104">
        <v>0</v>
      </c>
      <c r="CR812" s="105">
        <v>0</v>
      </c>
      <c r="CS812" s="106">
        <v>-0.76</v>
      </c>
      <c r="CT812" s="107">
        <v>4</v>
      </c>
      <c r="CU812" s="108" t="s">
        <v>153</v>
      </c>
      <c r="CV812" s="109" t="s">
        <v>153</v>
      </c>
      <c r="CW812" s="110">
        <v>-1.52</v>
      </c>
      <c r="CX812" s="111">
        <v>14</v>
      </c>
      <c r="CY812" s="112">
        <v>0</v>
      </c>
      <c r="CZ812" s="113">
        <v>5</v>
      </c>
      <c r="DA812" s="114" t="s">
        <v>153</v>
      </c>
      <c r="DB812" s="115" t="s">
        <v>153</v>
      </c>
      <c r="DC812" s="116">
        <v>1.54</v>
      </c>
      <c r="DD812" s="117">
        <v>63</v>
      </c>
      <c r="DE812" s="118">
        <v>0</v>
      </c>
      <c r="DF812" s="119">
        <v>0</v>
      </c>
      <c r="DG812" s="120">
        <v>1.54</v>
      </c>
      <c r="DH812" s="121">
        <v>62</v>
      </c>
      <c r="DI812" s="122" t="s">
        <v>153</v>
      </c>
      <c r="DJ812" s="123" t="s">
        <v>153</v>
      </c>
      <c r="DK812" s="124">
        <v>1.58</v>
      </c>
      <c r="DL812" s="125">
        <v>59</v>
      </c>
      <c r="DM812" s="126">
        <v>1.5</v>
      </c>
      <c r="DN812" s="127">
        <v>60</v>
      </c>
      <c r="DO812" s="128" t="s">
        <v>153</v>
      </c>
      <c r="DP812" s="129" t="s">
        <v>153</v>
      </c>
      <c r="DQ812" s="130">
        <v>998</v>
      </c>
      <c r="DR812" s="131">
        <v>-219</v>
      </c>
      <c r="DS812" s="132">
        <v>-18</v>
      </c>
      <c r="DT812" s="133">
        <v>24</v>
      </c>
      <c r="DU812" s="134">
        <v>0</v>
      </c>
      <c r="DV812" s="135">
        <v>0</v>
      </c>
      <c r="DW812" s="136" t="s">
        <v>153</v>
      </c>
      <c r="DX812" s="137" t="s">
        <v>153</v>
      </c>
      <c r="DY812" s="138" t="s">
        <v>153</v>
      </c>
      <c r="DZ812" s="139" t="s">
        <v>191</v>
      </c>
      <c r="EA812" s="140">
        <v>44364</v>
      </c>
      <c r="EB812" s="141">
        <v>6000</v>
      </c>
      <c r="EC812" s="142">
        <v>43742</v>
      </c>
      <c r="ED812" s="143" t="s">
        <v>188</v>
      </c>
      <c r="EE812" s="278" t="str">
        <f>HYPERLINK("https://my.pitchbook.com?c=129543-58", "View company online")</f>
        <v>View company online</v>
      </c>
    </row>
    <row r="813" spans="1:135" x14ac:dyDescent="0.45">
      <c r="A813" s="144" t="s">
        <v>16205</v>
      </c>
      <c r="B813" s="145" t="s">
        <v>16206</v>
      </c>
      <c r="C813" s="146" t="s">
        <v>153</v>
      </c>
      <c r="D813" s="147" t="s">
        <v>153</v>
      </c>
      <c r="E813" s="148" t="s">
        <v>16207</v>
      </c>
      <c r="F813" s="149" t="s">
        <v>153</v>
      </c>
      <c r="G813" s="150" t="s">
        <v>16208</v>
      </c>
      <c r="H813" s="151" t="s">
        <v>153</v>
      </c>
      <c r="I813" s="152" t="s">
        <v>16205</v>
      </c>
      <c r="J813" s="153" t="s">
        <v>16209</v>
      </c>
      <c r="K813" s="154" t="s">
        <v>198</v>
      </c>
      <c r="L813" s="155" t="s">
        <v>284</v>
      </c>
      <c r="M813" s="156" t="s">
        <v>285</v>
      </c>
      <c r="N813" s="157" t="s">
        <v>16210</v>
      </c>
      <c r="O813" s="158" t="s">
        <v>1592</v>
      </c>
      <c r="P813" s="159" t="s">
        <v>16211</v>
      </c>
      <c r="Q813" s="160" t="s">
        <v>204</v>
      </c>
      <c r="R813" s="161" t="s">
        <v>153</v>
      </c>
      <c r="S813" s="162" t="s">
        <v>163</v>
      </c>
      <c r="T813" s="163" t="s">
        <v>205</v>
      </c>
      <c r="U813" s="164" t="s">
        <v>237</v>
      </c>
      <c r="V813" s="165" t="s">
        <v>16212</v>
      </c>
      <c r="W813" s="166">
        <v>36433</v>
      </c>
      <c r="X813" s="167" t="s">
        <v>16213</v>
      </c>
      <c r="Y813" s="168" t="s">
        <v>153</v>
      </c>
      <c r="Z813" s="169" t="s">
        <v>153</v>
      </c>
      <c r="AA813" s="170">
        <v>1961</v>
      </c>
      <c r="AB813" s="171" t="s">
        <v>153</v>
      </c>
      <c r="AC813" s="172" t="s">
        <v>153</v>
      </c>
      <c r="AD813" s="173" t="s">
        <v>153</v>
      </c>
      <c r="AE813" s="174" t="s">
        <v>153</v>
      </c>
      <c r="AF813" s="175" t="s">
        <v>153</v>
      </c>
      <c r="AG813" s="176" t="s">
        <v>153</v>
      </c>
      <c r="AH813" s="177" t="s">
        <v>153</v>
      </c>
      <c r="AI813" s="178" t="s">
        <v>153</v>
      </c>
      <c r="AJ813" s="179" t="s">
        <v>153</v>
      </c>
      <c r="AK813" s="180" t="s">
        <v>153</v>
      </c>
      <c r="AL813" s="181" t="s">
        <v>153</v>
      </c>
      <c r="AM813" s="182" t="s">
        <v>153</v>
      </c>
      <c r="AN813" s="183" t="s">
        <v>2518</v>
      </c>
      <c r="AO813" s="184" t="s">
        <v>16214</v>
      </c>
      <c r="AP813" s="185" t="s">
        <v>16215</v>
      </c>
      <c r="AQ813" s="186" t="s">
        <v>5115</v>
      </c>
      <c r="AR813" s="187" t="s">
        <v>153</v>
      </c>
      <c r="AS813" s="188" t="s">
        <v>153</v>
      </c>
      <c r="AT813" s="189" t="s">
        <v>16216</v>
      </c>
      <c r="AU813" s="190" t="s">
        <v>16217</v>
      </c>
      <c r="AV813" s="191" t="s">
        <v>153</v>
      </c>
      <c r="AW813" s="192" t="s">
        <v>16218</v>
      </c>
      <c r="AX813" s="193" t="s">
        <v>13185</v>
      </c>
      <c r="AY813" s="194" t="s">
        <v>16219</v>
      </c>
      <c r="AZ813" s="195" t="s">
        <v>215</v>
      </c>
      <c r="BA813" s="196" t="s">
        <v>153</v>
      </c>
      <c r="BB813" s="197" t="s">
        <v>153</v>
      </c>
      <c r="BC813" s="198" t="s">
        <v>153</v>
      </c>
      <c r="BD813" s="199" t="s">
        <v>216</v>
      </c>
      <c r="BE813" s="200" t="s">
        <v>217</v>
      </c>
      <c r="BF813" s="201" t="s">
        <v>16220</v>
      </c>
      <c r="BG813" s="202" t="s">
        <v>153</v>
      </c>
      <c r="BH813" s="203" t="s">
        <v>153</v>
      </c>
      <c r="BI813" s="204" t="s">
        <v>16221</v>
      </c>
      <c r="BJ813" s="205" t="s">
        <v>153</v>
      </c>
      <c r="BK813" s="206" t="s">
        <v>153</v>
      </c>
      <c r="BL813" s="207" t="s">
        <v>153</v>
      </c>
      <c r="BM813" s="208" t="s">
        <v>153</v>
      </c>
      <c r="BN813" s="209" t="s">
        <v>153</v>
      </c>
      <c r="BO813" s="210" t="s">
        <v>153</v>
      </c>
      <c r="BP813" s="211" t="s">
        <v>153</v>
      </c>
      <c r="BQ813" s="212">
        <v>35522</v>
      </c>
      <c r="BR813" s="213" t="s">
        <v>153</v>
      </c>
      <c r="BS813" s="214" t="s">
        <v>153</v>
      </c>
      <c r="BT813" s="215" t="s">
        <v>153</v>
      </c>
      <c r="BU813" s="216" t="s">
        <v>153</v>
      </c>
      <c r="BV813" s="217" t="s">
        <v>251</v>
      </c>
      <c r="BW813" s="218" t="s">
        <v>153</v>
      </c>
      <c r="BX813" s="219" t="s">
        <v>153</v>
      </c>
      <c r="BY813" s="220" t="s">
        <v>252</v>
      </c>
      <c r="BZ813" s="221" t="s">
        <v>153</v>
      </c>
      <c r="CA813" s="222" t="s">
        <v>190</v>
      </c>
      <c r="CB813" s="223">
        <v>37231</v>
      </c>
      <c r="CC813" s="224">
        <v>6000</v>
      </c>
      <c r="CD813" s="225" t="s">
        <v>186</v>
      </c>
      <c r="CE813" s="226">
        <v>6000</v>
      </c>
      <c r="CF813" s="227" t="s">
        <v>186</v>
      </c>
      <c r="CG813" s="228" t="s">
        <v>226</v>
      </c>
      <c r="CH813" s="229" t="s">
        <v>153</v>
      </c>
      <c r="CI813" s="230" t="s">
        <v>153</v>
      </c>
      <c r="CJ813" s="231" t="s">
        <v>225</v>
      </c>
      <c r="CK813" s="232">
        <v>37231</v>
      </c>
      <c r="CL813" s="233" t="s">
        <v>153</v>
      </c>
      <c r="CM813" s="234" t="s">
        <v>153</v>
      </c>
      <c r="CN813" s="235" t="s">
        <v>190</v>
      </c>
      <c r="CO813" s="236" t="s">
        <v>153</v>
      </c>
      <c r="CP813" s="237" t="s">
        <v>153</v>
      </c>
      <c r="CQ813" s="238" t="s">
        <v>153</v>
      </c>
      <c r="CR813" s="239" t="s">
        <v>153</v>
      </c>
      <c r="CS813" s="240" t="s">
        <v>153</v>
      </c>
      <c r="CT813" s="241" t="s">
        <v>153</v>
      </c>
      <c r="CU813" s="242" t="s">
        <v>153</v>
      </c>
      <c r="CV813" s="243" t="s">
        <v>153</v>
      </c>
      <c r="CW813" s="244" t="s">
        <v>153</v>
      </c>
      <c r="CX813" s="245" t="s">
        <v>153</v>
      </c>
      <c r="CY813" s="246" t="s">
        <v>153</v>
      </c>
      <c r="CZ813" s="247" t="s">
        <v>153</v>
      </c>
      <c r="DA813" s="248" t="s">
        <v>153</v>
      </c>
      <c r="DB813" s="249" t="s">
        <v>153</v>
      </c>
      <c r="DC813" s="250" t="s">
        <v>153</v>
      </c>
      <c r="DD813" s="251" t="s">
        <v>153</v>
      </c>
      <c r="DE813" s="252" t="s">
        <v>153</v>
      </c>
      <c r="DF813" s="253" t="s">
        <v>153</v>
      </c>
      <c r="DG813" s="254" t="s">
        <v>153</v>
      </c>
      <c r="DH813" s="255" t="s">
        <v>153</v>
      </c>
      <c r="DI813" s="256" t="s">
        <v>153</v>
      </c>
      <c r="DJ813" s="257" t="s">
        <v>153</v>
      </c>
      <c r="DK813" s="258" t="s">
        <v>153</v>
      </c>
      <c r="DL813" s="259" t="s">
        <v>153</v>
      </c>
      <c r="DM813" s="260" t="s">
        <v>153</v>
      </c>
      <c r="DN813" s="261" t="s">
        <v>153</v>
      </c>
      <c r="DO813" s="262" t="s">
        <v>153</v>
      </c>
      <c r="DP813" s="263" t="s">
        <v>153</v>
      </c>
      <c r="DQ813" s="264" t="s">
        <v>153</v>
      </c>
      <c r="DR813" s="265" t="s">
        <v>153</v>
      </c>
      <c r="DS813" s="266" t="s">
        <v>153</v>
      </c>
      <c r="DT813" s="267" t="s">
        <v>153</v>
      </c>
      <c r="DU813" s="268" t="s">
        <v>153</v>
      </c>
      <c r="DV813" s="269" t="s">
        <v>153</v>
      </c>
      <c r="DW813" s="270" t="s">
        <v>153</v>
      </c>
      <c r="DX813" s="271" t="s">
        <v>153</v>
      </c>
      <c r="DY813" s="272" t="s">
        <v>153</v>
      </c>
      <c r="DZ813" s="273" t="s">
        <v>191</v>
      </c>
      <c r="EA813" s="274">
        <v>44217</v>
      </c>
      <c r="EB813" s="275">
        <v>6000</v>
      </c>
      <c r="EC813" s="276">
        <v>37231</v>
      </c>
      <c r="ED813" s="277" t="s">
        <v>226</v>
      </c>
      <c r="EE813" s="279" t="str">
        <f>HYPERLINK("https://my.pitchbook.com?c=25311-88", "View company online")</f>
        <v>View company online</v>
      </c>
    </row>
    <row r="814" spans="1:135" x14ac:dyDescent="0.45">
      <c r="A814" s="10" t="s">
        <v>16222</v>
      </c>
      <c r="B814" s="11" t="s">
        <v>16223</v>
      </c>
      <c r="C814" s="12" t="s">
        <v>153</v>
      </c>
      <c r="D814" s="13" t="s">
        <v>153</v>
      </c>
      <c r="E814" s="14" t="s">
        <v>153</v>
      </c>
      <c r="F814" s="15" t="s">
        <v>16224</v>
      </c>
      <c r="G814" s="16" t="s">
        <v>16225</v>
      </c>
      <c r="H814" s="17" t="s">
        <v>16226</v>
      </c>
      <c r="I814" s="18" t="s">
        <v>16222</v>
      </c>
      <c r="J814" s="19" t="s">
        <v>16227</v>
      </c>
      <c r="K814" s="20" t="s">
        <v>232</v>
      </c>
      <c r="L814" s="21" t="s">
        <v>233</v>
      </c>
      <c r="M814" s="22" t="s">
        <v>234</v>
      </c>
      <c r="N814" s="23" t="s">
        <v>235</v>
      </c>
      <c r="O814" s="24" t="s">
        <v>153</v>
      </c>
      <c r="P814" s="25" t="s">
        <v>16228</v>
      </c>
      <c r="Q814" s="26" t="s">
        <v>204</v>
      </c>
      <c r="R814" s="27" t="s">
        <v>153</v>
      </c>
      <c r="S814" s="28" t="s">
        <v>290</v>
      </c>
      <c r="T814" s="29" t="s">
        <v>205</v>
      </c>
      <c r="U814" s="30" t="s">
        <v>237</v>
      </c>
      <c r="V814" s="31" t="s">
        <v>16229</v>
      </c>
      <c r="W814" s="32">
        <v>7123</v>
      </c>
      <c r="X814" s="33" t="s">
        <v>16230</v>
      </c>
      <c r="Y814" s="34" t="s">
        <v>153</v>
      </c>
      <c r="Z814" s="35" t="s">
        <v>153</v>
      </c>
      <c r="AA814" s="36">
        <v>1917</v>
      </c>
      <c r="AB814" s="37" t="s">
        <v>153</v>
      </c>
      <c r="AC814" s="38" t="s">
        <v>570</v>
      </c>
      <c r="AD814" s="39" t="s">
        <v>570</v>
      </c>
      <c r="AE814" s="40">
        <v>1975.82</v>
      </c>
      <c r="AF814" s="41" t="s">
        <v>153</v>
      </c>
      <c r="AG814" s="42">
        <v>294.2</v>
      </c>
      <c r="AH814" s="43" t="s">
        <v>153</v>
      </c>
      <c r="AI814" s="44" t="s">
        <v>153</v>
      </c>
      <c r="AJ814" s="45" t="s">
        <v>153</v>
      </c>
      <c r="AK814" s="46" t="s">
        <v>153</v>
      </c>
      <c r="AL814" s="47">
        <v>41682.410000000003</v>
      </c>
      <c r="AM814" s="48">
        <v>4.74</v>
      </c>
      <c r="AN814" s="49" t="s">
        <v>376</v>
      </c>
      <c r="AO814" s="50" t="s">
        <v>16231</v>
      </c>
      <c r="AP814" s="51" t="s">
        <v>16232</v>
      </c>
      <c r="AQ814" s="52" t="s">
        <v>512</v>
      </c>
      <c r="AR814" s="53" t="s">
        <v>16233</v>
      </c>
      <c r="AS814" s="54" t="s">
        <v>153</v>
      </c>
      <c r="AT814" s="55" t="s">
        <v>16234</v>
      </c>
      <c r="AU814" s="56" t="s">
        <v>16235</v>
      </c>
      <c r="AV814" s="57" t="s">
        <v>16236</v>
      </c>
      <c r="AW814" s="58" t="s">
        <v>16237</v>
      </c>
      <c r="AX814" s="59" t="s">
        <v>6023</v>
      </c>
      <c r="AY814" s="60" t="s">
        <v>16238</v>
      </c>
      <c r="AZ814" s="61" t="s">
        <v>215</v>
      </c>
      <c r="BA814" s="62" t="s">
        <v>153</v>
      </c>
      <c r="BB814" s="63" t="s">
        <v>153</v>
      </c>
      <c r="BC814" s="64" t="s">
        <v>153</v>
      </c>
      <c r="BD814" s="65" t="s">
        <v>216</v>
      </c>
      <c r="BE814" s="66" t="s">
        <v>217</v>
      </c>
      <c r="BF814" s="67" t="s">
        <v>16239</v>
      </c>
      <c r="BG814" s="68" t="s">
        <v>153</v>
      </c>
      <c r="BH814" s="69" t="s">
        <v>153</v>
      </c>
      <c r="BI814" s="70" t="s">
        <v>16240</v>
      </c>
      <c r="BJ814" s="71" t="s">
        <v>153</v>
      </c>
      <c r="BK814" s="72" t="s">
        <v>153</v>
      </c>
      <c r="BL814" s="73" t="s">
        <v>153</v>
      </c>
      <c r="BM814" s="74" t="s">
        <v>153</v>
      </c>
      <c r="BN814" s="75" t="s">
        <v>153</v>
      </c>
      <c r="BO814" s="76" t="s">
        <v>13970</v>
      </c>
      <c r="BP814" s="77" t="s">
        <v>16241</v>
      </c>
      <c r="BQ814" s="78">
        <v>32357</v>
      </c>
      <c r="BR814" s="79" t="s">
        <v>153</v>
      </c>
      <c r="BS814" s="80" t="s">
        <v>153</v>
      </c>
      <c r="BT814" s="81" t="s">
        <v>153</v>
      </c>
      <c r="BU814" s="82" t="s">
        <v>153</v>
      </c>
      <c r="BV814" s="83" t="s">
        <v>251</v>
      </c>
      <c r="BW814" s="84" t="s">
        <v>153</v>
      </c>
      <c r="BX814" s="85" t="s">
        <v>153</v>
      </c>
      <c r="BY814" s="86" t="s">
        <v>252</v>
      </c>
      <c r="BZ814" s="87" t="s">
        <v>153</v>
      </c>
      <c r="CA814" s="88" t="s">
        <v>190</v>
      </c>
      <c r="CB814" s="89">
        <v>44356</v>
      </c>
      <c r="CC814" s="90">
        <v>6000</v>
      </c>
      <c r="CD814" s="91" t="s">
        <v>186</v>
      </c>
      <c r="CE814" s="92">
        <v>6000</v>
      </c>
      <c r="CF814" s="93" t="s">
        <v>187</v>
      </c>
      <c r="CG814" s="94" t="s">
        <v>226</v>
      </c>
      <c r="CH814" s="95" t="s">
        <v>153</v>
      </c>
      <c r="CI814" s="96" t="s">
        <v>153</v>
      </c>
      <c r="CJ814" s="97" t="s">
        <v>225</v>
      </c>
      <c r="CK814" s="98">
        <v>44356</v>
      </c>
      <c r="CL814" s="99" t="s">
        <v>153</v>
      </c>
      <c r="CM814" s="100" t="s">
        <v>153</v>
      </c>
      <c r="CN814" s="101" t="s">
        <v>190</v>
      </c>
      <c r="CO814" s="102" t="s">
        <v>153</v>
      </c>
      <c r="CP814" s="103" t="s">
        <v>153</v>
      </c>
      <c r="CQ814" s="104" t="s">
        <v>153</v>
      </c>
      <c r="CR814" s="105" t="s">
        <v>153</v>
      </c>
      <c r="CS814" s="106" t="s">
        <v>153</v>
      </c>
      <c r="CT814" s="107" t="s">
        <v>153</v>
      </c>
      <c r="CU814" s="108" t="s">
        <v>153</v>
      </c>
      <c r="CV814" s="109" t="s">
        <v>153</v>
      </c>
      <c r="CW814" s="110" t="s">
        <v>153</v>
      </c>
      <c r="CX814" s="111" t="s">
        <v>153</v>
      </c>
      <c r="CY814" s="112" t="s">
        <v>153</v>
      </c>
      <c r="CZ814" s="113" t="s">
        <v>153</v>
      </c>
      <c r="DA814" s="114" t="s">
        <v>153</v>
      </c>
      <c r="DB814" s="115" t="s">
        <v>153</v>
      </c>
      <c r="DC814" s="116" t="s">
        <v>153</v>
      </c>
      <c r="DD814" s="117" t="s">
        <v>153</v>
      </c>
      <c r="DE814" s="118" t="s">
        <v>153</v>
      </c>
      <c r="DF814" s="119" t="s">
        <v>153</v>
      </c>
      <c r="DG814" s="120" t="s">
        <v>153</v>
      </c>
      <c r="DH814" s="121" t="s">
        <v>153</v>
      </c>
      <c r="DI814" s="122" t="s">
        <v>153</v>
      </c>
      <c r="DJ814" s="123" t="s">
        <v>153</v>
      </c>
      <c r="DK814" s="124" t="s">
        <v>153</v>
      </c>
      <c r="DL814" s="125" t="s">
        <v>153</v>
      </c>
      <c r="DM814" s="126" t="s">
        <v>153</v>
      </c>
      <c r="DN814" s="127" t="s">
        <v>153</v>
      </c>
      <c r="DO814" s="128" t="s">
        <v>153</v>
      </c>
      <c r="DP814" s="129" t="s">
        <v>153</v>
      </c>
      <c r="DQ814" s="130" t="s">
        <v>153</v>
      </c>
      <c r="DR814" s="131" t="s">
        <v>153</v>
      </c>
      <c r="DS814" s="132" t="s">
        <v>153</v>
      </c>
      <c r="DT814" s="133" t="s">
        <v>153</v>
      </c>
      <c r="DU814" s="134" t="s">
        <v>153</v>
      </c>
      <c r="DV814" s="135" t="s">
        <v>153</v>
      </c>
      <c r="DW814" s="136" t="s">
        <v>153</v>
      </c>
      <c r="DX814" s="137" t="s">
        <v>153</v>
      </c>
      <c r="DY814" s="138" t="s">
        <v>153</v>
      </c>
      <c r="DZ814" s="139" t="s">
        <v>191</v>
      </c>
      <c r="EA814" s="140">
        <v>44384</v>
      </c>
      <c r="EB814" s="141">
        <v>6000</v>
      </c>
      <c r="EC814" s="142">
        <v>44356</v>
      </c>
      <c r="ED814" s="143" t="s">
        <v>226</v>
      </c>
      <c r="EE814" s="278" t="str">
        <f>HYPERLINK("https://my.pitchbook.com?c=41179-60", "View company online")</f>
        <v>View company online</v>
      </c>
    </row>
    <row r="815" spans="1:135" x14ac:dyDescent="0.45">
      <c r="A815" s="144" t="s">
        <v>16242</v>
      </c>
      <c r="B815" s="145" t="s">
        <v>16243</v>
      </c>
      <c r="C815" s="146" t="s">
        <v>153</v>
      </c>
      <c r="D815" s="147" t="s">
        <v>153</v>
      </c>
      <c r="E815" s="148" t="s">
        <v>153</v>
      </c>
      <c r="F815" s="149" t="s">
        <v>153</v>
      </c>
      <c r="G815" s="150" t="s">
        <v>16244</v>
      </c>
      <c r="H815" s="151" t="s">
        <v>153</v>
      </c>
      <c r="I815" s="152" t="s">
        <v>16242</v>
      </c>
      <c r="J815" s="153" t="s">
        <v>16245</v>
      </c>
      <c r="K815" s="154" t="s">
        <v>157</v>
      </c>
      <c r="L815" s="155" t="s">
        <v>817</v>
      </c>
      <c r="M815" s="156" t="s">
        <v>1499</v>
      </c>
      <c r="N815" s="157" t="s">
        <v>2944</v>
      </c>
      <c r="O815" s="158" t="s">
        <v>153</v>
      </c>
      <c r="P815" s="159" t="s">
        <v>16246</v>
      </c>
      <c r="Q815" s="160" t="s">
        <v>204</v>
      </c>
      <c r="R815" s="161">
        <v>2300</v>
      </c>
      <c r="S815" s="162" t="s">
        <v>290</v>
      </c>
      <c r="T815" s="163" t="s">
        <v>205</v>
      </c>
      <c r="U815" s="164" t="s">
        <v>237</v>
      </c>
      <c r="V815" s="165" t="s">
        <v>153</v>
      </c>
      <c r="W815" s="166">
        <v>64900</v>
      </c>
      <c r="X815" s="167" t="s">
        <v>16247</v>
      </c>
      <c r="Y815" s="168" t="s">
        <v>153</v>
      </c>
      <c r="Z815" s="169" t="s">
        <v>153</v>
      </c>
      <c r="AA815" s="170">
        <v>1999</v>
      </c>
      <c r="AB815" s="171" t="s">
        <v>153</v>
      </c>
      <c r="AC815" s="172" t="s">
        <v>153</v>
      </c>
      <c r="AD815" s="173" t="s">
        <v>153</v>
      </c>
      <c r="AE815" s="174" t="s">
        <v>153</v>
      </c>
      <c r="AF815" s="175" t="s">
        <v>153</v>
      </c>
      <c r="AG815" s="176" t="s">
        <v>153</v>
      </c>
      <c r="AH815" s="177" t="s">
        <v>153</v>
      </c>
      <c r="AI815" s="178" t="s">
        <v>153</v>
      </c>
      <c r="AJ815" s="179" t="s">
        <v>153</v>
      </c>
      <c r="AK815" s="180" t="s">
        <v>153</v>
      </c>
      <c r="AL815" s="181" t="s">
        <v>153</v>
      </c>
      <c r="AM815" s="182" t="s">
        <v>153</v>
      </c>
      <c r="AN815" s="183" t="s">
        <v>3725</v>
      </c>
      <c r="AO815" s="184" t="s">
        <v>153</v>
      </c>
      <c r="AP815" s="185" t="s">
        <v>153</v>
      </c>
      <c r="AQ815" s="186" t="s">
        <v>153</v>
      </c>
      <c r="AR815" s="187" t="s">
        <v>153</v>
      </c>
      <c r="AS815" s="188" t="s">
        <v>153</v>
      </c>
      <c r="AT815" s="189" t="s">
        <v>16248</v>
      </c>
      <c r="AU815" s="190" t="s">
        <v>16249</v>
      </c>
      <c r="AV815" s="191" t="s">
        <v>153</v>
      </c>
      <c r="AW815" s="192" t="s">
        <v>153</v>
      </c>
      <c r="AX815" s="193" t="s">
        <v>436</v>
      </c>
      <c r="AY815" s="194" t="s">
        <v>16250</v>
      </c>
      <c r="AZ815" s="195" t="s">
        <v>215</v>
      </c>
      <c r="BA815" s="196" t="s">
        <v>153</v>
      </c>
      <c r="BB815" s="197" t="s">
        <v>153</v>
      </c>
      <c r="BC815" s="198" t="s">
        <v>153</v>
      </c>
      <c r="BD815" s="199" t="s">
        <v>216</v>
      </c>
      <c r="BE815" s="200" t="s">
        <v>217</v>
      </c>
      <c r="BF815" s="201" t="s">
        <v>16251</v>
      </c>
      <c r="BG815" s="202" t="s">
        <v>153</v>
      </c>
      <c r="BH815" s="203" t="s">
        <v>153</v>
      </c>
      <c r="BI815" s="204" t="s">
        <v>6085</v>
      </c>
      <c r="BJ815" s="205" t="s">
        <v>153</v>
      </c>
      <c r="BK815" s="206" t="s">
        <v>153</v>
      </c>
      <c r="BL815" s="207" t="s">
        <v>153</v>
      </c>
      <c r="BM815" s="208" t="s">
        <v>153</v>
      </c>
      <c r="BN815" s="209" t="s">
        <v>153</v>
      </c>
      <c r="BO815" s="210" t="s">
        <v>153</v>
      </c>
      <c r="BP815" s="211" t="s">
        <v>16252</v>
      </c>
      <c r="BQ815" s="212">
        <v>36250</v>
      </c>
      <c r="BR815" s="213">
        <v>2300</v>
      </c>
      <c r="BS815" s="214" t="s">
        <v>187</v>
      </c>
      <c r="BT815" s="215">
        <v>2300</v>
      </c>
      <c r="BU815" s="216" t="s">
        <v>187</v>
      </c>
      <c r="BV815" s="217" t="s">
        <v>251</v>
      </c>
      <c r="BW815" s="218" t="s">
        <v>524</v>
      </c>
      <c r="BX815" s="219" t="s">
        <v>153</v>
      </c>
      <c r="BY815" s="220" t="s">
        <v>252</v>
      </c>
      <c r="BZ815" s="221" t="s">
        <v>153</v>
      </c>
      <c r="CA815" s="222" t="s">
        <v>190</v>
      </c>
      <c r="CB815" s="223">
        <v>40235</v>
      </c>
      <c r="CC815" s="224">
        <v>6000</v>
      </c>
      <c r="CD815" s="225" t="s">
        <v>186</v>
      </c>
      <c r="CE815" s="226">
        <v>8955.2000000000007</v>
      </c>
      <c r="CF815" s="227" t="s">
        <v>186</v>
      </c>
      <c r="CG815" s="228" t="s">
        <v>226</v>
      </c>
      <c r="CH815" s="229" t="s">
        <v>153</v>
      </c>
      <c r="CI815" s="230" t="s">
        <v>153</v>
      </c>
      <c r="CJ815" s="231" t="s">
        <v>225</v>
      </c>
      <c r="CK815" s="232">
        <v>40235</v>
      </c>
      <c r="CL815" s="233" t="s">
        <v>153</v>
      </c>
      <c r="CM815" s="234" t="s">
        <v>153</v>
      </c>
      <c r="CN815" s="235" t="s">
        <v>190</v>
      </c>
      <c r="CO815" s="236" t="s">
        <v>153</v>
      </c>
      <c r="CP815" s="237" t="s">
        <v>153</v>
      </c>
      <c r="CQ815" s="238" t="s">
        <v>153</v>
      </c>
      <c r="CR815" s="239" t="s">
        <v>153</v>
      </c>
      <c r="CS815" s="240" t="s">
        <v>153</v>
      </c>
      <c r="CT815" s="241" t="s">
        <v>153</v>
      </c>
      <c r="CU815" s="242" t="s">
        <v>153</v>
      </c>
      <c r="CV815" s="243" t="s">
        <v>153</v>
      </c>
      <c r="CW815" s="244" t="s">
        <v>153</v>
      </c>
      <c r="CX815" s="245" t="s">
        <v>153</v>
      </c>
      <c r="CY815" s="246" t="s">
        <v>153</v>
      </c>
      <c r="CZ815" s="247" t="s">
        <v>153</v>
      </c>
      <c r="DA815" s="248" t="s">
        <v>153</v>
      </c>
      <c r="DB815" s="249" t="s">
        <v>153</v>
      </c>
      <c r="DC815" s="250" t="s">
        <v>153</v>
      </c>
      <c r="DD815" s="251" t="s">
        <v>153</v>
      </c>
      <c r="DE815" s="252" t="s">
        <v>153</v>
      </c>
      <c r="DF815" s="253" t="s">
        <v>153</v>
      </c>
      <c r="DG815" s="254" t="s">
        <v>153</v>
      </c>
      <c r="DH815" s="255" t="s">
        <v>153</v>
      </c>
      <c r="DI815" s="256" t="s">
        <v>153</v>
      </c>
      <c r="DJ815" s="257" t="s">
        <v>153</v>
      </c>
      <c r="DK815" s="258" t="s">
        <v>153</v>
      </c>
      <c r="DL815" s="259" t="s">
        <v>153</v>
      </c>
      <c r="DM815" s="260" t="s">
        <v>153</v>
      </c>
      <c r="DN815" s="261" t="s">
        <v>153</v>
      </c>
      <c r="DO815" s="262" t="s">
        <v>153</v>
      </c>
      <c r="DP815" s="263" t="s">
        <v>153</v>
      </c>
      <c r="DQ815" s="264" t="s">
        <v>153</v>
      </c>
      <c r="DR815" s="265" t="s">
        <v>153</v>
      </c>
      <c r="DS815" s="266" t="s">
        <v>153</v>
      </c>
      <c r="DT815" s="267" t="s">
        <v>153</v>
      </c>
      <c r="DU815" s="268" t="s">
        <v>153</v>
      </c>
      <c r="DV815" s="269" t="s">
        <v>153</v>
      </c>
      <c r="DW815" s="270" t="s">
        <v>153</v>
      </c>
      <c r="DX815" s="271" t="s">
        <v>153</v>
      </c>
      <c r="DY815" s="272" t="s">
        <v>153</v>
      </c>
      <c r="DZ815" s="273" t="s">
        <v>191</v>
      </c>
      <c r="EA815" s="274">
        <v>44322</v>
      </c>
      <c r="EB815" s="275">
        <v>8955.2000000000007</v>
      </c>
      <c r="EC815" s="276">
        <v>40235</v>
      </c>
      <c r="ED815" s="277" t="s">
        <v>226</v>
      </c>
      <c r="EE815" s="279" t="str">
        <f>HYPERLINK("https://my.pitchbook.com?c=13402-00", "View company online")</f>
        <v>View company online</v>
      </c>
    </row>
    <row r="816" spans="1:135" x14ac:dyDescent="0.45">
      <c r="A816" s="10" t="s">
        <v>16253</v>
      </c>
      <c r="B816" s="11" t="s">
        <v>16254</v>
      </c>
      <c r="C816" s="12" t="s">
        <v>153</v>
      </c>
      <c r="D816" s="13" t="s">
        <v>153</v>
      </c>
      <c r="E816" s="14" t="s">
        <v>153</v>
      </c>
      <c r="F816" s="15" t="s">
        <v>153</v>
      </c>
      <c r="G816" s="16" t="s">
        <v>16255</v>
      </c>
      <c r="H816" s="17" t="s">
        <v>16256</v>
      </c>
      <c r="I816" s="18" t="s">
        <v>16253</v>
      </c>
      <c r="J816" s="19" t="s">
        <v>16257</v>
      </c>
      <c r="K816" s="20" t="s">
        <v>232</v>
      </c>
      <c r="L816" s="21" t="s">
        <v>362</v>
      </c>
      <c r="M816" s="22" t="s">
        <v>363</v>
      </c>
      <c r="N816" s="23" t="s">
        <v>16258</v>
      </c>
      <c r="O816" s="24" t="s">
        <v>796</v>
      </c>
      <c r="P816" s="25" t="s">
        <v>16259</v>
      </c>
      <c r="Q816" s="26" t="s">
        <v>204</v>
      </c>
      <c r="R816" s="27" t="s">
        <v>153</v>
      </c>
      <c r="S816" s="28" t="s">
        <v>163</v>
      </c>
      <c r="T816" s="29" t="s">
        <v>164</v>
      </c>
      <c r="U816" s="30" t="s">
        <v>237</v>
      </c>
      <c r="V816" s="31" t="s">
        <v>16260</v>
      </c>
      <c r="W816" s="32">
        <v>4900</v>
      </c>
      <c r="X816" s="33" t="s">
        <v>16261</v>
      </c>
      <c r="Y816" s="34" t="s">
        <v>153</v>
      </c>
      <c r="Z816" s="35" t="s">
        <v>153</v>
      </c>
      <c r="AA816" s="36" t="s">
        <v>153</v>
      </c>
      <c r="AB816" s="37" t="s">
        <v>16262</v>
      </c>
      <c r="AC816" s="38" t="s">
        <v>153</v>
      </c>
      <c r="AD816" s="39" t="s">
        <v>153</v>
      </c>
      <c r="AE816" s="40" t="s">
        <v>153</v>
      </c>
      <c r="AF816" s="41" t="s">
        <v>153</v>
      </c>
      <c r="AG816" s="42" t="s">
        <v>153</v>
      </c>
      <c r="AH816" s="43" t="s">
        <v>153</v>
      </c>
      <c r="AI816" s="44" t="s">
        <v>153</v>
      </c>
      <c r="AJ816" s="45" t="s">
        <v>153</v>
      </c>
      <c r="AK816" s="46" t="s">
        <v>153</v>
      </c>
      <c r="AL816" s="47" t="s">
        <v>153</v>
      </c>
      <c r="AM816" s="48" t="s">
        <v>153</v>
      </c>
      <c r="AN816" s="49" t="s">
        <v>538</v>
      </c>
      <c r="AO816" s="50" t="s">
        <v>16263</v>
      </c>
      <c r="AP816" s="51" t="s">
        <v>16264</v>
      </c>
      <c r="AQ816" s="52" t="s">
        <v>16265</v>
      </c>
      <c r="AR816" s="53" t="s">
        <v>153</v>
      </c>
      <c r="AS816" s="54" t="s">
        <v>16266</v>
      </c>
      <c r="AT816" s="55" t="s">
        <v>16267</v>
      </c>
      <c r="AU816" s="56" t="s">
        <v>16268</v>
      </c>
      <c r="AV816" s="57" t="s">
        <v>153</v>
      </c>
      <c r="AW816" s="58" t="s">
        <v>16269</v>
      </c>
      <c r="AX816" s="59" t="s">
        <v>2403</v>
      </c>
      <c r="AY816" s="60" t="s">
        <v>16270</v>
      </c>
      <c r="AZ816" s="61" t="s">
        <v>215</v>
      </c>
      <c r="BA816" s="62" t="s">
        <v>16266</v>
      </c>
      <c r="BB816" s="63" t="s">
        <v>153</v>
      </c>
      <c r="BC816" s="64" t="s">
        <v>153</v>
      </c>
      <c r="BD816" s="65" t="s">
        <v>216</v>
      </c>
      <c r="BE816" s="66" t="s">
        <v>217</v>
      </c>
      <c r="BF816" s="67" t="s">
        <v>16271</v>
      </c>
      <c r="BG816" s="68" t="s">
        <v>153</v>
      </c>
      <c r="BH816" s="69" t="s">
        <v>153</v>
      </c>
      <c r="BI816" s="70" t="s">
        <v>16262</v>
      </c>
      <c r="BJ816" s="71" t="s">
        <v>153</v>
      </c>
      <c r="BK816" s="72" t="s">
        <v>153</v>
      </c>
      <c r="BL816" s="73" t="s">
        <v>153</v>
      </c>
      <c r="BM816" s="74" t="s">
        <v>153</v>
      </c>
      <c r="BN816" s="75" t="s">
        <v>153</v>
      </c>
      <c r="BO816" s="76" t="s">
        <v>16272</v>
      </c>
      <c r="BP816" s="77" t="s">
        <v>16273</v>
      </c>
      <c r="BQ816" s="78">
        <v>32086</v>
      </c>
      <c r="BR816" s="79" t="s">
        <v>153</v>
      </c>
      <c r="BS816" s="80" t="s">
        <v>153</v>
      </c>
      <c r="BT816" s="81" t="s">
        <v>153</v>
      </c>
      <c r="BU816" s="82" t="s">
        <v>153</v>
      </c>
      <c r="BV816" s="83" t="s">
        <v>251</v>
      </c>
      <c r="BW816" s="84" t="s">
        <v>153</v>
      </c>
      <c r="BX816" s="85" t="s">
        <v>153</v>
      </c>
      <c r="BY816" s="86" t="s">
        <v>252</v>
      </c>
      <c r="BZ816" s="87" t="s">
        <v>153</v>
      </c>
      <c r="CA816" s="88" t="s">
        <v>190</v>
      </c>
      <c r="CB816" s="89">
        <v>43497</v>
      </c>
      <c r="CC816" s="90">
        <v>6000</v>
      </c>
      <c r="CD816" s="91" t="s">
        <v>186</v>
      </c>
      <c r="CE816" s="92">
        <v>6000</v>
      </c>
      <c r="CF816" s="93" t="s">
        <v>187</v>
      </c>
      <c r="CG816" s="94" t="s">
        <v>226</v>
      </c>
      <c r="CH816" s="95" t="s">
        <v>153</v>
      </c>
      <c r="CI816" s="96" t="s">
        <v>153</v>
      </c>
      <c r="CJ816" s="97" t="s">
        <v>225</v>
      </c>
      <c r="CK816" s="98">
        <v>43497</v>
      </c>
      <c r="CL816" s="99" t="s">
        <v>153</v>
      </c>
      <c r="CM816" s="100" t="s">
        <v>153</v>
      </c>
      <c r="CN816" s="101" t="s">
        <v>190</v>
      </c>
      <c r="CO816" s="102">
        <v>-12.66</v>
      </c>
      <c r="CP816" s="103">
        <v>1</v>
      </c>
      <c r="CQ816" s="104">
        <v>-0.05</v>
      </c>
      <c r="CR816" s="105">
        <v>-0.43</v>
      </c>
      <c r="CS816" s="106">
        <v>-12.66</v>
      </c>
      <c r="CT816" s="107">
        <v>1</v>
      </c>
      <c r="CU816" s="108" t="s">
        <v>153</v>
      </c>
      <c r="CV816" s="109" t="s">
        <v>153</v>
      </c>
      <c r="CW816" s="110">
        <v>-25.6</v>
      </c>
      <c r="CX816" s="111">
        <v>1</v>
      </c>
      <c r="CY816" s="112">
        <v>0.27</v>
      </c>
      <c r="CZ816" s="113">
        <v>92</v>
      </c>
      <c r="DA816" s="114" t="s">
        <v>153</v>
      </c>
      <c r="DB816" s="115" t="s">
        <v>153</v>
      </c>
      <c r="DC816" s="116">
        <v>44.09</v>
      </c>
      <c r="DD816" s="117">
        <v>98</v>
      </c>
      <c r="DE816" s="118">
        <v>0</v>
      </c>
      <c r="DF816" s="119">
        <v>0</v>
      </c>
      <c r="DG816" s="120">
        <v>44.09</v>
      </c>
      <c r="DH816" s="121">
        <v>98</v>
      </c>
      <c r="DI816" s="122" t="s">
        <v>153</v>
      </c>
      <c r="DJ816" s="123" t="s">
        <v>153</v>
      </c>
      <c r="DK816" s="124">
        <v>5.74</v>
      </c>
      <c r="DL816" s="125">
        <v>80</v>
      </c>
      <c r="DM816" s="126">
        <v>82.44</v>
      </c>
      <c r="DN816" s="127">
        <v>99</v>
      </c>
      <c r="DO816" s="128" t="s">
        <v>153</v>
      </c>
      <c r="DP816" s="129" t="s">
        <v>153</v>
      </c>
      <c r="DQ816" s="130">
        <v>3387</v>
      </c>
      <c r="DR816" s="131">
        <v>63</v>
      </c>
      <c r="DS816" s="132">
        <v>1.9</v>
      </c>
      <c r="DT816" s="133">
        <v>1319</v>
      </c>
      <c r="DU816" s="134">
        <v>1</v>
      </c>
      <c r="DV816" s="135">
        <v>0.08</v>
      </c>
      <c r="DW816" s="136">
        <v>2348</v>
      </c>
      <c r="DX816" s="137">
        <v>-4</v>
      </c>
      <c r="DY816" s="138">
        <v>-0.17</v>
      </c>
      <c r="DZ816" s="139" t="s">
        <v>191</v>
      </c>
      <c r="EA816" s="140">
        <v>44315</v>
      </c>
      <c r="EB816" s="141">
        <v>6000</v>
      </c>
      <c r="EC816" s="142">
        <v>43497</v>
      </c>
      <c r="ED816" s="143" t="s">
        <v>226</v>
      </c>
      <c r="EE816" s="278" t="str">
        <f>HYPERLINK("https://my.pitchbook.com?c=41422-87", "View company online")</f>
        <v>View company online</v>
      </c>
    </row>
    <row r="817" spans="1:135" x14ac:dyDescent="0.45">
      <c r="A817" s="144" t="s">
        <v>16274</v>
      </c>
      <c r="B817" s="145" t="s">
        <v>16275</v>
      </c>
      <c r="C817" s="146" t="s">
        <v>153</v>
      </c>
      <c r="D817" s="147" t="s">
        <v>153</v>
      </c>
      <c r="E817" s="148" t="s">
        <v>153</v>
      </c>
      <c r="F817" s="149" t="s">
        <v>153</v>
      </c>
      <c r="G817" s="150" t="s">
        <v>153</v>
      </c>
      <c r="H817" s="151" t="s">
        <v>153</v>
      </c>
      <c r="I817" s="152" t="s">
        <v>16274</v>
      </c>
      <c r="J817" s="153" t="s">
        <v>16276</v>
      </c>
      <c r="K817" s="154" t="s">
        <v>882</v>
      </c>
      <c r="L817" s="155" t="s">
        <v>883</v>
      </c>
      <c r="M817" s="156" t="s">
        <v>2243</v>
      </c>
      <c r="N817" s="157" t="s">
        <v>16277</v>
      </c>
      <c r="O817" s="158" t="s">
        <v>13340</v>
      </c>
      <c r="P817" s="159" t="s">
        <v>16278</v>
      </c>
      <c r="Q817" s="160" t="s">
        <v>204</v>
      </c>
      <c r="R817" s="161" t="s">
        <v>153</v>
      </c>
      <c r="S817" s="162" t="s">
        <v>163</v>
      </c>
      <c r="T817" s="163" t="s">
        <v>205</v>
      </c>
      <c r="U817" s="164" t="s">
        <v>206</v>
      </c>
      <c r="V817" s="165" t="s">
        <v>153</v>
      </c>
      <c r="W817" s="166" t="s">
        <v>153</v>
      </c>
      <c r="X817" s="167" t="s">
        <v>153</v>
      </c>
      <c r="Y817" s="168" t="s">
        <v>153</v>
      </c>
      <c r="Z817" s="169" t="s">
        <v>153</v>
      </c>
      <c r="AA817" s="170" t="s">
        <v>153</v>
      </c>
      <c r="AB817" s="171" t="s">
        <v>153</v>
      </c>
      <c r="AC817" s="172" t="s">
        <v>153</v>
      </c>
      <c r="AD817" s="173" t="s">
        <v>153</v>
      </c>
      <c r="AE817" s="174" t="s">
        <v>153</v>
      </c>
      <c r="AF817" s="175" t="s">
        <v>153</v>
      </c>
      <c r="AG817" s="176" t="s">
        <v>153</v>
      </c>
      <c r="AH817" s="177" t="s">
        <v>153</v>
      </c>
      <c r="AI817" s="178" t="s">
        <v>153</v>
      </c>
      <c r="AJ817" s="179" t="s">
        <v>153</v>
      </c>
      <c r="AK817" s="180" t="s">
        <v>153</v>
      </c>
      <c r="AL817" s="181" t="s">
        <v>153</v>
      </c>
      <c r="AM817" s="182" t="s">
        <v>153</v>
      </c>
      <c r="AN817" s="183" t="s">
        <v>153</v>
      </c>
      <c r="AO817" s="184" t="s">
        <v>153</v>
      </c>
      <c r="AP817" s="185" t="s">
        <v>153</v>
      </c>
      <c r="AQ817" s="186" t="s">
        <v>153</v>
      </c>
      <c r="AR817" s="187" t="s">
        <v>153</v>
      </c>
      <c r="AS817" s="188" t="s">
        <v>153</v>
      </c>
      <c r="AT817" s="189" t="s">
        <v>16279</v>
      </c>
      <c r="AU817" s="190" t="s">
        <v>16280</v>
      </c>
      <c r="AV817" s="191" t="s">
        <v>153</v>
      </c>
      <c r="AW817" s="192" t="s">
        <v>16281</v>
      </c>
      <c r="AX817" s="193" t="s">
        <v>4741</v>
      </c>
      <c r="AY817" s="194" t="s">
        <v>16282</v>
      </c>
      <c r="AZ817" s="195" t="s">
        <v>215</v>
      </c>
      <c r="BA817" s="196" t="s">
        <v>153</v>
      </c>
      <c r="BB817" s="197" t="s">
        <v>153</v>
      </c>
      <c r="BC817" s="198" t="s">
        <v>153</v>
      </c>
      <c r="BD817" s="199" t="s">
        <v>216</v>
      </c>
      <c r="BE817" s="200" t="s">
        <v>217</v>
      </c>
      <c r="BF817" s="201" t="s">
        <v>16283</v>
      </c>
      <c r="BG817" s="202" t="s">
        <v>153</v>
      </c>
      <c r="BH817" s="203" t="s">
        <v>153</v>
      </c>
      <c r="BI817" s="204" t="s">
        <v>12689</v>
      </c>
      <c r="BJ817" s="205" t="s">
        <v>10659</v>
      </c>
      <c r="BK817" s="206" t="s">
        <v>153</v>
      </c>
      <c r="BL817" s="207" t="s">
        <v>153</v>
      </c>
      <c r="BM817" s="208" t="s">
        <v>16284</v>
      </c>
      <c r="BN817" s="209" t="s">
        <v>153</v>
      </c>
      <c r="BO817" s="210" t="s">
        <v>153</v>
      </c>
      <c r="BP817" s="211" t="s">
        <v>153</v>
      </c>
      <c r="BQ817" s="212">
        <v>39664</v>
      </c>
      <c r="BR817" s="213">
        <v>6000</v>
      </c>
      <c r="BS817" s="214" t="s">
        <v>186</v>
      </c>
      <c r="BT817" s="215">
        <v>6000</v>
      </c>
      <c r="BU817" s="216" t="s">
        <v>186</v>
      </c>
      <c r="BV817" s="217" t="s">
        <v>226</v>
      </c>
      <c r="BW817" s="218" t="s">
        <v>729</v>
      </c>
      <c r="BX817" s="219" t="s">
        <v>153</v>
      </c>
      <c r="BY817" s="220" t="s">
        <v>225</v>
      </c>
      <c r="BZ817" s="221" t="s">
        <v>153</v>
      </c>
      <c r="CA817" s="222" t="s">
        <v>190</v>
      </c>
      <c r="CB817" s="223">
        <v>39664</v>
      </c>
      <c r="CC817" s="224">
        <v>6000</v>
      </c>
      <c r="CD817" s="225" t="s">
        <v>186</v>
      </c>
      <c r="CE817" s="226">
        <v>6000</v>
      </c>
      <c r="CF817" s="227" t="s">
        <v>186</v>
      </c>
      <c r="CG817" s="228" t="s">
        <v>226</v>
      </c>
      <c r="CH817" s="229" t="s">
        <v>729</v>
      </c>
      <c r="CI817" s="230" t="s">
        <v>153</v>
      </c>
      <c r="CJ817" s="231" t="s">
        <v>225</v>
      </c>
      <c r="CK817" s="232">
        <v>39664</v>
      </c>
      <c r="CL817" s="233" t="s">
        <v>153</v>
      </c>
      <c r="CM817" s="234" t="s">
        <v>153</v>
      </c>
      <c r="CN817" s="235" t="s">
        <v>190</v>
      </c>
      <c r="CO817" s="236" t="s">
        <v>153</v>
      </c>
      <c r="CP817" s="237" t="s">
        <v>153</v>
      </c>
      <c r="CQ817" s="238" t="s">
        <v>153</v>
      </c>
      <c r="CR817" s="239" t="s">
        <v>153</v>
      </c>
      <c r="CS817" s="240" t="s">
        <v>153</v>
      </c>
      <c r="CT817" s="241" t="s">
        <v>153</v>
      </c>
      <c r="CU817" s="242" t="s">
        <v>153</v>
      </c>
      <c r="CV817" s="243" t="s">
        <v>153</v>
      </c>
      <c r="CW817" s="244" t="s">
        <v>153</v>
      </c>
      <c r="CX817" s="245" t="s">
        <v>153</v>
      </c>
      <c r="CY817" s="246" t="s">
        <v>153</v>
      </c>
      <c r="CZ817" s="247" t="s">
        <v>153</v>
      </c>
      <c r="DA817" s="248" t="s">
        <v>153</v>
      </c>
      <c r="DB817" s="249" t="s">
        <v>153</v>
      </c>
      <c r="DC817" s="250" t="s">
        <v>153</v>
      </c>
      <c r="DD817" s="251" t="s">
        <v>153</v>
      </c>
      <c r="DE817" s="252" t="s">
        <v>153</v>
      </c>
      <c r="DF817" s="253" t="s">
        <v>153</v>
      </c>
      <c r="DG817" s="254" t="s">
        <v>153</v>
      </c>
      <c r="DH817" s="255" t="s">
        <v>153</v>
      </c>
      <c r="DI817" s="256" t="s">
        <v>153</v>
      </c>
      <c r="DJ817" s="257" t="s">
        <v>153</v>
      </c>
      <c r="DK817" s="258" t="s">
        <v>153</v>
      </c>
      <c r="DL817" s="259" t="s">
        <v>153</v>
      </c>
      <c r="DM817" s="260" t="s">
        <v>153</v>
      </c>
      <c r="DN817" s="261" t="s">
        <v>153</v>
      </c>
      <c r="DO817" s="262" t="s">
        <v>153</v>
      </c>
      <c r="DP817" s="263" t="s">
        <v>153</v>
      </c>
      <c r="DQ817" s="264" t="s">
        <v>153</v>
      </c>
      <c r="DR817" s="265" t="s">
        <v>153</v>
      </c>
      <c r="DS817" s="266" t="s">
        <v>153</v>
      </c>
      <c r="DT817" s="267" t="s">
        <v>153</v>
      </c>
      <c r="DU817" s="268" t="s">
        <v>153</v>
      </c>
      <c r="DV817" s="269" t="s">
        <v>153</v>
      </c>
      <c r="DW817" s="270" t="s">
        <v>153</v>
      </c>
      <c r="DX817" s="271" t="s">
        <v>153</v>
      </c>
      <c r="DY817" s="272" t="s">
        <v>153</v>
      </c>
      <c r="DZ817" s="273" t="s">
        <v>191</v>
      </c>
      <c r="EA817" s="274">
        <v>44291</v>
      </c>
      <c r="EB817" s="275">
        <v>6000</v>
      </c>
      <c r="EC817" s="276">
        <v>39664</v>
      </c>
      <c r="ED817" s="277" t="s">
        <v>226</v>
      </c>
      <c r="EE817" s="279" t="str">
        <f>HYPERLINK("https://my.pitchbook.com?c=125600-95", "View company online")</f>
        <v>View company online</v>
      </c>
    </row>
    <row r="818" spans="1:135" x14ac:dyDescent="0.45">
      <c r="A818" s="10" t="s">
        <v>16285</v>
      </c>
      <c r="B818" s="11" t="s">
        <v>16286</v>
      </c>
      <c r="C818" s="12" t="s">
        <v>153</v>
      </c>
      <c r="D818" s="13" t="s">
        <v>153</v>
      </c>
      <c r="E818" s="14" t="s">
        <v>16287</v>
      </c>
      <c r="F818" s="15" t="s">
        <v>16288</v>
      </c>
      <c r="G818" s="16" t="s">
        <v>16289</v>
      </c>
      <c r="H818" s="17" t="s">
        <v>153</v>
      </c>
      <c r="I818" s="18" t="s">
        <v>16285</v>
      </c>
      <c r="J818" s="19" t="s">
        <v>16290</v>
      </c>
      <c r="K818" s="20" t="s">
        <v>792</v>
      </c>
      <c r="L818" s="21" t="s">
        <v>841</v>
      </c>
      <c r="M818" s="22" t="s">
        <v>2326</v>
      </c>
      <c r="N818" s="23" t="s">
        <v>16291</v>
      </c>
      <c r="O818" s="24" t="s">
        <v>796</v>
      </c>
      <c r="P818" s="25" t="s">
        <v>16292</v>
      </c>
      <c r="Q818" s="26" t="s">
        <v>564</v>
      </c>
      <c r="R818" s="27">
        <v>11283.65</v>
      </c>
      <c r="S818" s="28" t="s">
        <v>290</v>
      </c>
      <c r="T818" s="29" t="s">
        <v>205</v>
      </c>
      <c r="U818" s="30" t="s">
        <v>2534</v>
      </c>
      <c r="V818" s="31" t="s">
        <v>153</v>
      </c>
      <c r="W818" s="32">
        <v>1255</v>
      </c>
      <c r="X818" s="33" t="s">
        <v>16293</v>
      </c>
      <c r="Y818" s="34" t="s">
        <v>153</v>
      </c>
      <c r="Z818" s="35" t="s">
        <v>153</v>
      </c>
      <c r="AA818" s="36">
        <v>2008</v>
      </c>
      <c r="AB818" s="37" t="s">
        <v>153</v>
      </c>
      <c r="AC818" s="38" t="s">
        <v>153</v>
      </c>
      <c r="AD818" s="39" t="s">
        <v>153</v>
      </c>
      <c r="AE818" s="40" t="s">
        <v>153</v>
      </c>
      <c r="AF818" s="41" t="s">
        <v>153</v>
      </c>
      <c r="AG818" s="42" t="s">
        <v>153</v>
      </c>
      <c r="AH818" s="43" t="s">
        <v>153</v>
      </c>
      <c r="AI818" s="44" t="s">
        <v>153</v>
      </c>
      <c r="AJ818" s="45" t="s">
        <v>153</v>
      </c>
      <c r="AK818" s="46" t="s">
        <v>153</v>
      </c>
      <c r="AL818" s="47" t="s">
        <v>153</v>
      </c>
      <c r="AM818" s="48" t="s">
        <v>153</v>
      </c>
      <c r="AN818" s="49" t="s">
        <v>153</v>
      </c>
      <c r="AO818" s="50" t="s">
        <v>16294</v>
      </c>
      <c r="AP818" s="51" t="s">
        <v>16295</v>
      </c>
      <c r="AQ818" s="52" t="s">
        <v>16296</v>
      </c>
      <c r="AR818" s="53" t="s">
        <v>16297</v>
      </c>
      <c r="AS818" s="54" t="s">
        <v>12838</v>
      </c>
      <c r="AT818" s="55" t="s">
        <v>1546</v>
      </c>
      <c r="AU818" s="56" t="s">
        <v>1547</v>
      </c>
      <c r="AV818" s="57" t="s">
        <v>153</v>
      </c>
      <c r="AW818" s="58" t="s">
        <v>1549</v>
      </c>
      <c r="AX818" s="59" t="s">
        <v>1550</v>
      </c>
      <c r="AY818" s="60" t="s">
        <v>9240</v>
      </c>
      <c r="AZ818" s="61" t="s">
        <v>215</v>
      </c>
      <c r="BA818" s="62" t="s">
        <v>16298</v>
      </c>
      <c r="BB818" s="63" t="s">
        <v>153</v>
      </c>
      <c r="BC818" s="64" t="s">
        <v>153</v>
      </c>
      <c r="BD818" s="65" t="s">
        <v>216</v>
      </c>
      <c r="BE818" s="66" t="s">
        <v>217</v>
      </c>
      <c r="BF818" s="67" t="s">
        <v>16299</v>
      </c>
      <c r="BG818" s="68" t="s">
        <v>153</v>
      </c>
      <c r="BH818" s="69" t="s">
        <v>153</v>
      </c>
      <c r="BI818" s="70" t="s">
        <v>7985</v>
      </c>
      <c r="BJ818" s="71" t="s">
        <v>16300</v>
      </c>
      <c r="BK818" s="72" t="s">
        <v>153</v>
      </c>
      <c r="BL818" s="73" t="s">
        <v>153</v>
      </c>
      <c r="BM818" s="74" t="s">
        <v>16301</v>
      </c>
      <c r="BN818" s="75" t="s">
        <v>153</v>
      </c>
      <c r="BO818" s="76" t="s">
        <v>16302</v>
      </c>
      <c r="BP818" s="77" t="s">
        <v>16303</v>
      </c>
      <c r="BQ818" s="78">
        <v>40086</v>
      </c>
      <c r="BR818" s="79">
        <v>588</v>
      </c>
      <c r="BS818" s="80" t="s">
        <v>186</v>
      </c>
      <c r="BT818" s="81">
        <v>1176</v>
      </c>
      <c r="BU818" s="82" t="s">
        <v>186</v>
      </c>
      <c r="BV818" s="83" t="s">
        <v>188</v>
      </c>
      <c r="BW818" s="84" t="s">
        <v>153</v>
      </c>
      <c r="BX818" s="85" t="s">
        <v>153</v>
      </c>
      <c r="BY818" s="86" t="s">
        <v>165</v>
      </c>
      <c r="BZ818" s="87" t="s">
        <v>153</v>
      </c>
      <c r="CA818" s="88" t="s">
        <v>190</v>
      </c>
      <c r="CB818" s="89">
        <v>41821</v>
      </c>
      <c r="CC818" s="90">
        <v>5990</v>
      </c>
      <c r="CD818" s="91" t="s">
        <v>186</v>
      </c>
      <c r="CE818" s="92">
        <v>11980</v>
      </c>
      <c r="CF818" s="93" t="s">
        <v>187</v>
      </c>
      <c r="CG818" s="94" t="s">
        <v>226</v>
      </c>
      <c r="CH818" s="95" t="s">
        <v>153</v>
      </c>
      <c r="CI818" s="96" t="s">
        <v>153</v>
      </c>
      <c r="CJ818" s="97" t="s">
        <v>225</v>
      </c>
      <c r="CK818" s="98">
        <v>41821</v>
      </c>
      <c r="CL818" s="99" t="s">
        <v>153</v>
      </c>
      <c r="CM818" s="100" t="s">
        <v>153</v>
      </c>
      <c r="CN818" s="101" t="s">
        <v>190</v>
      </c>
      <c r="CO818" s="102" t="s">
        <v>153</v>
      </c>
      <c r="CP818" s="103" t="s">
        <v>153</v>
      </c>
      <c r="CQ818" s="104" t="s">
        <v>153</v>
      </c>
      <c r="CR818" s="105" t="s">
        <v>153</v>
      </c>
      <c r="CS818" s="106" t="s">
        <v>153</v>
      </c>
      <c r="CT818" s="107" t="s">
        <v>153</v>
      </c>
      <c r="CU818" s="108" t="s">
        <v>153</v>
      </c>
      <c r="CV818" s="109" t="s">
        <v>153</v>
      </c>
      <c r="CW818" s="110" t="s">
        <v>153</v>
      </c>
      <c r="CX818" s="111" t="s">
        <v>153</v>
      </c>
      <c r="CY818" s="112" t="s">
        <v>153</v>
      </c>
      <c r="CZ818" s="113" t="s">
        <v>153</v>
      </c>
      <c r="DA818" s="114" t="s">
        <v>153</v>
      </c>
      <c r="DB818" s="115" t="s">
        <v>153</v>
      </c>
      <c r="DC818" s="116" t="s">
        <v>153</v>
      </c>
      <c r="DD818" s="117" t="s">
        <v>153</v>
      </c>
      <c r="DE818" s="118" t="s">
        <v>153</v>
      </c>
      <c r="DF818" s="119" t="s">
        <v>153</v>
      </c>
      <c r="DG818" s="120" t="s">
        <v>153</v>
      </c>
      <c r="DH818" s="121" t="s">
        <v>153</v>
      </c>
      <c r="DI818" s="122" t="s">
        <v>153</v>
      </c>
      <c r="DJ818" s="123" t="s">
        <v>153</v>
      </c>
      <c r="DK818" s="124" t="s">
        <v>153</v>
      </c>
      <c r="DL818" s="125" t="s">
        <v>153</v>
      </c>
      <c r="DM818" s="126" t="s">
        <v>153</v>
      </c>
      <c r="DN818" s="127" t="s">
        <v>153</v>
      </c>
      <c r="DO818" s="128" t="s">
        <v>153</v>
      </c>
      <c r="DP818" s="129" t="s">
        <v>153</v>
      </c>
      <c r="DQ818" s="130" t="s">
        <v>153</v>
      </c>
      <c r="DR818" s="131" t="s">
        <v>153</v>
      </c>
      <c r="DS818" s="132" t="s">
        <v>153</v>
      </c>
      <c r="DT818" s="133" t="s">
        <v>153</v>
      </c>
      <c r="DU818" s="134" t="s">
        <v>153</v>
      </c>
      <c r="DV818" s="135" t="s">
        <v>153</v>
      </c>
      <c r="DW818" s="136" t="s">
        <v>153</v>
      </c>
      <c r="DX818" s="137" t="s">
        <v>153</v>
      </c>
      <c r="DY818" s="138" t="s">
        <v>153</v>
      </c>
      <c r="DZ818" s="139" t="s">
        <v>191</v>
      </c>
      <c r="EA818" s="140">
        <v>44402</v>
      </c>
      <c r="EB818" s="141">
        <v>11980</v>
      </c>
      <c r="EC818" s="142">
        <v>41821</v>
      </c>
      <c r="ED818" s="143" t="s">
        <v>226</v>
      </c>
      <c r="EE818" s="278" t="str">
        <f>HYPERLINK("https://my.pitchbook.com?c=42155-65", "View company online")</f>
        <v>View company online</v>
      </c>
    </row>
    <row r="819" spans="1:135" x14ac:dyDescent="0.45">
      <c r="A819" s="144" t="s">
        <v>16304</v>
      </c>
      <c r="B819" s="145" t="s">
        <v>16305</v>
      </c>
      <c r="C819" s="146" t="s">
        <v>153</v>
      </c>
      <c r="D819" s="147" t="s">
        <v>153</v>
      </c>
      <c r="E819" s="148" t="s">
        <v>153</v>
      </c>
      <c r="F819" s="149" t="s">
        <v>153</v>
      </c>
      <c r="G819" s="150" t="s">
        <v>16306</v>
      </c>
      <c r="H819" s="151" t="s">
        <v>153</v>
      </c>
      <c r="I819" s="152" t="s">
        <v>16304</v>
      </c>
      <c r="J819" s="153" t="s">
        <v>16307</v>
      </c>
      <c r="K819" s="154" t="s">
        <v>792</v>
      </c>
      <c r="L819" s="155" t="s">
        <v>841</v>
      </c>
      <c r="M819" s="156" t="s">
        <v>913</v>
      </c>
      <c r="N819" s="157" t="s">
        <v>10376</v>
      </c>
      <c r="O819" s="158" t="s">
        <v>796</v>
      </c>
      <c r="P819" s="159" t="s">
        <v>16308</v>
      </c>
      <c r="Q819" s="160" t="s">
        <v>204</v>
      </c>
      <c r="R819" s="161">
        <v>2307.4</v>
      </c>
      <c r="S819" s="162" t="s">
        <v>290</v>
      </c>
      <c r="T819" s="163" t="s">
        <v>205</v>
      </c>
      <c r="U819" s="164" t="s">
        <v>2534</v>
      </c>
      <c r="V819" s="165" t="s">
        <v>153</v>
      </c>
      <c r="W819" s="166">
        <v>85</v>
      </c>
      <c r="X819" s="167" t="s">
        <v>16309</v>
      </c>
      <c r="Y819" s="168" t="s">
        <v>153</v>
      </c>
      <c r="Z819" s="169" t="s">
        <v>153</v>
      </c>
      <c r="AA819" s="170">
        <v>2010</v>
      </c>
      <c r="AB819" s="171" t="s">
        <v>153</v>
      </c>
      <c r="AC819" s="172" t="s">
        <v>153</v>
      </c>
      <c r="AD819" s="173" t="s">
        <v>153</v>
      </c>
      <c r="AE819" s="174" t="s">
        <v>153</v>
      </c>
      <c r="AF819" s="175" t="s">
        <v>153</v>
      </c>
      <c r="AG819" s="176" t="s">
        <v>153</v>
      </c>
      <c r="AH819" s="177" t="s">
        <v>153</v>
      </c>
      <c r="AI819" s="178" t="s">
        <v>153</v>
      </c>
      <c r="AJ819" s="179" t="s">
        <v>153</v>
      </c>
      <c r="AK819" s="180" t="s">
        <v>153</v>
      </c>
      <c r="AL819" s="181" t="s">
        <v>153</v>
      </c>
      <c r="AM819" s="182" t="s">
        <v>153</v>
      </c>
      <c r="AN819" s="183" t="s">
        <v>1123</v>
      </c>
      <c r="AO819" s="184" t="s">
        <v>153</v>
      </c>
      <c r="AP819" s="185" t="s">
        <v>153</v>
      </c>
      <c r="AQ819" s="186" t="s">
        <v>153</v>
      </c>
      <c r="AR819" s="187" t="s">
        <v>153</v>
      </c>
      <c r="AS819" s="188" t="s">
        <v>153</v>
      </c>
      <c r="AT819" s="189" t="s">
        <v>1244</v>
      </c>
      <c r="AU819" s="190" t="s">
        <v>16310</v>
      </c>
      <c r="AV819" s="191" t="s">
        <v>8646</v>
      </c>
      <c r="AW819" s="192" t="s">
        <v>1246</v>
      </c>
      <c r="AX819" s="193" t="s">
        <v>1128</v>
      </c>
      <c r="AY819" s="194" t="s">
        <v>16311</v>
      </c>
      <c r="AZ819" s="195" t="s">
        <v>215</v>
      </c>
      <c r="BA819" s="196" t="s">
        <v>153</v>
      </c>
      <c r="BB819" s="197" t="s">
        <v>153</v>
      </c>
      <c r="BC819" s="198" t="s">
        <v>153</v>
      </c>
      <c r="BD819" s="199" t="s">
        <v>216</v>
      </c>
      <c r="BE819" s="200" t="s">
        <v>217</v>
      </c>
      <c r="BF819" s="201" t="s">
        <v>16312</v>
      </c>
      <c r="BG819" s="202" t="s">
        <v>153</v>
      </c>
      <c r="BH819" s="203" t="s">
        <v>153</v>
      </c>
      <c r="BI819" s="204" t="s">
        <v>16313</v>
      </c>
      <c r="BJ819" s="205" t="s">
        <v>16314</v>
      </c>
      <c r="BK819" s="206" t="s">
        <v>153</v>
      </c>
      <c r="BL819" s="207" t="s">
        <v>153</v>
      </c>
      <c r="BM819" s="208" t="s">
        <v>16315</v>
      </c>
      <c r="BN819" s="209" t="s">
        <v>153</v>
      </c>
      <c r="BO819" s="210" t="s">
        <v>153</v>
      </c>
      <c r="BP819" s="211" t="s">
        <v>16316</v>
      </c>
      <c r="BQ819" s="212">
        <v>40421</v>
      </c>
      <c r="BR819" s="213">
        <v>362</v>
      </c>
      <c r="BS819" s="214" t="s">
        <v>186</v>
      </c>
      <c r="BT819" s="215" t="s">
        <v>153</v>
      </c>
      <c r="BU819" s="216" t="s">
        <v>153</v>
      </c>
      <c r="BV819" s="217" t="s">
        <v>709</v>
      </c>
      <c r="BW819" s="218" t="s">
        <v>3593</v>
      </c>
      <c r="BX819" s="219" t="s">
        <v>153</v>
      </c>
      <c r="BY819" s="220" t="s">
        <v>165</v>
      </c>
      <c r="BZ819" s="221" t="s">
        <v>153</v>
      </c>
      <c r="CA819" s="222" t="s">
        <v>190</v>
      </c>
      <c r="CB819" s="223">
        <v>41956</v>
      </c>
      <c r="CC819" s="224">
        <v>5930</v>
      </c>
      <c r="CD819" s="225" t="s">
        <v>186</v>
      </c>
      <c r="CE819" s="226">
        <v>5930</v>
      </c>
      <c r="CF819" s="227" t="s">
        <v>187</v>
      </c>
      <c r="CG819" s="228" t="s">
        <v>226</v>
      </c>
      <c r="CH819" s="229" t="s">
        <v>153</v>
      </c>
      <c r="CI819" s="230" t="s">
        <v>153</v>
      </c>
      <c r="CJ819" s="231" t="s">
        <v>225</v>
      </c>
      <c r="CK819" s="232">
        <v>41956</v>
      </c>
      <c r="CL819" s="233">
        <v>1.1499999999999999</v>
      </c>
      <c r="CM819" s="234" t="s">
        <v>16317</v>
      </c>
      <c r="CN819" s="235" t="s">
        <v>190</v>
      </c>
      <c r="CO819" s="236" t="s">
        <v>153</v>
      </c>
      <c r="CP819" s="237" t="s">
        <v>153</v>
      </c>
      <c r="CQ819" s="238" t="s">
        <v>153</v>
      </c>
      <c r="CR819" s="239" t="s">
        <v>153</v>
      </c>
      <c r="CS819" s="240" t="s">
        <v>153</v>
      </c>
      <c r="CT819" s="241" t="s">
        <v>153</v>
      </c>
      <c r="CU819" s="242" t="s">
        <v>153</v>
      </c>
      <c r="CV819" s="243" t="s">
        <v>153</v>
      </c>
      <c r="CW819" s="244" t="s">
        <v>153</v>
      </c>
      <c r="CX819" s="245" t="s">
        <v>153</v>
      </c>
      <c r="CY819" s="246" t="s">
        <v>153</v>
      </c>
      <c r="CZ819" s="247" t="s">
        <v>153</v>
      </c>
      <c r="DA819" s="248" t="s">
        <v>153</v>
      </c>
      <c r="DB819" s="249" t="s">
        <v>153</v>
      </c>
      <c r="DC819" s="250" t="s">
        <v>153</v>
      </c>
      <c r="DD819" s="251" t="s">
        <v>153</v>
      </c>
      <c r="DE819" s="252" t="s">
        <v>153</v>
      </c>
      <c r="DF819" s="253" t="s">
        <v>153</v>
      </c>
      <c r="DG819" s="254" t="s">
        <v>153</v>
      </c>
      <c r="DH819" s="255" t="s">
        <v>153</v>
      </c>
      <c r="DI819" s="256" t="s">
        <v>153</v>
      </c>
      <c r="DJ819" s="257" t="s">
        <v>153</v>
      </c>
      <c r="DK819" s="258" t="s">
        <v>153</v>
      </c>
      <c r="DL819" s="259" t="s">
        <v>153</v>
      </c>
      <c r="DM819" s="260" t="s">
        <v>153</v>
      </c>
      <c r="DN819" s="261" t="s">
        <v>153</v>
      </c>
      <c r="DO819" s="262" t="s">
        <v>153</v>
      </c>
      <c r="DP819" s="263" t="s">
        <v>153</v>
      </c>
      <c r="DQ819" s="264" t="s">
        <v>153</v>
      </c>
      <c r="DR819" s="265" t="s">
        <v>153</v>
      </c>
      <c r="DS819" s="266" t="s">
        <v>153</v>
      </c>
      <c r="DT819" s="267" t="s">
        <v>153</v>
      </c>
      <c r="DU819" s="268" t="s">
        <v>153</v>
      </c>
      <c r="DV819" s="269" t="s">
        <v>153</v>
      </c>
      <c r="DW819" s="270" t="s">
        <v>153</v>
      </c>
      <c r="DX819" s="271" t="s">
        <v>153</v>
      </c>
      <c r="DY819" s="272" t="s">
        <v>153</v>
      </c>
      <c r="DZ819" s="273" t="s">
        <v>191</v>
      </c>
      <c r="EA819" s="274">
        <v>44372</v>
      </c>
      <c r="EB819" s="275">
        <v>5930</v>
      </c>
      <c r="EC819" s="276">
        <v>41956</v>
      </c>
      <c r="ED819" s="277" t="s">
        <v>226</v>
      </c>
      <c r="EE819" s="279" t="str">
        <f>HYPERLINK("https://my.pitchbook.com?c=50925-97", "View company online")</f>
        <v>View company online</v>
      </c>
    </row>
    <row r="820" spans="1:135" x14ac:dyDescent="0.45">
      <c r="A820" s="10" t="s">
        <v>16318</v>
      </c>
      <c r="B820" s="11" t="s">
        <v>16319</v>
      </c>
      <c r="C820" s="12" t="s">
        <v>153</v>
      </c>
      <c r="D820" s="13" t="s">
        <v>153</v>
      </c>
      <c r="E820" s="14" t="s">
        <v>153</v>
      </c>
      <c r="F820" s="15" t="s">
        <v>16320</v>
      </c>
      <c r="G820" s="16" t="s">
        <v>16321</v>
      </c>
      <c r="H820" s="17" t="s">
        <v>153</v>
      </c>
      <c r="I820" s="18" t="s">
        <v>16318</v>
      </c>
      <c r="J820" s="19" t="s">
        <v>16322</v>
      </c>
      <c r="K820" s="20" t="s">
        <v>882</v>
      </c>
      <c r="L820" s="21" t="s">
        <v>1257</v>
      </c>
      <c r="M820" s="22" t="s">
        <v>6983</v>
      </c>
      <c r="N820" s="23" t="s">
        <v>15730</v>
      </c>
      <c r="O820" s="24" t="s">
        <v>153</v>
      </c>
      <c r="P820" s="25" t="s">
        <v>16323</v>
      </c>
      <c r="Q820" s="26" t="s">
        <v>204</v>
      </c>
      <c r="R820" s="27" t="s">
        <v>153</v>
      </c>
      <c r="S820" s="28" t="s">
        <v>163</v>
      </c>
      <c r="T820" s="29" t="s">
        <v>164</v>
      </c>
      <c r="U820" s="30" t="s">
        <v>206</v>
      </c>
      <c r="V820" s="31" t="s">
        <v>16324</v>
      </c>
      <c r="W820" s="32">
        <v>45000</v>
      </c>
      <c r="X820" s="33" t="s">
        <v>16325</v>
      </c>
      <c r="Y820" s="34" t="s">
        <v>153</v>
      </c>
      <c r="Z820" s="35" t="s">
        <v>153</v>
      </c>
      <c r="AA820" s="36">
        <v>1944</v>
      </c>
      <c r="AB820" s="37" t="s">
        <v>7313</v>
      </c>
      <c r="AC820" s="38" t="s">
        <v>153</v>
      </c>
      <c r="AD820" s="39" t="s">
        <v>153</v>
      </c>
      <c r="AE820" s="40" t="s">
        <v>153</v>
      </c>
      <c r="AF820" s="41" t="s">
        <v>153</v>
      </c>
      <c r="AG820" s="42" t="s">
        <v>153</v>
      </c>
      <c r="AH820" s="43" t="s">
        <v>153</v>
      </c>
      <c r="AI820" s="44" t="s">
        <v>153</v>
      </c>
      <c r="AJ820" s="45" t="s">
        <v>153</v>
      </c>
      <c r="AK820" s="46" t="s">
        <v>153</v>
      </c>
      <c r="AL820" s="47" t="s">
        <v>153</v>
      </c>
      <c r="AM820" s="48" t="s">
        <v>153</v>
      </c>
      <c r="AN820" s="49" t="s">
        <v>456</v>
      </c>
      <c r="AO820" s="50" t="s">
        <v>153</v>
      </c>
      <c r="AP820" s="51" t="s">
        <v>153</v>
      </c>
      <c r="AQ820" s="52" t="s">
        <v>153</v>
      </c>
      <c r="AR820" s="53" t="s">
        <v>153</v>
      </c>
      <c r="AS820" s="54" t="s">
        <v>153</v>
      </c>
      <c r="AT820" s="55" t="s">
        <v>2116</v>
      </c>
      <c r="AU820" s="56" t="s">
        <v>16326</v>
      </c>
      <c r="AV820" s="57" t="s">
        <v>153</v>
      </c>
      <c r="AW820" s="58" t="s">
        <v>2119</v>
      </c>
      <c r="AX820" s="59" t="s">
        <v>153</v>
      </c>
      <c r="AY820" s="60" t="s">
        <v>16327</v>
      </c>
      <c r="AZ820" s="61" t="s">
        <v>2121</v>
      </c>
      <c r="BA820" s="62" t="s">
        <v>16328</v>
      </c>
      <c r="BB820" s="63" t="s">
        <v>16329</v>
      </c>
      <c r="BC820" s="64" t="s">
        <v>16330</v>
      </c>
      <c r="BD820" s="65" t="s">
        <v>180</v>
      </c>
      <c r="BE820" s="66" t="s">
        <v>684</v>
      </c>
      <c r="BF820" s="67" t="s">
        <v>16331</v>
      </c>
      <c r="BG820" s="68" t="s">
        <v>153</v>
      </c>
      <c r="BH820" s="69" t="s">
        <v>153</v>
      </c>
      <c r="BI820" s="70" t="s">
        <v>7313</v>
      </c>
      <c r="BJ820" s="71" t="s">
        <v>15735</v>
      </c>
      <c r="BK820" s="72" t="s">
        <v>153</v>
      </c>
      <c r="BL820" s="73" t="s">
        <v>153</v>
      </c>
      <c r="BM820" s="74" t="s">
        <v>15736</v>
      </c>
      <c r="BN820" s="75" t="s">
        <v>153</v>
      </c>
      <c r="BO820" s="76" t="s">
        <v>153</v>
      </c>
      <c r="BP820" s="77" t="s">
        <v>153</v>
      </c>
      <c r="BQ820" s="78">
        <v>44287</v>
      </c>
      <c r="BR820" s="79">
        <v>5923.58</v>
      </c>
      <c r="BS820" s="80" t="s">
        <v>186</v>
      </c>
      <c r="BT820" s="81">
        <v>5923.58</v>
      </c>
      <c r="BU820" s="82" t="s">
        <v>187</v>
      </c>
      <c r="BV820" s="83" t="s">
        <v>226</v>
      </c>
      <c r="BW820" s="84" t="s">
        <v>729</v>
      </c>
      <c r="BX820" s="85" t="s">
        <v>153</v>
      </c>
      <c r="BY820" s="86" t="s">
        <v>225</v>
      </c>
      <c r="BZ820" s="87" t="s">
        <v>153</v>
      </c>
      <c r="CA820" s="88" t="s">
        <v>190</v>
      </c>
      <c r="CB820" s="89">
        <v>44287</v>
      </c>
      <c r="CC820" s="90">
        <v>5923.58</v>
      </c>
      <c r="CD820" s="91" t="s">
        <v>186</v>
      </c>
      <c r="CE820" s="92">
        <v>5923.58</v>
      </c>
      <c r="CF820" s="93" t="s">
        <v>187</v>
      </c>
      <c r="CG820" s="94" t="s">
        <v>226</v>
      </c>
      <c r="CH820" s="95" t="s">
        <v>729</v>
      </c>
      <c r="CI820" s="96" t="s">
        <v>153</v>
      </c>
      <c r="CJ820" s="97" t="s">
        <v>225</v>
      </c>
      <c r="CK820" s="98">
        <v>44287</v>
      </c>
      <c r="CL820" s="99" t="s">
        <v>153</v>
      </c>
      <c r="CM820" s="100" t="s">
        <v>153</v>
      </c>
      <c r="CN820" s="101" t="s">
        <v>190</v>
      </c>
      <c r="CO820" s="102">
        <v>0.5</v>
      </c>
      <c r="CP820" s="103">
        <v>93</v>
      </c>
      <c r="CQ820" s="104">
        <v>-0.08</v>
      </c>
      <c r="CR820" s="105">
        <v>-13.77</v>
      </c>
      <c r="CS820" s="106">
        <v>0.5</v>
      </c>
      <c r="CT820" s="107">
        <v>93</v>
      </c>
      <c r="CU820" s="108" t="s">
        <v>153</v>
      </c>
      <c r="CV820" s="109" t="s">
        <v>153</v>
      </c>
      <c r="CW820" s="110">
        <v>0.53</v>
      </c>
      <c r="CX820" s="111">
        <v>79</v>
      </c>
      <c r="CY820" s="112">
        <v>0.47</v>
      </c>
      <c r="CZ820" s="113">
        <v>94</v>
      </c>
      <c r="DA820" s="114" t="s">
        <v>153</v>
      </c>
      <c r="DB820" s="115" t="s">
        <v>153</v>
      </c>
      <c r="DC820" s="116">
        <v>40.270000000000003</v>
      </c>
      <c r="DD820" s="117">
        <v>98</v>
      </c>
      <c r="DE820" s="118">
        <v>0.09</v>
      </c>
      <c r="DF820" s="119">
        <v>0.23</v>
      </c>
      <c r="DG820" s="120">
        <v>40.270000000000003</v>
      </c>
      <c r="DH820" s="121">
        <v>98</v>
      </c>
      <c r="DI820" s="122" t="s">
        <v>153</v>
      </c>
      <c r="DJ820" s="123" t="s">
        <v>153</v>
      </c>
      <c r="DK820" s="124">
        <v>17.11</v>
      </c>
      <c r="DL820" s="125">
        <v>90</v>
      </c>
      <c r="DM820" s="126">
        <v>63.44</v>
      </c>
      <c r="DN820" s="127">
        <v>99</v>
      </c>
      <c r="DO820" s="128" t="s">
        <v>153</v>
      </c>
      <c r="DP820" s="129" t="s">
        <v>153</v>
      </c>
      <c r="DQ820" s="130">
        <v>10169</v>
      </c>
      <c r="DR820" s="131">
        <v>-85</v>
      </c>
      <c r="DS820" s="132">
        <v>-0.83</v>
      </c>
      <c r="DT820" s="133">
        <v>1013</v>
      </c>
      <c r="DU820" s="134">
        <v>4</v>
      </c>
      <c r="DV820" s="135">
        <v>0.4</v>
      </c>
      <c r="DW820" s="136" t="s">
        <v>153</v>
      </c>
      <c r="DX820" s="137" t="s">
        <v>153</v>
      </c>
      <c r="DY820" s="138" t="s">
        <v>153</v>
      </c>
      <c r="DZ820" s="139" t="s">
        <v>191</v>
      </c>
      <c r="EA820" s="140">
        <v>44331</v>
      </c>
      <c r="EB820" s="141">
        <v>5923.58</v>
      </c>
      <c r="EC820" s="142">
        <v>44287</v>
      </c>
      <c r="ED820" s="143" t="s">
        <v>226</v>
      </c>
      <c r="EE820" s="278" t="str">
        <f>HYPERLINK("https://my.pitchbook.com?c=437843-53", "View company online")</f>
        <v>View company online</v>
      </c>
    </row>
    <row r="821" spans="1:135" x14ac:dyDescent="0.45">
      <c r="A821" s="144" t="s">
        <v>16332</v>
      </c>
      <c r="B821" s="145" t="s">
        <v>16333</v>
      </c>
      <c r="C821" s="146" t="s">
        <v>153</v>
      </c>
      <c r="D821" s="147" t="s">
        <v>153</v>
      </c>
      <c r="E821" s="148" t="s">
        <v>16334</v>
      </c>
      <c r="F821" s="149" t="s">
        <v>153</v>
      </c>
      <c r="G821" s="150" t="s">
        <v>16335</v>
      </c>
      <c r="H821" s="151" t="s">
        <v>16336</v>
      </c>
      <c r="I821" s="152" t="s">
        <v>16332</v>
      </c>
      <c r="J821" s="153" t="s">
        <v>16337</v>
      </c>
      <c r="K821" s="154" t="s">
        <v>232</v>
      </c>
      <c r="L821" s="155" t="s">
        <v>1016</v>
      </c>
      <c r="M821" s="156" t="s">
        <v>2416</v>
      </c>
      <c r="N821" s="157" t="s">
        <v>16338</v>
      </c>
      <c r="O821" s="158" t="s">
        <v>153</v>
      </c>
      <c r="P821" s="159" t="s">
        <v>16339</v>
      </c>
      <c r="Q821" s="160" t="s">
        <v>204</v>
      </c>
      <c r="R821" s="161" t="s">
        <v>153</v>
      </c>
      <c r="S821" s="162" t="s">
        <v>290</v>
      </c>
      <c r="T821" s="163" t="s">
        <v>291</v>
      </c>
      <c r="U821" s="164" t="s">
        <v>237</v>
      </c>
      <c r="V821" s="165" t="s">
        <v>16340</v>
      </c>
      <c r="W821" s="166">
        <v>135304</v>
      </c>
      <c r="X821" s="167" t="s">
        <v>16341</v>
      </c>
      <c r="Y821" s="168" t="s">
        <v>1674</v>
      </c>
      <c r="Z821" s="169" t="s">
        <v>16342</v>
      </c>
      <c r="AA821" s="170">
        <v>2011</v>
      </c>
      <c r="AB821" s="171" t="s">
        <v>153</v>
      </c>
      <c r="AC821" s="172" t="s">
        <v>153</v>
      </c>
      <c r="AD821" s="173" t="s">
        <v>428</v>
      </c>
      <c r="AE821" s="174">
        <v>93277.54</v>
      </c>
      <c r="AF821" s="175">
        <v>35663.879999999997</v>
      </c>
      <c r="AG821" s="176">
        <v>7300.26</v>
      </c>
      <c r="AH821" s="177">
        <v>143555.79</v>
      </c>
      <c r="AI821" s="178">
        <v>16381.5</v>
      </c>
      <c r="AJ821" s="179">
        <v>13832.57</v>
      </c>
      <c r="AK821" s="180">
        <v>29945.97</v>
      </c>
      <c r="AL821" s="181">
        <v>126584.07</v>
      </c>
      <c r="AM821" s="182">
        <v>-1.35</v>
      </c>
      <c r="AN821" s="183" t="s">
        <v>168</v>
      </c>
      <c r="AO821" s="184" t="s">
        <v>16343</v>
      </c>
      <c r="AP821" s="185" t="s">
        <v>16344</v>
      </c>
      <c r="AQ821" s="186" t="s">
        <v>2655</v>
      </c>
      <c r="AR821" s="187" t="s">
        <v>153</v>
      </c>
      <c r="AS821" s="188" t="s">
        <v>16345</v>
      </c>
      <c r="AT821" s="189" t="s">
        <v>9996</v>
      </c>
      <c r="AU821" s="190" t="s">
        <v>16346</v>
      </c>
      <c r="AV821" s="191" t="s">
        <v>16347</v>
      </c>
      <c r="AW821" s="192" t="s">
        <v>9998</v>
      </c>
      <c r="AX821" s="193" t="s">
        <v>153</v>
      </c>
      <c r="AY821" s="194" t="s">
        <v>153</v>
      </c>
      <c r="AZ821" s="195" t="s">
        <v>6555</v>
      </c>
      <c r="BA821" s="196" t="s">
        <v>16348</v>
      </c>
      <c r="BB821" s="197" t="s">
        <v>16349</v>
      </c>
      <c r="BC821" s="198" t="s">
        <v>16350</v>
      </c>
      <c r="BD821" s="199" t="s">
        <v>1406</v>
      </c>
      <c r="BE821" s="200" t="s">
        <v>1407</v>
      </c>
      <c r="BF821" s="201" t="s">
        <v>16351</v>
      </c>
      <c r="BG821" s="202" t="s">
        <v>16352</v>
      </c>
      <c r="BH821" s="203">
        <v>3</v>
      </c>
      <c r="BI821" s="204" t="s">
        <v>153</v>
      </c>
      <c r="BJ821" s="205" t="s">
        <v>153</v>
      </c>
      <c r="BK821" s="206" t="s">
        <v>153</v>
      </c>
      <c r="BL821" s="207" t="s">
        <v>16353</v>
      </c>
      <c r="BM821" s="208" t="s">
        <v>153</v>
      </c>
      <c r="BN821" s="209" t="s">
        <v>153</v>
      </c>
      <c r="BO821" s="210" t="s">
        <v>16354</v>
      </c>
      <c r="BP821" s="211" t="s">
        <v>16355</v>
      </c>
      <c r="BQ821" s="212">
        <v>41880</v>
      </c>
      <c r="BR821" s="213" t="s">
        <v>153</v>
      </c>
      <c r="BS821" s="214" t="s">
        <v>153</v>
      </c>
      <c r="BT821" s="215" t="s">
        <v>153</v>
      </c>
      <c r="BU821" s="216" t="s">
        <v>153</v>
      </c>
      <c r="BV821" s="217" t="s">
        <v>748</v>
      </c>
      <c r="BW821" s="218" t="s">
        <v>153</v>
      </c>
      <c r="BX821" s="219" t="s">
        <v>153</v>
      </c>
      <c r="BY821" s="220" t="s">
        <v>225</v>
      </c>
      <c r="BZ821" s="221" t="s">
        <v>153</v>
      </c>
      <c r="CA821" s="222" t="s">
        <v>190</v>
      </c>
      <c r="CB821" s="223">
        <v>42024</v>
      </c>
      <c r="CC821" s="224">
        <v>5920.81</v>
      </c>
      <c r="CD821" s="225" t="s">
        <v>186</v>
      </c>
      <c r="CE821" s="226">
        <v>59208.08</v>
      </c>
      <c r="CF821" s="227" t="s">
        <v>187</v>
      </c>
      <c r="CG821" s="228" t="s">
        <v>906</v>
      </c>
      <c r="CH821" s="229" t="s">
        <v>153</v>
      </c>
      <c r="CI821" s="230" t="s">
        <v>153</v>
      </c>
      <c r="CJ821" s="231" t="s">
        <v>225</v>
      </c>
      <c r="CK821" s="232">
        <v>42024</v>
      </c>
      <c r="CL821" s="233" t="s">
        <v>153</v>
      </c>
      <c r="CM821" s="234" t="s">
        <v>153</v>
      </c>
      <c r="CN821" s="235" t="s">
        <v>394</v>
      </c>
      <c r="CO821" s="236">
        <v>-1</v>
      </c>
      <c r="CP821" s="237">
        <v>3</v>
      </c>
      <c r="CQ821" s="238">
        <v>-0.02</v>
      </c>
      <c r="CR821" s="239">
        <v>-2.4500000000000002</v>
      </c>
      <c r="CS821" s="240">
        <v>-1</v>
      </c>
      <c r="CT821" s="241">
        <v>4</v>
      </c>
      <c r="CU821" s="242" t="s">
        <v>153</v>
      </c>
      <c r="CV821" s="243" t="s">
        <v>153</v>
      </c>
      <c r="CW821" s="244">
        <v>-2.0499999999999998</v>
      </c>
      <c r="CX821" s="245">
        <v>12</v>
      </c>
      <c r="CY821" s="246">
        <v>0.05</v>
      </c>
      <c r="CZ821" s="247">
        <v>90</v>
      </c>
      <c r="DA821" s="248" t="s">
        <v>153</v>
      </c>
      <c r="DB821" s="249" t="s">
        <v>153</v>
      </c>
      <c r="DC821" s="250">
        <v>26.68</v>
      </c>
      <c r="DD821" s="251">
        <v>97</v>
      </c>
      <c r="DE821" s="252">
        <v>-0.28000000000000003</v>
      </c>
      <c r="DF821" s="253">
        <v>-1.04</v>
      </c>
      <c r="DG821" s="254">
        <v>26.68</v>
      </c>
      <c r="DH821" s="255">
        <v>97</v>
      </c>
      <c r="DI821" s="256" t="s">
        <v>153</v>
      </c>
      <c r="DJ821" s="257" t="s">
        <v>153</v>
      </c>
      <c r="DK821" s="258">
        <v>4.8600000000000003</v>
      </c>
      <c r="DL821" s="259">
        <v>78</v>
      </c>
      <c r="DM821" s="260">
        <v>48.5</v>
      </c>
      <c r="DN821" s="261">
        <v>98</v>
      </c>
      <c r="DO821" s="262" t="s">
        <v>153</v>
      </c>
      <c r="DP821" s="263" t="s">
        <v>153</v>
      </c>
      <c r="DQ821" s="264">
        <v>2989</v>
      </c>
      <c r="DR821" s="265">
        <v>-395</v>
      </c>
      <c r="DS821" s="266">
        <v>-11.67</v>
      </c>
      <c r="DT821" s="267">
        <v>780</v>
      </c>
      <c r="DU821" s="268">
        <v>-4</v>
      </c>
      <c r="DV821" s="269">
        <v>-0.51</v>
      </c>
      <c r="DW821" s="270" t="s">
        <v>153</v>
      </c>
      <c r="DX821" s="271" t="s">
        <v>153</v>
      </c>
      <c r="DY821" s="272" t="s">
        <v>153</v>
      </c>
      <c r="DZ821" s="273" t="s">
        <v>191</v>
      </c>
      <c r="EA821" s="274">
        <v>44401</v>
      </c>
      <c r="EB821" s="275">
        <v>44352.03</v>
      </c>
      <c r="EC821" s="276">
        <v>42024</v>
      </c>
      <c r="ED821" s="277" t="s">
        <v>906</v>
      </c>
      <c r="EE821" s="279" t="str">
        <f>HYPERLINK("https://my.pitchbook.com?c=63219-34", "View company online")</f>
        <v>View company online</v>
      </c>
    </row>
    <row r="822" spans="1:135" x14ac:dyDescent="0.45">
      <c r="A822" s="10" t="s">
        <v>16356</v>
      </c>
      <c r="B822" s="11" t="s">
        <v>16357</v>
      </c>
      <c r="C822" s="12" t="s">
        <v>153</v>
      </c>
      <c r="D822" s="13" t="s">
        <v>153</v>
      </c>
      <c r="E822" s="14" t="s">
        <v>153</v>
      </c>
      <c r="F822" s="15" t="s">
        <v>153</v>
      </c>
      <c r="G822" s="16" t="s">
        <v>16358</v>
      </c>
      <c r="H822" s="17" t="s">
        <v>153</v>
      </c>
      <c r="I822" s="18" t="s">
        <v>16356</v>
      </c>
      <c r="J822" s="19" t="s">
        <v>16359</v>
      </c>
      <c r="K822" s="20" t="s">
        <v>257</v>
      </c>
      <c r="L822" s="21" t="s">
        <v>258</v>
      </c>
      <c r="M822" s="22" t="s">
        <v>3389</v>
      </c>
      <c r="N822" s="23" t="s">
        <v>7548</v>
      </c>
      <c r="O822" s="24" t="s">
        <v>1139</v>
      </c>
      <c r="P822" s="25" t="s">
        <v>16360</v>
      </c>
      <c r="Q822" s="26" t="s">
        <v>204</v>
      </c>
      <c r="R822" s="27" t="s">
        <v>153</v>
      </c>
      <c r="S822" s="28" t="s">
        <v>290</v>
      </c>
      <c r="T822" s="29" t="s">
        <v>205</v>
      </c>
      <c r="U822" s="30" t="s">
        <v>237</v>
      </c>
      <c r="V822" s="31" t="s">
        <v>153</v>
      </c>
      <c r="W822" s="32">
        <v>1128</v>
      </c>
      <c r="X822" s="33" t="s">
        <v>16361</v>
      </c>
      <c r="Y822" s="34" t="s">
        <v>153</v>
      </c>
      <c r="Z822" s="35" t="s">
        <v>153</v>
      </c>
      <c r="AA822" s="36">
        <v>1984</v>
      </c>
      <c r="AB822" s="37" t="s">
        <v>153</v>
      </c>
      <c r="AC822" s="38" t="s">
        <v>153</v>
      </c>
      <c r="AD822" s="39" t="s">
        <v>153</v>
      </c>
      <c r="AE822" s="40" t="s">
        <v>153</v>
      </c>
      <c r="AF822" s="41" t="s">
        <v>153</v>
      </c>
      <c r="AG822" s="42" t="s">
        <v>153</v>
      </c>
      <c r="AH822" s="43" t="s">
        <v>153</v>
      </c>
      <c r="AI822" s="44" t="s">
        <v>153</v>
      </c>
      <c r="AJ822" s="45" t="s">
        <v>153</v>
      </c>
      <c r="AK822" s="46" t="s">
        <v>153</v>
      </c>
      <c r="AL822" s="47" t="s">
        <v>153</v>
      </c>
      <c r="AM822" s="48" t="s">
        <v>153</v>
      </c>
      <c r="AN822" s="49" t="s">
        <v>5196</v>
      </c>
      <c r="AO822" s="50" t="s">
        <v>16362</v>
      </c>
      <c r="AP822" s="51" t="s">
        <v>16363</v>
      </c>
      <c r="AQ822" s="52" t="s">
        <v>16364</v>
      </c>
      <c r="AR822" s="53" t="s">
        <v>153</v>
      </c>
      <c r="AS822" s="54" t="s">
        <v>153</v>
      </c>
      <c r="AT822" s="55" t="s">
        <v>433</v>
      </c>
      <c r="AU822" s="56" t="s">
        <v>16365</v>
      </c>
      <c r="AV822" s="57" t="s">
        <v>8803</v>
      </c>
      <c r="AW822" s="58" t="s">
        <v>436</v>
      </c>
      <c r="AX822" s="59" t="s">
        <v>436</v>
      </c>
      <c r="AY822" s="60" t="s">
        <v>16366</v>
      </c>
      <c r="AZ822" s="61" t="s">
        <v>215</v>
      </c>
      <c r="BA822" s="62" t="s">
        <v>153</v>
      </c>
      <c r="BB822" s="63" t="s">
        <v>153</v>
      </c>
      <c r="BC822" s="64" t="s">
        <v>153</v>
      </c>
      <c r="BD822" s="65" t="s">
        <v>216</v>
      </c>
      <c r="BE822" s="66" t="s">
        <v>217</v>
      </c>
      <c r="BF822" s="67" t="s">
        <v>16367</v>
      </c>
      <c r="BG822" s="68" t="s">
        <v>153</v>
      </c>
      <c r="BH822" s="69" t="s">
        <v>153</v>
      </c>
      <c r="BI822" s="70" t="s">
        <v>2408</v>
      </c>
      <c r="BJ822" s="71" t="s">
        <v>455</v>
      </c>
      <c r="BK822" s="72" t="s">
        <v>153</v>
      </c>
      <c r="BL822" s="73" t="s">
        <v>153</v>
      </c>
      <c r="BM822" s="74" t="s">
        <v>16368</v>
      </c>
      <c r="BN822" s="75" t="s">
        <v>153</v>
      </c>
      <c r="BO822" s="76" t="s">
        <v>16369</v>
      </c>
      <c r="BP822" s="77" t="s">
        <v>16370</v>
      </c>
      <c r="BQ822" s="78">
        <v>33561</v>
      </c>
      <c r="BR822" s="79" t="s">
        <v>153</v>
      </c>
      <c r="BS822" s="80" t="s">
        <v>153</v>
      </c>
      <c r="BT822" s="81" t="s">
        <v>153</v>
      </c>
      <c r="BU822" s="82" t="s">
        <v>153</v>
      </c>
      <c r="BV822" s="83" t="s">
        <v>251</v>
      </c>
      <c r="BW822" s="84" t="s">
        <v>153</v>
      </c>
      <c r="BX822" s="85" t="s">
        <v>153</v>
      </c>
      <c r="BY822" s="86" t="s">
        <v>252</v>
      </c>
      <c r="BZ822" s="87" t="s">
        <v>153</v>
      </c>
      <c r="CA822" s="88" t="s">
        <v>190</v>
      </c>
      <c r="CB822" s="89">
        <v>39776</v>
      </c>
      <c r="CC822" s="90">
        <v>5906.9</v>
      </c>
      <c r="CD822" s="91" t="s">
        <v>186</v>
      </c>
      <c r="CE822" s="92">
        <v>5906.9</v>
      </c>
      <c r="CF822" s="93" t="s">
        <v>186</v>
      </c>
      <c r="CG822" s="94" t="s">
        <v>226</v>
      </c>
      <c r="CH822" s="95" t="s">
        <v>153</v>
      </c>
      <c r="CI822" s="96" t="s">
        <v>153</v>
      </c>
      <c r="CJ822" s="97" t="s">
        <v>225</v>
      </c>
      <c r="CK822" s="98">
        <v>39776</v>
      </c>
      <c r="CL822" s="99" t="s">
        <v>153</v>
      </c>
      <c r="CM822" s="100" t="s">
        <v>153</v>
      </c>
      <c r="CN822" s="101" t="s">
        <v>190</v>
      </c>
      <c r="CO822" s="102" t="s">
        <v>153</v>
      </c>
      <c r="CP822" s="103" t="s">
        <v>153</v>
      </c>
      <c r="CQ822" s="104" t="s">
        <v>153</v>
      </c>
      <c r="CR822" s="105" t="s">
        <v>153</v>
      </c>
      <c r="CS822" s="106" t="s">
        <v>153</v>
      </c>
      <c r="CT822" s="107" t="s">
        <v>153</v>
      </c>
      <c r="CU822" s="108" t="s">
        <v>153</v>
      </c>
      <c r="CV822" s="109" t="s">
        <v>153</v>
      </c>
      <c r="CW822" s="110" t="s">
        <v>153</v>
      </c>
      <c r="CX822" s="111" t="s">
        <v>153</v>
      </c>
      <c r="CY822" s="112" t="s">
        <v>153</v>
      </c>
      <c r="CZ822" s="113" t="s">
        <v>153</v>
      </c>
      <c r="DA822" s="114" t="s">
        <v>153</v>
      </c>
      <c r="DB822" s="115" t="s">
        <v>153</v>
      </c>
      <c r="DC822" s="116" t="s">
        <v>153</v>
      </c>
      <c r="DD822" s="117" t="s">
        <v>153</v>
      </c>
      <c r="DE822" s="118" t="s">
        <v>153</v>
      </c>
      <c r="DF822" s="119" t="s">
        <v>153</v>
      </c>
      <c r="DG822" s="120" t="s">
        <v>153</v>
      </c>
      <c r="DH822" s="121" t="s">
        <v>153</v>
      </c>
      <c r="DI822" s="122" t="s">
        <v>153</v>
      </c>
      <c r="DJ822" s="123" t="s">
        <v>153</v>
      </c>
      <c r="DK822" s="124" t="s">
        <v>153</v>
      </c>
      <c r="DL822" s="125" t="s">
        <v>153</v>
      </c>
      <c r="DM822" s="126" t="s">
        <v>153</v>
      </c>
      <c r="DN822" s="127" t="s">
        <v>153</v>
      </c>
      <c r="DO822" s="128" t="s">
        <v>153</v>
      </c>
      <c r="DP822" s="129" t="s">
        <v>153</v>
      </c>
      <c r="DQ822" s="130" t="s">
        <v>153</v>
      </c>
      <c r="DR822" s="131" t="s">
        <v>153</v>
      </c>
      <c r="DS822" s="132" t="s">
        <v>153</v>
      </c>
      <c r="DT822" s="133" t="s">
        <v>153</v>
      </c>
      <c r="DU822" s="134" t="s">
        <v>153</v>
      </c>
      <c r="DV822" s="135" t="s">
        <v>153</v>
      </c>
      <c r="DW822" s="136" t="s">
        <v>153</v>
      </c>
      <c r="DX822" s="137" t="s">
        <v>153</v>
      </c>
      <c r="DY822" s="138" t="s">
        <v>153</v>
      </c>
      <c r="DZ822" s="139" t="s">
        <v>191</v>
      </c>
      <c r="EA822" s="140">
        <v>44348</v>
      </c>
      <c r="EB822" s="141">
        <v>5906.9</v>
      </c>
      <c r="EC822" s="142">
        <v>39776</v>
      </c>
      <c r="ED822" s="143" t="s">
        <v>226</v>
      </c>
      <c r="EE822" s="278" t="str">
        <f>HYPERLINK("https://my.pitchbook.com?c=41262-76", "View company online")</f>
        <v>View company online</v>
      </c>
    </row>
    <row r="823" spans="1:135" x14ac:dyDescent="0.45">
      <c r="A823" s="144" t="s">
        <v>16371</v>
      </c>
      <c r="B823" s="145" t="s">
        <v>16372</v>
      </c>
      <c r="C823" s="146" t="s">
        <v>153</v>
      </c>
      <c r="D823" s="147" t="s">
        <v>153</v>
      </c>
      <c r="E823" s="148" t="s">
        <v>153</v>
      </c>
      <c r="F823" s="149" t="s">
        <v>16373</v>
      </c>
      <c r="G823" s="150" t="s">
        <v>16374</v>
      </c>
      <c r="H823" s="151" t="s">
        <v>5163</v>
      </c>
      <c r="I823" s="152" t="s">
        <v>16371</v>
      </c>
      <c r="J823" s="153" t="s">
        <v>16375</v>
      </c>
      <c r="K823" s="154" t="s">
        <v>232</v>
      </c>
      <c r="L823" s="155" t="s">
        <v>1016</v>
      </c>
      <c r="M823" s="156" t="s">
        <v>2416</v>
      </c>
      <c r="N823" s="157" t="s">
        <v>16376</v>
      </c>
      <c r="O823" s="158" t="s">
        <v>153</v>
      </c>
      <c r="P823" s="159" t="s">
        <v>16377</v>
      </c>
      <c r="Q823" s="160" t="s">
        <v>367</v>
      </c>
      <c r="R823" s="161">
        <v>9100</v>
      </c>
      <c r="S823" s="162" t="s">
        <v>163</v>
      </c>
      <c r="T823" s="163" t="s">
        <v>291</v>
      </c>
      <c r="U823" s="164" t="s">
        <v>565</v>
      </c>
      <c r="V823" s="165" t="s">
        <v>16378</v>
      </c>
      <c r="W823" s="166">
        <v>24400</v>
      </c>
      <c r="X823" s="167" t="s">
        <v>16379</v>
      </c>
      <c r="Y823" s="168" t="s">
        <v>3412</v>
      </c>
      <c r="Z823" s="169" t="s">
        <v>16380</v>
      </c>
      <c r="AA823" s="170">
        <v>2013</v>
      </c>
      <c r="AB823" s="171" t="s">
        <v>5163</v>
      </c>
      <c r="AC823" s="172" t="s">
        <v>570</v>
      </c>
      <c r="AD823" s="173" t="s">
        <v>4965</v>
      </c>
      <c r="AE823" s="174">
        <v>6143</v>
      </c>
      <c r="AF823" s="175">
        <v>3717</v>
      </c>
      <c r="AG823" s="176" t="s">
        <v>153</v>
      </c>
      <c r="AH823" s="177">
        <v>89118.65</v>
      </c>
      <c r="AI823" s="178">
        <v>2005</v>
      </c>
      <c r="AJ823" s="179">
        <v>1705</v>
      </c>
      <c r="AK823" s="180">
        <v>17401.580000000002</v>
      </c>
      <c r="AL823" s="181">
        <v>54551</v>
      </c>
      <c r="AM823" s="182">
        <v>-23.5</v>
      </c>
      <c r="AN823" s="183" t="s">
        <v>376</v>
      </c>
      <c r="AO823" s="184" t="s">
        <v>16381</v>
      </c>
      <c r="AP823" s="185" t="s">
        <v>16382</v>
      </c>
      <c r="AQ823" s="186" t="s">
        <v>4199</v>
      </c>
      <c r="AR823" s="187" t="s">
        <v>153</v>
      </c>
      <c r="AS823" s="188" t="s">
        <v>16383</v>
      </c>
      <c r="AT823" s="189" t="s">
        <v>3708</v>
      </c>
      <c r="AU823" s="190" t="s">
        <v>16384</v>
      </c>
      <c r="AV823" s="191" t="s">
        <v>16385</v>
      </c>
      <c r="AW823" s="192" t="s">
        <v>3711</v>
      </c>
      <c r="AX823" s="193" t="s">
        <v>3712</v>
      </c>
      <c r="AY823" s="194" t="s">
        <v>16386</v>
      </c>
      <c r="AZ823" s="195" t="s">
        <v>1358</v>
      </c>
      <c r="BA823" s="196" t="s">
        <v>16387</v>
      </c>
      <c r="BB823" s="197" t="s">
        <v>153</v>
      </c>
      <c r="BC823" s="198" t="s">
        <v>153</v>
      </c>
      <c r="BD823" s="199" t="s">
        <v>216</v>
      </c>
      <c r="BE823" s="200" t="s">
        <v>217</v>
      </c>
      <c r="BF823" s="201" t="s">
        <v>16388</v>
      </c>
      <c r="BG823" s="202" t="s">
        <v>16389</v>
      </c>
      <c r="BH823" s="203">
        <v>1</v>
      </c>
      <c r="BI823" s="204" t="s">
        <v>153</v>
      </c>
      <c r="BJ823" s="205" t="s">
        <v>153</v>
      </c>
      <c r="BK823" s="206" t="s">
        <v>5163</v>
      </c>
      <c r="BL823" s="207" t="s">
        <v>16390</v>
      </c>
      <c r="BM823" s="208" t="s">
        <v>153</v>
      </c>
      <c r="BN823" s="209" t="s">
        <v>16391</v>
      </c>
      <c r="BO823" s="210" t="s">
        <v>16392</v>
      </c>
      <c r="BP823" s="211" t="s">
        <v>16393</v>
      </c>
      <c r="BQ823" s="212">
        <v>41355</v>
      </c>
      <c r="BR823" s="213" t="s">
        <v>153</v>
      </c>
      <c r="BS823" s="214" t="s">
        <v>153</v>
      </c>
      <c r="BT823" s="215" t="s">
        <v>153</v>
      </c>
      <c r="BU823" s="216" t="s">
        <v>153</v>
      </c>
      <c r="BV823" s="217" t="s">
        <v>251</v>
      </c>
      <c r="BW823" s="218" t="s">
        <v>524</v>
      </c>
      <c r="BX823" s="219" t="s">
        <v>153</v>
      </c>
      <c r="BY823" s="220" t="s">
        <v>252</v>
      </c>
      <c r="BZ823" s="221" t="s">
        <v>153</v>
      </c>
      <c r="CA823" s="222" t="s">
        <v>190</v>
      </c>
      <c r="CB823" s="223">
        <v>44287</v>
      </c>
      <c r="CC823" s="224">
        <v>5900</v>
      </c>
      <c r="CD823" s="225" t="s">
        <v>186</v>
      </c>
      <c r="CE823" s="226" t="s">
        <v>153</v>
      </c>
      <c r="CF823" s="227" t="s">
        <v>153</v>
      </c>
      <c r="CG823" s="228" t="s">
        <v>906</v>
      </c>
      <c r="CH823" s="229" t="s">
        <v>153</v>
      </c>
      <c r="CI823" s="230" t="s">
        <v>153</v>
      </c>
      <c r="CJ823" s="231" t="s">
        <v>225</v>
      </c>
      <c r="CK823" s="232">
        <v>44287</v>
      </c>
      <c r="CL823" s="233" t="s">
        <v>153</v>
      </c>
      <c r="CM823" s="234" t="s">
        <v>153</v>
      </c>
      <c r="CN823" s="235" t="s">
        <v>1278</v>
      </c>
      <c r="CO823" s="236">
        <v>-7.0000000000000007E-2</v>
      </c>
      <c r="CP823" s="237">
        <v>8</v>
      </c>
      <c r="CQ823" s="238">
        <v>0</v>
      </c>
      <c r="CR823" s="239">
        <v>0</v>
      </c>
      <c r="CS823" s="240">
        <v>-0.15</v>
      </c>
      <c r="CT823" s="241">
        <v>7</v>
      </c>
      <c r="CU823" s="242" t="s">
        <v>153</v>
      </c>
      <c r="CV823" s="243" t="s">
        <v>153</v>
      </c>
      <c r="CW823" s="244">
        <v>-0.3</v>
      </c>
      <c r="CX823" s="245">
        <v>20</v>
      </c>
      <c r="CY823" s="246">
        <v>0</v>
      </c>
      <c r="CZ823" s="247">
        <v>5</v>
      </c>
      <c r="DA823" s="248" t="s">
        <v>153</v>
      </c>
      <c r="DB823" s="249" t="s">
        <v>153</v>
      </c>
      <c r="DC823" s="250">
        <v>333.75</v>
      </c>
      <c r="DD823" s="251">
        <v>100</v>
      </c>
      <c r="DE823" s="252">
        <v>0.02</v>
      </c>
      <c r="DF823" s="253">
        <v>0</v>
      </c>
      <c r="DG823" s="254">
        <v>8.0399999999999991</v>
      </c>
      <c r="DH823" s="255">
        <v>89</v>
      </c>
      <c r="DI823" s="256" t="s">
        <v>153</v>
      </c>
      <c r="DJ823" s="257" t="s">
        <v>153</v>
      </c>
      <c r="DK823" s="258">
        <v>12.46</v>
      </c>
      <c r="DL823" s="259">
        <v>88</v>
      </c>
      <c r="DM823" s="260">
        <v>3.63</v>
      </c>
      <c r="DN823" s="261">
        <v>78</v>
      </c>
      <c r="DO823" s="262" t="s">
        <v>153</v>
      </c>
      <c r="DP823" s="263" t="s">
        <v>153</v>
      </c>
      <c r="DQ823" s="264">
        <v>7399</v>
      </c>
      <c r="DR823" s="265">
        <v>-49</v>
      </c>
      <c r="DS823" s="266">
        <v>-0.66</v>
      </c>
      <c r="DT823" s="267">
        <v>57</v>
      </c>
      <c r="DU823" s="268">
        <v>1</v>
      </c>
      <c r="DV823" s="269">
        <v>1.79</v>
      </c>
      <c r="DW823" s="270">
        <v>2405</v>
      </c>
      <c r="DX823" s="271">
        <v>-1</v>
      </c>
      <c r="DY823" s="272">
        <v>-0.04</v>
      </c>
      <c r="DZ823" s="273" t="s">
        <v>191</v>
      </c>
      <c r="EA823" s="274">
        <v>44380</v>
      </c>
      <c r="EB823" s="275" t="s">
        <v>153</v>
      </c>
      <c r="EC823" s="276" t="s">
        <v>153</v>
      </c>
      <c r="ED823" s="277" t="s">
        <v>153</v>
      </c>
      <c r="EE823" s="279" t="str">
        <f>HYPERLINK("https://my.pitchbook.com?c=56617-03", "View company online")</f>
        <v>View company online</v>
      </c>
    </row>
    <row r="824" spans="1:135" x14ac:dyDescent="0.45">
      <c r="A824" s="10" t="s">
        <v>16394</v>
      </c>
      <c r="B824" s="11" t="s">
        <v>16395</v>
      </c>
      <c r="C824" s="12" t="s">
        <v>153</v>
      </c>
      <c r="D824" s="13" t="s">
        <v>153</v>
      </c>
      <c r="E824" s="14" t="s">
        <v>153</v>
      </c>
      <c r="F824" s="15" t="s">
        <v>153</v>
      </c>
      <c r="G824" s="16" t="s">
        <v>16396</v>
      </c>
      <c r="H824" s="17" t="s">
        <v>16397</v>
      </c>
      <c r="I824" s="18" t="s">
        <v>16394</v>
      </c>
      <c r="J824" s="19" t="s">
        <v>16398</v>
      </c>
      <c r="K824" s="20" t="s">
        <v>257</v>
      </c>
      <c r="L824" s="21" t="s">
        <v>478</v>
      </c>
      <c r="M824" s="22" t="s">
        <v>2670</v>
      </c>
      <c r="N824" s="23" t="s">
        <v>9009</v>
      </c>
      <c r="O824" s="24" t="s">
        <v>153</v>
      </c>
      <c r="P824" s="25" t="s">
        <v>16399</v>
      </c>
      <c r="Q824" s="26" t="s">
        <v>204</v>
      </c>
      <c r="R824" s="27" t="s">
        <v>153</v>
      </c>
      <c r="S824" s="28" t="s">
        <v>290</v>
      </c>
      <c r="T824" s="29" t="s">
        <v>164</v>
      </c>
      <c r="U824" s="30" t="s">
        <v>206</v>
      </c>
      <c r="V824" s="31" t="s">
        <v>16400</v>
      </c>
      <c r="W824" s="32">
        <v>1100</v>
      </c>
      <c r="X824" s="33" t="s">
        <v>16401</v>
      </c>
      <c r="Y824" s="34" t="s">
        <v>153</v>
      </c>
      <c r="Z824" s="35" t="s">
        <v>153</v>
      </c>
      <c r="AA824" s="36">
        <v>1914</v>
      </c>
      <c r="AB824" s="37" t="s">
        <v>16402</v>
      </c>
      <c r="AC824" s="38" t="s">
        <v>153</v>
      </c>
      <c r="AD824" s="39" t="s">
        <v>570</v>
      </c>
      <c r="AE824" s="40">
        <v>4178</v>
      </c>
      <c r="AF824" s="41" t="s">
        <v>153</v>
      </c>
      <c r="AG824" s="42" t="s">
        <v>153</v>
      </c>
      <c r="AH824" s="43" t="s">
        <v>153</v>
      </c>
      <c r="AI824" s="44" t="s">
        <v>153</v>
      </c>
      <c r="AJ824" s="45" t="s">
        <v>153</v>
      </c>
      <c r="AK824" s="46" t="s">
        <v>153</v>
      </c>
      <c r="AL824" s="47" t="s">
        <v>153</v>
      </c>
      <c r="AM824" s="48">
        <v>-0.55000000000000004</v>
      </c>
      <c r="AN824" s="49" t="s">
        <v>168</v>
      </c>
      <c r="AO824" s="50" t="s">
        <v>16403</v>
      </c>
      <c r="AP824" s="51" t="s">
        <v>16404</v>
      </c>
      <c r="AQ824" s="52" t="s">
        <v>16405</v>
      </c>
      <c r="AR824" s="53" t="s">
        <v>16406</v>
      </c>
      <c r="AS824" s="54" t="s">
        <v>16407</v>
      </c>
      <c r="AT824" s="55" t="s">
        <v>16408</v>
      </c>
      <c r="AU824" s="56" t="s">
        <v>16409</v>
      </c>
      <c r="AV824" s="57" t="s">
        <v>16410</v>
      </c>
      <c r="AW824" s="58" t="s">
        <v>16411</v>
      </c>
      <c r="AX824" s="59" t="s">
        <v>153</v>
      </c>
      <c r="AY824" s="60" t="s">
        <v>153</v>
      </c>
      <c r="AZ824" s="61" t="s">
        <v>1404</v>
      </c>
      <c r="BA824" s="62" t="s">
        <v>16407</v>
      </c>
      <c r="BB824" s="63" t="s">
        <v>153</v>
      </c>
      <c r="BC824" s="64" t="s">
        <v>153</v>
      </c>
      <c r="BD824" s="65" t="s">
        <v>1406</v>
      </c>
      <c r="BE824" s="66" t="s">
        <v>1407</v>
      </c>
      <c r="BF824" s="67" t="s">
        <v>16412</v>
      </c>
      <c r="BG824" s="68" t="s">
        <v>153</v>
      </c>
      <c r="BH824" s="69" t="s">
        <v>153</v>
      </c>
      <c r="BI824" s="70" t="s">
        <v>16402</v>
      </c>
      <c r="BJ824" s="71" t="s">
        <v>16413</v>
      </c>
      <c r="BK824" s="72" t="s">
        <v>16414</v>
      </c>
      <c r="BL824" s="73" t="s">
        <v>153</v>
      </c>
      <c r="BM824" s="74" t="s">
        <v>16415</v>
      </c>
      <c r="BN824" s="75" t="s">
        <v>16416</v>
      </c>
      <c r="BO824" s="76" t="s">
        <v>16417</v>
      </c>
      <c r="BP824" s="77" t="s">
        <v>153</v>
      </c>
      <c r="BQ824" s="78">
        <v>42723</v>
      </c>
      <c r="BR824" s="79">
        <v>5900</v>
      </c>
      <c r="BS824" s="80" t="s">
        <v>186</v>
      </c>
      <c r="BT824" s="81">
        <v>5900</v>
      </c>
      <c r="BU824" s="82" t="s">
        <v>186</v>
      </c>
      <c r="BV824" s="83" t="s">
        <v>226</v>
      </c>
      <c r="BW824" s="84" t="s">
        <v>729</v>
      </c>
      <c r="BX824" s="85" t="s">
        <v>153</v>
      </c>
      <c r="BY824" s="86" t="s">
        <v>225</v>
      </c>
      <c r="BZ824" s="87" t="s">
        <v>153</v>
      </c>
      <c r="CA824" s="88" t="s">
        <v>190</v>
      </c>
      <c r="CB824" s="89">
        <v>42723</v>
      </c>
      <c r="CC824" s="90">
        <v>5900</v>
      </c>
      <c r="CD824" s="91" t="s">
        <v>186</v>
      </c>
      <c r="CE824" s="92">
        <v>5900</v>
      </c>
      <c r="CF824" s="93" t="s">
        <v>186</v>
      </c>
      <c r="CG824" s="94" t="s">
        <v>226</v>
      </c>
      <c r="CH824" s="95" t="s">
        <v>729</v>
      </c>
      <c r="CI824" s="96" t="s">
        <v>153</v>
      </c>
      <c r="CJ824" s="97" t="s">
        <v>225</v>
      </c>
      <c r="CK824" s="98">
        <v>42723</v>
      </c>
      <c r="CL824" s="99" t="s">
        <v>153</v>
      </c>
      <c r="CM824" s="100" t="s">
        <v>153</v>
      </c>
      <c r="CN824" s="101" t="s">
        <v>190</v>
      </c>
      <c r="CO824" s="102">
        <v>-0.09</v>
      </c>
      <c r="CP824" s="103">
        <v>8</v>
      </c>
      <c r="CQ824" s="104">
        <v>-0.19</v>
      </c>
      <c r="CR824" s="105">
        <v>-192.02</v>
      </c>
      <c r="CS824" s="106">
        <v>-0.19</v>
      </c>
      <c r="CT824" s="107">
        <v>7</v>
      </c>
      <c r="CU824" s="108">
        <v>0</v>
      </c>
      <c r="CV824" s="109">
        <v>41</v>
      </c>
      <c r="CW824" s="110" t="s">
        <v>153</v>
      </c>
      <c r="CX824" s="111" t="s">
        <v>153</v>
      </c>
      <c r="CY824" s="112">
        <v>-0.19</v>
      </c>
      <c r="CZ824" s="113">
        <v>4</v>
      </c>
      <c r="DA824" s="114">
        <v>0</v>
      </c>
      <c r="DB824" s="115">
        <v>41</v>
      </c>
      <c r="DC824" s="116">
        <v>4</v>
      </c>
      <c r="DD824" s="117">
        <v>81</v>
      </c>
      <c r="DE824" s="118">
        <v>-0.03</v>
      </c>
      <c r="DF824" s="119">
        <v>-0.77</v>
      </c>
      <c r="DG824" s="120">
        <v>8</v>
      </c>
      <c r="DH824" s="121">
        <v>89</v>
      </c>
      <c r="DI824" s="122">
        <v>0.01</v>
      </c>
      <c r="DJ824" s="123">
        <v>1</v>
      </c>
      <c r="DK824" s="124" t="s">
        <v>153</v>
      </c>
      <c r="DL824" s="125" t="s">
        <v>153</v>
      </c>
      <c r="DM824" s="126">
        <v>8</v>
      </c>
      <c r="DN824" s="127">
        <v>88</v>
      </c>
      <c r="DO824" s="128">
        <v>0.01</v>
      </c>
      <c r="DP824" s="129">
        <v>1</v>
      </c>
      <c r="DQ824" s="130" t="s">
        <v>153</v>
      </c>
      <c r="DR824" s="131" t="s">
        <v>153</v>
      </c>
      <c r="DS824" s="132" t="s">
        <v>153</v>
      </c>
      <c r="DT824" s="133">
        <v>128</v>
      </c>
      <c r="DU824" s="134">
        <v>-2</v>
      </c>
      <c r="DV824" s="135">
        <v>-1.54</v>
      </c>
      <c r="DW824" s="136">
        <v>3</v>
      </c>
      <c r="DX824" s="137">
        <v>0</v>
      </c>
      <c r="DY824" s="138">
        <v>0</v>
      </c>
      <c r="DZ824" s="139" t="s">
        <v>191</v>
      </c>
      <c r="EA824" s="140">
        <v>44295</v>
      </c>
      <c r="EB824" s="141">
        <v>5900</v>
      </c>
      <c r="EC824" s="142">
        <v>42723</v>
      </c>
      <c r="ED824" s="143" t="s">
        <v>226</v>
      </c>
      <c r="EE824" s="278" t="str">
        <f>HYPERLINK("https://my.pitchbook.com?c=121158-91", "View company online")</f>
        <v>View company online</v>
      </c>
    </row>
    <row r="825" spans="1:135" x14ac:dyDescent="0.45">
      <c r="A825" s="144" t="s">
        <v>16418</v>
      </c>
      <c r="B825" s="145" t="s">
        <v>16419</v>
      </c>
      <c r="C825" s="146" t="s">
        <v>153</v>
      </c>
      <c r="D825" s="147" t="s">
        <v>153</v>
      </c>
      <c r="E825" s="148" t="s">
        <v>153</v>
      </c>
      <c r="F825" s="149" t="s">
        <v>153</v>
      </c>
      <c r="G825" s="150" t="s">
        <v>153</v>
      </c>
      <c r="H825" s="151" t="s">
        <v>153</v>
      </c>
      <c r="I825" s="152" t="s">
        <v>16418</v>
      </c>
      <c r="J825" s="153" t="s">
        <v>16420</v>
      </c>
      <c r="K825" s="154" t="s">
        <v>882</v>
      </c>
      <c r="L825" s="155" t="s">
        <v>2888</v>
      </c>
      <c r="M825" s="156" t="s">
        <v>2889</v>
      </c>
      <c r="N825" s="157" t="s">
        <v>16421</v>
      </c>
      <c r="O825" s="158" t="s">
        <v>153</v>
      </c>
      <c r="P825" s="159" t="s">
        <v>16422</v>
      </c>
      <c r="Q825" s="160" t="s">
        <v>162</v>
      </c>
      <c r="R825" s="161" t="s">
        <v>153</v>
      </c>
      <c r="S825" s="162" t="s">
        <v>163</v>
      </c>
      <c r="T825" s="163" t="s">
        <v>1392</v>
      </c>
      <c r="U825" s="164" t="s">
        <v>2000</v>
      </c>
      <c r="V825" s="165" t="s">
        <v>16423</v>
      </c>
      <c r="W825" s="166">
        <v>10</v>
      </c>
      <c r="X825" s="167" t="s">
        <v>16424</v>
      </c>
      <c r="Y825" s="168" t="s">
        <v>153</v>
      </c>
      <c r="Z825" s="169" t="s">
        <v>153</v>
      </c>
      <c r="AA825" s="170" t="s">
        <v>153</v>
      </c>
      <c r="AB825" s="171" t="s">
        <v>153</v>
      </c>
      <c r="AC825" s="172" t="s">
        <v>153</v>
      </c>
      <c r="AD825" s="173" t="s">
        <v>153</v>
      </c>
      <c r="AE825" s="174" t="s">
        <v>153</v>
      </c>
      <c r="AF825" s="175" t="s">
        <v>153</v>
      </c>
      <c r="AG825" s="176" t="s">
        <v>153</v>
      </c>
      <c r="AH825" s="177" t="s">
        <v>153</v>
      </c>
      <c r="AI825" s="178" t="s">
        <v>153</v>
      </c>
      <c r="AJ825" s="179" t="s">
        <v>153</v>
      </c>
      <c r="AK825" s="180" t="s">
        <v>153</v>
      </c>
      <c r="AL825" s="181" t="s">
        <v>153</v>
      </c>
      <c r="AM825" s="182" t="s">
        <v>153</v>
      </c>
      <c r="AN825" s="183" t="s">
        <v>153</v>
      </c>
      <c r="AO825" s="184" t="s">
        <v>153</v>
      </c>
      <c r="AP825" s="185" t="s">
        <v>153</v>
      </c>
      <c r="AQ825" s="186" t="s">
        <v>153</v>
      </c>
      <c r="AR825" s="187" t="s">
        <v>153</v>
      </c>
      <c r="AS825" s="188" t="s">
        <v>153</v>
      </c>
      <c r="AT825" s="189" t="s">
        <v>1984</v>
      </c>
      <c r="AU825" s="190" t="s">
        <v>16425</v>
      </c>
      <c r="AV825" s="191" t="s">
        <v>5496</v>
      </c>
      <c r="AW825" s="192" t="s">
        <v>1986</v>
      </c>
      <c r="AX825" s="193" t="s">
        <v>1128</v>
      </c>
      <c r="AY825" s="194" t="s">
        <v>16426</v>
      </c>
      <c r="AZ825" s="195" t="s">
        <v>215</v>
      </c>
      <c r="BA825" s="196" t="s">
        <v>16427</v>
      </c>
      <c r="BB825" s="197" t="s">
        <v>16428</v>
      </c>
      <c r="BC825" s="198" t="s">
        <v>16429</v>
      </c>
      <c r="BD825" s="199" t="s">
        <v>216</v>
      </c>
      <c r="BE825" s="200" t="s">
        <v>217</v>
      </c>
      <c r="BF825" s="201" t="s">
        <v>16430</v>
      </c>
      <c r="BG825" s="202" t="s">
        <v>2879</v>
      </c>
      <c r="BH825" s="203">
        <v>1</v>
      </c>
      <c r="BI825" s="204" t="s">
        <v>153</v>
      </c>
      <c r="BJ825" s="205" t="s">
        <v>16431</v>
      </c>
      <c r="BK825" s="206" t="s">
        <v>153</v>
      </c>
      <c r="BL825" s="207" t="s">
        <v>2881</v>
      </c>
      <c r="BM825" s="208" t="s">
        <v>16432</v>
      </c>
      <c r="BN825" s="209" t="s">
        <v>153</v>
      </c>
      <c r="BO825" s="210" t="s">
        <v>153</v>
      </c>
      <c r="BP825" s="211" t="s">
        <v>16433</v>
      </c>
      <c r="BQ825" s="212">
        <v>37257</v>
      </c>
      <c r="BR825" s="213" t="s">
        <v>153</v>
      </c>
      <c r="BS825" s="214" t="s">
        <v>153</v>
      </c>
      <c r="BT825" s="215" t="s">
        <v>153</v>
      </c>
      <c r="BU825" s="216" t="s">
        <v>153</v>
      </c>
      <c r="BV825" s="217" t="s">
        <v>224</v>
      </c>
      <c r="BW825" s="218" t="s">
        <v>153</v>
      </c>
      <c r="BX825" s="219" t="s">
        <v>153</v>
      </c>
      <c r="BY825" s="220" t="s">
        <v>321</v>
      </c>
      <c r="BZ825" s="221" t="s">
        <v>153</v>
      </c>
      <c r="CA825" s="222" t="s">
        <v>190</v>
      </c>
      <c r="CB825" s="223">
        <v>43738</v>
      </c>
      <c r="CC825" s="224">
        <v>5900</v>
      </c>
      <c r="CD825" s="225" t="s">
        <v>186</v>
      </c>
      <c r="CE825" s="226">
        <v>5900</v>
      </c>
      <c r="CF825" s="227" t="s">
        <v>187</v>
      </c>
      <c r="CG825" s="228" t="s">
        <v>188</v>
      </c>
      <c r="CH825" s="229" t="s">
        <v>729</v>
      </c>
      <c r="CI825" s="230" t="s">
        <v>153</v>
      </c>
      <c r="CJ825" s="231" t="s">
        <v>165</v>
      </c>
      <c r="CK825" s="232">
        <v>43738</v>
      </c>
      <c r="CL825" s="233" t="s">
        <v>153</v>
      </c>
      <c r="CM825" s="234" t="s">
        <v>153</v>
      </c>
      <c r="CN825" s="235" t="s">
        <v>190</v>
      </c>
      <c r="CO825" s="236">
        <v>0</v>
      </c>
      <c r="CP825" s="237">
        <v>11</v>
      </c>
      <c r="CQ825" s="238">
        <v>0</v>
      </c>
      <c r="CR825" s="239">
        <v>0</v>
      </c>
      <c r="CS825" s="240">
        <v>0</v>
      </c>
      <c r="CT825" s="241">
        <v>8</v>
      </c>
      <c r="CU825" s="242" t="s">
        <v>153</v>
      </c>
      <c r="CV825" s="243" t="s">
        <v>153</v>
      </c>
      <c r="CW825" s="244" t="s">
        <v>153</v>
      </c>
      <c r="CX825" s="245" t="s">
        <v>153</v>
      </c>
      <c r="CY825" s="246">
        <v>0</v>
      </c>
      <c r="CZ825" s="247">
        <v>5</v>
      </c>
      <c r="DA825" s="248" t="s">
        <v>153</v>
      </c>
      <c r="DB825" s="249" t="s">
        <v>153</v>
      </c>
      <c r="DC825" s="250">
        <v>1.1299999999999999</v>
      </c>
      <c r="DD825" s="251">
        <v>55</v>
      </c>
      <c r="DE825" s="252">
        <v>0.06</v>
      </c>
      <c r="DF825" s="253">
        <v>5.88</v>
      </c>
      <c r="DG825" s="254">
        <v>1.1299999999999999</v>
      </c>
      <c r="DH825" s="255">
        <v>54</v>
      </c>
      <c r="DI825" s="256" t="s">
        <v>153</v>
      </c>
      <c r="DJ825" s="257" t="s">
        <v>153</v>
      </c>
      <c r="DK825" s="258" t="s">
        <v>153</v>
      </c>
      <c r="DL825" s="259" t="s">
        <v>153</v>
      </c>
      <c r="DM825" s="260">
        <v>1.1299999999999999</v>
      </c>
      <c r="DN825" s="261">
        <v>53</v>
      </c>
      <c r="DO825" s="262" t="s">
        <v>153</v>
      </c>
      <c r="DP825" s="263" t="s">
        <v>153</v>
      </c>
      <c r="DQ825" s="264" t="s">
        <v>153</v>
      </c>
      <c r="DR825" s="265" t="s">
        <v>153</v>
      </c>
      <c r="DS825" s="266" t="s">
        <v>153</v>
      </c>
      <c r="DT825" s="267">
        <v>17</v>
      </c>
      <c r="DU825" s="268">
        <v>1</v>
      </c>
      <c r="DV825" s="269">
        <v>6.25</v>
      </c>
      <c r="DW825" s="270" t="s">
        <v>153</v>
      </c>
      <c r="DX825" s="271" t="s">
        <v>153</v>
      </c>
      <c r="DY825" s="272" t="s">
        <v>153</v>
      </c>
      <c r="DZ825" s="273" t="s">
        <v>191</v>
      </c>
      <c r="EA825" s="274">
        <v>44147</v>
      </c>
      <c r="EB825" s="275">
        <v>5900</v>
      </c>
      <c r="EC825" s="276">
        <v>43738</v>
      </c>
      <c r="ED825" s="277" t="s">
        <v>188</v>
      </c>
      <c r="EE825" s="279" t="str">
        <f>HYPERLINK("https://my.pitchbook.com?c=65077-39", "View company online")</f>
        <v>View company online</v>
      </c>
    </row>
    <row r="826" spans="1:135" x14ac:dyDescent="0.45">
      <c r="A826" s="10" t="s">
        <v>16434</v>
      </c>
      <c r="B826" s="11" t="s">
        <v>16435</v>
      </c>
      <c r="C826" s="12" t="s">
        <v>153</v>
      </c>
      <c r="D826" s="13" t="s">
        <v>153</v>
      </c>
      <c r="E826" s="14" t="s">
        <v>153</v>
      </c>
      <c r="F826" s="15" t="s">
        <v>16436</v>
      </c>
      <c r="G826" s="16" t="s">
        <v>16437</v>
      </c>
      <c r="H826" s="17" t="s">
        <v>153</v>
      </c>
      <c r="I826" s="18" t="s">
        <v>16434</v>
      </c>
      <c r="J826" s="19" t="s">
        <v>16438</v>
      </c>
      <c r="K826" s="20" t="s">
        <v>232</v>
      </c>
      <c r="L826" s="21" t="s">
        <v>1016</v>
      </c>
      <c r="M826" s="22" t="s">
        <v>165</v>
      </c>
      <c r="N826" s="23" t="s">
        <v>16439</v>
      </c>
      <c r="O826" s="24" t="s">
        <v>153</v>
      </c>
      <c r="P826" s="25" t="s">
        <v>16440</v>
      </c>
      <c r="Q826" s="26" t="s">
        <v>204</v>
      </c>
      <c r="R826" s="27" t="s">
        <v>153</v>
      </c>
      <c r="S826" s="28" t="s">
        <v>163</v>
      </c>
      <c r="T826" s="29" t="s">
        <v>205</v>
      </c>
      <c r="U826" s="30" t="s">
        <v>206</v>
      </c>
      <c r="V826" s="31" t="s">
        <v>16441</v>
      </c>
      <c r="W826" s="32">
        <v>85</v>
      </c>
      <c r="X826" s="33" t="s">
        <v>16442</v>
      </c>
      <c r="Y826" s="34" t="s">
        <v>153</v>
      </c>
      <c r="Z826" s="35" t="s">
        <v>153</v>
      </c>
      <c r="AA826" s="36">
        <v>2004</v>
      </c>
      <c r="AB826" s="37" t="s">
        <v>16443</v>
      </c>
      <c r="AC826" s="38" t="s">
        <v>153</v>
      </c>
      <c r="AD826" s="39" t="s">
        <v>153</v>
      </c>
      <c r="AE826" s="40" t="s">
        <v>153</v>
      </c>
      <c r="AF826" s="41" t="s">
        <v>153</v>
      </c>
      <c r="AG826" s="42" t="s">
        <v>153</v>
      </c>
      <c r="AH826" s="43" t="s">
        <v>153</v>
      </c>
      <c r="AI826" s="44" t="s">
        <v>153</v>
      </c>
      <c r="AJ826" s="45" t="s">
        <v>153</v>
      </c>
      <c r="AK826" s="46" t="s">
        <v>153</v>
      </c>
      <c r="AL826" s="47" t="s">
        <v>153</v>
      </c>
      <c r="AM826" s="48" t="s">
        <v>153</v>
      </c>
      <c r="AN826" s="49" t="s">
        <v>153</v>
      </c>
      <c r="AO826" s="50" t="s">
        <v>16444</v>
      </c>
      <c r="AP826" s="51" t="s">
        <v>16445</v>
      </c>
      <c r="AQ826" s="52" t="s">
        <v>14943</v>
      </c>
      <c r="AR826" s="53" t="s">
        <v>16446</v>
      </c>
      <c r="AS826" s="54" t="s">
        <v>153</v>
      </c>
      <c r="AT826" s="55" t="s">
        <v>433</v>
      </c>
      <c r="AU826" s="56" t="s">
        <v>16447</v>
      </c>
      <c r="AV826" s="57" t="s">
        <v>153</v>
      </c>
      <c r="AW826" s="58" t="s">
        <v>436</v>
      </c>
      <c r="AX826" s="59" t="s">
        <v>436</v>
      </c>
      <c r="AY826" s="60" t="s">
        <v>7689</v>
      </c>
      <c r="AZ826" s="61" t="s">
        <v>215</v>
      </c>
      <c r="BA826" s="62" t="s">
        <v>153</v>
      </c>
      <c r="BB826" s="63" t="s">
        <v>153</v>
      </c>
      <c r="BC826" s="64" t="s">
        <v>153</v>
      </c>
      <c r="BD826" s="65" t="s">
        <v>216</v>
      </c>
      <c r="BE826" s="66" t="s">
        <v>217</v>
      </c>
      <c r="BF826" s="67" t="s">
        <v>16448</v>
      </c>
      <c r="BG826" s="68" t="s">
        <v>153</v>
      </c>
      <c r="BH826" s="69" t="s">
        <v>153</v>
      </c>
      <c r="BI826" s="70" t="s">
        <v>16443</v>
      </c>
      <c r="BJ826" s="71" t="s">
        <v>153</v>
      </c>
      <c r="BK826" s="72" t="s">
        <v>153</v>
      </c>
      <c r="BL826" s="73" t="s">
        <v>153</v>
      </c>
      <c r="BM826" s="74" t="s">
        <v>153</v>
      </c>
      <c r="BN826" s="75" t="s">
        <v>153</v>
      </c>
      <c r="BO826" s="76" t="s">
        <v>16449</v>
      </c>
      <c r="BP826" s="77" t="s">
        <v>16450</v>
      </c>
      <c r="BQ826" s="78">
        <v>42156</v>
      </c>
      <c r="BR826" s="79">
        <v>5900</v>
      </c>
      <c r="BS826" s="80" t="s">
        <v>186</v>
      </c>
      <c r="BT826" s="81">
        <v>5900</v>
      </c>
      <c r="BU826" s="82" t="s">
        <v>186</v>
      </c>
      <c r="BV826" s="83" t="s">
        <v>226</v>
      </c>
      <c r="BW826" s="84" t="s">
        <v>153</v>
      </c>
      <c r="BX826" s="85" t="s">
        <v>153</v>
      </c>
      <c r="BY826" s="86" t="s">
        <v>225</v>
      </c>
      <c r="BZ826" s="87" t="s">
        <v>153</v>
      </c>
      <c r="CA826" s="88" t="s">
        <v>190</v>
      </c>
      <c r="CB826" s="89">
        <v>42156</v>
      </c>
      <c r="CC826" s="90">
        <v>5900</v>
      </c>
      <c r="CD826" s="91" t="s">
        <v>186</v>
      </c>
      <c r="CE826" s="92">
        <v>5900</v>
      </c>
      <c r="CF826" s="93" t="s">
        <v>186</v>
      </c>
      <c r="CG826" s="94" t="s">
        <v>226</v>
      </c>
      <c r="CH826" s="95" t="s">
        <v>153</v>
      </c>
      <c r="CI826" s="96" t="s">
        <v>153</v>
      </c>
      <c r="CJ826" s="97" t="s">
        <v>225</v>
      </c>
      <c r="CK826" s="98">
        <v>42156</v>
      </c>
      <c r="CL826" s="99" t="s">
        <v>153</v>
      </c>
      <c r="CM826" s="100" t="s">
        <v>153</v>
      </c>
      <c r="CN826" s="101" t="s">
        <v>190</v>
      </c>
      <c r="CO826" s="102" t="s">
        <v>153</v>
      </c>
      <c r="CP826" s="103" t="s">
        <v>153</v>
      </c>
      <c r="CQ826" s="104" t="s">
        <v>153</v>
      </c>
      <c r="CR826" s="105" t="s">
        <v>153</v>
      </c>
      <c r="CS826" s="106" t="s">
        <v>153</v>
      </c>
      <c r="CT826" s="107" t="s">
        <v>153</v>
      </c>
      <c r="CU826" s="108" t="s">
        <v>153</v>
      </c>
      <c r="CV826" s="109" t="s">
        <v>153</v>
      </c>
      <c r="CW826" s="110" t="s">
        <v>153</v>
      </c>
      <c r="CX826" s="111" t="s">
        <v>153</v>
      </c>
      <c r="CY826" s="112" t="s">
        <v>153</v>
      </c>
      <c r="CZ826" s="113" t="s">
        <v>153</v>
      </c>
      <c r="DA826" s="114" t="s">
        <v>153</v>
      </c>
      <c r="DB826" s="115" t="s">
        <v>153</v>
      </c>
      <c r="DC826" s="116" t="s">
        <v>153</v>
      </c>
      <c r="DD826" s="117" t="s">
        <v>153</v>
      </c>
      <c r="DE826" s="118" t="s">
        <v>153</v>
      </c>
      <c r="DF826" s="119" t="s">
        <v>153</v>
      </c>
      <c r="DG826" s="120" t="s">
        <v>153</v>
      </c>
      <c r="DH826" s="121" t="s">
        <v>153</v>
      </c>
      <c r="DI826" s="122" t="s">
        <v>153</v>
      </c>
      <c r="DJ826" s="123" t="s">
        <v>153</v>
      </c>
      <c r="DK826" s="124" t="s">
        <v>153</v>
      </c>
      <c r="DL826" s="125" t="s">
        <v>153</v>
      </c>
      <c r="DM826" s="126" t="s">
        <v>153</v>
      </c>
      <c r="DN826" s="127" t="s">
        <v>153</v>
      </c>
      <c r="DO826" s="128" t="s">
        <v>153</v>
      </c>
      <c r="DP826" s="129" t="s">
        <v>153</v>
      </c>
      <c r="DQ826" s="130" t="s">
        <v>153</v>
      </c>
      <c r="DR826" s="131" t="s">
        <v>153</v>
      </c>
      <c r="DS826" s="132" t="s">
        <v>153</v>
      </c>
      <c r="DT826" s="133" t="s">
        <v>153</v>
      </c>
      <c r="DU826" s="134" t="s">
        <v>153</v>
      </c>
      <c r="DV826" s="135" t="s">
        <v>153</v>
      </c>
      <c r="DW826" s="136" t="s">
        <v>153</v>
      </c>
      <c r="DX826" s="137" t="s">
        <v>153</v>
      </c>
      <c r="DY826" s="138" t="s">
        <v>153</v>
      </c>
      <c r="DZ826" s="139" t="s">
        <v>191</v>
      </c>
      <c r="EA826" s="140">
        <v>44147</v>
      </c>
      <c r="EB826" s="141">
        <v>5900</v>
      </c>
      <c r="EC826" s="142">
        <v>42156</v>
      </c>
      <c r="ED826" s="143" t="s">
        <v>226</v>
      </c>
      <c r="EE826" s="278" t="str">
        <f>HYPERLINK("https://my.pitchbook.com?c=11450-44", "View company online")</f>
        <v>View company online</v>
      </c>
    </row>
    <row r="827" spans="1:135" x14ac:dyDescent="0.45">
      <c r="A827" s="144" t="s">
        <v>16451</v>
      </c>
      <c r="B827" s="145" t="s">
        <v>16452</v>
      </c>
      <c r="C827" s="146" t="s">
        <v>153</v>
      </c>
      <c r="D827" s="147" t="s">
        <v>153</v>
      </c>
      <c r="E827" s="148" t="s">
        <v>153</v>
      </c>
      <c r="F827" s="149" t="s">
        <v>153</v>
      </c>
      <c r="G827" s="150" t="s">
        <v>153</v>
      </c>
      <c r="H827" s="151" t="s">
        <v>1700</v>
      </c>
      <c r="I827" s="152" t="s">
        <v>16451</v>
      </c>
      <c r="J827" s="153" t="s">
        <v>16453</v>
      </c>
      <c r="K827" s="154" t="s">
        <v>882</v>
      </c>
      <c r="L827" s="155" t="s">
        <v>2888</v>
      </c>
      <c r="M827" s="156" t="s">
        <v>2889</v>
      </c>
      <c r="N827" s="157" t="s">
        <v>16454</v>
      </c>
      <c r="O827" s="158" t="s">
        <v>796</v>
      </c>
      <c r="P827" s="159" t="s">
        <v>16455</v>
      </c>
      <c r="Q827" s="160" t="s">
        <v>204</v>
      </c>
      <c r="R827" s="161" t="s">
        <v>153</v>
      </c>
      <c r="S827" s="162" t="s">
        <v>153</v>
      </c>
      <c r="T827" s="163" t="s">
        <v>205</v>
      </c>
      <c r="U827" s="164" t="s">
        <v>206</v>
      </c>
      <c r="V827" s="165" t="s">
        <v>153</v>
      </c>
      <c r="W827" s="166">
        <v>2600</v>
      </c>
      <c r="X827" s="167" t="s">
        <v>16456</v>
      </c>
      <c r="Y827" s="168" t="s">
        <v>153</v>
      </c>
      <c r="Z827" s="169" t="s">
        <v>153</v>
      </c>
      <c r="AA827" s="170" t="s">
        <v>153</v>
      </c>
      <c r="AB827" s="171" t="s">
        <v>153</v>
      </c>
      <c r="AC827" s="172" t="s">
        <v>153</v>
      </c>
      <c r="AD827" s="173" t="s">
        <v>153</v>
      </c>
      <c r="AE827" s="174" t="s">
        <v>153</v>
      </c>
      <c r="AF827" s="175" t="s">
        <v>153</v>
      </c>
      <c r="AG827" s="176" t="s">
        <v>153</v>
      </c>
      <c r="AH827" s="177" t="s">
        <v>153</v>
      </c>
      <c r="AI827" s="178" t="s">
        <v>153</v>
      </c>
      <c r="AJ827" s="179" t="s">
        <v>153</v>
      </c>
      <c r="AK827" s="180" t="s">
        <v>153</v>
      </c>
      <c r="AL827" s="181" t="s">
        <v>153</v>
      </c>
      <c r="AM827" s="182" t="s">
        <v>153</v>
      </c>
      <c r="AN827" s="183" t="s">
        <v>868</v>
      </c>
      <c r="AO827" s="184" t="s">
        <v>16457</v>
      </c>
      <c r="AP827" s="185" t="s">
        <v>16458</v>
      </c>
      <c r="AQ827" s="186" t="s">
        <v>6548</v>
      </c>
      <c r="AR827" s="187" t="s">
        <v>16459</v>
      </c>
      <c r="AS827" s="188" t="s">
        <v>16460</v>
      </c>
      <c r="AT827" s="189" t="s">
        <v>153</v>
      </c>
      <c r="AU827" s="190" t="s">
        <v>153</v>
      </c>
      <c r="AV827" s="191" t="s">
        <v>153</v>
      </c>
      <c r="AW827" s="192" t="s">
        <v>153</v>
      </c>
      <c r="AX827" s="193" t="s">
        <v>153</v>
      </c>
      <c r="AY827" s="194" t="s">
        <v>153</v>
      </c>
      <c r="AZ827" s="195" t="s">
        <v>153</v>
      </c>
      <c r="BA827" s="196" t="s">
        <v>153</v>
      </c>
      <c r="BB827" s="197" t="s">
        <v>153</v>
      </c>
      <c r="BC827" s="198" t="s">
        <v>153</v>
      </c>
      <c r="BD827" s="199" t="s">
        <v>153</v>
      </c>
      <c r="BE827" s="200" t="s">
        <v>153</v>
      </c>
      <c r="BF827" s="201" t="s">
        <v>16461</v>
      </c>
      <c r="BG827" s="202" t="s">
        <v>153</v>
      </c>
      <c r="BH827" s="203" t="s">
        <v>153</v>
      </c>
      <c r="BI827" s="204" t="s">
        <v>16462</v>
      </c>
      <c r="BJ827" s="205" t="s">
        <v>1296</v>
      </c>
      <c r="BK827" s="206" t="s">
        <v>153</v>
      </c>
      <c r="BL827" s="207" t="s">
        <v>153</v>
      </c>
      <c r="BM827" s="208" t="s">
        <v>16463</v>
      </c>
      <c r="BN827" s="209" t="s">
        <v>153</v>
      </c>
      <c r="BO827" s="210" t="s">
        <v>153</v>
      </c>
      <c r="BP827" s="211" t="s">
        <v>16464</v>
      </c>
      <c r="BQ827" s="212">
        <v>43437</v>
      </c>
      <c r="BR827" s="213">
        <v>5900</v>
      </c>
      <c r="BS827" s="214" t="s">
        <v>187</v>
      </c>
      <c r="BT827" s="215">
        <v>5900</v>
      </c>
      <c r="BU827" s="216" t="s">
        <v>187</v>
      </c>
      <c r="BV827" s="217" t="s">
        <v>1524</v>
      </c>
      <c r="BW827" s="218" t="s">
        <v>1525</v>
      </c>
      <c r="BX827" s="219" t="s">
        <v>1526</v>
      </c>
      <c r="BY827" s="220" t="s">
        <v>225</v>
      </c>
      <c r="BZ827" s="221" t="s">
        <v>153</v>
      </c>
      <c r="CA827" s="222" t="s">
        <v>190</v>
      </c>
      <c r="CB827" s="223">
        <v>43437</v>
      </c>
      <c r="CC827" s="224">
        <v>5900</v>
      </c>
      <c r="CD827" s="225" t="s">
        <v>187</v>
      </c>
      <c r="CE827" s="226">
        <v>5900</v>
      </c>
      <c r="CF827" s="227" t="s">
        <v>187</v>
      </c>
      <c r="CG827" s="228" t="s">
        <v>1524</v>
      </c>
      <c r="CH827" s="229" t="s">
        <v>1525</v>
      </c>
      <c r="CI827" s="230" t="s">
        <v>1526</v>
      </c>
      <c r="CJ827" s="231" t="s">
        <v>225</v>
      </c>
      <c r="CK827" s="232">
        <v>43437</v>
      </c>
      <c r="CL827" s="233" t="s">
        <v>153</v>
      </c>
      <c r="CM827" s="234" t="s">
        <v>153</v>
      </c>
      <c r="CN827" s="235" t="s">
        <v>190</v>
      </c>
      <c r="CO827" s="236" t="s">
        <v>153</v>
      </c>
      <c r="CP827" s="237" t="s">
        <v>153</v>
      </c>
      <c r="CQ827" s="238" t="s">
        <v>153</v>
      </c>
      <c r="CR827" s="239" t="s">
        <v>153</v>
      </c>
      <c r="CS827" s="240" t="s">
        <v>153</v>
      </c>
      <c r="CT827" s="241" t="s">
        <v>153</v>
      </c>
      <c r="CU827" s="242" t="s">
        <v>153</v>
      </c>
      <c r="CV827" s="243" t="s">
        <v>153</v>
      </c>
      <c r="CW827" s="244" t="s">
        <v>153</v>
      </c>
      <c r="CX827" s="245" t="s">
        <v>153</v>
      </c>
      <c r="CY827" s="246" t="s">
        <v>153</v>
      </c>
      <c r="CZ827" s="247" t="s">
        <v>153</v>
      </c>
      <c r="DA827" s="248" t="s">
        <v>153</v>
      </c>
      <c r="DB827" s="249" t="s">
        <v>153</v>
      </c>
      <c r="DC827" s="250" t="s">
        <v>153</v>
      </c>
      <c r="DD827" s="251" t="s">
        <v>153</v>
      </c>
      <c r="DE827" s="252" t="s">
        <v>153</v>
      </c>
      <c r="DF827" s="253" t="s">
        <v>153</v>
      </c>
      <c r="DG827" s="254" t="s">
        <v>153</v>
      </c>
      <c r="DH827" s="255" t="s">
        <v>153</v>
      </c>
      <c r="DI827" s="256" t="s">
        <v>153</v>
      </c>
      <c r="DJ827" s="257" t="s">
        <v>153</v>
      </c>
      <c r="DK827" s="258" t="s">
        <v>153</v>
      </c>
      <c r="DL827" s="259" t="s">
        <v>153</v>
      </c>
      <c r="DM827" s="260" t="s">
        <v>153</v>
      </c>
      <c r="DN827" s="261" t="s">
        <v>153</v>
      </c>
      <c r="DO827" s="262" t="s">
        <v>153</v>
      </c>
      <c r="DP827" s="263" t="s">
        <v>153</v>
      </c>
      <c r="DQ827" s="264" t="s">
        <v>153</v>
      </c>
      <c r="DR827" s="265" t="s">
        <v>153</v>
      </c>
      <c r="DS827" s="266" t="s">
        <v>153</v>
      </c>
      <c r="DT827" s="267" t="s">
        <v>153</v>
      </c>
      <c r="DU827" s="268" t="s">
        <v>153</v>
      </c>
      <c r="DV827" s="269" t="s">
        <v>153</v>
      </c>
      <c r="DW827" s="270" t="s">
        <v>153</v>
      </c>
      <c r="DX827" s="271" t="s">
        <v>153</v>
      </c>
      <c r="DY827" s="272" t="s">
        <v>153</v>
      </c>
      <c r="DZ827" s="273" t="s">
        <v>191</v>
      </c>
      <c r="EA827" s="274">
        <v>43673</v>
      </c>
      <c r="EB827" s="275">
        <v>5900</v>
      </c>
      <c r="EC827" s="276">
        <v>43437</v>
      </c>
      <c r="ED827" s="277" t="s">
        <v>1524</v>
      </c>
      <c r="EE827" s="279" t="str">
        <f>HYPERLINK("https://my.pitchbook.com?c=229612-78", "View company online")</f>
        <v>View company online</v>
      </c>
    </row>
    <row r="828" spans="1:135" x14ac:dyDescent="0.45">
      <c r="A828" s="10" t="s">
        <v>16465</v>
      </c>
      <c r="B828" s="11" t="s">
        <v>16466</v>
      </c>
      <c r="C828" s="12" t="s">
        <v>153</v>
      </c>
      <c r="D828" s="13" t="s">
        <v>153</v>
      </c>
      <c r="E828" s="14" t="s">
        <v>153</v>
      </c>
      <c r="F828" s="15" t="s">
        <v>16467</v>
      </c>
      <c r="G828" s="16" t="s">
        <v>153</v>
      </c>
      <c r="H828" s="17" t="s">
        <v>153</v>
      </c>
      <c r="I828" s="18" t="s">
        <v>16465</v>
      </c>
      <c r="J828" s="19" t="s">
        <v>16468</v>
      </c>
      <c r="K828" s="20" t="s">
        <v>232</v>
      </c>
      <c r="L828" s="21" t="s">
        <v>362</v>
      </c>
      <c r="M828" s="22" t="s">
        <v>1978</v>
      </c>
      <c r="N828" s="23" t="s">
        <v>1979</v>
      </c>
      <c r="O828" s="24" t="s">
        <v>153</v>
      </c>
      <c r="P828" s="25" t="s">
        <v>16469</v>
      </c>
      <c r="Q828" s="26" t="s">
        <v>564</v>
      </c>
      <c r="R828" s="27" t="s">
        <v>153</v>
      </c>
      <c r="S828" s="28" t="s">
        <v>368</v>
      </c>
      <c r="T828" s="29" t="s">
        <v>1392</v>
      </c>
      <c r="U828" s="30" t="s">
        <v>165</v>
      </c>
      <c r="V828" s="31" t="s">
        <v>153</v>
      </c>
      <c r="W828" s="32" t="s">
        <v>153</v>
      </c>
      <c r="X828" s="33" t="s">
        <v>153</v>
      </c>
      <c r="Y828" s="34" t="s">
        <v>153</v>
      </c>
      <c r="Z828" s="35" t="s">
        <v>153</v>
      </c>
      <c r="AA828" s="36" t="s">
        <v>153</v>
      </c>
      <c r="AB828" s="37" t="s">
        <v>16470</v>
      </c>
      <c r="AC828" s="38" t="s">
        <v>153</v>
      </c>
      <c r="AD828" s="39" t="s">
        <v>153</v>
      </c>
      <c r="AE828" s="40" t="s">
        <v>153</v>
      </c>
      <c r="AF828" s="41" t="s">
        <v>153</v>
      </c>
      <c r="AG828" s="42" t="s">
        <v>153</v>
      </c>
      <c r="AH828" s="43" t="s">
        <v>153</v>
      </c>
      <c r="AI828" s="44" t="s">
        <v>153</v>
      </c>
      <c r="AJ828" s="45" t="s">
        <v>153</v>
      </c>
      <c r="AK828" s="46" t="s">
        <v>153</v>
      </c>
      <c r="AL828" s="47" t="s">
        <v>153</v>
      </c>
      <c r="AM828" s="48" t="s">
        <v>153</v>
      </c>
      <c r="AN828" s="49" t="s">
        <v>153</v>
      </c>
      <c r="AO828" s="50" t="s">
        <v>16471</v>
      </c>
      <c r="AP828" s="51" t="s">
        <v>16472</v>
      </c>
      <c r="AQ828" s="52" t="s">
        <v>1175</v>
      </c>
      <c r="AR828" s="53" t="s">
        <v>16473</v>
      </c>
      <c r="AS828" s="54" t="s">
        <v>16474</v>
      </c>
      <c r="AT828" s="55" t="s">
        <v>8558</v>
      </c>
      <c r="AU828" s="56" t="s">
        <v>16475</v>
      </c>
      <c r="AV828" s="57" t="s">
        <v>153</v>
      </c>
      <c r="AW828" s="58" t="s">
        <v>8560</v>
      </c>
      <c r="AX828" s="59" t="s">
        <v>2760</v>
      </c>
      <c r="AY828" s="60" t="s">
        <v>16476</v>
      </c>
      <c r="AZ828" s="61" t="s">
        <v>215</v>
      </c>
      <c r="BA828" s="62" t="s">
        <v>16477</v>
      </c>
      <c r="BB828" s="63" t="s">
        <v>16478</v>
      </c>
      <c r="BC828" s="64" t="s">
        <v>153</v>
      </c>
      <c r="BD828" s="65" t="s">
        <v>216</v>
      </c>
      <c r="BE828" s="66" t="s">
        <v>217</v>
      </c>
      <c r="BF828" s="67" t="s">
        <v>16479</v>
      </c>
      <c r="BG828" s="68" t="s">
        <v>153</v>
      </c>
      <c r="BH828" s="69" t="s">
        <v>153</v>
      </c>
      <c r="BI828" s="70" t="s">
        <v>10434</v>
      </c>
      <c r="BJ828" s="71" t="s">
        <v>16480</v>
      </c>
      <c r="BK828" s="72" t="s">
        <v>153</v>
      </c>
      <c r="BL828" s="73" t="s">
        <v>153</v>
      </c>
      <c r="BM828" s="74" t="s">
        <v>16481</v>
      </c>
      <c r="BN828" s="75" t="s">
        <v>153</v>
      </c>
      <c r="BO828" s="76" t="s">
        <v>153</v>
      </c>
      <c r="BP828" s="77" t="s">
        <v>153</v>
      </c>
      <c r="BQ828" s="78">
        <v>39599</v>
      </c>
      <c r="BR828" s="79">
        <v>3600</v>
      </c>
      <c r="BS828" s="80" t="s">
        <v>186</v>
      </c>
      <c r="BT828" s="81">
        <v>7659.57</v>
      </c>
      <c r="BU828" s="82" t="s">
        <v>153</v>
      </c>
      <c r="BV828" s="83" t="s">
        <v>1524</v>
      </c>
      <c r="BW828" s="84" t="s">
        <v>1525</v>
      </c>
      <c r="BX828" s="85" t="s">
        <v>153</v>
      </c>
      <c r="BY828" s="86" t="s">
        <v>225</v>
      </c>
      <c r="BZ828" s="87" t="s">
        <v>153</v>
      </c>
      <c r="CA828" s="88" t="s">
        <v>190</v>
      </c>
      <c r="CB828" s="89">
        <v>41346</v>
      </c>
      <c r="CC828" s="90">
        <v>5900</v>
      </c>
      <c r="CD828" s="91" t="s">
        <v>186</v>
      </c>
      <c r="CE828" s="92">
        <v>5900</v>
      </c>
      <c r="CF828" s="93" t="s">
        <v>186</v>
      </c>
      <c r="CG828" s="94" t="s">
        <v>226</v>
      </c>
      <c r="CH828" s="95" t="s">
        <v>153</v>
      </c>
      <c r="CI828" s="96" t="s">
        <v>153</v>
      </c>
      <c r="CJ828" s="97" t="s">
        <v>225</v>
      </c>
      <c r="CK828" s="98">
        <v>41346</v>
      </c>
      <c r="CL828" s="99" t="s">
        <v>153</v>
      </c>
      <c r="CM828" s="100" t="s">
        <v>153</v>
      </c>
      <c r="CN828" s="101" t="s">
        <v>190</v>
      </c>
      <c r="CO828" s="102" t="s">
        <v>153</v>
      </c>
      <c r="CP828" s="103" t="s">
        <v>153</v>
      </c>
      <c r="CQ828" s="104" t="s">
        <v>153</v>
      </c>
      <c r="CR828" s="105" t="s">
        <v>153</v>
      </c>
      <c r="CS828" s="106" t="s">
        <v>153</v>
      </c>
      <c r="CT828" s="107" t="s">
        <v>153</v>
      </c>
      <c r="CU828" s="108" t="s">
        <v>153</v>
      </c>
      <c r="CV828" s="109" t="s">
        <v>153</v>
      </c>
      <c r="CW828" s="110" t="s">
        <v>153</v>
      </c>
      <c r="CX828" s="111" t="s">
        <v>153</v>
      </c>
      <c r="CY828" s="112" t="s">
        <v>153</v>
      </c>
      <c r="CZ828" s="113" t="s">
        <v>153</v>
      </c>
      <c r="DA828" s="114" t="s">
        <v>153</v>
      </c>
      <c r="DB828" s="115" t="s">
        <v>153</v>
      </c>
      <c r="DC828" s="116" t="s">
        <v>153</v>
      </c>
      <c r="DD828" s="117" t="s">
        <v>153</v>
      </c>
      <c r="DE828" s="118" t="s">
        <v>153</v>
      </c>
      <c r="DF828" s="119" t="s">
        <v>153</v>
      </c>
      <c r="DG828" s="120" t="s">
        <v>153</v>
      </c>
      <c r="DH828" s="121" t="s">
        <v>153</v>
      </c>
      <c r="DI828" s="122" t="s">
        <v>153</v>
      </c>
      <c r="DJ828" s="123" t="s">
        <v>153</v>
      </c>
      <c r="DK828" s="124" t="s">
        <v>153</v>
      </c>
      <c r="DL828" s="125" t="s">
        <v>153</v>
      </c>
      <c r="DM828" s="126" t="s">
        <v>153</v>
      </c>
      <c r="DN828" s="127" t="s">
        <v>153</v>
      </c>
      <c r="DO828" s="128" t="s">
        <v>153</v>
      </c>
      <c r="DP828" s="129" t="s">
        <v>153</v>
      </c>
      <c r="DQ828" s="130" t="s">
        <v>153</v>
      </c>
      <c r="DR828" s="131" t="s">
        <v>153</v>
      </c>
      <c r="DS828" s="132" t="s">
        <v>153</v>
      </c>
      <c r="DT828" s="133" t="s">
        <v>153</v>
      </c>
      <c r="DU828" s="134" t="s">
        <v>153</v>
      </c>
      <c r="DV828" s="135" t="s">
        <v>153</v>
      </c>
      <c r="DW828" s="136" t="s">
        <v>153</v>
      </c>
      <c r="DX828" s="137" t="s">
        <v>153</v>
      </c>
      <c r="DY828" s="138" t="s">
        <v>153</v>
      </c>
      <c r="DZ828" s="139" t="s">
        <v>191</v>
      </c>
      <c r="EA828" s="140">
        <v>44257</v>
      </c>
      <c r="EB828" s="141">
        <v>5900</v>
      </c>
      <c r="EC828" s="142">
        <v>41346</v>
      </c>
      <c r="ED828" s="143" t="s">
        <v>226</v>
      </c>
      <c r="EE828" s="278" t="str">
        <f>HYPERLINK("https://my.pitchbook.com?c=14203-81", "View company online")</f>
        <v>View company online</v>
      </c>
    </row>
    <row r="829" spans="1:135" x14ac:dyDescent="0.45">
      <c r="A829" s="144" t="s">
        <v>16482</v>
      </c>
      <c r="B829" s="145" t="s">
        <v>16483</v>
      </c>
      <c r="C829" s="146" t="s">
        <v>153</v>
      </c>
      <c r="D829" s="147" t="s">
        <v>153</v>
      </c>
      <c r="E829" s="148" t="s">
        <v>16484</v>
      </c>
      <c r="F829" s="149" t="s">
        <v>16485</v>
      </c>
      <c r="G829" s="150" t="s">
        <v>16486</v>
      </c>
      <c r="H829" s="151" t="s">
        <v>153</v>
      </c>
      <c r="I829" s="152" t="s">
        <v>16482</v>
      </c>
      <c r="J829" s="153" t="s">
        <v>16487</v>
      </c>
      <c r="K829" s="154" t="s">
        <v>232</v>
      </c>
      <c r="L829" s="155" t="s">
        <v>233</v>
      </c>
      <c r="M829" s="156" t="s">
        <v>326</v>
      </c>
      <c r="N829" s="157" t="s">
        <v>16488</v>
      </c>
      <c r="O829" s="158" t="s">
        <v>8895</v>
      </c>
      <c r="P829" s="159" t="s">
        <v>16489</v>
      </c>
      <c r="Q829" s="160" t="s">
        <v>204</v>
      </c>
      <c r="R829" s="161" t="s">
        <v>153</v>
      </c>
      <c r="S829" s="162" t="s">
        <v>290</v>
      </c>
      <c r="T829" s="163" t="s">
        <v>205</v>
      </c>
      <c r="U829" s="164" t="s">
        <v>237</v>
      </c>
      <c r="V829" s="165" t="s">
        <v>16490</v>
      </c>
      <c r="W829" s="166">
        <v>10640</v>
      </c>
      <c r="X829" s="167" t="s">
        <v>16491</v>
      </c>
      <c r="Y829" s="168" t="s">
        <v>153</v>
      </c>
      <c r="Z829" s="169" t="s">
        <v>153</v>
      </c>
      <c r="AA829" s="170">
        <v>1868</v>
      </c>
      <c r="AB829" s="171" t="s">
        <v>153</v>
      </c>
      <c r="AC829" s="172" t="s">
        <v>153</v>
      </c>
      <c r="AD829" s="173" t="s">
        <v>153</v>
      </c>
      <c r="AE829" s="174" t="s">
        <v>153</v>
      </c>
      <c r="AF829" s="175" t="s">
        <v>153</v>
      </c>
      <c r="AG829" s="176" t="s">
        <v>153</v>
      </c>
      <c r="AH829" s="177" t="s">
        <v>153</v>
      </c>
      <c r="AI829" s="178" t="s">
        <v>153</v>
      </c>
      <c r="AJ829" s="179" t="s">
        <v>153</v>
      </c>
      <c r="AK829" s="180" t="s">
        <v>153</v>
      </c>
      <c r="AL829" s="181" t="s">
        <v>153</v>
      </c>
      <c r="AM829" s="182" t="s">
        <v>153</v>
      </c>
      <c r="AN829" s="183" t="s">
        <v>779</v>
      </c>
      <c r="AO829" s="184" t="s">
        <v>153</v>
      </c>
      <c r="AP829" s="185" t="s">
        <v>153</v>
      </c>
      <c r="AQ829" s="186" t="s">
        <v>153</v>
      </c>
      <c r="AR829" s="187" t="s">
        <v>153</v>
      </c>
      <c r="AS829" s="188" t="s">
        <v>153</v>
      </c>
      <c r="AT829" s="189" t="s">
        <v>13434</v>
      </c>
      <c r="AU829" s="190" t="s">
        <v>16492</v>
      </c>
      <c r="AV829" s="191" t="s">
        <v>153</v>
      </c>
      <c r="AW829" s="192" t="s">
        <v>13437</v>
      </c>
      <c r="AX829" s="193" t="s">
        <v>5243</v>
      </c>
      <c r="AY829" s="194" t="s">
        <v>16493</v>
      </c>
      <c r="AZ829" s="195" t="s">
        <v>215</v>
      </c>
      <c r="BA829" s="196" t="s">
        <v>153</v>
      </c>
      <c r="BB829" s="197" t="s">
        <v>153</v>
      </c>
      <c r="BC829" s="198" t="s">
        <v>153</v>
      </c>
      <c r="BD829" s="199" t="s">
        <v>216</v>
      </c>
      <c r="BE829" s="200" t="s">
        <v>217</v>
      </c>
      <c r="BF829" s="201" t="s">
        <v>16494</v>
      </c>
      <c r="BG829" s="202" t="s">
        <v>153</v>
      </c>
      <c r="BH829" s="203" t="s">
        <v>153</v>
      </c>
      <c r="BI829" s="204" t="s">
        <v>16495</v>
      </c>
      <c r="BJ829" s="205" t="s">
        <v>153</v>
      </c>
      <c r="BK829" s="206" t="s">
        <v>153</v>
      </c>
      <c r="BL829" s="207" t="s">
        <v>153</v>
      </c>
      <c r="BM829" s="208" t="s">
        <v>153</v>
      </c>
      <c r="BN829" s="209" t="s">
        <v>153</v>
      </c>
      <c r="BO829" s="210" t="s">
        <v>153</v>
      </c>
      <c r="BP829" s="211" t="s">
        <v>16496</v>
      </c>
      <c r="BQ829" s="212">
        <v>32689</v>
      </c>
      <c r="BR829" s="213" t="s">
        <v>153</v>
      </c>
      <c r="BS829" s="214" t="s">
        <v>153</v>
      </c>
      <c r="BT829" s="215" t="s">
        <v>153</v>
      </c>
      <c r="BU829" s="216" t="s">
        <v>153</v>
      </c>
      <c r="BV829" s="217" t="s">
        <v>251</v>
      </c>
      <c r="BW829" s="218" t="s">
        <v>153</v>
      </c>
      <c r="BX829" s="219" t="s">
        <v>153</v>
      </c>
      <c r="BY829" s="220" t="s">
        <v>252</v>
      </c>
      <c r="BZ829" s="221" t="s">
        <v>153</v>
      </c>
      <c r="CA829" s="222" t="s">
        <v>190</v>
      </c>
      <c r="CB829" s="223">
        <v>38009</v>
      </c>
      <c r="CC829" s="224">
        <v>5900</v>
      </c>
      <c r="CD829" s="225" t="s">
        <v>186</v>
      </c>
      <c r="CE829" s="226">
        <v>5900</v>
      </c>
      <c r="CF829" s="227" t="s">
        <v>186</v>
      </c>
      <c r="CG829" s="228" t="s">
        <v>226</v>
      </c>
      <c r="CH829" s="229" t="s">
        <v>153</v>
      </c>
      <c r="CI829" s="230" t="s">
        <v>153</v>
      </c>
      <c r="CJ829" s="231" t="s">
        <v>225</v>
      </c>
      <c r="CK829" s="232">
        <v>38009</v>
      </c>
      <c r="CL829" s="233" t="s">
        <v>153</v>
      </c>
      <c r="CM829" s="234" t="s">
        <v>153</v>
      </c>
      <c r="CN829" s="235" t="s">
        <v>190</v>
      </c>
      <c r="CO829" s="236" t="s">
        <v>153</v>
      </c>
      <c r="CP829" s="237" t="s">
        <v>153</v>
      </c>
      <c r="CQ829" s="238" t="s">
        <v>153</v>
      </c>
      <c r="CR829" s="239" t="s">
        <v>153</v>
      </c>
      <c r="CS829" s="240" t="s">
        <v>153</v>
      </c>
      <c r="CT829" s="241" t="s">
        <v>153</v>
      </c>
      <c r="CU829" s="242" t="s">
        <v>153</v>
      </c>
      <c r="CV829" s="243" t="s">
        <v>153</v>
      </c>
      <c r="CW829" s="244" t="s">
        <v>153</v>
      </c>
      <c r="CX829" s="245" t="s">
        <v>153</v>
      </c>
      <c r="CY829" s="246" t="s">
        <v>153</v>
      </c>
      <c r="CZ829" s="247" t="s">
        <v>153</v>
      </c>
      <c r="DA829" s="248" t="s">
        <v>153</v>
      </c>
      <c r="DB829" s="249" t="s">
        <v>153</v>
      </c>
      <c r="DC829" s="250" t="s">
        <v>153</v>
      </c>
      <c r="DD829" s="251" t="s">
        <v>153</v>
      </c>
      <c r="DE829" s="252" t="s">
        <v>153</v>
      </c>
      <c r="DF829" s="253" t="s">
        <v>153</v>
      </c>
      <c r="DG829" s="254" t="s">
        <v>153</v>
      </c>
      <c r="DH829" s="255" t="s">
        <v>153</v>
      </c>
      <c r="DI829" s="256" t="s">
        <v>153</v>
      </c>
      <c r="DJ829" s="257" t="s">
        <v>153</v>
      </c>
      <c r="DK829" s="258" t="s">
        <v>153</v>
      </c>
      <c r="DL829" s="259" t="s">
        <v>153</v>
      </c>
      <c r="DM829" s="260" t="s">
        <v>153</v>
      </c>
      <c r="DN829" s="261" t="s">
        <v>153</v>
      </c>
      <c r="DO829" s="262" t="s">
        <v>153</v>
      </c>
      <c r="DP829" s="263" t="s">
        <v>153</v>
      </c>
      <c r="DQ829" s="264" t="s">
        <v>153</v>
      </c>
      <c r="DR829" s="265" t="s">
        <v>153</v>
      </c>
      <c r="DS829" s="266" t="s">
        <v>153</v>
      </c>
      <c r="DT829" s="267" t="s">
        <v>153</v>
      </c>
      <c r="DU829" s="268" t="s">
        <v>153</v>
      </c>
      <c r="DV829" s="269" t="s">
        <v>153</v>
      </c>
      <c r="DW829" s="270" t="s">
        <v>153</v>
      </c>
      <c r="DX829" s="271" t="s">
        <v>153</v>
      </c>
      <c r="DY829" s="272" t="s">
        <v>153</v>
      </c>
      <c r="DZ829" s="273" t="s">
        <v>191</v>
      </c>
      <c r="EA829" s="274">
        <v>44041</v>
      </c>
      <c r="EB829" s="275">
        <v>5900</v>
      </c>
      <c r="EC829" s="276">
        <v>38009</v>
      </c>
      <c r="ED829" s="277" t="s">
        <v>226</v>
      </c>
      <c r="EE829" s="279" t="str">
        <f>HYPERLINK("https://my.pitchbook.com?c=10408-78", "View company online")</f>
        <v>View company online</v>
      </c>
    </row>
    <row r="830" spans="1:135" x14ac:dyDescent="0.45">
      <c r="A830" s="10" t="s">
        <v>16497</v>
      </c>
      <c r="B830" s="11" t="s">
        <v>16498</v>
      </c>
      <c r="C830" s="12" t="s">
        <v>153</v>
      </c>
      <c r="D830" s="13" t="s">
        <v>153</v>
      </c>
      <c r="E830" s="14" t="s">
        <v>153</v>
      </c>
      <c r="F830" s="15" t="s">
        <v>16499</v>
      </c>
      <c r="G830" s="16" t="s">
        <v>16500</v>
      </c>
      <c r="H830" s="17" t="s">
        <v>16501</v>
      </c>
      <c r="I830" s="18" t="s">
        <v>16497</v>
      </c>
      <c r="J830" s="19" t="s">
        <v>16502</v>
      </c>
      <c r="K830" s="20" t="s">
        <v>198</v>
      </c>
      <c r="L830" s="21" t="s">
        <v>1589</v>
      </c>
      <c r="M830" s="22" t="s">
        <v>8618</v>
      </c>
      <c r="N830" s="23" t="s">
        <v>9645</v>
      </c>
      <c r="O830" s="24" t="s">
        <v>11453</v>
      </c>
      <c r="P830" s="25" t="s">
        <v>16503</v>
      </c>
      <c r="Q830" s="26" t="s">
        <v>564</v>
      </c>
      <c r="R830" s="27" t="s">
        <v>153</v>
      </c>
      <c r="S830" s="28" t="s">
        <v>290</v>
      </c>
      <c r="T830" s="29" t="s">
        <v>291</v>
      </c>
      <c r="U830" s="30" t="s">
        <v>369</v>
      </c>
      <c r="V830" s="31" t="s">
        <v>16504</v>
      </c>
      <c r="W830" s="32">
        <v>2300</v>
      </c>
      <c r="X830" s="33" t="s">
        <v>16505</v>
      </c>
      <c r="Y830" s="34" t="s">
        <v>3097</v>
      </c>
      <c r="Z830" s="35" t="s">
        <v>16506</v>
      </c>
      <c r="AA830" s="36">
        <v>1981</v>
      </c>
      <c r="AB830" s="37" t="s">
        <v>153</v>
      </c>
      <c r="AC830" s="38" t="s">
        <v>153</v>
      </c>
      <c r="AD830" s="39" t="s">
        <v>1264</v>
      </c>
      <c r="AE830" s="40">
        <v>1493.31</v>
      </c>
      <c r="AF830" s="41">
        <v>736.17</v>
      </c>
      <c r="AG830" s="42">
        <v>97.01</v>
      </c>
      <c r="AH830" s="43">
        <v>5045.9799999999996</v>
      </c>
      <c r="AI830" s="44">
        <v>237.47</v>
      </c>
      <c r="AJ830" s="45">
        <v>136.88999999999999</v>
      </c>
      <c r="AK830" s="46">
        <v>5477.04</v>
      </c>
      <c r="AL830" s="47">
        <v>-490.97</v>
      </c>
      <c r="AM830" s="48">
        <v>-1.75</v>
      </c>
      <c r="AN830" s="49" t="s">
        <v>376</v>
      </c>
      <c r="AO830" s="50" t="s">
        <v>16507</v>
      </c>
      <c r="AP830" s="51" t="s">
        <v>16508</v>
      </c>
      <c r="AQ830" s="52" t="s">
        <v>16509</v>
      </c>
      <c r="AR830" s="53" t="s">
        <v>16510</v>
      </c>
      <c r="AS830" s="54" t="s">
        <v>16511</v>
      </c>
      <c r="AT830" s="55" t="s">
        <v>16512</v>
      </c>
      <c r="AU830" s="56" t="s">
        <v>16513</v>
      </c>
      <c r="AV830" s="57" t="s">
        <v>16514</v>
      </c>
      <c r="AW830" s="58" t="s">
        <v>921</v>
      </c>
      <c r="AX830" s="59" t="s">
        <v>177</v>
      </c>
      <c r="AY830" s="60" t="s">
        <v>16515</v>
      </c>
      <c r="AZ830" s="61" t="s">
        <v>179</v>
      </c>
      <c r="BA830" s="62" t="s">
        <v>16511</v>
      </c>
      <c r="BB830" s="63" t="s">
        <v>16516</v>
      </c>
      <c r="BC830" s="64" t="s">
        <v>16517</v>
      </c>
      <c r="BD830" s="65" t="s">
        <v>180</v>
      </c>
      <c r="BE830" s="66" t="s">
        <v>181</v>
      </c>
      <c r="BF830" s="67" t="s">
        <v>16518</v>
      </c>
      <c r="BG830" s="68" t="s">
        <v>16519</v>
      </c>
      <c r="BH830" s="69">
        <v>4</v>
      </c>
      <c r="BI830" s="70" t="s">
        <v>153</v>
      </c>
      <c r="BJ830" s="71" t="s">
        <v>16520</v>
      </c>
      <c r="BK830" s="72" t="s">
        <v>15219</v>
      </c>
      <c r="BL830" s="73" t="s">
        <v>16521</v>
      </c>
      <c r="BM830" s="74" t="s">
        <v>16522</v>
      </c>
      <c r="BN830" s="75" t="s">
        <v>16523</v>
      </c>
      <c r="BO830" s="76" t="s">
        <v>16524</v>
      </c>
      <c r="BP830" s="77" t="s">
        <v>16525</v>
      </c>
      <c r="BQ830" s="78">
        <v>35887</v>
      </c>
      <c r="BR830" s="79" t="s">
        <v>153</v>
      </c>
      <c r="BS830" s="80" t="s">
        <v>153</v>
      </c>
      <c r="BT830" s="81" t="s">
        <v>153</v>
      </c>
      <c r="BU830" s="82" t="s">
        <v>153</v>
      </c>
      <c r="BV830" s="83" t="s">
        <v>188</v>
      </c>
      <c r="BW830" s="84" t="s">
        <v>6031</v>
      </c>
      <c r="BX830" s="85" t="s">
        <v>729</v>
      </c>
      <c r="BY830" s="86" t="s">
        <v>165</v>
      </c>
      <c r="BZ830" s="87" t="s">
        <v>153</v>
      </c>
      <c r="CA830" s="88" t="s">
        <v>190</v>
      </c>
      <c r="CB830" s="89">
        <v>44235</v>
      </c>
      <c r="CC830" s="90">
        <v>5887.57</v>
      </c>
      <c r="CD830" s="91" t="s">
        <v>186</v>
      </c>
      <c r="CE830" s="92">
        <v>5887.57</v>
      </c>
      <c r="CF830" s="93" t="s">
        <v>187</v>
      </c>
      <c r="CG830" s="94" t="s">
        <v>226</v>
      </c>
      <c r="CH830" s="95" t="s">
        <v>153</v>
      </c>
      <c r="CI830" s="96" t="s">
        <v>153</v>
      </c>
      <c r="CJ830" s="97" t="s">
        <v>225</v>
      </c>
      <c r="CK830" s="98">
        <v>44235</v>
      </c>
      <c r="CL830" s="99" t="s">
        <v>153</v>
      </c>
      <c r="CM830" s="100" t="s">
        <v>153</v>
      </c>
      <c r="CN830" s="101" t="s">
        <v>1278</v>
      </c>
      <c r="CO830" s="102">
        <v>0.77</v>
      </c>
      <c r="CP830" s="103">
        <v>95</v>
      </c>
      <c r="CQ830" s="104">
        <v>0.05</v>
      </c>
      <c r="CR830" s="105">
        <v>6.52</v>
      </c>
      <c r="CS830" s="106">
        <v>2.5099999999999998</v>
      </c>
      <c r="CT830" s="107">
        <v>98</v>
      </c>
      <c r="CU830" s="108">
        <v>0.13</v>
      </c>
      <c r="CV830" s="109">
        <v>88</v>
      </c>
      <c r="CW830" s="110">
        <v>1.1200000000000001</v>
      </c>
      <c r="CX830" s="111">
        <v>82</v>
      </c>
      <c r="CY830" s="112">
        <v>3.9</v>
      </c>
      <c r="CZ830" s="113">
        <v>100</v>
      </c>
      <c r="DA830" s="114">
        <v>0.13</v>
      </c>
      <c r="DB830" s="115">
        <v>88</v>
      </c>
      <c r="DC830" s="116">
        <v>52.94</v>
      </c>
      <c r="DD830" s="117">
        <v>99</v>
      </c>
      <c r="DE830" s="118">
        <v>0.06</v>
      </c>
      <c r="DF830" s="119">
        <v>0.11</v>
      </c>
      <c r="DG830" s="120">
        <v>137.9</v>
      </c>
      <c r="DH830" s="121">
        <v>100</v>
      </c>
      <c r="DI830" s="122">
        <v>11.6</v>
      </c>
      <c r="DJ830" s="123">
        <v>88</v>
      </c>
      <c r="DK830" s="124">
        <v>57.55</v>
      </c>
      <c r="DL830" s="125">
        <v>96</v>
      </c>
      <c r="DM830" s="126">
        <v>218.25</v>
      </c>
      <c r="DN830" s="127">
        <v>100</v>
      </c>
      <c r="DO830" s="128">
        <v>11.6</v>
      </c>
      <c r="DP830" s="129">
        <v>88</v>
      </c>
      <c r="DQ830" s="130">
        <v>34021</v>
      </c>
      <c r="DR830" s="131">
        <v>393</v>
      </c>
      <c r="DS830" s="132">
        <v>1.17</v>
      </c>
      <c r="DT830" s="133">
        <v>3490</v>
      </c>
      <c r="DU830" s="134">
        <v>6</v>
      </c>
      <c r="DV830" s="135">
        <v>0.17</v>
      </c>
      <c r="DW830" s="136">
        <v>3641</v>
      </c>
      <c r="DX830" s="137">
        <v>3</v>
      </c>
      <c r="DY830" s="138">
        <v>0.08</v>
      </c>
      <c r="DZ830" s="139" t="s">
        <v>191</v>
      </c>
      <c r="EA830" s="140">
        <v>44402</v>
      </c>
      <c r="EB830" s="141">
        <v>5887.57</v>
      </c>
      <c r="EC830" s="142">
        <v>44235</v>
      </c>
      <c r="ED830" s="143" t="s">
        <v>226</v>
      </c>
      <c r="EE830" s="278" t="str">
        <f>HYPERLINK("https://my.pitchbook.com?c=41465-98", "View company online")</f>
        <v>View company online</v>
      </c>
    </row>
    <row r="831" spans="1:135" x14ac:dyDescent="0.45">
      <c r="A831" s="144" t="s">
        <v>16526</v>
      </c>
      <c r="B831" s="145" t="s">
        <v>16527</v>
      </c>
      <c r="C831" s="146" t="s">
        <v>153</v>
      </c>
      <c r="D831" s="147" t="s">
        <v>153</v>
      </c>
      <c r="E831" s="148" t="s">
        <v>153</v>
      </c>
      <c r="F831" s="149" t="s">
        <v>16528</v>
      </c>
      <c r="G831" s="150" t="s">
        <v>16529</v>
      </c>
      <c r="H831" s="151" t="s">
        <v>16530</v>
      </c>
      <c r="I831" s="152" t="s">
        <v>16526</v>
      </c>
      <c r="J831" s="153" t="s">
        <v>16531</v>
      </c>
      <c r="K831" s="154" t="s">
        <v>559</v>
      </c>
      <c r="L831" s="155" t="s">
        <v>1345</v>
      </c>
      <c r="M831" s="156" t="s">
        <v>5257</v>
      </c>
      <c r="N831" s="157" t="s">
        <v>16532</v>
      </c>
      <c r="O831" s="158" t="s">
        <v>261</v>
      </c>
      <c r="P831" s="159" t="s">
        <v>16533</v>
      </c>
      <c r="Q831" s="160" t="s">
        <v>204</v>
      </c>
      <c r="R831" s="161">
        <v>1000</v>
      </c>
      <c r="S831" s="162" t="s">
        <v>368</v>
      </c>
      <c r="T831" s="163" t="s">
        <v>164</v>
      </c>
      <c r="U831" s="164" t="s">
        <v>2534</v>
      </c>
      <c r="V831" s="165" t="s">
        <v>16534</v>
      </c>
      <c r="W831" s="166">
        <v>3806</v>
      </c>
      <c r="X831" s="167" t="s">
        <v>16535</v>
      </c>
      <c r="Y831" s="168" t="s">
        <v>153</v>
      </c>
      <c r="Z831" s="169" t="s">
        <v>153</v>
      </c>
      <c r="AA831" s="170">
        <v>1976</v>
      </c>
      <c r="AB831" s="171" t="s">
        <v>153</v>
      </c>
      <c r="AC831" s="172" t="s">
        <v>153</v>
      </c>
      <c r="AD831" s="173" t="s">
        <v>153</v>
      </c>
      <c r="AE831" s="174" t="s">
        <v>153</v>
      </c>
      <c r="AF831" s="175" t="s">
        <v>153</v>
      </c>
      <c r="AG831" s="176" t="s">
        <v>153</v>
      </c>
      <c r="AH831" s="177" t="s">
        <v>153</v>
      </c>
      <c r="AI831" s="178" t="s">
        <v>153</v>
      </c>
      <c r="AJ831" s="179" t="s">
        <v>153</v>
      </c>
      <c r="AK831" s="180" t="s">
        <v>153</v>
      </c>
      <c r="AL831" s="181" t="s">
        <v>153</v>
      </c>
      <c r="AM831" s="182" t="s">
        <v>153</v>
      </c>
      <c r="AN831" s="183" t="s">
        <v>456</v>
      </c>
      <c r="AO831" s="184" t="s">
        <v>16536</v>
      </c>
      <c r="AP831" s="185" t="s">
        <v>16537</v>
      </c>
      <c r="AQ831" s="186" t="s">
        <v>16538</v>
      </c>
      <c r="AR831" s="187" t="s">
        <v>16539</v>
      </c>
      <c r="AS831" s="188" t="s">
        <v>16540</v>
      </c>
      <c r="AT831" s="189" t="s">
        <v>6426</v>
      </c>
      <c r="AU831" s="190" t="s">
        <v>16541</v>
      </c>
      <c r="AV831" s="191" t="s">
        <v>16542</v>
      </c>
      <c r="AW831" s="192" t="s">
        <v>6429</v>
      </c>
      <c r="AX831" s="193" t="s">
        <v>6195</v>
      </c>
      <c r="AY831" s="194" t="s">
        <v>16543</v>
      </c>
      <c r="AZ831" s="195" t="s">
        <v>3046</v>
      </c>
      <c r="BA831" s="196" t="s">
        <v>16540</v>
      </c>
      <c r="BB831" s="197" t="s">
        <v>16544</v>
      </c>
      <c r="BC831" s="198" t="s">
        <v>153</v>
      </c>
      <c r="BD831" s="199" t="s">
        <v>1406</v>
      </c>
      <c r="BE831" s="200" t="s">
        <v>3047</v>
      </c>
      <c r="BF831" s="201" t="s">
        <v>16545</v>
      </c>
      <c r="BG831" s="202" t="s">
        <v>16546</v>
      </c>
      <c r="BH831" s="203">
        <v>10</v>
      </c>
      <c r="BI831" s="204" t="s">
        <v>16547</v>
      </c>
      <c r="BJ831" s="205" t="s">
        <v>153</v>
      </c>
      <c r="BK831" s="206" t="s">
        <v>16548</v>
      </c>
      <c r="BL831" s="207" t="s">
        <v>16549</v>
      </c>
      <c r="BM831" s="208" t="s">
        <v>153</v>
      </c>
      <c r="BN831" s="209" t="s">
        <v>16550</v>
      </c>
      <c r="BO831" s="210" t="s">
        <v>16551</v>
      </c>
      <c r="BP831" s="211" t="s">
        <v>16552</v>
      </c>
      <c r="BQ831" s="212">
        <v>32143</v>
      </c>
      <c r="BR831" s="213" t="s">
        <v>153</v>
      </c>
      <c r="BS831" s="214" t="s">
        <v>153</v>
      </c>
      <c r="BT831" s="215" t="s">
        <v>153</v>
      </c>
      <c r="BU831" s="216" t="s">
        <v>153</v>
      </c>
      <c r="BV831" s="217" t="s">
        <v>251</v>
      </c>
      <c r="BW831" s="218" t="s">
        <v>153</v>
      </c>
      <c r="BX831" s="219" t="s">
        <v>153</v>
      </c>
      <c r="BY831" s="220" t="s">
        <v>252</v>
      </c>
      <c r="BZ831" s="221" t="s">
        <v>153</v>
      </c>
      <c r="CA831" s="222" t="s">
        <v>190</v>
      </c>
      <c r="CB831" s="223">
        <v>43815</v>
      </c>
      <c r="CC831" s="224">
        <v>5879.08</v>
      </c>
      <c r="CD831" s="225" t="s">
        <v>187</v>
      </c>
      <c r="CE831" s="226">
        <v>5879.08</v>
      </c>
      <c r="CF831" s="227" t="s">
        <v>187</v>
      </c>
      <c r="CG831" s="228" t="s">
        <v>226</v>
      </c>
      <c r="CH831" s="229" t="s">
        <v>153</v>
      </c>
      <c r="CI831" s="230" t="s">
        <v>153</v>
      </c>
      <c r="CJ831" s="231" t="s">
        <v>225</v>
      </c>
      <c r="CK831" s="232">
        <v>43815</v>
      </c>
      <c r="CL831" s="233" t="s">
        <v>153</v>
      </c>
      <c r="CM831" s="234" t="s">
        <v>153</v>
      </c>
      <c r="CN831" s="235" t="s">
        <v>190</v>
      </c>
      <c r="CO831" s="236">
        <v>0.2</v>
      </c>
      <c r="CP831" s="237">
        <v>90</v>
      </c>
      <c r="CQ831" s="238">
        <v>-0.1</v>
      </c>
      <c r="CR831" s="239">
        <v>-34.020000000000003</v>
      </c>
      <c r="CS831" s="240">
        <v>0.2</v>
      </c>
      <c r="CT831" s="241">
        <v>91</v>
      </c>
      <c r="CU831" s="242" t="s">
        <v>153</v>
      </c>
      <c r="CV831" s="243" t="s">
        <v>153</v>
      </c>
      <c r="CW831" s="244" t="s">
        <v>153</v>
      </c>
      <c r="CX831" s="245" t="s">
        <v>153</v>
      </c>
      <c r="CY831" s="246">
        <v>0.2</v>
      </c>
      <c r="CZ831" s="247">
        <v>92</v>
      </c>
      <c r="DA831" s="248" t="s">
        <v>153</v>
      </c>
      <c r="DB831" s="249" t="s">
        <v>153</v>
      </c>
      <c r="DC831" s="250">
        <v>8.19</v>
      </c>
      <c r="DD831" s="251">
        <v>90</v>
      </c>
      <c r="DE831" s="252">
        <v>0.06</v>
      </c>
      <c r="DF831" s="253">
        <v>0.77</v>
      </c>
      <c r="DG831" s="254">
        <v>8.19</v>
      </c>
      <c r="DH831" s="255">
        <v>89</v>
      </c>
      <c r="DI831" s="256" t="s">
        <v>153</v>
      </c>
      <c r="DJ831" s="257" t="s">
        <v>153</v>
      </c>
      <c r="DK831" s="258" t="s">
        <v>153</v>
      </c>
      <c r="DL831" s="259" t="s">
        <v>153</v>
      </c>
      <c r="DM831" s="260">
        <v>8.19</v>
      </c>
      <c r="DN831" s="261">
        <v>88</v>
      </c>
      <c r="DO831" s="262" t="s">
        <v>153</v>
      </c>
      <c r="DP831" s="263" t="s">
        <v>153</v>
      </c>
      <c r="DQ831" s="264" t="s">
        <v>153</v>
      </c>
      <c r="DR831" s="265" t="s">
        <v>153</v>
      </c>
      <c r="DS831" s="266" t="s">
        <v>153</v>
      </c>
      <c r="DT831" s="267">
        <v>131</v>
      </c>
      <c r="DU831" s="268">
        <v>1</v>
      </c>
      <c r="DV831" s="269">
        <v>0.77</v>
      </c>
      <c r="DW831" s="270" t="s">
        <v>153</v>
      </c>
      <c r="DX831" s="271" t="s">
        <v>153</v>
      </c>
      <c r="DY831" s="272" t="s">
        <v>153</v>
      </c>
      <c r="DZ831" s="273" t="s">
        <v>191</v>
      </c>
      <c r="EA831" s="274">
        <v>44280</v>
      </c>
      <c r="EB831" s="275">
        <v>5879.08</v>
      </c>
      <c r="EC831" s="276">
        <v>43815</v>
      </c>
      <c r="ED831" s="277" t="s">
        <v>226</v>
      </c>
      <c r="EE831" s="279" t="str">
        <f>HYPERLINK("https://my.pitchbook.com?c=156119-50", "View company online")</f>
        <v>View company online</v>
      </c>
    </row>
    <row r="832" spans="1:135" x14ac:dyDescent="0.45">
      <c r="A832" s="10" t="s">
        <v>16553</v>
      </c>
      <c r="B832" s="11" t="s">
        <v>16554</v>
      </c>
      <c r="C832" s="12" t="s">
        <v>153</v>
      </c>
      <c r="D832" s="13" t="s">
        <v>153</v>
      </c>
      <c r="E832" s="14" t="s">
        <v>153</v>
      </c>
      <c r="F832" s="15" t="s">
        <v>153</v>
      </c>
      <c r="G832" s="16" t="s">
        <v>153</v>
      </c>
      <c r="H832" s="17" t="s">
        <v>153</v>
      </c>
      <c r="I832" s="18" t="s">
        <v>16553</v>
      </c>
      <c r="J832" s="19" t="s">
        <v>16555</v>
      </c>
      <c r="K832" s="20" t="s">
        <v>792</v>
      </c>
      <c r="L832" s="21" t="s">
        <v>841</v>
      </c>
      <c r="M832" s="22" t="s">
        <v>2326</v>
      </c>
      <c r="N832" s="23" t="s">
        <v>16556</v>
      </c>
      <c r="O832" s="24" t="s">
        <v>796</v>
      </c>
      <c r="P832" s="25" t="s">
        <v>16557</v>
      </c>
      <c r="Q832" s="26" t="s">
        <v>204</v>
      </c>
      <c r="R832" s="27" t="s">
        <v>153</v>
      </c>
      <c r="S832" s="28" t="s">
        <v>8608</v>
      </c>
      <c r="T832" s="29" t="s">
        <v>1392</v>
      </c>
      <c r="U832" s="30" t="s">
        <v>206</v>
      </c>
      <c r="V832" s="31" t="s">
        <v>153</v>
      </c>
      <c r="W832" s="32" t="s">
        <v>153</v>
      </c>
      <c r="X832" s="33" t="s">
        <v>153</v>
      </c>
      <c r="Y832" s="34" t="s">
        <v>153</v>
      </c>
      <c r="Z832" s="35" t="s">
        <v>153</v>
      </c>
      <c r="AA832" s="36">
        <v>2017</v>
      </c>
      <c r="AB832" s="37" t="s">
        <v>153</v>
      </c>
      <c r="AC832" s="38" t="s">
        <v>153</v>
      </c>
      <c r="AD832" s="39" t="s">
        <v>153</v>
      </c>
      <c r="AE832" s="40" t="s">
        <v>153</v>
      </c>
      <c r="AF832" s="41" t="s">
        <v>153</v>
      </c>
      <c r="AG832" s="42" t="s">
        <v>153</v>
      </c>
      <c r="AH832" s="43" t="s">
        <v>153</v>
      </c>
      <c r="AI832" s="44" t="s">
        <v>153</v>
      </c>
      <c r="AJ832" s="45" t="s">
        <v>153</v>
      </c>
      <c r="AK832" s="46" t="s">
        <v>153</v>
      </c>
      <c r="AL832" s="47" t="s">
        <v>153</v>
      </c>
      <c r="AM832" s="48" t="s">
        <v>153</v>
      </c>
      <c r="AN832" s="49" t="s">
        <v>153</v>
      </c>
      <c r="AO832" s="50" t="s">
        <v>153</v>
      </c>
      <c r="AP832" s="51" t="s">
        <v>153</v>
      </c>
      <c r="AQ832" s="52" t="s">
        <v>153</v>
      </c>
      <c r="AR832" s="53" t="s">
        <v>153</v>
      </c>
      <c r="AS832" s="54" t="s">
        <v>153</v>
      </c>
      <c r="AT832" s="55" t="s">
        <v>3046</v>
      </c>
      <c r="AU832" s="56" t="s">
        <v>153</v>
      </c>
      <c r="AV832" s="57" t="s">
        <v>153</v>
      </c>
      <c r="AW832" s="58" t="s">
        <v>153</v>
      </c>
      <c r="AX832" s="59" t="s">
        <v>16558</v>
      </c>
      <c r="AY832" s="60" t="s">
        <v>153</v>
      </c>
      <c r="AZ832" s="61" t="s">
        <v>3046</v>
      </c>
      <c r="BA832" s="62" t="s">
        <v>153</v>
      </c>
      <c r="BB832" s="63" t="s">
        <v>153</v>
      </c>
      <c r="BC832" s="64" t="s">
        <v>153</v>
      </c>
      <c r="BD832" s="65" t="s">
        <v>1406</v>
      </c>
      <c r="BE832" s="66" t="s">
        <v>3047</v>
      </c>
      <c r="BF832" s="67" t="s">
        <v>16559</v>
      </c>
      <c r="BG832" s="68" t="s">
        <v>16560</v>
      </c>
      <c r="BH832" s="69">
        <v>2</v>
      </c>
      <c r="BI832" s="70" t="s">
        <v>153</v>
      </c>
      <c r="BJ832" s="71" t="s">
        <v>153</v>
      </c>
      <c r="BK832" s="72" t="s">
        <v>153</v>
      </c>
      <c r="BL832" s="73" t="s">
        <v>16561</v>
      </c>
      <c r="BM832" s="74" t="s">
        <v>153</v>
      </c>
      <c r="BN832" s="75" t="s">
        <v>153</v>
      </c>
      <c r="BO832" s="76" t="s">
        <v>153</v>
      </c>
      <c r="BP832" s="77" t="s">
        <v>153</v>
      </c>
      <c r="BQ832" s="78">
        <v>42762</v>
      </c>
      <c r="BR832" s="79">
        <v>5873.71</v>
      </c>
      <c r="BS832" s="80" t="s">
        <v>186</v>
      </c>
      <c r="BT832" s="81">
        <v>5873.71</v>
      </c>
      <c r="BU832" s="82" t="s">
        <v>187</v>
      </c>
      <c r="BV832" s="83" t="s">
        <v>224</v>
      </c>
      <c r="BW832" s="84" t="s">
        <v>153</v>
      </c>
      <c r="BX832" s="85" t="s">
        <v>153</v>
      </c>
      <c r="BY832" s="86" t="s">
        <v>225</v>
      </c>
      <c r="BZ832" s="87" t="s">
        <v>153</v>
      </c>
      <c r="CA832" s="88" t="s">
        <v>190</v>
      </c>
      <c r="CB832" s="89">
        <v>42762</v>
      </c>
      <c r="CC832" s="90">
        <v>5873.71</v>
      </c>
      <c r="CD832" s="91" t="s">
        <v>186</v>
      </c>
      <c r="CE832" s="92">
        <v>5873.71</v>
      </c>
      <c r="CF832" s="93" t="s">
        <v>187</v>
      </c>
      <c r="CG832" s="94" t="s">
        <v>224</v>
      </c>
      <c r="CH832" s="95" t="s">
        <v>153</v>
      </c>
      <c r="CI832" s="96" t="s">
        <v>153</v>
      </c>
      <c r="CJ832" s="97" t="s">
        <v>225</v>
      </c>
      <c r="CK832" s="98">
        <v>42762</v>
      </c>
      <c r="CL832" s="99" t="s">
        <v>153</v>
      </c>
      <c r="CM832" s="100" t="s">
        <v>153</v>
      </c>
      <c r="CN832" s="101" t="s">
        <v>190</v>
      </c>
      <c r="CO832" s="102" t="s">
        <v>153</v>
      </c>
      <c r="CP832" s="103" t="s">
        <v>153</v>
      </c>
      <c r="CQ832" s="104" t="s">
        <v>153</v>
      </c>
      <c r="CR832" s="105" t="s">
        <v>153</v>
      </c>
      <c r="CS832" s="106" t="s">
        <v>153</v>
      </c>
      <c r="CT832" s="107" t="s">
        <v>153</v>
      </c>
      <c r="CU832" s="108" t="s">
        <v>153</v>
      </c>
      <c r="CV832" s="109" t="s">
        <v>153</v>
      </c>
      <c r="CW832" s="110" t="s">
        <v>153</v>
      </c>
      <c r="CX832" s="111" t="s">
        <v>153</v>
      </c>
      <c r="CY832" s="112" t="s">
        <v>153</v>
      </c>
      <c r="CZ832" s="113" t="s">
        <v>153</v>
      </c>
      <c r="DA832" s="114" t="s">
        <v>153</v>
      </c>
      <c r="DB832" s="115" t="s">
        <v>153</v>
      </c>
      <c r="DC832" s="116" t="s">
        <v>153</v>
      </c>
      <c r="DD832" s="117" t="s">
        <v>153</v>
      </c>
      <c r="DE832" s="118" t="s">
        <v>153</v>
      </c>
      <c r="DF832" s="119" t="s">
        <v>153</v>
      </c>
      <c r="DG832" s="120" t="s">
        <v>153</v>
      </c>
      <c r="DH832" s="121" t="s">
        <v>153</v>
      </c>
      <c r="DI832" s="122" t="s">
        <v>153</v>
      </c>
      <c r="DJ832" s="123" t="s">
        <v>153</v>
      </c>
      <c r="DK832" s="124" t="s">
        <v>153</v>
      </c>
      <c r="DL832" s="125" t="s">
        <v>153</v>
      </c>
      <c r="DM832" s="126" t="s">
        <v>153</v>
      </c>
      <c r="DN832" s="127" t="s">
        <v>153</v>
      </c>
      <c r="DO832" s="128" t="s">
        <v>153</v>
      </c>
      <c r="DP832" s="129" t="s">
        <v>153</v>
      </c>
      <c r="DQ832" s="130" t="s">
        <v>153</v>
      </c>
      <c r="DR832" s="131" t="s">
        <v>153</v>
      </c>
      <c r="DS832" s="132" t="s">
        <v>153</v>
      </c>
      <c r="DT832" s="133" t="s">
        <v>153</v>
      </c>
      <c r="DU832" s="134" t="s">
        <v>153</v>
      </c>
      <c r="DV832" s="135" t="s">
        <v>153</v>
      </c>
      <c r="DW832" s="136" t="s">
        <v>153</v>
      </c>
      <c r="DX832" s="137" t="s">
        <v>153</v>
      </c>
      <c r="DY832" s="138" t="s">
        <v>153</v>
      </c>
      <c r="DZ832" s="139" t="s">
        <v>191</v>
      </c>
      <c r="EA832" s="140">
        <v>44147</v>
      </c>
      <c r="EB832" s="141">
        <v>5873.71</v>
      </c>
      <c r="EC832" s="142">
        <v>42762</v>
      </c>
      <c r="ED832" s="143" t="s">
        <v>224</v>
      </c>
      <c r="EE832" s="278" t="str">
        <f>HYPERLINK("https://my.pitchbook.com?c=164125-90", "View company online")</f>
        <v>View company online</v>
      </c>
    </row>
    <row r="833" spans="1:135" x14ac:dyDescent="0.45">
      <c r="A833" s="144" t="s">
        <v>16562</v>
      </c>
      <c r="B833" s="145" t="s">
        <v>16563</v>
      </c>
      <c r="C833" s="146" t="s">
        <v>153</v>
      </c>
      <c r="D833" s="147" t="s">
        <v>153</v>
      </c>
      <c r="E833" s="148" t="s">
        <v>16564</v>
      </c>
      <c r="F833" s="149" t="s">
        <v>153</v>
      </c>
      <c r="G833" s="150" t="s">
        <v>153</v>
      </c>
      <c r="H833" s="151" t="s">
        <v>16565</v>
      </c>
      <c r="I833" s="152" t="s">
        <v>16562</v>
      </c>
      <c r="J833" s="153" t="s">
        <v>16566</v>
      </c>
      <c r="K833" s="154" t="s">
        <v>882</v>
      </c>
      <c r="L833" s="155" t="s">
        <v>1257</v>
      </c>
      <c r="M833" s="156" t="s">
        <v>1258</v>
      </c>
      <c r="N833" s="157" t="s">
        <v>8844</v>
      </c>
      <c r="O833" s="158" t="s">
        <v>16567</v>
      </c>
      <c r="P833" s="159" t="s">
        <v>16568</v>
      </c>
      <c r="Q833" s="160" t="s">
        <v>289</v>
      </c>
      <c r="R833" s="161">
        <v>223.18</v>
      </c>
      <c r="S833" s="162" t="s">
        <v>290</v>
      </c>
      <c r="T833" s="163" t="s">
        <v>164</v>
      </c>
      <c r="U833" s="164" t="s">
        <v>4270</v>
      </c>
      <c r="V833" s="165" t="s">
        <v>153</v>
      </c>
      <c r="W833" s="166">
        <v>2400</v>
      </c>
      <c r="X833" s="167" t="s">
        <v>16569</v>
      </c>
      <c r="Y833" s="168" t="s">
        <v>153</v>
      </c>
      <c r="Z833" s="169" t="s">
        <v>153</v>
      </c>
      <c r="AA833" s="170">
        <v>1997</v>
      </c>
      <c r="AB833" s="171" t="s">
        <v>2373</v>
      </c>
      <c r="AC833" s="172" t="s">
        <v>153</v>
      </c>
      <c r="AD833" s="173" t="s">
        <v>153</v>
      </c>
      <c r="AE833" s="174" t="s">
        <v>153</v>
      </c>
      <c r="AF833" s="175" t="s">
        <v>153</v>
      </c>
      <c r="AG833" s="176" t="s">
        <v>153</v>
      </c>
      <c r="AH833" s="177" t="s">
        <v>153</v>
      </c>
      <c r="AI833" s="178" t="s">
        <v>153</v>
      </c>
      <c r="AJ833" s="179" t="s">
        <v>153</v>
      </c>
      <c r="AK833" s="180" t="s">
        <v>153</v>
      </c>
      <c r="AL833" s="181" t="s">
        <v>153</v>
      </c>
      <c r="AM833" s="182" t="s">
        <v>153</v>
      </c>
      <c r="AN833" s="183" t="s">
        <v>4622</v>
      </c>
      <c r="AO833" s="184" t="s">
        <v>16570</v>
      </c>
      <c r="AP833" s="185" t="s">
        <v>16571</v>
      </c>
      <c r="AQ833" s="186" t="s">
        <v>16572</v>
      </c>
      <c r="AR833" s="187" t="s">
        <v>153</v>
      </c>
      <c r="AS833" s="188" t="s">
        <v>16573</v>
      </c>
      <c r="AT833" s="189" t="s">
        <v>4738</v>
      </c>
      <c r="AU833" s="190" t="s">
        <v>16574</v>
      </c>
      <c r="AV833" s="191" t="s">
        <v>16575</v>
      </c>
      <c r="AW833" s="192" t="s">
        <v>4740</v>
      </c>
      <c r="AX833" s="193" t="s">
        <v>4741</v>
      </c>
      <c r="AY833" s="194" t="s">
        <v>16576</v>
      </c>
      <c r="AZ833" s="195" t="s">
        <v>215</v>
      </c>
      <c r="BA833" s="196" t="s">
        <v>16573</v>
      </c>
      <c r="BB833" s="197" t="s">
        <v>16577</v>
      </c>
      <c r="BC833" s="198" t="s">
        <v>153</v>
      </c>
      <c r="BD833" s="199" t="s">
        <v>216</v>
      </c>
      <c r="BE833" s="200" t="s">
        <v>217</v>
      </c>
      <c r="BF833" s="201" t="s">
        <v>16578</v>
      </c>
      <c r="BG833" s="202" t="s">
        <v>153</v>
      </c>
      <c r="BH833" s="203" t="s">
        <v>153</v>
      </c>
      <c r="BI833" s="204" t="s">
        <v>2373</v>
      </c>
      <c r="BJ833" s="205" t="s">
        <v>16579</v>
      </c>
      <c r="BK833" s="206" t="s">
        <v>153</v>
      </c>
      <c r="BL833" s="207" t="s">
        <v>153</v>
      </c>
      <c r="BM833" s="208" t="s">
        <v>16580</v>
      </c>
      <c r="BN833" s="209" t="s">
        <v>153</v>
      </c>
      <c r="BO833" s="210" t="s">
        <v>153</v>
      </c>
      <c r="BP833" s="211" t="s">
        <v>16581</v>
      </c>
      <c r="BQ833" s="212" t="s">
        <v>153</v>
      </c>
      <c r="BR833" s="213">
        <v>7</v>
      </c>
      <c r="BS833" s="214" t="s">
        <v>186</v>
      </c>
      <c r="BT833" s="215" t="s">
        <v>153</v>
      </c>
      <c r="BU833" s="216" t="s">
        <v>153</v>
      </c>
      <c r="BV833" s="217" t="s">
        <v>471</v>
      </c>
      <c r="BW833" s="218" t="s">
        <v>153</v>
      </c>
      <c r="BX833" s="219" t="s">
        <v>153</v>
      </c>
      <c r="BY833" s="220" t="s">
        <v>472</v>
      </c>
      <c r="BZ833" s="221" t="s">
        <v>153</v>
      </c>
      <c r="CA833" s="222" t="s">
        <v>190</v>
      </c>
      <c r="CB833" s="223">
        <v>39304</v>
      </c>
      <c r="CC833" s="224">
        <v>5857</v>
      </c>
      <c r="CD833" s="225" t="s">
        <v>186</v>
      </c>
      <c r="CE833" s="226">
        <v>5857</v>
      </c>
      <c r="CF833" s="227" t="s">
        <v>186</v>
      </c>
      <c r="CG833" s="228" t="s">
        <v>226</v>
      </c>
      <c r="CH833" s="229" t="s">
        <v>153</v>
      </c>
      <c r="CI833" s="230" t="s">
        <v>153</v>
      </c>
      <c r="CJ833" s="231" t="s">
        <v>225</v>
      </c>
      <c r="CK833" s="232">
        <v>39304</v>
      </c>
      <c r="CL833" s="233" t="s">
        <v>153</v>
      </c>
      <c r="CM833" s="234" t="s">
        <v>153</v>
      </c>
      <c r="CN833" s="235" t="s">
        <v>190</v>
      </c>
      <c r="CO833" s="236" t="s">
        <v>153</v>
      </c>
      <c r="CP833" s="237" t="s">
        <v>153</v>
      </c>
      <c r="CQ833" s="238" t="s">
        <v>153</v>
      </c>
      <c r="CR833" s="239" t="s">
        <v>153</v>
      </c>
      <c r="CS833" s="240" t="s">
        <v>153</v>
      </c>
      <c r="CT833" s="241" t="s">
        <v>153</v>
      </c>
      <c r="CU833" s="242" t="s">
        <v>153</v>
      </c>
      <c r="CV833" s="243" t="s">
        <v>153</v>
      </c>
      <c r="CW833" s="244" t="s">
        <v>153</v>
      </c>
      <c r="CX833" s="245" t="s">
        <v>153</v>
      </c>
      <c r="CY833" s="246" t="s">
        <v>153</v>
      </c>
      <c r="CZ833" s="247" t="s">
        <v>153</v>
      </c>
      <c r="DA833" s="248" t="s">
        <v>153</v>
      </c>
      <c r="DB833" s="249" t="s">
        <v>153</v>
      </c>
      <c r="DC833" s="250" t="s">
        <v>153</v>
      </c>
      <c r="DD833" s="251" t="s">
        <v>153</v>
      </c>
      <c r="DE833" s="252" t="s">
        <v>153</v>
      </c>
      <c r="DF833" s="253" t="s">
        <v>153</v>
      </c>
      <c r="DG833" s="254" t="s">
        <v>153</v>
      </c>
      <c r="DH833" s="255" t="s">
        <v>153</v>
      </c>
      <c r="DI833" s="256" t="s">
        <v>153</v>
      </c>
      <c r="DJ833" s="257" t="s">
        <v>153</v>
      </c>
      <c r="DK833" s="258" t="s">
        <v>153</v>
      </c>
      <c r="DL833" s="259" t="s">
        <v>153</v>
      </c>
      <c r="DM833" s="260" t="s">
        <v>153</v>
      </c>
      <c r="DN833" s="261" t="s">
        <v>153</v>
      </c>
      <c r="DO833" s="262" t="s">
        <v>153</v>
      </c>
      <c r="DP833" s="263" t="s">
        <v>153</v>
      </c>
      <c r="DQ833" s="264" t="s">
        <v>153</v>
      </c>
      <c r="DR833" s="265" t="s">
        <v>153</v>
      </c>
      <c r="DS833" s="266" t="s">
        <v>153</v>
      </c>
      <c r="DT833" s="267" t="s">
        <v>153</v>
      </c>
      <c r="DU833" s="268" t="s">
        <v>153</v>
      </c>
      <c r="DV833" s="269" t="s">
        <v>153</v>
      </c>
      <c r="DW833" s="270" t="s">
        <v>153</v>
      </c>
      <c r="DX833" s="271" t="s">
        <v>153</v>
      </c>
      <c r="DY833" s="272" t="s">
        <v>153</v>
      </c>
      <c r="DZ833" s="273" t="s">
        <v>191</v>
      </c>
      <c r="EA833" s="274">
        <v>44259</v>
      </c>
      <c r="EB833" s="275">
        <v>5857</v>
      </c>
      <c r="EC833" s="276">
        <v>39304</v>
      </c>
      <c r="ED833" s="277" t="s">
        <v>226</v>
      </c>
      <c r="EE833" s="279" t="str">
        <f>HYPERLINK("https://my.pitchbook.com?c=13212-19", "View company online")</f>
        <v>View company online</v>
      </c>
    </row>
    <row r="834" spans="1:135" x14ac:dyDescent="0.45">
      <c r="A834" s="10" t="s">
        <v>16582</v>
      </c>
      <c r="B834" s="11" t="s">
        <v>16583</v>
      </c>
      <c r="C834" s="12" t="s">
        <v>153</v>
      </c>
      <c r="D834" s="13" t="s">
        <v>153</v>
      </c>
      <c r="E834" s="14" t="s">
        <v>153</v>
      </c>
      <c r="F834" s="15" t="s">
        <v>153</v>
      </c>
      <c r="G834" s="16" t="s">
        <v>153</v>
      </c>
      <c r="H834" s="17" t="s">
        <v>153</v>
      </c>
      <c r="I834" s="18" t="s">
        <v>16582</v>
      </c>
      <c r="J834" s="19" t="s">
        <v>16584</v>
      </c>
      <c r="K834" s="20" t="s">
        <v>198</v>
      </c>
      <c r="L834" s="21" t="s">
        <v>199</v>
      </c>
      <c r="M834" s="22" t="s">
        <v>6708</v>
      </c>
      <c r="N834" s="23" t="s">
        <v>6709</v>
      </c>
      <c r="O834" s="24" t="s">
        <v>153</v>
      </c>
      <c r="P834" s="25" t="s">
        <v>16585</v>
      </c>
      <c r="Q834" s="26" t="s">
        <v>204</v>
      </c>
      <c r="R834" s="27" t="s">
        <v>153</v>
      </c>
      <c r="S834" s="28" t="s">
        <v>163</v>
      </c>
      <c r="T834" s="29" t="s">
        <v>205</v>
      </c>
      <c r="U834" s="30" t="s">
        <v>887</v>
      </c>
      <c r="V834" s="31" t="s">
        <v>153</v>
      </c>
      <c r="W834" s="32" t="s">
        <v>153</v>
      </c>
      <c r="X834" s="33" t="s">
        <v>153</v>
      </c>
      <c r="Y834" s="34" t="s">
        <v>153</v>
      </c>
      <c r="Z834" s="35" t="s">
        <v>153</v>
      </c>
      <c r="AA834" s="36" t="s">
        <v>153</v>
      </c>
      <c r="AB834" s="37" t="s">
        <v>153</v>
      </c>
      <c r="AC834" s="38" t="s">
        <v>153</v>
      </c>
      <c r="AD834" s="39" t="s">
        <v>153</v>
      </c>
      <c r="AE834" s="40" t="s">
        <v>153</v>
      </c>
      <c r="AF834" s="41" t="s">
        <v>153</v>
      </c>
      <c r="AG834" s="42" t="s">
        <v>153</v>
      </c>
      <c r="AH834" s="43" t="s">
        <v>153</v>
      </c>
      <c r="AI834" s="44" t="s">
        <v>153</v>
      </c>
      <c r="AJ834" s="45" t="s">
        <v>153</v>
      </c>
      <c r="AK834" s="46" t="s">
        <v>153</v>
      </c>
      <c r="AL834" s="47" t="s">
        <v>153</v>
      </c>
      <c r="AM834" s="48" t="s">
        <v>153</v>
      </c>
      <c r="AN834" s="49" t="s">
        <v>798</v>
      </c>
      <c r="AO834" s="50" t="s">
        <v>153</v>
      </c>
      <c r="AP834" s="51" t="s">
        <v>153</v>
      </c>
      <c r="AQ834" s="52" t="s">
        <v>153</v>
      </c>
      <c r="AR834" s="53" t="s">
        <v>153</v>
      </c>
      <c r="AS834" s="54" t="s">
        <v>153</v>
      </c>
      <c r="AT834" s="55" t="s">
        <v>153</v>
      </c>
      <c r="AU834" s="56" t="s">
        <v>153</v>
      </c>
      <c r="AV834" s="57" t="s">
        <v>153</v>
      </c>
      <c r="AW834" s="58" t="s">
        <v>153</v>
      </c>
      <c r="AX834" s="59" t="s">
        <v>153</v>
      </c>
      <c r="AY834" s="60" t="s">
        <v>153</v>
      </c>
      <c r="AZ834" s="61" t="s">
        <v>153</v>
      </c>
      <c r="BA834" s="62" t="s">
        <v>153</v>
      </c>
      <c r="BB834" s="63" t="s">
        <v>153</v>
      </c>
      <c r="BC834" s="64" t="s">
        <v>153</v>
      </c>
      <c r="BD834" s="65" t="s">
        <v>153</v>
      </c>
      <c r="BE834" s="66" t="s">
        <v>153</v>
      </c>
      <c r="BF834" s="67" t="s">
        <v>16586</v>
      </c>
      <c r="BG834" s="68" t="s">
        <v>153</v>
      </c>
      <c r="BH834" s="69" t="s">
        <v>153</v>
      </c>
      <c r="BI834" s="70" t="s">
        <v>7016</v>
      </c>
      <c r="BJ834" s="71" t="s">
        <v>396</v>
      </c>
      <c r="BK834" s="72" t="s">
        <v>153</v>
      </c>
      <c r="BL834" s="73" t="s">
        <v>153</v>
      </c>
      <c r="BM834" s="74" t="s">
        <v>153</v>
      </c>
      <c r="BN834" s="75" t="s">
        <v>153</v>
      </c>
      <c r="BO834" s="76" t="s">
        <v>153</v>
      </c>
      <c r="BP834" s="77" t="s">
        <v>153</v>
      </c>
      <c r="BQ834" s="78">
        <v>38353</v>
      </c>
      <c r="BR834" s="79">
        <v>5850</v>
      </c>
      <c r="BS834" s="80" t="s">
        <v>186</v>
      </c>
      <c r="BT834" s="81">
        <v>5850</v>
      </c>
      <c r="BU834" s="82" t="s">
        <v>186</v>
      </c>
      <c r="BV834" s="83" t="s">
        <v>226</v>
      </c>
      <c r="BW834" s="84" t="s">
        <v>729</v>
      </c>
      <c r="BX834" s="85" t="s">
        <v>153</v>
      </c>
      <c r="BY834" s="86" t="s">
        <v>225</v>
      </c>
      <c r="BZ834" s="87" t="s">
        <v>153</v>
      </c>
      <c r="CA834" s="88" t="s">
        <v>190</v>
      </c>
      <c r="CB834" s="89">
        <v>38353</v>
      </c>
      <c r="CC834" s="90">
        <v>5850</v>
      </c>
      <c r="CD834" s="91" t="s">
        <v>186</v>
      </c>
      <c r="CE834" s="92">
        <v>5850</v>
      </c>
      <c r="CF834" s="93" t="s">
        <v>186</v>
      </c>
      <c r="CG834" s="94" t="s">
        <v>226</v>
      </c>
      <c r="CH834" s="95" t="s">
        <v>729</v>
      </c>
      <c r="CI834" s="96" t="s">
        <v>153</v>
      </c>
      <c r="CJ834" s="97" t="s">
        <v>225</v>
      </c>
      <c r="CK834" s="98">
        <v>38353</v>
      </c>
      <c r="CL834" s="99" t="s">
        <v>153</v>
      </c>
      <c r="CM834" s="100" t="s">
        <v>153</v>
      </c>
      <c r="CN834" s="101" t="s">
        <v>190</v>
      </c>
      <c r="CO834" s="102" t="s">
        <v>153</v>
      </c>
      <c r="CP834" s="103" t="s">
        <v>153</v>
      </c>
      <c r="CQ834" s="104" t="s">
        <v>153</v>
      </c>
      <c r="CR834" s="105" t="s">
        <v>153</v>
      </c>
      <c r="CS834" s="106" t="s">
        <v>153</v>
      </c>
      <c r="CT834" s="107" t="s">
        <v>153</v>
      </c>
      <c r="CU834" s="108" t="s">
        <v>153</v>
      </c>
      <c r="CV834" s="109" t="s">
        <v>153</v>
      </c>
      <c r="CW834" s="110" t="s">
        <v>153</v>
      </c>
      <c r="CX834" s="111" t="s">
        <v>153</v>
      </c>
      <c r="CY834" s="112" t="s">
        <v>153</v>
      </c>
      <c r="CZ834" s="113" t="s">
        <v>153</v>
      </c>
      <c r="DA834" s="114" t="s">
        <v>153</v>
      </c>
      <c r="DB834" s="115" t="s">
        <v>153</v>
      </c>
      <c r="DC834" s="116" t="s">
        <v>153</v>
      </c>
      <c r="DD834" s="117" t="s">
        <v>153</v>
      </c>
      <c r="DE834" s="118" t="s">
        <v>153</v>
      </c>
      <c r="DF834" s="119" t="s">
        <v>153</v>
      </c>
      <c r="DG834" s="120" t="s">
        <v>153</v>
      </c>
      <c r="DH834" s="121" t="s">
        <v>153</v>
      </c>
      <c r="DI834" s="122" t="s">
        <v>153</v>
      </c>
      <c r="DJ834" s="123" t="s">
        <v>153</v>
      </c>
      <c r="DK834" s="124" t="s">
        <v>153</v>
      </c>
      <c r="DL834" s="125" t="s">
        <v>153</v>
      </c>
      <c r="DM834" s="126" t="s">
        <v>153</v>
      </c>
      <c r="DN834" s="127" t="s">
        <v>153</v>
      </c>
      <c r="DO834" s="128" t="s">
        <v>153</v>
      </c>
      <c r="DP834" s="129" t="s">
        <v>153</v>
      </c>
      <c r="DQ834" s="130" t="s">
        <v>153</v>
      </c>
      <c r="DR834" s="131" t="s">
        <v>153</v>
      </c>
      <c r="DS834" s="132" t="s">
        <v>153</v>
      </c>
      <c r="DT834" s="133" t="s">
        <v>153</v>
      </c>
      <c r="DU834" s="134" t="s">
        <v>153</v>
      </c>
      <c r="DV834" s="135" t="s">
        <v>153</v>
      </c>
      <c r="DW834" s="136" t="s">
        <v>153</v>
      </c>
      <c r="DX834" s="137" t="s">
        <v>153</v>
      </c>
      <c r="DY834" s="138" t="s">
        <v>153</v>
      </c>
      <c r="DZ834" s="139" t="s">
        <v>191</v>
      </c>
      <c r="EA834" s="140">
        <v>44321</v>
      </c>
      <c r="EB834" s="141">
        <v>5850</v>
      </c>
      <c r="EC834" s="142">
        <v>38353</v>
      </c>
      <c r="ED834" s="143" t="s">
        <v>226</v>
      </c>
      <c r="EE834" s="278" t="str">
        <f>HYPERLINK("https://my.pitchbook.com?c=180688-69", "View company online")</f>
        <v>View company online</v>
      </c>
    </row>
    <row r="835" spans="1:135" x14ac:dyDescent="0.45">
      <c r="A835" s="144" t="s">
        <v>16587</v>
      </c>
      <c r="B835" s="145" t="s">
        <v>16588</v>
      </c>
      <c r="C835" s="146" t="s">
        <v>153</v>
      </c>
      <c r="D835" s="147" t="s">
        <v>153</v>
      </c>
      <c r="E835" s="148" t="s">
        <v>153</v>
      </c>
      <c r="F835" s="149" t="s">
        <v>16589</v>
      </c>
      <c r="G835" s="150" t="s">
        <v>16590</v>
      </c>
      <c r="H835" s="151" t="s">
        <v>16591</v>
      </c>
      <c r="I835" s="152" t="s">
        <v>16587</v>
      </c>
      <c r="J835" s="153" t="s">
        <v>16592</v>
      </c>
      <c r="K835" s="154" t="s">
        <v>198</v>
      </c>
      <c r="L835" s="155" t="s">
        <v>984</v>
      </c>
      <c r="M835" s="156" t="s">
        <v>14954</v>
      </c>
      <c r="N835" s="157" t="s">
        <v>16593</v>
      </c>
      <c r="O835" s="158" t="s">
        <v>399</v>
      </c>
      <c r="P835" s="159" t="s">
        <v>16594</v>
      </c>
      <c r="Q835" s="160" t="s">
        <v>204</v>
      </c>
      <c r="R835" s="161">
        <v>33.369999999999997</v>
      </c>
      <c r="S835" s="162" t="s">
        <v>163</v>
      </c>
      <c r="T835" s="163" t="s">
        <v>205</v>
      </c>
      <c r="U835" s="164" t="s">
        <v>482</v>
      </c>
      <c r="V835" s="165" t="s">
        <v>16595</v>
      </c>
      <c r="W835" s="166">
        <v>8000</v>
      </c>
      <c r="X835" s="167" t="s">
        <v>16596</v>
      </c>
      <c r="Y835" s="168" t="s">
        <v>153</v>
      </c>
      <c r="Z835" s="169" t="s">
        <v>153</v>
      </c>
      <c r="AA835" s="170">
        <v>1993</v>
      </c>
      <c r="AB835" s="171" t="s">
        <v>153</v>
      </c>
      <c r="AC835" s="172" t="s">
        <v>153</v>
      </c>
      <c r="AD835" s="173" t="s">
        <v>153</v>
      </c>
      <c r="AE835" s="174" t="s">
        <v>153</v>
      </c>
      <c r="AF835" s="175" t="s">
        <v>153</v>
      </c>
      <c r="AG835" s="176" t="s">
        <v>153</v>
      </c>
      <c r="AH835" s="177" t="s">
        <v>153</v>
      </c>
      <c r="AI835" s="178" t="s">
        <v>153</v>
      </c>
      <c r="AJ835" s="179" t="s">
        <v>153</v>
      </c>
      <c r="AK835" s="180" t="s">
        <v>153</v>
      </c>
      <c r="AL835" s="181" t="s">
        <v>153</v>
      </c>
      <c r="AM835" s="182" t="s">
        <v>153</v>
      </c>
      <c r="AN835" s="183" t="s">
        <v>2064</v>
      </c>
      <c r="AO835" s="184" t="s">
        <v>16597</v>
      </c>
      <c r="AP835" s="185" t="s">
        <v>16598</v>
      </c>
      <c r="AQ835" s="186" t="s">
        <v>3871</v>
      </c>
      <c r="AR835" s="187" t="s">
        <v>153</v>
      </c>
      <c r="AS835" s="188" t="s">
        <v>153</v>
      </c>
      <c r="AT835" s="189" t="s">
        <v>14967</v>
      </c>
      <c r="AU835" s="190" t="s">
        <v>16599</v>
      </c>
      <c r="AV835" s="191" t="s">
        <v>153</v>
      </c>
      <c r="AW835" s="192" t="s">
        <v>14969</v>
      </c>
      <c r="AX835" s="193" t="s">
        <v>308</v>
      </c>
      <c r="AY835" s="194" t="s">
        <v>14970</v>
      </c>
      <c r="AZ835" s="195" t="s">
        <v>215</v>
      </c>
      <c r="BA835" s="196" t="s">
        <v>153</v>
      </c>
      <c r="BB835" s="197" t="s">
        <v>153</v>
      </c>
      <c r="BC835" s="198" t="s">
        <v>153</v>
      </c>
      <c r="BD835" s="199" t="s">
        <v>216</v>
      </c>
      <c r="BE835" s="200" t="s">
        <v>217</v>
      </c>
      <c r="BF835" s="201" t="s">
        <v>16600</v>
      </c>
      <c r="BG835" s="202" t="s">
        <v>153</v>
      </c>
      <c r="BH835" s="203" t="s">
        <v>153</v>
      </c>
      <c r="BI835" s="204" t="s">
        <v>8707</v>
      </c>
      <c r="BJ835" s="205" t="s">
        <v>16601</v>
      </c>
      <c r="BK835" s="206" t="s">
        <v>153</v>
      </c>
      <c r="BL835" s="207" t="s">
        <v>153</v>
      </c>
      <c r="BM835" s="208" t="s">
        <v>16602</v>
      </c>
      <c r="BN835" s="209" t="s">
        <v>153</v>
      </c>
      <c r="BO835" s="210" t="s">
        <v>16603</v>
      </c>
      <c r="BP835" s="211" t="s">
        <v>16604</v>
      </c>
      <c r="BQ835" s="212" t="s">
        <v>153</v>
      </c>
      <c r="BR835" s="213" t="s">
        <v>153</v>
      </c>
      <c r="BS835" s="214" t="s">
        <v>153</v>
      </c>
      <c r="BT835" s="215" t="s">
        <v>153</v>
      </c>
      <c r="BU835" s="216" t="s">
        <v>153</v>
      </c>
      <c r="BV835" s="217" t="s">
        <v>471</v>
      </c>
      <c r="BW835" s="218" t="s">
        <v>153</v>
      </c>
      <c r="BX835" s="219" t="s">
        <v>153</v>
      </c>
      <c r="BY835" s="220" t="s">
        <v>472</v>
      </c>
      <c r="BZ835" s="221" t="s">
        <v>153</v>
      </c>
      <c r="CA835" s="222" t="s">
        <v>190</v>
      </c>
      <c r="CB835" s="223">
        <v>38748</v>
      </c>
      <c r="CC835" s="224">
        <v>5850</v>
      </c>
      <c r="CD835" s="225" t="s">
        <v>186</v>
      </c>
      <c r="CE835" s="226">
        <v>5850</v>
      </c>
      <c r="CF835" s="227" t="s">
        <v>186</v>
      </c>
      <c r="CG835" s="228" t="s">
        <v>226</v>
      </c>
      <c r="CH835" s="229" t="s">
        <v>153</v>
      </c>
      <c r="CI835" s="230" t="s">
        <v>153</v>
      </c>
      <c r="CJ835" s="231" t="s">
        <v>225</v>
      </c>
      <c r="CK835" s="232">
        <v>38748</v>
      </c>
      <c r="CL835" s="233" t="s">
        <v>153</v>
      </c>
      <c r="CM835" s="234" t="s">
        <v>153</v>
      </c>
      <c r="CN835" s="235" t="s">
        <v>190</v>
      </c>
      <c r="CO835" s="236" t="s">
        <v>153</v>
      </c>
      <c r="CP835" s="237" t="s">
        <v>153</v>
      </c>
      <c r="CQ835" s="238" t="s">
        <v>153</v>
      </c>
      <c r="CR835" s="239" t="s">
        <v>153</v>
      </c>
      <c r="CS835" s="240" t="s">
        <v>153</v>
      </c>
      <c r="CT835" s="241" t="s">
        <v>153</v>
      </c>
      <c r="CU835" s="242" t="s">
        <v>153</v>
      </c>
      <c r="CV835" s="243" t="s">
        <v>153</v>
      </c>
      <c r="CW835" s="244" t="s">
        <v>153</v>
      </c>
      <c r="CX835" s="245" t="s">
        <v>153</v>
      </c>
      <c r="CY835" s="246" t="s">
        <v>153</v>
      </c>
      <c r="CZ835" s="247" t="s">
        <v>153</v>
      </c>
      <c r="DA835" s="248" t="s">
        <v>153</v>
      </c>
      <c r="DB835" s="249" t="s">
        <v>153</v>
      </c>
      <c r="DC835" s="250" t="s">
        <v>153</v>
      </c>
      <c r="DD835" s="251" t="s">
        <v>153</v>
      </c>
      <c r="DE835" s="252" t="s">
        <v>153</v>
      </c>
      <c r="DF835" s="253" t="s">
        <v>153</v>
      </c>
      <c r="DG835" s="254" t="s">
        <v>153</v>
      </c>
      <c r="DH835" s="255" t="s">
        <v>153</v>
      </c>
      <c r="DI835" s="256" t="s">
        <v>153</v>
      </c>
      <c r="DJ835" s="257" t="s">
        <v>153</v>
      </c>
      <c r="DK835" s="258" t="s">
        <v>153</v>
      </c>
      <c r="DL835" s="259" t="s">
        <v>153</v>
      </c>
      <c r="DM835" s="260" t="s">
        <v>153</v>
      </c>
      <c r="DN835" s="261" t="s">
        <v>153</v>
      </c>
      <c r="DO835" s="262" t="s">
        <v>153</v>
      </c>
      <c r="DP835" s="263" t="s">
        <v>153</v>
      </c>
      <c r="DQ835" s="264" t="s">
        <v>153</v>
      </c>
      <c r="DR835" s="265" t="s">
        <v>153</v>
      </c>
      <c r="DS835" s="266" t="s">
        <v>153</v>
      </c>
      <c r="DT835" s="267" t="s">
        <v>153</v>
      </c>
      <c r="DU835" s="268" t="s">
        <v>153</v>
      </c>
      <c r="DV835" s="269" t="s">
        <v>153</v>
      </c>
      <c r="DW835" s="270" t="s">
        <v>153</v>
      </c>
      <c r="DX835" s="271" t="s">
        <v>153</v>
      </c>
      <c r="DY835" s="272" t="s">
        <v>153</v>
      </c>
      <c r="DZ835" s="273" t="s">
        <v>191</v>
      </c>
      <c r="EA835" s="274">
        <v>44147</v>
      </c>
      <c r="EB835" s="275">
        <v>5850</v>
      </c>
      <c r="EC835" s="276">
        <v>38748</v>
      </c>
      <c r="ED835" s="277" t="s">
        <v>226</v>
      </c>
      <c r="EE835" s="279" t="str">
        <f>HYPERLINK("https://my.pitchbook.com?c=41274-10", "View company online")</f>
        <v>View company online</v>
      </c>
    </row>
    <row r="836" spans="1:135" x14ac:dyDescent="0.45">
      <c r="A836" s="10" t="s">
        <v>16605</v>
      </c>
      <c r="B836" s="11" t="s">
        <v>16606</v>
      </c>
      <c r="C836" s="12" t="s">
        <v>153</v>
      </c>
      <c r="D836" s="13" t="s">
        <v>153</v>
      </c>
      <c r="E836" s="14" t="s">
        <v>153</v>
      </c>
      <c r="F836" s="15" t="s">
        <v>153</v>
      </c>
      <c r="G836" s="16" t="s">
        <v>153</v>
      </c>
      <c r="H836" s="17" t="s">
        <v>153</v>
      </c>
      <c r="I836" s="18" t="s">
        <v>16605</v>
      </c>
      <c r="J836" s="19" t="s">
        <v>16607</v>
      </c>
      <c r="K836" s="20" t="s">
        <v>882</v>
      </c>
      <c r="L836" s="21" t="s">
        <v>2888</v>
      </c>
      <c r="M836" s="22" t="s">
        <v>2889</v>
      </c>
      <c r="N836" s="23" t="s">
        <v>16608</v>
      </c>
      <c r="O836" s="24" t="s">
        <v>796</v>
      </c>
      <c r="P836" s="25" t="s">
        <v>16609</v>
      </c>
      <c r="Q836" s="26" t="s">
        <v>204</v>
      </c>
      <c r="R836" s="27" t="s">
        <v>153</v>
      </c>
      <c r="S836" s="28" t="s">
        <v>153</v>
      </c>
      <c r="T836" s="29" t="s">
        <v>205</v>
      </c>
      <c r="U836" s="30" t="s">
        <v>206</v>
      </c>
      <c r="V836" s="31" t="s">
        <v>153</v>
      </c>
      <c r="W836" s="32" t="s">
        <v>153</v>
      </c>
      <c r="X836" s="33" t="s">
        <v>153</v>
      </c>
      <c r="Y836" s="34" t="s">
        <v>153</v>
      </c>
      <c r="Z836" s="35" t="s">
        <v>153</v>
      </c>
      <c r="AA836" s="36" t="s">
        <v>153</v>
      </c>
      <c r="AB836" s="37" t="s">
        <v>153</v>
      </c>
      <c r="AC836" s="38" t="s">
        <v>153</v>
      </c>
      <c r="AD836" s="39" t="s">
        <v>153</v>
      </c>
      <c r="AE836" s="40" t="s">
        <v>153</v>
      </c>
      <c r="AF836" s="41" t="s">
        <v>153</v>
      </c>
      <c r="AG836" s="42" t="s">
        <v>153</v>
      </c>
      <c r="AH836" s="43" t="s">
        <v>153</v>
      </c>
      <c r="AI836" s="44" t="s">
        <v>153</v>
      </c>
      <c r="AJ836" s="45" t="s">
        <v>153</v>
      </c>
      <c r="AK836" s="46" t="s">
        <v>153</v>
      </c>
      <c r="AL836" s="47" t="s">
        <v>153</v>
      </c>
      <c r="AM836" s="48" t="s">
        <v>153</v>
      </c>
      <c r="AN836" s="49" t="s">
        <v>153</v>
      </c>
      <c r="AO836" s="50" t="s">
        <v>153</v>
      </c>
      <c r="AP836" s="51" t="s">
        <v>153</v>
      </c>
      <c r="AQ836" s="52" t="s">
        <v>153</v>
      </c>
      <c r="AR836" s="53" t="s">
        <v>153</v>
      </c>
      <c r="AS836" s="54" t="s">
        <v>153</v>
      </c>
      <c r="AT836" s="55" t="s">
        <v>808</v>
      </c>
      <c r="AU836" s="56" t="s">
        <v>153</v>
      </c>
      <c r="AV836" s="57" t="s">
        <v>153</v>
      </c>
      <c r="AW836" s="58" t="s">
        <v>153</v>
      </c>
      <c r="AX836" s="59" t="s">
        <v>153</v>
      </c>
      <c r="AY836" s="60" t="s">
        <v>153</v>
      </c>
      <c r="AZ836" s="61" t="s">
        <v>808</v>
      </c>
      <c r="BA836" s="62" t="s">
        <v>153</v>
      </c>
      <c r="BB836" s="63" t="s">
        <v>153</v>
      </c>
      <c r="BC836" s="64" t="s">
        <v>153</v>
      </c>
      <c r="BD836" s="65" t="s">
        <v>180</v>
      </c>
      <c r="BE836" s="66" t="s">
        <v>809</v>
      </c>
      <c r="BF836" s="67" t="s">
        <v>16610</v>
      </c>
      <c r="BG836" s="68" t="s">
        <v>153</v>
      </c>
      <c r="BH836" s="69" t="s">
        <v>153</v>
      </c>
      <c r="BI836" s="70" t="s">
        <v>16611</v>
      </c>
      <c r="BJ836" s="71" t="s">
        <v>16612</v>
      </c>
      <c r="BK836" s="72" t="s">
        <v>153</v>
      </c>
      <c r="BL836" s="73" t="s">
        <v>153</v>
      </c>
      <c r="BM836" s="74" t="s">
        <v>153</v>
      </c>
      <c r="BN836" s="75" t="s">
        <v>153</v>
      </c>
      <c r="BO836" s="76" t="s">
        <v>153</v>
      </c>
      <c r="BP836" s="77" t="s">
        <v>153</v>
      </c>
      <c r="BQ836" s="78">
        <v>39176</v>
      </c>
      <c r="BR836" s="79">
        <v>5844.36</v>
      </c>
      <c r="BS836" s="80" t="s">
        <v>186</v>
      </c>
      <c r="BT836" s="81">
        <v>5844.36</v>
      </c>
      <c r="BU836" s="82" t="s">
        <v>186</v>
      </c>
      <c r="BV836" s="83" t="s">
        <v>1524</v>
      </c>
      <c r="BW836" s="84" t="s">
        <v>1525</v>
      </c>
      <c r="BX836" s="85" t="s">
        <v>1526</v>
      </c>
      <c r="BY836" s="86" t="s">
        <v>225</v>
      </c>
      <c r="BZ836" s="87" t="s">
        <v>153</v>
      </c>
      <c r="CA836" s="88" t="s">
        <v>190</v>
      </c>
      <c r="CB836" s="89">
        <v>39176</v>
      </c>
      <c r="CC836" s="90">
        <v>5844.36</v>
      </c>
      <c r="CD836" s="91" t="s">
        <v>186</v>
      </c>
      <c r="CE836" s="92">
        <v>5844.36</v>
      </c>
      <c r="CF836" s="93" t="s">
        <v>186</v>
      </c>
      <c r="CG836" s="94" t="s">
        <v>1524</v>
      </c>
      <c r="CH836" s="95" t="s">
        <v>1525</v>
      </c>
      <c r="CI836" s="96" t="s">
        <v>1526</v>
      </c>
      <c r="CJ836" s="97" t="s">
        <v>225</v>
      </c>
      <c r="CK836" s="98">
        <v>39176</v>
      </c>
      <c r="CL836" s="99" t="s">
        <v>153</v>
      </c>
      <c r="CM836" s="100" t="s">
        <v>153</v>
      </c>
      <c r="CN836" s="101" t="s">
        <v>190</v>
      </c>
      <c r="CO836" s="102" t="s">
        <v>153</v>
      </c>
      <c r="CP836" s="103" t="s">
        <v>153</v>
      </c>
      <c r="CQ836" s="104" t="s">
        <v>153</v>
      </c>
      <c r="CR836" s="105" t="s">
        <v>153</v>
      </c>
      <c r="CS836" s="106" t="s">
        <v>153</v>
      </c>
      <c r="CT836" s="107" t="s">
        <v>153</v>
      </c>
      <c r="CU836" s="108" t="s">
        <v>153</v>
      </c>
      <c r="CV836" s="109" t="s">
        <v>153</v>
      </c>
      <c r="CW836" s="110" t="s">
        <v>153</v>
      </c>
      <c r="CX836" s="111" t="s">
        <v>153</v>
      </c>
      <c r="CY836" s="112" t="s">
        <v>153</v>
      </c>
      <c r="CZ836" s="113" t="s">
        <v>153</v>
      </c>
      <c r="DA836" s="114" t="s">
        <v>153</v>
      </c>
      <c r="DB836" s="115" t="s">
        <v>153</v>
      </c>
      <c r="DC836" s="116" t="s">
        <v>153</v>
      </c>
      <c r="DD836" s="117" t="s">
        <v>153</v>
      </c>
      <c r="DE836" s="118" t="s">
        <v>153</v>
      </c>
      <c r="DF836" s="119" t="s">
        <v>153</v>
      </c>
      <c r="DG836" s="120" t="s">
        <v>153</v>
      </c>
      <c r="DH836" s="121" t="s">
        <v>153</v>
      </c>
      <c r="DI836" s="122" t="s">
        <v>153</v>
      </c>
      <c r="DJ836" s="123" t="s">
        <v>153</v>
      </c>
      <c r="DK836" s="124" t="s">
        <v>153</v>
      </c>
      <c r="DL836" s="125" t="s">
        <v>153</v>
      </c>
      <c r="DM836" s="126" t="s">
        <v>153</v>
      </c>
      <c r="DN836" s="127" t="s">
        <v>153</v>
      </c>
      <c r="DO836" s="128" t="s">
        <v>153</v>
      </c>
      <c r="DP836" s="129" t="s">
        <v>153</v>
      </c>
      <c r="DQ836" s="130" t="s">
        <v>153</v>
      </c>
      <c r="DR836" s="131" t="s">
        <v>153</v>
      </c>
      <c r="DS836" s="132" t="s">
        <v>153</v>
      </c>
      <c r="DT836" s="133" t="s">
        <v>153</v>
      </c>
      <c r="DU836" s="134" t="s">
        <v>153</v>
      </c>
      <c r="DV836" s="135" t="s">
        <v>153</v>
      </c>
      <c r="DW836" s="136" t="s">
        <v>153</v>
      </c>
      <c r="DX836" s="137" t="s">
        <v>153</v>
      </c>
      <c r="DY836" s="138" t="s">
        <v>153</v>
      </c>
      <c r="DZ836" s="139" t="s">
        <v>191</v>
      </c>
      <c r="EA836" s="140">
        <v>44084</v>
      </c>
      <c r="EB836" s="141">
        <v>5844.36</v>
      </c>
      <c r="EC836" s="142">
        <v>39176</v>
      </c>
      <c r="ED836" s="143" t="s">
        <v>1524</v>
      </c>
      <c r="EE836" s="278" t="str">
        <f>HYPERLINK("https://my.pitchbook.com?c=151101-73", "View company online")</f>
        <v>View company online</v>
      </c>
    </row>
    <row r="837" spans="1:135" x14ac:dyDescent="0.45">
      <c r="A837" s="144" t="s">
        <v>16613</v>
      </c>
      <c r="B837" s="145" t="s">
        <v>16614</v>
      </c>
      <c r="C837" s="146" t="s">
        <v>153</v>
      </c>
      <c r="D837" s="147" t="s">
        <v>153</v>
      </c>
      <c r="E837" s="148" t="s">
        <v>16615</v>
      </c>
      <c r="F837" s="149" t="s">
        <v>16616</v>
      </c>
      <c r="G837" s="150" t="s">
        <v>16617</v>
      </c>
      <c r="H837" s="151" t="s">
        <v>16618</v>
      </c>
      <c r="I837" s="152" t="s">
        <v>16613</v>
      </c>
      <c r="J837" s="153" t="s">
        <v>16619</v>
      </c>
      <c r="K837" s="154" t="s">
        <v>157</v>
      </c>
      <c r="L837" s="155" t="s">
        <v>421</v>
      </c>
      <c r="M837" s="156" t="s">
        <v>422</v>
      </c>
      <c r="N837" s="157" t="s">
        <v>16620</v>
      </c>
      <c r="O837" s="158" t="s">
        <v>399</v>
      </c>
      <c r="P837" s="159" t="s">
        <v>16621</v>
      </c>
      <c r="Q837" s="160" t="s">
        <v>564</v>
      </c>
      <c r="R837" s="161">
        <v>370</v>
      </c>
      <c r="S837" s="162" t="s">
        <v>290</v>
      </c>
      <c r="T837" s="163" t="s">
        <v>205</v>
      </c>
      <c r="U837" s="164" t="s">
        <v>1791</v>
      </c>
      <c r="V837" s="165" t="s">
        <v>16622</v>
      </c>
      <c r="W837" s="166">
        <v>1059</v>
      </c>
      <c r="X837" s="167" t="s">
        <v>16623</v>
      </c>
      <c r="Y837" s="168" t="s">
        <v>153</v>
      </c>
      <c r="Z837" s="169" t="s">
        <v>153</v>
      </c>
      <c r="AA837" s="170">
        <v>1992</v>
      </c>
      <c r="AB837" s="171" t="s">
        <v>153</v>
      </c>
      <c r="AC837" s="172" t="s">
        <v>153</v>
      </c>
      <c r="AD837" s="173" t="s">
        <v>428</v>
      </c>
      <c r="AE837" s="174" t="s">
        <v>153</v>
      </c>
      <c r="AF837" s="175" t="s">
        <v>153</v>
      </c>
      <c r="AG837" s="176" t="s">
        <v>153</v>
      </c>
      <c r="AH837" s="177" t="s">
        <v>153</v>
      </c>
      <c r="AI837" s="178" t="s">
        <v>153</v>
      </c>
      <c r="AJ837" s="179" t="s">
        <v>153</v>
      </c>
      <c r="AK837" s="180" t="s">
        <v>153</v>
      </c>
      <c r="AL837" s="181" t="s">
        <v>153</v>
      </c>
      <c r="AM837" s="182" t="s">
        <v>153</v>
      </c>
      <c r="AN837" s="183" t="s">
        <v>3725</v>
      </c>
      <c r="AO837" s="184" t="s">
        <v>153</v>
      </c>
      <c r="AP837" s="185" t="s">
        <v>153</v>
      </c>
      <c r="AQ837" s="186" t="s">
        <v>153</v>
      </c>
      <c r="AR837" s="187" t="s">
        <v>153</v>
      </c>
      <c r="AS837" s="188" t="s">
        <v>153</v>
      </c>
      <c r="AT837" s="189" t="s">
        <v>13556</v>
      </c>
      <c r="AU837" s="190" t="s">
        <v>16624</v>
      </c>
      <c r="AV837" s="191" t="s">
        <v>153</v>
      </c>
      <c r="AW837" s="192" t="s">
        <v>4741</v>
      </c>
      <c r="AX837" s="193" t="s">
        <v>13558</v>
      </c>
      <c r="AY837" s="194" t="s">
        <v>16625</v>
      </c>
      <c r="AZ837" s="195" t="s">
        <v>215</v>
      </c>
      <c r="BA837" s="196" t="s">
        <v>153</v>
      </c>
      <c r="BB837" s="197" t="s">
        <v>153</v>
      </c>
      <c r="BC837" s="198" t="s">
        <v>153</v>
      </c>
      <c r="BD837" s="199" t="s">
        <v>216</v>
      </c>
      <c r="BE837" s="200" t="s">
        <v>217</v>
      </c>
      <c r="BF837" s="201" t="s">
        <v>16626</v>
      </c>
      <c r="BG837" s="202" t="s">
        <v>153</v>
      </c>
      <c r="BH837" s="203" t="s">
        <v>153</v>
      </c>
      <c r="BI837" s="204" t="s">
        <v>16627</v>
      </c>
      <c r="BJ837" s="205" t="s">
        <v>16628</v>
      </c>
      <c r="BK837" s="206" t="s">
        <v>153</v>
      </c>
      <c r="BL837" s="207" t="s">
        <v>153</v>
      </c>
      <c r="BM837" s="208" t="s">
        <v>16629</v>
      </c>
      <c r="BN837" s="209" t="s">
        <v>153</v>
      </c>
      <c r="BO837" s="210" t="s">
        <v>16630</v>
      </c>
      <c r="BP837" s="211" t="s">
        <v>16631</v>
      </c>
      <c r="BQ837" s="212">
        <v>36312</v>
      </c>
      <c r="BR837" s="213">
        <v>250</v>
      </c>
      <c r="BS837" s="214" t="s">
        <v>186</v>
      </c>
      <c r="BT837" s="215" t="s">
        <v>153</v>
      </c>
      <c r="BU837" s="216" t="s">
        <v>153</v>
      </c>
      <c r="BV837" s="217" t="s">
        <v>16632</v>
      </c>
      <c r="BW837" s="218" t="s">
        <v>153</v>
      </c>
      <c r="BX837" s="219" t="s">
        <v>153</v>
      </c>
      <c r="BY837" s="220" t="s">
        <v>4290</v>
      </c>
      <c r="BZ837" s="221" t="s">
        <v>16633</v>
      </c>
      <c r="CA837" s="222" t="s">
        <v>190</v>
      </c>
      <c r="CB837" s="223">
        <v>39658</v>
      </c>
      <c r="CC837" s="224">
        <v>5836.36</v>
      </c>
      <c r="CD837" s="225" t="s">
        <v>186</v>
      </c>
      <c r="CE837" s="226">
        <v>5836.36</v>
      </c>
      <c r="CF837" s="227" t="s">
        <v>186</v>
      </c>
      <c r="CG837" s="228" t="s">
        <v>3319</v>
      </c>
      <c r="CH837" s="229" t="s">
        <v>153</v>
      </c>
      <c r="CI837" s="230" t="s">
        <v>153</v>
      </c>
      <c r="CJ837" s="231" t="s">
        <v>225</v>
      </c>
      <c r="CK837" s="232">
        <v>39658</v>
      </c>
      <c r="CL837" s="233" t="s">
        <v>153</v>
      </c>
      <c r="CM837" s="234" t="s">
        <v>153</v>
      </c>
      <c r="CN837" s="235" t="s">
        <v>190</v>
      </c>
      <c r="CO837" s="236" t="s">
        <v>153</v>
      </c>
      <c r="CP837" s="237" t="s">
        <v>153</v>
      </c>
      <c r="CQ837" s="238" t="s">
        <v>153</v>
      </c>
      <c r="CR837" s="239" t="s">
        <v>153</v>
      </c>
      <c r="CS837" s="240" t="s">
        <v>153</v>
      </c>
      <c r="CT837" s="241" t="s">
        <v>153</v>
      </c>
      <c r="CU837" s="242" t="s">
        <v>153</v>
      </c>
      <c r="CV837" s="243" t="s">
        <v>153</v>
      </c>
      <c r="CW837" s="244" t="s">
        <v>153</v>
      </c>
      <c r="CX837" s="245" t="s">
        <v>153</v>
      </c>
      <c r="CY837" s="246" t="s">
        <v>153</v>
      </c>
      <c r="CZ837" s="247" t="s">
        <v>153</v>
      </c>
      <c r="DA837" s="248" t="s">
        <v>153</v>
      </c>
      <c r="DB837" s="249" t="s">
        <v>153</v>
      </c>
      <c r="DC837" s="250" t="s">
        <v>153</v>
      </c>
      <c r="DD837" s="251" t="s">
        <v>153</v>
      </c>
      <c r="DE837" s="252" t="s">
        <v>153</v>
      </c>
      <c r="DF837" s="253" t="s">
        <v>153</v>
      </c>
      <c r="DG837" s="254" t="s">
        <v>153</v>
      </c>
      <c r="DH837" s="255" t="s">
        <v>153</v>
      </c>
      <c r="DI837" s="256" t="s">
        <v>153</v>
      </c>
      <c r="DJ837" s="257" t="s">
        <v>153</v>
      </c>
      <c r="DK837" s="258" t="s">
        <v>153</v>
      </c>
      <c r="DL837" s="259" t="s">
        <v>153</v>
      </c>
      <c r="DM837" s="260" t="s">
        <v>153</v>
      </c>
      <c r="DN837" s="261" t="s">
        <v>153</v>
      </c>
      <c r="DO837" s="262" t="s">
        <v>153</v>
      </c>
      <c r="DP837" s="263" t="s">
        <v>153</v>
      </c>
      <c r="DQ837" s="264" t="s">
        <v>153</v>
      </c>
      <c r="DR837" s="265" t="s">
        <v>153</v>
      </c>
      <c r="DS837" s="266" t="s">
        <v>153</v>
      </c>
      <c r="DT837" s="267" t="s">
        <v>153</v>
      </c>
      <c r="DU837" s="268" t="s">
        <v>153</v>
      </c>
      <c r="DV837" s="269" t="s">
        <v>153</v>
      </c>
      <c r="DW837" s="270" t="s">
        <v>153</v>
      </c>
      <c r="DX837" s="271" t="s">
        <v>153</v>
      </c>
      <c r="DY837" s="272" t="s">
        <v>153</v>
      </c>
      <c r="DZ837" s="273" t="s">
        <v>191</v>
      </c>
      <c r="EA837" s="274">
        <v>44147</v>
      </c>
      <c r="EB837" s="275">
        <v>5836.36</v>
      </c>
      <c r="EC837" s="276">
        <v>39658</v>
      </c>
      <c r="ED837" s="277" t="s">
        <v>3319</v>
      </c>
      <c r="EE837" s="279" t="str">
        <f>HYPERLINK("https://my.pitchbook.com?c=11078-29", "View company online")</f>
        <v>View company online</v>
      </c>
    </row>
    <row r="838" spans="1:135" x14ac:dyDescent="0.45">
      <c r="A838" s="10" t="s">
        <v>16634</v>
      </c>
      <c r="B838" s="11" t="s">
        <v>16635</v>
      </c>
      <c r="C838" s="12" t="s">
        <v>153</v>
      </c>
      <c r="D838" s="13" t="s">
        <v>153</v>
      </c>
      <c r="E838" s="14" t="s">
        <v>16636</v>
      </c>
      <c r="F838" s="15" t="s">
        <v>153</v>
      </c>
      <c r="G838" s="16" t="s">
        <v>16637</v>
      </c>
      <c r="H838" s="17" t="s">
        <v>153</v>
      </c>
      <c r="I838" s="18" t="s">
        <v>16634</v>
      </c>
      <c r="J838" s="19" t="s">
        <v>16638</v>
      </c>
      <c r="K838" s="20" t="s">
        <v>792</v>
      </c>
      <c r="L838" s="21" t="s">
        <v>793</v>
      </c>
      <c r="M838" s="22" t="s">
        <v>794</v>
      </c>
      <c r="N838" s="23" t="s">
        <v>16639</v>
      </c>
      <c r="O838" s="24" t="s">
        <v>153</v>
      </c>
      <c r="P838" s="25" t="s">
        <v>16640</v>
      </c>
      <c r="Q838" s="26" t="s">
        <v>204</v>
      </c>
      <c r="R838" s="27" t="s">
        <v>153</v>
      </c>
      <c r="S838" s="28" t="s">
        <v>163</v>
      </c>
      <c r="T838" s="29" t="s">
        <v>205</v>
      </c>
      <c r="U838" s="30" t="s">
        <v>206</v>
      </c>
      <c r="V838" s="31" t="s">
        <v>16641</v>
      </c>
      <c r="W838" s="32">
        <v>15583</v>
      </c>
      <c r="X838" s="33" t="s">
        <v>16642</v>
      </c>
      <c r="Y838" s="34" t="s">
        <v>153</v>
      </c>
      <c r="Z838" s="35" t="s">
        <v>153</v>
      </c>
      <c r="AA838" s="36">
        <v>1925</v>
      </c>
      <c r="AB838" s="37" t="s">
        <v>153</v>
      </c>
      <c r="AC838" s="38" t="s">
        <v>153</v>
      </c>
      <c r="AD838" s="39" t="s">
        <v>153</v>
      </c>
      <c r="AE838" s="40" t="s">
        <v>153</v>
      </c>
      <c r="AF838" s="41" t="s">
        <v>153</v>
      </c>
      <c r="AG838" s="42" t="s">
        <v>153</v>
      </c>
      <c r="AH838" s="43" t="s">
        <v>153</v>
      </c>
      <c r="AI838" s="44" t="s">
        <v>153</v>
      </c>
      <c r="AJ838" s="45" t="s">
        <v>153</v>
      </c>
      <c r="AK838" s="46" t="s">
        <v>153</v>
      </c>
      <c r="AL838" s="47" t="s">
        <v>153</v>
      </c>
      <c r="AM838" s="48" t="s">
        <v>153</v>
      </c>
      <c r="AN838" s="49" t="s">
        <v>11140</v>
      </c>
      <c r="AO838" s="50" t="s">
        <v>153</v>
      </c>
      <c r="AP838" s="51" t="s">
        <v>153</v>
      </c>
      <c r="AQ838" s="52" t="s">
        <v>153</v>
      </c>
      <c r="AR838" s="53" t="s">
        <v>153</v>
      </c>
      <c r="AS838" s="54" t="s">
        <v>153</v>
      </c>
      <c r="AT838" s="55" t="s">
        <v>16643</v>
      </c>
      <c r="AU838" s="56" t="s">
        <v>16644</v>
      </c>
      <c r="AV838" s="57" t="s">
        <v>153</v>
      </c>
      <c r="AW838" s="58" t="s">
        <v>16645</v>
      </c>
      <c r="AX838" s="59" t="s">
        <v>153</v>
      </c>
      <c r="AY838" s="60" t="s">
        <v>16646</v>
      </c>
      <c r="AZ838" s="61" t="s">
        <v>352</v>
      </c>
      <c r="BA838" s="62" t="s">
        <v>153</v>
      </c>
      <c r="BB838" s="63" t="s">
        <v>153</v>
      </c>
      <c r="BC838" s="64" t="s">
        <v>153</v>
      </c>
      <c r="BD838" s="65" t="s">
        <v>180</v>
      </c>
      <c r="BE838" s="66" t="s">
        <v>181</v>
      </c>
      <c r="BF838" s="67" t="s">
        <v>16647</v>
      </c>
      <c r="BG838" s="68" t="s">
        <v>153</v>
      </c>
      <c r="BH838" s="69" t="s">
        <v>153</v>
      </c>
      <c r="BI838" s="70" t="s">
        <v>7398</v>
      </c>
      <c r="BJ838" s="71" t="s">
        <v>153</v>
      </c>
      <c r="BK838" s="72" t="s">
        <v>153</v>
      </c>
      <c r="BL838" s="73" t="s">
        <v>153</v>
      </c>
      <c r="BM838" s="74" t="s">
        <v>153</v>
      </c>
      <c r="BN838" s="75" t="s">
        <v>153</v>
      </c>
      <c r="BO838" s="76" t="s">
        <v>153</v>
      </c>
      <c r="BP838" s="77" t="s">
        <v>153</v>
      </c>
      <c r="BQ838" s="78">
        <v>36800</v>
      </c>
      <c r="BR838" s="79">
        <v>5835.56</v>
      </c>
      <c r="BS838" s="80" t="s">
        <v>186</v>
      </c>
      <c r="BT838" s="81">
        <v>5835.56</v>
      </c>
      <c r="BU838" s="82" t="s">
        <v>187</v>
      </c>
      <c r="BV838" s="83" t="s">
        <v>226</v>
      </c>
      <c r="BW838" s="84" t="s">
        <v>153</v>
      </c>
      <c r="BX838" s="85" t="s">
        <v>153</v>
      </c>
      <c r="BY838" s="86" t="s">
        <v>225</v>
      </c>
      <c r="BZ838" s="87" t="s">
        <v>153</v>
      </c>
      <c r="CA838" s="88" t="s">
        <v>190</v>
      </c>
      <c r="CB838" s="89">
        <v>36800</v>
      </c>
      <c r="CC838" s="90">
        <v>5835.56</v>
      </c>
      <c r="CD838" s="91" t="s">
        <v>186</v>
      </c>
      <c r="CE838" s="92">
        <v>5835.56</v>
      </c>
      <c r="CF838" s="93" t="s">
        <v>187</v>
      </c>
      <c r="CG838" s="94" t="s">
        <v>226</v>
      </c>
      <c r="CH838" s="95" t="s">
        <v>153</v>
      </c>
      <c r="CI838" s="96" t="s">
        <v>153</v>
      </c>
      <c r="CJ838" s="97" t="s">
        <v>225</v>
      </c>
      <c r="CK838" s="98">
        <v>36800</v>
      </c>
      <c r="CL838" s="99" t="s">
        <v>153</v>
      </c>
      <c r="CM838" s="100" t="s">
        <v>153</v>
      </c>
      <c r="CN838" s="101" t="s">
        <v>190</v>
      </c>
      <c r="CO838" s="102" t="s">
        <v>153</v>
      </c>
      <c r="CP838" s="103" t="s">
        <v>153</v>
      </c>
      <c r="CQ838" s="104" t="s">
        <v>153</v>
      </c>
      <c r="CR838" s="105" t="s">
        <v>153</v>
      </c>
      <c r="CS838" s="106" t="s">
        <v>153</v>
      </c>
      <c r="CT838" s="107" t="s">
        <v>153</v>
      </c>
      <c r="CU838" s="108" t="s">
        <v>153</v>
      </c>
      <c r="CV838" s="109" t="s">
        <v>153</v>
      </c>
      <c r="CW838" s="110" t="s">
        <v>153</v>
      </c>
      <c r="CX838" s="111" t="s">
        <v>153</v>
      </c>
      <c r="CY838" s="112" t="s">
        <v>153</v>
      </c>
      <c r="CZ838" s="113" t="s">
        <v>153</v>
      </c>
      <c r="DA838" s="114" t="s">
        <v>153</v>
      </c>
      <c r="DB838" s="115" t="s">
        <v>153</v>
      </c>
      <c r="DC838" s="116" t="s">
        <v>153</v>
      </c>
      <c r="DD838" s="117" t="s">
        <v>153</v>
      </c>
      <c r="DE838" s="118" t="s">
        <v>153</v>
      </c>
      <c r="DF838" s="119" t="s">
        <v>153</v>
      </c>
      <c r="DG838" s="120" t="s">
        <v>153</v>
      </c>
      <c r="DH838" s="121" t="s">
        <v>153</v>
      </c>
      <c r="DI838" s="122" t="s">
        <v>153</v>
      </c>
      <c r="DJ838" s="123" t="s">
        <v>153</v>
      </c>
      <c r="DK838" s="124" t="s">
        <v>153</v>
      </c>
      <c r="DL838" s="125" t="s">
        <v>153</v>
      </c>
      <c r="DM838" s="126" t="s">
        <v>153</v>
      </c>
      <c r="DN838" s="127" t="s">
        <v>153</v>
      </c>
      <c r="DO838" s="128" t="s">
        <v>153</v>
      </c>
      <c r="DP838" s="129" t="s">
        <v>153</v>
      </c>
      <c r="DQ838" s="130" t="s">
        <v>153</v>
      </c>
      <c r="DR838" s="131" t="s">
        <v>153</v>
      </c>
      <c r="DS838" s="132" t="s">
        <v>153</v>
      </c>
      <c r="DT838" s="133" t="s">
        <v>153</v>
      </c>
      <c r="DU838" s="134" t="s">
        <v>153</v>
      </c>
      <c r="DV838" s="135" t="s">
        <v>153</v>
      </c>
      <c r="DW838" s="136" t="s">
        <v>153</v>
      </c>
      <c r="DX838" s="137" t="s">
        <v>153</v>
      </c>
      <c r="DY838" s="138" t="s">
        <v>153</v>
      </c>
      <c r="DZ838" s="139" t="s">
        <v>191</v>
      </c>
      <c r="EA838" s="140">
        <v>44335</v>
      </c>
      <c r="EB838" s="141">
        <v>5835.56</v>
      </c>
      <c r="EC838" s="142">
        <v>36800</v>
      </c>
      <c r="ED838" s="143" t="s">
        <v>226</v>
      </c>
      <c r="EE838" s="278" t="str">
        <f>HYPERLINK("https://my.pitchbook.com?c=163451-44", "View company online")</f>
        <v>View company online</v>
      </c>
    </row>
    <row r="839" spans="1:135" x14ac:dyDescent="0.45">
      <c r="A839" s="144" t="s">
        <v>16648</v>
      </c>
      <c r="B839" s="145" t="s">
        <v>16649</v>
      </c>
      <c r="C839" s="146" t="s">
        <v>153</v>
      </c>
      <c r="D839" s="147" t="s">
        <v>153</v>
      </c>
      <c r="E839" s="148" t="s">
        <v>16650</v>
      </c>
      <c r="F839" s="149" t="s">
        <v>16651</v>
      </c>
      <c r="G839" s="150" t="s">
        <v>16652</v>
      </c>
      <c r="H839" s="151" t="s">
        <v>16653</v>
      </c>
      <c r="I839" s="152" t="s">
        <v>16648</v>
      </c>
      <c r="J839" s="153" t="s">
        <v>16654</v>
      </c>
      <c r="K839" s="154" t="s">
        <v>559</v>
      </c>
      <c r="L839" s="155" t="s">
        <v>560</v>
      </c>
      <c r="M839" s="156" t="s">
        <v>3573</v>
      </c>
      <c r="N839" s="157" t="s">
        <v>16655</v>
      </c>
      <c r="O839" s="158" t="s">
        <v>1592</v>
      </c>
      <c r="P839" s="159" t="s">
        <v>16656</v>
      </c>
      <c r="Q839" s="160" t="s">
        <v>204</v>
      </c>
      <c r="R839" s="161" t="s">
        <v>153</v>
      </c>
      <c r="S839" s="162" t="s">
        <v>163</v>
      </c>
      <c r="T839" s="163" t="s">
        <v>205</v>
      </c>
      <c r="U839" s="164" t="s">
        <v>237</v>
      </c>
      <c r="V839" s="165" t="s">
        <v>16657</v>
      </c>
      <c r="W839" s="166">
        <v>2300</v>
      </c>
      <c r="X839" s="167" t="s">
        <v>16658</v>
      </c>
      <c r="Y839" s="168" t="s">
        <v>153</v>
      </c>
      <c r="Z839" s="169" t="s">
        <v>153</v>
      </c>
      <c r="AA839" s="170">
        <v>2015</v>
      </c>
      <c r="AB839" s="171" t="s">
        <v>153</v>
      </c>
      <c r="AC839" s="172" t="s">
        <v>153</v>
      </c>
      <c r="AD839" s="173" t="s">
        <v>153</v>
      </c>
      <c r="AE839" s="174" t="s">
        <v>153</v>
      </c>
      <c r="AF839" s="175" t="s">
        <v>153</v>
      </c>
      <c r="AG839" s="176" t="s">
        <v>153</v>
      </c>
      <c r="AH839" s="177" t="s">
        <v>153</v>
      </c>
      <c r="AI839" s="178" t="s">
        <v>153</v>
      </c>
      <c r="AJ839" s="179" t="s">
        <v>153</v>
      </c>
      <c r="AK839" s="180" t="s">
        <v>153</v>
      </c>
      <c r="AL839" s="181" t="s">
        <v>153</v>
      </c>
      <c r="AM839" s="182" t="s">
        <v>153</v>
      </c>
      <c r="AN839" s="183" t="s">
        <v>1908</v>
      </c>
      <c r="AO839" s="184" t="s">
        <v>16659</v>
      </c>
      <c r="AP839" s="185" t="s">
        <v>16660</v>
      </c>
      <c r="AQ839" s="186" t="s">
        <v>379</v>
      </c>
      <c r="AR839" s="187" t="s">
        <v>16661</v>
      </c>
      <c r="AS839" s="188" t="s">
        <v>153</v>
      </c>
      <c r="AT839" s="189" t="s">
        <v>16662</v>
      </c>
      <c r="AU839" s="190" t="s">
        <v>16663</v>
      </c>
      <c r="AV839" s="191" t="s">
        <v>153</v>
      </c>
      <c r="AW839" s="192" t="s">
        <v>16664</v>
      </c>
      <c r="AX839" s="193" t="s">
        <v>2482</v>
      </c>
      <c r="AY839" s="194" t="s">
        <v>16665</v>
      </c>
      <c r="AZ839" s="195" t="s">
        <v>215</v>
      </c>
      <c r="BA839" s="196" t="s">
        <v>153</v>
      </c>
      <c r="BB839" s="197" t="s">
        <v>153</v>
      </c>
      <c r="BC839" s="198" t="s">
        <v>153</v>
      </c>
      <c r="BD839" s="199" t="s">
        <v>216</v>
      </c>
      <c r="BE839" s="200" t="s">
        <v>217</v>
      </c>
      <c r="BF839" s="201" t="s">
        <v>16666</v>
      </c>
      <c r="BG839" s="202" t="s">
        <v>153</v>
      </c>
      <c r="BH839" s="203" t="s">
        <v>153</v>
      </c>
      <c r="BI839" s="204" t="s">
        <v>3080</v>
      </c>
      <c r="BJ839" s="205" t="s">
        <v>6065</v>
      </c>
      <c r="BK839" s="206" t="s">
        <v>153</v>
      </c>
      <c r="BL839" s="207" t="s">
        <v>153</v>
      </c>
      <c r="BM839" s="208" t="s">
        <v>6066</v>
      </c>
      <c r="BN839" s="209" t="s">
        <v>153</v>
      </c>
      <c r="BO839" s="210" t="s">
        <v>153</v>
      </c>
      <c r="BP839" s="211" t="s">
        <v>16667</v>
      </c>
      <c r="BQ839" s="212">
        <v>42632</v>
      </c>
      <c r="BR839" s="213" t="s">
        <v>153</v>
      </c>
      <c r="BS839" s="214" t="s">
        <v>153</v>
      </c>
      <c r="BT839" s="215" t="s">
        <v>153</v>
      </c>
      <c r="BU839" s="216" t="s">
        <v>153</v>
      </c>
      <c r="BV839" s="217" t="s">
        <v>251</v>
      </c>
      <c r="BW839" s="218" t="s">
        <v>524</v>
      </c>
      <c r="BX839" s="219" t="s">
        <v>153</v>
      </c>
      <c r="BY839" s="220" t="s">
        <v>252</v>
      </c>
      <c r="BZ839" s="221" t="s">
        <v>153</v>
      </c>
      <c r="CA839" s="222" t="s">
        <v>190</v>
      </c>
      <c r="CB839" s="223">
        <v>43745</v>
      </c>
      <c r="CC839" s="224">
        <v>5833.89</v>
      </c>
      <c r="CD839" s="225" t="s">
        <v>186</v>
      </c>
      <c r="CE839" s="226">
        <v>5833.89</v>
      </c>
      <c r="CF839" s="227" t="s">
        <v>187</v>
      </c>
      <c r="CG839" s="228" t="s">
        <v>226</v>
      </c>
      <c r="CH839" s="229" t="s">
        <v>153</v>
      </c>
      <c r="CI839" s="230" t="s">
        <v>153</v>
      </c>
      <c r="CJ839" s="231" t="s">
        <v>225</v>
      </c>
      <c r="CK839" s="232">
        <v>43745</v>
      </c>
      <c r="CL839" s="233" t="s">
        <v>153</v>
      </c>
      <c r="CM839" s="234" t="s">
        <v>153</v>
      </c>
      <c r="CN839" s="235" t="s">
        <v>190</v>
      </c>
      <c r="CO839" s="236" t="s">
        <v>153</v>
      </c>
      <c r="CP839" s="237" t="s">
        <v>153</v>
      </c>
      <c r="CQ839" s="238" t="s">
        <v>153</v>
      </c>
      <c r="CR839" s="239" t="s">
        <v>153</v>
      </c>
      <c r="CS839" s="240" t="s">
        <v>153</v>
      </c>
      <c r="CT839" s="241" t="s">
        <v>153</v>
      </c>
      <c r="CU839" s="242" t="s">
        <v>153</v>
      </c>
      <c r="CV839" s="243" t="s">
        <v>153</v>
      </c>
      <c r="CW839" s="244" t="s">
        <v>153</v>
      </c>
      <c r="CX839" s="245" t="s">
        <v>153</v>
      </c>
      <c r="CY839" s="246" t="s">
        <v>153</v>
      </c>
      <c r="CZ839" s="247" t="s">
        <v>153</v>
      </c>
      <c r="DA839" s="248" t="s">
        <v>153</v>
      </c>
      <c r="DB839" s="249" t="s">
        <v>153</v>
      </c>
      <c r="DC839" s="250" t="s">
        <v>153</v>
      </c>
      <c r="DD839" s="251" t="s">
        <v>153</v>
      </c>
      <c r="DE839" s="252" t="s">
        <v>153</v>
      </c>
      <c r="DF839" s="253" t="s">
        <v>153</v>
      </c>
      <c r="DG839" s="254" t="s">
        <v>153</v>
      </c>
      <c r="DH839" s="255" t="s">
        <v>153</v>
      </c>
      <c r="DI839" s="256" t="s">
        <v>153</v>
      </c>
      <c r="DJ839" s="257" t="s">
        <v>153</v>
      </c>
      <c r="DK839" s="258" t="s">
        <v>153</v>
      </c>
      <c r="DL839" s="259" t="s">
        <v>153</v>
      </c>
      <c r="DM839" s="260" t="s">
        <v>153</v>
      </c>
      <c r="DN839" s="261" t="s">
        <v>153</v>
      </c>
      <c r="DO839" s="262" t="s">
        <v>153</v>
      </c>
      <c r="DP839" s="263" t="s">
        <v>153</v>
      </c>
      <c r="DQ839" s="264" t="s">
        <v>153</v>
      </c>
      <c r="DR839" s="265" t="s">
        <v>153</v>
      </c>
      <c r="DS839" s="266" t="s">
        <v>153</v>
      </c>
      <c r="DT839" s="267" t="s">
        <v>153</v>
      </c>
      <c r="DU839" s="268" t="s">
        <v>153</v>
      </c>
      <c r="DV839" s="269" t="s">
        <v>153</v>
      </c>
      <c r="DW839" s="270" t="s">
        <v>153</v>
      </c>
      <c r="DX839" s="271" t="s">
        <v>153</v>
      </c>
      <c r="DY839" s="272" t="s">
        <v>153</v>
      </c>
      <c r="DZ839" s="273" t="s">
        <v>191</v>
      </c>
      <c r="EA839" s="274">
        <v>44260</v>
      </c>
      <c r="EB839" s="275">
        <v>5833.89</v>
      </c>
      <c r="EC839" s="276">
        <v>43745</v>
      </c>
      <c r="ED839" s="277" t="s">
        <v>226</v>
      </c>
      <c r="EE839" s="279" t="str">
        <f>HYPERLINK("https://my.pitchbook.com?c=167145-40", "View company online")</f>
        <v>View company online</v>
      </c>
    </row>
    <row r="840" spans="1:135" x14ac:dyDescent="0.45">
      <c r="A840" s="10" t="s">
        <v>16668</v>
      </c>
      <c r="B840" s="11" t="s">
        <v>16669</v>
      </c>
      <c r="C840" s="12" t="s">
        <v>153</v>
      </c>
      <c r="D840" s="13" t="s">
        <v>153</v>
      </c>
      <c r="E840" s="14" t="s">
        <v>153</v>
      </c>
      <c r="F840" s="15" t="s">
        <v>153</v>
      </c>
      <c r="G840" s="16" t="s">
        <v>153</v>
      </c>
      <c r="H840" s="17" t="s">
        <v>153</v>
      </c>
      <c r="I840" s="18" t="s">
        <v>16668</v>
      </c>
      <c r="J840" s="19" t="s">
        <v>16670</v>
      </c>
      <c r="K840" s="20" t="s">
        <v>882</v>
      </c>
      <c r="L840" s="21" t="s">
        <v>1257</v>
      </c>
      <c r="M840" s="22" t="s">
        <v>6983</v>
      </c>
      <c r="N840" s="23" t="s">
        <v>15730</v>
      </c>
      <c r="O840" s="24" t="s">
        <v>153</v>
      </c>
      <c r="P840" s="25" t="s">
        <v>16671</v>
      </c>
      <c r="Q840" s="26" t="s">
        <v>1487</v>
      </c>
      <c r="R840" s="27" t="s">
        <v>153</v>
      </c>
      <c r="S840" s="28" t="s">
        <v>163</v>
      </c>
      <c r="T840" s="29" t="s">
        <v>1488</v>
      </c>
      <c r="U840" s="30" t="s">
        <v>206</v>
      </c>
      <c r="V840" s="31" t="s">
        <v>153</v>
      </c>
      <c r="W840" s="32">
        <v>45000</v>
      </c>
      <c r="X840" s="33" t="s">
        <v>16325</v>
      </c>
      <c r="Y840" s="34" t="s">
        <v>153</v>
      </c>
      <c r="Z840" s="35" t="s">
        <v>153</v>
      </c>
      <c r="AA840" s="36" t="s">
        <v>153</v>
      </c>
      <c r="AB840" s="37" t="s">
        <v>153</v>
      </c>
      <c r="AC840" s="38" t="s">
        <v>153</v>
      </c>
      <c r="AD840" s="39" t="s">
        <v>153</v>
      </c>
      <c r="AE840" s="40" t="s">
        <v>153</v>
      </c>
      <c r="AF840" s="41" t="s">
        <v>153</v>
      </c>
      <c r="AG840" s="42" t="s">
        <v>153</v>
      </c>
      <c r="AH840" s="43" t="s">
        <v>153</v>
      </c>
      <c r="AI840" s="44" t="s">
        <v>153</v>
      </c>
      <c r="AJ840" s="45" t="s">
        <v>153</v>
      </c>
      <c r="AK840" s="46" t="s">
        <v>153</v>
      </c>
      <c r="AL840" s="47" t="s">
        <v>153</v>
      </c>
      <c r="AM840" s="48" t="s">
        <v>153</v>
      </c>
      <c r="AN840" s="49" t="s">
        <v>456</v>
      </c>
      <c r="AO840" s="50" t="s">
        <v>153</v>
      </c>
      <c r="AP840" s="51" t="s">
        <v>153</v>
      </c>
      <c r="AQ840" s="52" t="s">
        <v>153</v>
      </c>
      <c r="AR840" s="53" t="s">
        <v>153</v>
      </c>
      <c r="AS840" s="54" t="s">
        <v>153</v>
      </c>
      <c r="AT840" s="55" t="s">
        <v>2116</v>
      </c>
      <c r="AU840" s="56" t="s">
        <v>16672</v>
      </c>
      <c r="AV840" s="57" t="s">
        <v>153</v>
      </c>
      <c r="AW840" s="58" t="s">
        <v>2119</v>
      </c>
      <c r="AX840" s="59" t="s">
        <v>153</v>
      </c>
      <c r="AY840" s="60" t="s">
        <v>15733</v>
      </c>
      <c r="AZ840" s="61" t="s">
        <v>2121</v>
      </c>
      <c r="BA840" s="62" t="s">
        <v>153</v>
      </c>
      <c r="BB840" s="63" t="s">
        <v>153</v>
      </c>
      <c r="BC840" s="64" t="s">
        <v>153</v>
      </c>
      <c r="BD840" s="65" t="s">
        <v>180</v>
      </c>
      <c r="BE840" s="66" t="s">
        <v>684</v>
      </c>
      <c r="BF840" s="67" t="s">
        <v>16673</v>
      </c>
      <c r="BG840" s="68" t="s">
        <v>15735</v>
      </c>
      <c r="BH840" s="69">
        <v>1</v>
      </c>
      <c r="BI840" s="70" t="s">
        <v>153</v>
      </c>
      <c r="BJ840" s="71" t="s">
        <v>153</v>
      </c>
      <c r="BK840" s="72" t="s">
        <v>7313</v>
      </c>
      <c r="BL840" s="73" t="s">
        <v>15736</v>
      </c>
      <c r="BM840" s="74" t="s">
        <v>153</v>
      </c>
      <c r="BN840" s="75" t="s">
        <v>15737</v>
      </c>
      <c r="BO840" s="76" t="s">
        <v>153</v>
      </c>
      <c r="BP840" s="77" t="s">
        <v>16674</v>
      </c>
      <c r="BQ840" s="78">
        <v>44287</v>
      </c>
      <c r="BR840" s="79">
        <v>5828.42</v>
      </c>
      <c r="BS840" s="80" t="s">
        <v>186</v>
      </c>
      <c r="BT840" s="81">
        <v>5828.42</v>
      </c>
      <c r="BU840" s="82" t="s">
        <v>153</v>
      </c>
      <c r="BV840" s="83" t="s">
        <v>226</v>
      </c>
      <c r="BW840" s="84" t="s">
        <v>729</v>
      </c>
      <c r="BX840" s="85" t="s">
        <v>153</v>
      </c>
      <c r="BY840" s="86" t="s">
        <v>225</v>
      </c>
      <c r="BZ840" s="87" t="s">
        <v>153</v>
      </c>
      <c r="CA840" s="88" t="s">
        <v>1278</v>
      </c>
      <c r="CB840" s="89">
        <v>44287</v>
      </c>
      <c r="CC840" s="90">
        <v>5828.42</v>
      </c>
      <c r="CD840" s="91" t="s">
        <v>186</v>
      </c>
      <c r="CE840" s="92">
        <v>5828.42</v>
      </c>
      <c r="CF840" s="93" t="s">
        <v>153</v>
      </c>
      <c r="CG840" s="94" t="s">
        <v>226</v>
      </c>
      <c r="CH840" s="95" t="s">
        <v>729</v>
      </c>
      <c r="CI840" s="96" t="s">
        <v>153</v>
      </c>
      <c r="CJ840" s="97" t="s">
        <v>225</v>
      </c>
      <c r="CK840" s="98">
        <v>44287</v>
      </c>
      <c r="CL840" s="99" t="s">
        <v>153</v>
      </c>
      <c r="CM840" s="100" t="s">
        <v>153</v>
      </c>
      <c r="CN840" s="101" t="s">
        <v>1278</v>
      </c>
      <c r="CO840" s="102" t="s">
        <v>153</v>
      </c>
      <c r="CP840" s="103" t="s">
        <v>153</v>
      </c>
      <c r="CQ840" s="104" t="s">
        <v>153</v>
      </c>
      <c r="CR840" s="105" t="s">
        <v>153</v>
      </c>
      <c r="CS840" s="106" t="s">
        <v>153</v>
      </c>
      <c r="CT840" s="107" t="s">
        <v>153</v>
      </c>
      <c r="CU840" s="108" t="s">
        <v>153</v>
      </c>
      <c r="CV840" s="109" t="s">
        <v>153</v>
      </c>
      <c r="CW840" s="110" t="s">
        <v>153</v>
      </c>
      <c r="CX840" s="111" t="s">
        <v>153</v>
      </c>
      <c r="CY840" s="112" t="s">
        <v>153</v>
      </c>
      <c r="CZ840" s="113" t="s">
        <v>153</v>
      </c>
      <c r="DA840" s="114" t="s">
        <v>153</v>
      </c>
      <c r="DB840" s="115" t="s">
        <v>153</v>
      </c>
      <c r="DC840" s="116" t="s">
        <v>153</v>
      </c>
      <c r="DD840" s="117" t="s">
        <v>153</v>
      </c>
      <c r="DE840" s="118" t="s">
        <v>153</v>
      </c>
      <c r="DF840" s="119" t="s">
        <v>153</v>
      </c>
      <c r="DG840" s="120" t="s">
        <v>153</v>
      </c>
      <c r="DH840" s="121" t="s">
        <v>153</v>
      </c>
      <c r="DI840" s="122" t="s">
        <v>153</v>
      </c>
      <c r="DJ840" s="123" t="s">
        <v>153</v>
      </c>
      <c r="DK840" s="124" t="s">
        <v>153</v>
      </c>
      <c r="DL840" s="125" t="s">
        <v>153</v>
      </c>
      <c r="DM840" s="126" t="s">
        <v>153</v>
      </c>
      <c r="DN840" s="127" t="s">
        <v>153</v>
      </c>
      <c r="DO840" s="128" t="s">
        <v>153</v>
      </c>
      <c r="DP840" s="129" t="s">
        <v>153</v>
      </c>
      <c r="DQ840" s="130" t="s">
        <v>153</v>
      </c>
      <c r="DR840" s="131" t="s">
        <v>153</v>
      </c>
      <c r="DS840" s="132" t="s">
        <v>153</v>
      </c>
      <c r="DT840" s="133" t="s">
        <v>153</v>
      </c>
      <c r="DU840" s="134" t="s">
        <v>153</v>
      </c>
      <c r="DV840" s="135" t="s">
        <v>153</v>
      </c>
      <c r="DW840" s="136" t="s">
        <v>153</v>
      </c>
      <c r="DX840" s="137" t="s">
        <v>153</v>
      </c>
      <c r="DY840" s="138" t="s">
        <v>153</v>
      </c>
      <c r="DZ840" s="139" t="s">
        <v>191</v>
      </c>
      <c r="EA840" s="140">
        <v>44358</v>
      </c>
      <c r="EB840" s="141">
        <v>5828.42</v>
      </c>
      <c r="EC840" s="142">
        <v>44287</v>
      </c>
      <c r="ED840" s="143" t="s">
        <v>226</v>
      </c>
      <c r="EE840" s="278" t="str">
        <f>HYPERLINK("https://my.pitchbook.com?c=443330-38", "View company online")</f>
        <v>View company online</v>
      </c>
    </row>
    <row r="841" spans="1:135" x14ac:dyDescent="0.45">
      <c r="A841" s="144" t="s">
        <v>16675</v>
      </c>
      <c r="B841" s="145" t="s">
        <v>16676</v>
      </c>
      <c r="C841" s="146" t="s">
        <v>153</v>
      </c>
      <c r="D841" s="147" t="s">
        <v>153</v>
      </c>
      <c r="E841" s="148" t="s">
        <v>16677</v>
      </c>
      <c r="F841" s="149" t="s">
        <v>16678</v>
      </c>
      <c r="G841" s="150" t="s">
        <v>16679</v>
      </c>
      <c r="H841" s="151" t="s">
        <v>16680</v>
      </c>
      <c r="I841" s="152" t="s">
        <v>16675</v>
      </c>
      <c r="J841" s="153" t="s">
        <v>16681</v>
      </c>
      <c r="K841" s="154" t="s">
        <v>198</v>
      </c>
      <c r="L841" s="155" t="s">
        <v>984</v>
      </c>
      <c r="M841" s="156" t="s">
        <v>9264</v>
      </c>
      <c r="N841" s="157" t="s">
        <v>11282</v>
      </c>
      <c r="O841" s="158" t="s">
        <v>9128</v>
      </c>
      <c r="P841" s="159" t="s">
        <v>16682</v>
      </c>
      <c r="Q841" s="160" t="s">
        <v>564</v>
      </c>
      <c r="R841" s="161">
        <v>396.5</v>
      </c>
      <c r="S841" s="162" t="s">
        <v>290</v>
      </c>
      <c r="T841" s="163" t="s">
        <v>164</v>
      </c>
      <c r="U841" s="164" t="s">
        <v>452</v>
      </c>
      <c r="V841" s="165" t="s">
        <v>16683</v>
      </c>
      <c r="W841" s="166">
        <v>2000</v>
      </c>
      <c r="X841" s="167" t="s">
        <v>16684</v>
      </c>
      <c r="Y841" s="168" t="s">
        <v>153</v>
      </c>
      <c r="Z841" s="169" t="s">
        <v>153</v>
      </c>
      <c r="AA841" s="170">
        <v>2003</v>
      </c>
      <c r="AB841" s="171" t="s">
        <v>16685</v>
      </c>
      <c r="AC841" s="172" t="s">
        <v>537</v>
      </c>
      <c r="AD841" s="173" t="s">
        <v>537</v>
      </c>
      <c r="AE841" s="174" t="s">
        <v>153</v>
      </c>
      <c r="AF841" s="175" t="s">
        <v>153</v>
      </c>
      <c r="AG841" s="176" t="s">
        <v>153</v>
      </c>
      <c r="AH841" s="177" t="s">
        <v>153</v>
      </c>
      <c r="AI841" s="178" t="s">
        <v>153</v>
      </c>
      <c r="AJ841" s="179" t="s">
        <v>153</v>
      </c>
      <c r="AK841" s="180" t="s">
        <v>153</v>
      </c>
      <c r="AL841" s="181" t="s">
        <v>153</v>
      </c>
      <c r="AM841" s="182" t="s">
        <v>153</v>
      </c>
      <c r="AN841" s="183" t="s">
        <v>918</v>
      </c>
      <c r="AO841" s="184" t="s">
        <v>16686</v>
      </c>
      <c r="AP841" s="185" t="s">
        <v>16687</v>
      </c>
      <c r="AQ841" s="186" t="s">
        <v>5090</v>
      </c>
      <c r="AR841" s="187" t="s">
        <v>16688</v>
      </c>
      <c r="AS841" s="188" t="s">
        <v>16689</v>
      </c>
      <c r="AT841" s="189" t="s">
        <v>1071</v>
      </c>
      <c r="AU841" s="190" t="s">
        <v>16690</v>
      </c>
      <c r="AV841" s="191" t="s">
        <v>16691</v>
      </c>
      <c r="AW841" s="192" t="s">
        <v>1074</v>
      </c>
      <c r="AX841" s="193" t="s">
        <v>177</v>
      </c>
      <c r="AY841" s="194" t="s">
        <v>16692</v>
      </c>
      <c r="AZ841" s="195" t="s">
        <v>179</v>
      </c>
      <c r="BA841" s="196" t="s">
        <v>16693</v>
      </c>
      <c r="BB841" s="197" t="s">
        <v>153</v>
      </c>
      <c r="BC841" s="198" t="s">
        <v>153</v>
      </c>
      <c r="BD841" s="199" t="s">
        <v>180</v>
      </c>
      <c r="BE841" s="200" t="s">
        <v>181</v>
      </c>
      <c r="BF841" s="201" t="s">
        <v>16694</v>
      </c>
      <c r="BG841" s="202" t="s">
        <v>153</v>
      </c>
      <c r="BH841" s="203" t="s">
        <v>153</v>
      </c>
      <c r="BI841" s="204" t="s">
        <v>16685</v>
      </c>
      <c r="BJ841" s="205" t="s">
        <v>16695</v>
      </c>
      <c r="BK841" s="206" t="s">
        <v>153</v>
      </c>
      <c r="BL841" s="207" t="s">
        <v>153</v>
      </c>
      <c r="BM841" s="208" t="s">
        <v>16696</v>
      </c>
      <c r="BN841" s="209" t="s">
        <v>153</v>
      </c>
      <c r="BO841" s="210" t="s">
        <v>16697</v>
      </c>
      <c r="BP841" s="211" t="s">
        <v>16698</v>
      </c>
      <c r="BQ841" s="212">
        <v>38596</v>
      </c>
      <c r="BR841" s="213">
        <v>47</v>
      </c>
      <c r="BS841" s="214" t="s">
        <v>186</v>
      </c>
      <c r="BT841" s="215" t="s">
        <v>153</v>
      </c>
      <c r="BU841" s="216" t="s">
        <v>153</v>
      </c>
      <c r="BV841" s="217" t="s">
        <v>709</v>
      </c>
      <c r="BW841" s="218" t="s">
        <v>153</v>
      </c>
      <c r="BX841" s="219" t="s">
        <v>153</v>
      </c>
      <c r="BY841" s="220" t="s">
        <v>165</v>
      </c>
      <c r="BZ841" s="221" t="s">
        <v>153</v>
      </c>
      <c r="CA841" s="222" t="s">
        <v>190</v>
      </c>
      <c r="CB841" s="223">
        <v>42423</v>
      </c>
      <c r="CC841" s="224">
        <v>5828</v>
      </c>
      <c r="CD841" s="225" t="s">
        <v>187</v>
      </c>
      <c r="CE841" s="226">
        <v>5828</v>
      </c>
      <c r="CF841" s="227" t="s">
        <v>187</v>
      </c>
      <c r="CG841" s="228" t="s">
        <v>226</v>
      </c>
      <c r="CH841" s="229" t="s">
        <v>153</v>
      </c>
      <c r="CI841" s="230" t="s">
        <v>153</v>
      </c>
      <c r="CJ841" s="231" t="s">
        <v>225</v>
      </c>
      <c r="CK841" s="232">
        <v>42423</v>
      </c>
      <c r="CL841" s="233" t="s">
        <v>153</v>
      </c>
      <c r="CM841" s="234" t="s">
        <v>153</v>
      </c>
      <c r="CN841" s="235" t="s">
        <v>190</v>
      </c>
      <c r="CO841" s="236" t="s">
        <v>153</v>
      </c>
      <c r="CP841" s="237" t="s">
        <v>153</v>
      </c>
      <c r="CQ841" s="238" t="s">
        <v>153</v>
      </c>
      <c r="CR841" s="239" t="s">
        <v>153</v>
      </c>
      <c r="CS841" s="240" t="s">
        <v>153</v>
      </c>
      <c r="CT841" s="241" t="s">
        <v>153</v>
      </c>
      <c r="CU841" s="242" t="s">
        <v>153</v>
      </c>
      <c r="CV841" s="243" t="s">
        <v>153</v>
      </c>
      <c r="CW841" s="244" t="s">
        <v>153</v>
      </c>
      <c r="CX841" s="245" t="s">
        <v>153</v>
      </c>
      <c r="CY841" s="246" t="s">
        <v>153</v>
      </c>
      <c r="CZ841" s="247" t="s">
        <v>153</v>
      </c>
      <c r="DA841" s="248" t="s">
        <v>153</v>
      </c>
      <c r="DB841" s="249" t="s">
        <v>153</v>
      </c>
      <c r="DC841" s="250" t="s">
        <v>153</v>
      </c>
      <c r="DD841" s="251" t="s">
        <v>153</v>
      </c>
      <c r="DE841" s="252" t="s">
        <v>153</v>
      </c>
      <c r="DF841" s="253" t="s">
        <v>153</v>
      </c>
      <c r="DG841" s="254" t="s">
        <v>153</v>
      </c>
      <c r="DH841" s="255" t="s">
        <v>153</v>
      </c>
      <c r="DI841" s="256" t="s">
        <v>153</v>
      </c>
      <c r="DJ841" s="257" t="s">
        <v>153</v>
      </c>
      <c r="DK841" s="258" t="s">
        <v>153</v>
      </c>
      <c r="DL841" s="259" t="s">
        <v>153</v>
      </c>
      <c r="DM841" s="260" t="s">
        <v>153</v>
      </c>
      <c r="DN841" s="261" t="s">
        <v>153</v>
      </c>
      <c r="DO841" s="262" t="s">
        <v>153</v>
      </c>
      <c r="DP841" s="263" t="s">
        <v>153</v>
      </c>
      <c r="DQ841" s="264" t="s">
        <v>153</v>
      </c>
      <c r="DR841" s="265" t="s">
        <v>153</v>
      </c>
      <c r="DS841" s="266" t="s">
        <v>153</v>
      </c>
      <c r="DT841" s="267" t="s">
        <v>153</v>
      </c>
      <c r="DU841" s="268" t="s">
        <v>153</v>
      </c>
      <c r="DV841" s="269" t="s">
        <v>153</v>
      </c>
      <c r="DW841" s="270" t="s">
        <v>153</v>
      </c>
      <c r="DX841" s="271" t="s">
        <v>153</v>
      </c>
      <c r="DY841" s="272" t="s">
        <v>153</v>
      </c>
      <c r="DZ841" s="273" t="s">
        <v>191</v>
      </c>
      <c r="EA841" s="274">
        <v>44364</v>
      </c>
      <c r="EB841" s="275">
        <v>5828</v>
      </c>
      <c r="EC841" s="276">
        <v>42423</v>
      </c>
      <c r="ED841" s="277" t="s">
        <v>226</v>
      </c>
      <c r="EE841" s="279" t="str">
        <f>HYPERLINK("https://my.pitchbook.com?c=54278-47", "View company online")</f>
        <v>View company online</v>
      </c>
    </row>
    <row r="842" spans="1:135" x14ac:dyDescent="0.45">
      <c r="A842" s="10" t="s">
        <v>16699</v>
      </c>
      <c r="B842" s="11" t="s">
        <v>16700</v>
      </c>
      <c r="C842" s="12" t="s">
        <v>153</v>
      </c>
      <c r="D842" s="13" t="s">
        <v>153</v>
      </c>
      <c r="E842" s="14" t="s">
        <v>16701</v>
      </c>
      <c r="F842" s="15" t="s">
        <v>153</v>
      </c>
      <c r="G842" s="16" t="s">
        <v>16702</v>
      </c>
      <c r="H842" s="17" t="s">
        <v>16703</v>
      </c>
      <c r="I842" s="18" t="s">
        <v>16699</v>
      </c>
      <c r="J842" s="19" t="s">
        <v>16704</v>
      </c>
      <c r="K842" s="20" t="s">
        <v>157</v>
      </c>
      <c r="L842" s="21" t="s">
        <v>1667</v>
      </c>
      <c r="M842" s="22" t="s">
        <v>1668</v>
      </c>
      <c r="N842" s="23" t="s">
        <v>16705</v>
      </c>
      <c r="O842" s="24" t="s">
        <v>261</v>
      </c>
      <c r="P842" s="25" t="s">
        <v>16706</v>
      </c>
      <c r="Q842" s="26" t="s">
        <v>162</v>
      </c>
      <c r="R842" s="27" t="s">
        <v>153</v>
      </c>
      <c r="S842" s="28" t="s">
        <v>163</v>
      </c>
      <c r="T842" s="29" t="s">
        <v>291</v>
      </c>
      <c r="U842" s="30" t="s">
        <v>565</v>
      </c>
      <c r="V842" s="31" t="s">
        <v>16707</v>
      </c>
      <c r="W842" s="32">
        <v>22000</v>
      </c>
      <c r="X842" s="33" t="s">
        <v>16708</v>
      </c>
      <c r="Y842" s="34" t="s">
        <v>3749</v>
      </c>
      <c r="Z842" s="35" t="s">
        <v>16709</v>
      </c>
      <c r="AA842" s="36">
        <v>1986</v>
      </c>
      <c r="AB842" s="37" t="s">
        <v>153</v>
      </c>
      <c r="AC842" s="38" t="s">
        <v>153</v>
      </c>
      <c r="AD842" s="39" t="s">
        <v>153</v>
      </c>
      <c r="AE842" s="40">
        <v>6084.95</v>
      </c>
      <c r="AF842" s="41">
        <v>764.77</v>
      </c>
      <c r="AG842" s="42">
        <v>116.36</v>
      </c>
      <c r="AH842" s="43">
        <v>10339.1</v>
      </c>
      <c r="AI842" s="44">
        <v>640.28</v>
      </c>
      <c r="AJ842" s="45">
        <v>223.31</v>
      </c>
      <c r="AK842" s="46">
        <v>7412.64</v>
      </c>
      <c r="AL842" s="47">
        <v>1923.15</v>
      </c>
      <c r="AM842" s="48">
        <v>-4.5</v>
      </c>
      <c r="AN842" s="49" t="s">
        <v>376</v>
      </c>
      <c r="AO842" s="50" t="s">
        <v>16710</v>
      </c>
      <c r="AP842" s="51" t="s">
        <v>16711</v>
      </c>
      <c r="AQ842" s="52" t="s">
        <v>16712</v>
      </c>
      <c r="AR842" s="53" t="s">
        <v>153</v>
      </c>
      <c r="AS842" s="54" t="s">
        <v>153</v>
      </c>
      <c r="AT842" s="55" t="s">
        <v>16713</v>
      </c>
      <c r="AU842" s="56" t="s">
        <v>16714</v>
      </c>
      <c r="AV842" s="57" t="s">
        <v>16715</v>
      </c>
      <c r="AW842" s="58" t="s">
        <v>16716</v>
      </c>
      <c r="AX842" s="59" t="s">
        <v>153</v>
      </c>
      <c r="AY842" s="60" t="s">
        <v>16717</v>
      </c>
      <c r="AZ842" s="61" t="s">
        <v>3761</v>
      </c>
      <c r="BA842" s="62" t="s">
        <v>153</v>
      </c>
      <c r="BB842" s="63" t="s">
        <v>153</v>
      </c>
      <c r="BC842" s="64" t="s">
        <v>16718</v>
      </c>
      <c r="BD842" s="65" t="s">
        <v>1406</v>
      </c>
      <c r="BE842" s="66" t="s">
        <v>1407</v>
      </c>
      <c r="BF842" s="67" t="s">
        <v>16719</v>
      </c>
      <c r="BG842" s="68" t="s">
        <v>16720</v>
      </c>
      <c r="BH842" s="69">
        <v>3</v>
      </c>
      <c r="BI842" s="70" t="s">
        <v>153</v>
      </c>
      <c r="BJ842" s="71" t="s">
        <v>16721</v>
      </c>
      <c r="BK842" s="72" t="s">
        <v>153</v>
      </c>
      <c r="BL842" s="73" t="s">
        <v>16722</v>
      </c>
      <c r="BM842" s="74" t="s">
        <v>16723</v>
      </c>
      <c r="BN842" s="75" t="s">
        <v>153</v>
      </c>
      <c r="BO842" s="76" t="s">
        <v>153</v>
      </c>
      <c r="BP842" s="77" t="s">
        <v>16724</v>
      </c>
      <c r="BQ842" s="78">
        <v>37623</v>
      </c>
      <c r="BR842" s="79" t="s">
        <v>153</v>
      </c>
      <c r="BS842" s="80" t="s">
        <v>153</v>
      </c>
      <c r="BT842" s="81" t="s">
        <v>153</v>
      </c>
      <c r="BU842" s="82" t="s">
        <v>153</v>
      </c>
      <c r="BV842" s="83" t="s">
        <v>251</v>
      </c>
      <c r="BW842" s="84" t="s">
        <v>153</v>
      </c>
      <c r="BX842" s="85" t="s">
        <v>153</v>
      </c>
      <c r="BY842" s="86" t="s">
        <v>252</v>
      </c>
      <c r="BZ842" s="87" t="s">
        <v>153</v>
      </c>
      <c r="CA842" s="88" t="s">
        <v>190</v>
      </c>
      <c r="CB842" s="89">
        <v>44369</v>
      </c>
      <c r="CC842" s="90">
        <v>5810</v>
      </c>
      <c r="CD842" s="91" t="s">
        <v>187</v>
      </c>
      <c r="CE842" s="92">
        <v>8301.18</v>
      </c>
      <c r="CF842" s="93" t="s">
        <v>187</v>
      </c>
      <c r="CG842" s="94" t="s">
        <v>188</v>
      </c>
      <c r="CH842" s="95" t="s">
        <v>5549</v>
      </c>
      <c r="CI842" s="96" t="s">
        <v>153</v>
      </c>
      <c r="CJ842" s="97" t="s">
        <v>165</v>
      </c>
      <c r="CK842" s="98">
        <v>44369</v>
      </c>
      <c r="CL842" s="99" t="s">
        <v>153</v>
      </c>
      <c r="CM842" s="100" t="s">
        <v>153</v>
      </c>
      <c r="CN842" s="101" t="s">
        <v>16725</v>
      </c>
      <c r="CO842" s="102">
        <v>9.5299999999999994</v>
      </c>
      <c r="CP842" s="103">
        <v>100</v>
      </c>
      <c r="CQ842" s="104">
        <v>0</v>
      </c>
      <c r="CR842" s="105">
        <v>0</v>
      </c>
      <c r="CS842" s="106">
        <v>4.5199999999999996</v>
      </c>
      <c r="CT842" s="107">
        <v>100</v>
      </c>
      <c r="CU842" s="108" t="s">
        <v>153</v>
      </c>
      <c r="CV842" s="109" t="s">
        <v>153</v>
      </c>
      <c r="CW842" s="110">
        <v>4.5199999999999996</v>
      </c>
      <c r="CX842" s="111">
        <v>93</v>
      </c>
      <c r="CY842" s="112" t="s">
        <v>153</v>
      </c>
      <c r="CZ842" s="113" t="s">
        <v>153</v>
      </c>
      <c r="DA842" s="114" t="s">
        <v>153</v>
      </c>
      <c r="DB842" s="115" t="s">
        <v>153</v>
      </c>
      <c r="DC842" s="116">
        <v>305.14999999999998</v>
      </c>
      <c r="DD842" s="117">
        <v>100</v>
      </c>
      <c r="DE842" s="118">
        <v>0</v>
      </c>
      <c r="DF842" s="119">
        <v>0</v>
      </c>
      <c r="DG842" s="120">
        <v>15.71</v>
      </c>
      <c r="DH842" s="121">
        <v>94</v>
      </c>
      <c r="DI842" s="122" t="s">
        <v>153</v>
      </c>
      <c r="DJ842" s="123" t="s">
        <v>153</v>
      </c>
      <c r="DK842" s="124">
        <v>15.71</v>
      </c>
      <c r="DL842" s="125">
        <v>89</v>
      </c>
      <c r="DM842" s="126" t="s">
        <v>153</v>
      </c>
      <c r="DN842" s="127" t="s">
        <v>153</v>
      </c>
      <c r="DO842" s="128" t="s">
        <v>153</v>
      </c>
      <c r="DP842" s="129" t="s">
        <v>153</v>
      </c>
      <c r="DQ842" s="130">
        <v>9233</v>
      </c>
      <c r="DR842" s="131">
        <v>295</v>
      </c>
      <c r="DS842" s="132">
        <v>3.3</v>
      </c>
      <c r="DT842" s="133" t="s">
        <v>153</v>
      </c>
      <c r="DU842" s="134" t="s">
        <v>153</v>
      </c>
      <c r="DV842" s="135" t="s">
        <v>153</v>
      </c>
      <c r="DW842" s="136" t="s">
        <v>153</v>
      </c>
      <c r="DX842" s="137" t="s">
        <v>153</v>
      </c>
      <c r="DY842" s="138" t="s">
        <v>153</v>
      </c>
      <c r="DZ842" s="139" t="s">
        <v>191</v>
      </c>
      <c r="EA842" s="140">
        <v>44380</v>
      </c>
      <c r="EB842" s="141">
        <v>8301.18</v>
      </c>
      <c r="EC842" s="142">
        <v>44369</v>
      </c>
      <c r="ED842" s="143" t="s">
        <v>188</v>
      </c>
      <c r="EE842" s="278" t="str">
        <f>HYPERLINK("https://my.pitchbook.com?c=61884-28", "View company online")</f>
        <v>View company online</v>
      </c>
    </row>
    <row r="843" spans="1:135" x14ac:dyDescent="0.45">
      <c r="A843" s="144" t="s">
        <v>16726</v>
      </c>
      <c r="B843" s="145" t="s">
        <v>16727</v>
      </c>
      <c r="C843" s="146" t="s">
        <v>153</v>
      </c>
      <c r="D843" s="147" t="s">
        <v>153</v>
      </c>
      <c r="E843" s="148" t="s">
        <v>153</v>
      </c>
      <c r="F843" s="149" t="s">
        <v>153</v>
      </c>
      <c r="G843" s="150" t="s">
        <v>16728</v>
      </c>
      <c r="H843" s="151" t="s">
        <v>153</v>
      </c>
      <c r="I843" s="152" t="s">
        <v>16726</v>
      </c>
      <c r="J843" s="153" t="s">
        <v>16729</v>
      </c>
      <c r="K843" s="154" t="s">
        <v>792</v>
      </c>
      <c r="L843" s="155" t="s">
        <v>841</v>
      </c>
      <c r="M843" s="156" t="s">
        <v>842</v>
      </c>
      <c r="N843" s="157" t="s">
        <v>16730</v>
      </c>
      <c r="O843" s="158" t="s">
        <v>796</v>
      </c>
      <c r="P843" s="159" t="s">
        <v>16731</v>
      </c>
      <c r="Q843" s="160" t="s">
        <v>204</v>
      </c>
      <c r="R843" s="161">
        <v>40.299999999999997</v>
      </c>
      <c r="S843" s="162" t="s">
        <v>290</v>
      </c>
      <c r="T843" s="163" t="s">
        <v>205</v>
      </c>
      <c r="U843" s="164" t="s">
        <v>237</v>
      </c>
      <c r="V843" s="165" t="s">
        <v>16732</v>
      </c>
      <c r="W843" s="166">
        <v>77</v>
      </c>
      <c r="X843" s="167" t="s">
        <v>16733</v>
      </c>
      <c r="Y843" s="168" t="s">
        <v>153</v>
      </c>
      <c r="Z843" s="169" t="s">
        <v>153</v>
      </c>
      <c r="AA843" s="170">
        <v>2001</v>
      </c>
      <c r="AB843" s="171" t="s">
        <v>153</v>
      </c>
      <c r="AC843" s="172" t="s">
        <v>153</v>
      </c>
      <c r="AD843" s="173" t="s">
        <v>153</v>
      </c>
      <c r="AE843" s="174" t="s">
        <v>153</v>
      </c>
      <c r="AF843" s="175" t="s">
        <v>153</v>
      </c>
      <c r="AG843" s="176" t="s">
        <v>153</v>
      </c>
      <c r="AH843" s="177" t="s">
        <v>153</v>
      </c>
      <c r="AI843" s="178" t="s">
        <v>153</v>
      </c>
      <c r="AJ843" s="179" t="s">
        <v>153</v>
      </c>
      <c r="AK843" s="180" t="s">
        <v>153</v>
      </c>
      <c r="AL843" s="181" t="s">
        <v>153</v>
      </c>
      <c r="AM843" s="182" t="s">
        <v>153</v>
      </c>
      <c r="AN843" s="183" t="s">
        <v>6347</v>
      </c>
      <c r="AO843" s="184" t="s">
        <v>16734</v>
      </c>
      <c r="AP843" s="185" t="s">
        <v>16735</v>
      </c>
      <c r="AQ843" s="186" t="s">
        <v>16736</v>
      </c>
      <c r="AR843" s="187" t="s">
        <v>16737</v>
      </c>
      <c r="AS843" s="188" t="s">
        <v>153</v>
      </c>
      <c r="AT843" s="189" t="s">
        <v>3419</v>
      </c>
      <c r="AU843" s="190" t="s">
        <v>16738</v>
      </c>
      <c r="AV843" s="191" t="s">
        <v>153</v>
      </c>
      <c r="AW843" s="192" t="s">
        <v>3422</v>
      </c>
      <c r="AX843" s="193" t="s">
        <v>3423</v>
      </c>
      <c r="AY843" s="194" t="s">
        <v>16739</v>
      </c>
      <c r="AZ843" s="195" t="s">
        <v>1358</v>
      </c>
      <c r="BA843" s="196" t="s">
        <v>153</v>
      </c>
      <c r="BB843" s="197" t="s">
        <v>153</v>
      </c>
      <c r="BC843" s="198" t="s">
        <v>153</v>
      </c>
      <c r="BD843" s="199" t="s">
        <v>216</v>
      </c>
      <c r="BE843" s="200" t="s">
        <v>217</v>
      </c>
      <c r="BF843" s="201" t="s">
        <v>16740</v>
      </c>
      <c r="BG843" s="202" t="s">
        <v>153</v>
      </c>
      <c r="BH843" s="203" t="s">
        <v>153</v>
      </c>
      <c r="BI843" s="204" t="s">
        <v>13911</v>
      </c>
      <c r="BJ843" s="205" t="s">
        <v>153</v>
      </c>
      <c r="BK843" s="206" t="s">
        <v>153</v>
      </c>
      <c r="BL843" s="207" t="s">
        <v>153</v>
      </c>
      <c r="BM843" s="208" t="s">
        <v>153</v>
      </c>
      <c r="BN843" s="209" t="s">
        <v>153</v>
      </c>
      <c r="BO843" s="210" t="s">
        <v>153</v>
      </c>
      <c r="BP843" s="211" t="s">
        <v>16741</v>
      </c>
      <c r="BQ843" s="212">
        <v>38020</v>
      </c>
      <c r="BR843" s="213">
        <v>40.299999999999997</v>
      </c>
      <c r="BS843" s="214" t="s">
        <v>186</v>
      </c>
      <c r="BT843" s="215">
        <v>321.58</v>
      </c>
      <c r="BU843" s="216" t="s">
        <v>187</v>
      </c>
      <c r="BV843" s="217" t="s">
        <v>251</v>
      </c>
      <c r="BW843" s="218" t="s">
        <v>153</v>
      </c>
      <c r="BX843" s="219" t="s">
        <v>153</v>
      </c>
      <c r="BY843" s="220" t="s">
        <v>252</v>
      </c>
      <c r="BZ843" s="221" t="s">
        <v>153</v>
      </c>
      <c r="CA843" s="222" t="s">
        <v>190</v>
      </c>
      <c r="CB843" s="223">
        <v>39643</v>
      </c>
      <c r="CC843" s="224">
        <v>5807.43</v>
      </c>
      <c r="CD843" s="225" t="s">
        <v>186</v>
      </c>
      <c r="CE843" s="226">
        <v>5807.43</v>
      </c>
      <c r="CF843" s="227" t="s">
        <v>186</v>
      </c>
      <c r="CG843" s="228" t="s">
        <v>226</v>
      </c>
      <c r="CH843" s="229" t="s">
        <v>153</v>
      </c>
      <c r="CI843" s="230" t="s">
        <v>153</v>
      </c>
      <c r="CJ843" s="231" t="s">
        <v>225</v>
      </c>
      <c r="CK843" s="232">
        <v>39643</v>
      </c>
      <c r="CL843" s="233" t="s">
        <v>153</v>
      </c>
      <c r="CM843" s="234" t="s">
        <v>153</v>
      </c>
      <c r="CN843" s="235" t="s">
        <v>190</v>
      </c>
      <c r="CO843" s="236" t="s">
        <v>153</v>
      </c>
      <c r="CP843" s="237" t="s">
        <v>153</v>
      </c>
      <c r="CQ843" s="238" t="s">
        <v>153</v>
      </c>
      <c r="CR843" s="239" t="s">
        <v>153</v>
      </c>
      <c r="CS843" s="240" t="s">
        <v>153</v>
      </c>
      <c r="CT843" s="241" t="s">
        <v>153</v>
      </c>
      <c r="CU843" s="242" t="s">
        <v>153</v>
      </c>
      <c r="CV843" s="243" t="s">
        <v>153</v>
      </c>
      <c r="CW843" s="244" t="s">
        <v>153</v>
      </c>
      <c r="CX843" s="245" t="s">
        <v>153</v>
      </c>
      <c r="CY843" s="246" t="s">
        <v>153</v>
      </c>
      <c r="CZ843" s="247" t="s">
        <v>153</v>
      </c>
      <c r="DA843" s="248" t="s">
        <v>153</v>
      </c>
      <c r="DB843" s="249" t="s">
        <v>153</v>
      </c>
      <c r="DC843" s="250" t="s">
        <v>153</v>
      </c>
      <c r="DD843" s="251" t="s">
        <v>153</v>
      </c>
      <c r="DE843" s="252" t="s">
        <v>153</v>
      </c>
      <c r="DF843" s="253" t="s">
        <v>153</v>
      </c>
      <c r="DG843" s="254" t="s">
        <v>153</v>
      </c>
      <c r="DH843" s="255" t="s">
        <v>153</v>
      </c>
      <c r="DI843" s="256" t="s">
        <v>153</v>
      </c>
      <c r="DJ843" s="257" t="s">
        <v>153</v>
      </c>
      <c r="DK843" s="258" t="s">
        <v>153</v>
      </c>
      <c r="DL843" s="259" t="s">
        <v>153</v>
      </c>
      <c r="DM843" s="260" t="s">
        <v>153</v>
      </c>
      <c r="DN843" s="261" t="s">
        <v>153</v>
      </c>
      <c r="DO843" s="262" t="s">
        <v>153</v>
      </c>
      <c r="DP843" s="263" t="s">
        <v>153</v>
      </c>
      <c r="DQ843" s="264" t="s">
        <v>153</v>
      </c>
      <c r="DR843" s="265" t="s">
        <v>153</v>
      </c>
      <c r="DS843" s="266" t="s">
        <v>153</v>
      </c>
      <c r="DT843" s="267" t="s">
        <v>153</v>
      </c>
      <c r="DU843" s="268" t="s">
        <v>153</v>
      </c>
      <c r="DV843" s="269" t="s">
        <v>153</v>
      </c>
      <c r="DW843" s="270" t="s">
        <v>153</v>
      </c>
      <c r="DX843" s="271" t="s">
        <v>153</v>
      </c>
      <c r="DY843" s="272" t="s">
        <v>153</v>
      </c>
      <c r="DZ843" s="273" t="s">
        <v>191</v>
      </c>
      <c r="EA843" s="274">
        <v>43940</v>
      </c>
      <c r="EB843" s="275">
        <v>5807.43</v>
      </c>
      <c r="EC843" s="276">
        <v>39643</v>
      </c>
      <c r="ED843" s="277" t="s">
        <v>226</v>
      </c>
      <c r="EE843" s="279" t="str">
        <f>HYPERLINK("https://my.pitchbook.com?c=151686-46", "View company online")</f>
        <v>View company online</v>
      </c>
    </row>
    <row r="844" spans="1:135" x14ac:dyDescent="0.45">
      <c r="A844" s="10" t="s">
        <v>16742</v>
      </c>
      <c r="B844" s="11" t="s">
        <v>16743</v>
      </c>
      <c r="C844" s="12" t="s">
        <v>153</v>
      </c>
      <c r="D844" s="13" t="s">
        <v>153</v>
      </c>
      <c r="E844" s="14" t="s">
        <v>153</v>
      </c>
      <c r="F844" s="15" t="s">
        <v>16744</v>
      </c>
      <c r="G844" s="16" t="s">
        <v>16745</v>
      </c>
      <c r="H844" s="17" t="s">
        <v>16746</v>
      </c>
      <c r="I844" s="18" t="s">
        <v>16742</v>
      </c>
      <c r="J844" s="19" t="s">
        <v>16747</v>
      </c>
      <c r="K844" s="20" t="s">
        <v>792</v>
      </c>
      <c r="L844" s="21" t="s">
        <v>793</v>
      </c>
      <c r="M844" s="22" t="s">
        <v>1117</v>
      </c>
      <c r="N844" s="23" t="s">
        <v>16748</v>
      </c>
      <c r="O844" s="24" t="s">
        <v>796</v>
      </c>
      <c r="P844" s="25" t="s">
        <v>16749</v>
      </c>
      <c r="Q844" s="26" t="s">
        <v>162</v>
      </c>
      <c r="R844" s="27" t="s">
        <v>153</v>
      </c>
      <c r="S844" s="28" t="s">
        <v>290</v>
      </c>
      <c r="T844" s="29" t="s">
        <v>205</v>
      </c>
      <c r="U844" s="30" t="s">
        <v>2000</v>
      </c>
      <c r="V844" s="31" t="s">
        <v>16750</v>
      </c>
      <c r="W844" s="32">
        <v>1800</v>
      </c>
      <c r="X844" s="33" t="s">
        <v>16751</v>
      </c>
      <c r="Y844" s="34" t="s">
        <v>153</v>
      </c>
      <c r="Z844" s="35" t="s">
        <v>153</v>
      </c>
      <c r="AA844" s="36">
        <v>2004</v>
      </c>
      <c r="AB844" s="37" t="s">
        <v>153</v>
      </c>
      <c r="AC844" s="38" t="s">
        <v>153</v>
      </c>
      <c r="AD844" s="39" t="s">
        <v>153</v>
      </c>
      <c r="AE844" s="40" t="s">
        <v>153</v>
      </c>
      <c r="AF844" s="41" t="s">
        <v>153</v>
      </c>
      <c r="AG844" s="42" t="s">
        <v>153</v>
      </c>
      <c r="AH844" s="43" t="s">
        <v>153</v>
      </c>
      <c r="AI844" s="44" t="s">
        <v>153</v>
      </c>
      <c r="AJ844" s="45" t="s">
        <v>153</v>
      </c>
      <c r="AK844" s="46" t="s">
        <v>153</v>
      </c>
      <c r="AL844" s="47" t="s">
        <v>153</v>
      </c>
      <c r="AM844" s="48" t="s">
        <v>153</v>
      </c>
      <c r="AN844" s="49" t="s">
        <v>456</v>
      </c>
      <c r="AO844" s="50" t="s">
        <v>16752</v>
      </c>
      <c r="AP844" s="51" t="s">
        <v>16753</v>
      </c>
      <c r="AQ844" s="52" t="s">
        <v>171</v>
      </c>
      <c r="AR844" s="53" t="s">
        <v>153</v>
      </c>
      <c r="AS844" s="54" t="s">
        <v>16754</v>
      </c>
      <c r="AT844" s="55" t="s">
        <v>3175</v>
      </c>
      <c r="AU844" s="56" t="s">
        <v>16755</v>
      </c>
      <c r="AV844" s="57" t="s">
        <v>153</v>
      </c>
      <c r="AW844" s="58" t="s">
        <v>3178</v>
      </c>
      <c r="AX844" s="59" t="s">
        <v>3177</v>
      </c>
      <c r="AY844" s="60" t="s">
        <v>16756</v>
      </c>
      <c r="AZ844" s="61" t="s">
        <v>701</v>
      </c>
      <c r="BA844" s="62" t="s">
        <v>16754</v>
      </c>
      <c r="BB844" s="63" t="s">
        <v>153</v>
      </c>
      <c r="BC844" s="64" t="s">
        <v>16757</v>
      </c>
      <c r="BD844" s="65" t="s">
        <v>180</v>
      </c>
      <c r="BE844" s="66" t="s">
        <v>181</v>
      </c>
      <c r="BF844" s="67" t="s">
        <v>16758</v>
      </c>
      <c r="BG844" s="68" t="s">
        <v>153</v>
      </c>
      <c r="BH844" s="69" t="s">
        <v>153</v>
      </c>
      <c r="BI844" s="70" t="s">
        <v>16759</v>
      </c>
      <c r="BJ844" s="71" t="s">
        <v>8447</v>
      </c>
      <c r="BK844" s="72" t="s">
        <v>16760</v>
      </c>
      <c r="BL844" s="73" t="s">
        <v>153</v>
      </c>
      <c r="BM844" s="74" t="s">
        <v>16761</v>
      </c>
      <c r="BN844" s="75" t="s">
        <v>16762</v>
      </c>
      <c r="BO844" s="76" t="s">
        <v>153</v>
      </c>
      <c r="BP844" s="77" t="s">
        <v>16763</v>
      </c>
      <c r="BQ844" s="78">
        <v>40897</v>
      </c>
      <c r="BR844" s="79">
        <v>3200</v>
      </c>
      <c r="BS844" s="80" t="s">
        <v>186</v>
      </c>
      <c r="BT844" s="81">
        <v>10666.67</v>
      </c>
      <c r="BU844" s="82" t="s">
        <v>186</v>
      </c>
      <c r="BV844" s="83" t="s">
        <v>906</v>
      </c>
      <c r="BW844" s="84" t="s">
        <v>153</v>
      </c>
      <c r="BX844" s="85" t="s">
        <v>153</v>
      </c>
      <c r="BY844" s="86" t="s">
        <v>165</v>
      </c>
      <c r="BZ844" s="87" t="s">
        <v>153</v>
      </c>
      <c r="CA844" s="88" t="s">
        <v>190</v>
      </c>
      <c r="CB844" s="89">
        <v>43146</v>
      </c>
      <c r="CC844" s="90">
        <v>5802.96</v>
      </c>
      <c r="CD844" s="91" t="s">
        <v>186</v>
      </c>
      <c r="CE844" s="92">
        <v>5802.96</v>
      </c>
      <c r="CF844" s="93" t="s">
        <v>186</v>
      </c>
      <c r="CG844" s="94" t="s">
        <v>188</v>
      </c>
      <c r="CH844" s="95" t="s">
        <v>189</v>
      </c>
      <c r="CI844" s="96" t="s">
        <v>729</v>
      </c>
      <c r="CJ844" s="97" t="s">
        <v>165</v>
      </c>
      <c r="CK844" s="98">
        <v>43146</v>
      </c>
      <c r="CL844" s="99" t="s">
        <v>153</v>
      </c>
      <c r="CM844" s="100" t="s">
        <v>153</v>
      </c>
      <c r="CN844" s="101" t="s">
        <v>190</v>
      </c>
      <c r="CO844" s="102" t="s">
        <v>153</v>
      </c>
      <c r="CP844" s="103" t="s">
        <v>153</v>
      </c>
      <c r="CQ844" s="104" t="s">
        <v>153</v>
      </c>
      <c r="CR844" s="105" t="s">
        <v>153</v>
      </c>
      <c r="CS844" s="106" t="s">
        <v>153</v>
      </c>
      <c r="CT844" s="107" t="s">
        <v>153</v>
      </c>
      <c r="CU844" s="108" t="s">
        <v>153</v>
      </c>
      <c r="CV844" s="109" t="s">
        <v>153</v>
      </c>
      <c r="CW844" s="110" t="s">
        <v>153</v>
      </c>
      <c r="CX844" s="111" t="s">
        <v>153</v>
      </c>
      <c r="CY844" s="112" t="s">
        <v>153</v>
      </c>
      <c r="CZ844" s="113" t="s">
        <v>153</v>
      </c>
      <c r="DA844" s="114" t="s">
        <v>153</v>
      </c>
      <c r="DB844" s="115" t="s">
        <v>153</v>
      </c>
      <c r="DC844" s="116" t="s">
        <v>153</v>
      </c>
      <c r="DD844" s="117" t="s">
        <v>153</v>
      </c>
      <c r="DE844" s="118" t="s">
        <v>153</v>
      </c>
      <c r="DF844" s="119" t="s">
        <v>153</v>
      </c>
      <c r="DG844" s="120" t="s">
        <v>153</v>
      </c>
      <c r="DH844" s="121" t="s">
        <v>153</v>
      </c>
      <c r="DI844" s="122" t="s">
        <v>153</v>
      </c>
      <c r="DJ844" s="123" t="s">
        <v>153</v>
      </c>
      <c r="DK844" s="124" t="s">
        <v>153</v>
      </c>
      <c r="DL844" s="125" t="s">
        <v>153</v>
      </c>
      <c r="DM844" s="126" t="s">
        <v>153</v>
      </c>
      <c r="DN844" s="127" t="s">
        <v>153</v>
      </c>
      <c r="DO844" s="128" t="s">
        <v>153</v>
      </c>
      <c r="DP844" s="129" t="s">
        <v>153</v>
      </c>
      <c r="DQ844" s="130" t="s">
        <v>153</v>
      </c>
      <c r="DR844" s="131" t="s">
        <v>153</v>
      </c>
      <c r="DS844" s="132" t="s">
        <v>153</v>
      </c>
      <c r="DT844" s="133" t="s">
        <v>153</v>
      </c>
      <c r="DU844" s="134" t="s">
        <v>153</v>
      </c>
      <c r="DV844" s="135" t="s">
        <v>153</v>
      </c>
      <c r="DW844" s="136" t="s">
        <v>153</v>
      </c>
      <c r="DX844" s="137" t="s">
        <v>153</v>
      </c>
      <c r="DY844" s="138" t="s">
        <v>153</v>
      </c>
      <c r="DZ844" s="139" t="s">
        <v>191</v>
      </c>
      <c r="EA844" s="140">
        <v>44392</v>
      </c>
      <c r="EB844" s="141">
        <v>5802.96</v>
      </c>
      <c r="EC844" s="142">
        <v>43146</v>
      </c>
      <c r="ED844" s="143" t="s">
        <v>188</v>
      </c>
      <c r="EE844" s="278" t="str">
        <f>HYPERLINK("https://my.pitchbook.com?c=125984-53", "View company online")</f>
        <v>View company online</v>
      </c>
    </row>
    <row r="845" spans="1:135" x14ac:dyDescent="0.45">
      <c r="A845" s="144" t="s">
        <v>16764</v>
      </c>
      <c r="B845" s="145" t="s">
        <v>16765</v>
      </c>
      <c r="C845" s="146" t="s">
        <v>153</v>
      </c>
      <c r="D845" s="147" t="s">
        <v>153</v>
      </c>
      <c r="E845" s="148" t="s">
        <v>153</v>
      </c>
      <c r="F845" s="149" t="s">
        <v>153</v>
      </c>
      <c r="G845" s="150" t="s">
        <v>153</v>
      </c>
      <c r="H845" s="151" t="s">
        <v>153</v>
      </c>
      <c r="I845" s="152" t="s">
        <v>16764</v>
      </c>
      <c r="J845" s="153" t="s">
        <v>16766</v>
      </c>
      <c r="K845" s="154" t="s">
        <v>792</v>
      </c>
      <c r="L845" s="155" t="s">
        <v>841</v>
      </c>
      <c r="M845" s="156" t="s">
        <v>2326</v>
      </c>
      <c r="N845" s="157" t="s">
        <v>2327</v>
      </c>
      <c r="O845" s="158" t="s">
        <v>796</v>
      </c>
      <c r="P845" s="159" t="s">
        <v>16767</v>
      </c>
      <c r="Q845" s="160" t="s">
        <v>204</v>
      </c>
      <c r="R845" s="161" t="s">
        <v>153</v>
      </c>
      <c r="S845" s="162" t="s">
        <v>163</v>
      </c>
      <c r="T845" s="163" t="s">
        <v>1392</v>
      </c>
      <c r="U845" s="164" t="s">
        <v>206</v>
      </c>
      <c r="V845" s="165" t="s">
        <v>153</v>
      </c>
      <c r="W845" s="166" t="s">
        <v>153</v>
      </c>
      <c r="X845" s="167" t="s">
        <v>153</v>
      </c>
      <c r="Y845" s="168" t="s">
        <v>153</v>
      </c>
      <c r="Z845" s="169" t="s">
        <v>153</v>
      </c>
      <c r="AA845" s="170">
        <v>1999</v>
      </c>
      <c r="AB845" s="171" t="s">
        <v>153</v>
      </c>
      <c r="AC845" s="172" t="s">
        <v>153</v>
      </c>
      <c r="AD845" s="173" t="s">
        <v>153</v>
      </c>
      <c r="AE845" s="174" t="s">
        <v>153</v>
      </c>
      <c r="AF845" s="175" t="s">
        <v>153</v>
      </c>
      <c r="AG845" s="176" t="s">
        <v>153</v>
      </c>
      <c r="AH845" s="177" t="s">
        <v>153</v>
      </c>
      <c r="AI845" s="178" t="s">
        <v>153</v>
      </c>
      <c r="AJ845" s="179" t="s">
        <v>153</v>
      </c>
      <c r="AK845" s="180" t="s">
        <v>153</v>
      </c>
      <c r="AL845" s="181" t="s">
        <v>153</v>
      </c>
      <c r="AM845" s="182" t="s">
        <v>153</v>
      </c>
      <c r="AN845" s="183" t="s">
        <v>153</v>
      </c>
      <c r="AO845" s="184" t="s">
        <v>16768</v>
      </c>
      <c r="AP845" s="185" t="s">
        <v>16769</v>
      </c>
      <c r="AQ845" s="186" t="s">
        <v>171</v>
      </c>
      <c r="AR845" s="187" t="s">
        <v>16770</v>
      </c>
      <c r="AS845" s="188" t="s">
        <v>16771</v>
      </c>
      <c r="AT845" s="189" t="s">
        <v>244</v>
      </c>
      <c r="AU845" s="190" t="s">
        <v>16772</v>
      </c>
      <c r="AV845" s="191" t="s">
        <v>153</v>
      </c>
      <c r="AW845" s="192" t="s">
        <v>246</v>
      </c>
      <c r="AX845" s="193" t="s">
        <v>153</v>
      </c>
      <c r="AY845" s="194" t="s">
        <v>153</v>
      </c>
      <c r="AZ845" s="195" t="s">
        <v>247</v>
      </c>
      <c r="BA845" s="196" t="s">
        <v>16771</v>
      </c>
      <c r="BB845" s="197" t="s">
        <v>16773</v>
      </c>
      <c r="BC845" s="198" t="s">
        <v>153</v>
      </c>
      <c r="BD845" s="199" t="s">
        <v>248</v>
      </c>
      <c r="BE845" s="200" t="s">
        <v>248</v>
      </c>
      <c r="BF845" s="201" t="s">
        <v>16774</v>
      </c>
      <c r="BG845" s="202" t="s">
        <v>16775</v>
      </c>
      <c r="BH845" s="203">
        <v>2</v>
      </c>
      <c r="BI845" s="204" t="s">
        <v>153</v>
      </c>
      <c r="BJ845" s="205" t="s">
        <v>153</v>
      </c>
      <c r="BK845" s="206" t="s">
        <v>153</v>
      </c>
      <c r="BL845" s="207" t="s">
        <v>16776</v>
      </c>
      <c r="BM845" s="208" t="s">
        <v>153</v>
      </c>
      <c r="BN845" s="209" t="s">
        <v>153</v>
      </c>
      <c r="BO845" s="210" t="s">
        <v>153</v>
      </c>
      <c r="BP845" s="211" t="s">
        <v>16777</v>
      </c>
      <c r="BQ845" s="212">
        <v>43495</v>
      </c>
      <c r="BR845" s="213">
        <v>5800</v>
      </c>
      <c r="BS845" s="214" t="s">
        <v>187</v>
      </c>
      <c r="BT845" s="215">
        <v>16571.419999999998</v>
      </c>
      <c r="BU845" s="216" t="s">
        <v>187</v>
      </c>
      <c r="BV845" s="217" t="s">
        <v>225</v>
      </c>
      <c r="BW845" s="218" t="s">
        <v>225</v>
      </c>
      <c r="BX845" s="219" t="s">
        <v>153</v>
      </c>
      <c r="BY845" s="220" t="s">
        <v>225</v>
      </c>
      <c r="BZ845" s="221" t="s">
        <v>153</v>
      </c>
      <c r="CA845" s="222" t="s">
        <v>190</v>
      </c>
      <c r="CB845" s="223">
        <v>43495</v>
      </c>
      <c r="CC845" s="224">
        <v>5800</v>
      </c>
      <c r="CD845" s="225" t="s">
        <v>187</v>
      </c>
      <c r="CE845" s="226">
        <v>16571.419999999998</v>
      </c>
      <c r="CF845" s="227" t="s">
        <v>187</v>
      </c>
      <c r="CG845" s="228" t="s">
        <v>225</v>
      </c>
      <c r="CH845" s="229" t="s">
        <v>225</v>
      </c>
      <c r="CI845" s="230" t="s">
        <v>153</v>
      </c>
      <c r="CJ845" s="231" t="s">
        <v>225</v>
      </c>
      <c r="CK845" s="232">
        <v>43495</v>
      </c>
      <c r="CL845" s="233" t="s">
        <v>153</v>
      </c>
      <c r="CM845" s="234" t="s">
        <v>153</v>
      </c>
      <c r="CN845" s="235" t="s">
        <v>190</v>
      </c>
      <c r="CO845" s="236" t="s">
        <v>153</v>
      </c>
      <c r="CP845" s="237" t="s">
        <v>153</v>
      </c>
      <c r="CQ845" s="238" t="s">
        <v>153</v>
      </c>
      <c r="CR845" s="239" t="s">
        <v>153</v>
      </c>
      <c r="CS845" s="240" t="s">
        <v>153</v>
      </c>
      <c r="CT845" s="241" t="s">
        <v>153</v>
      </c>
      <c r="CU845" s="242" t="s">
        <v>153</v>
      </c>
      <c r="CV845" s="243" t="s">
        <v>153</v>
      </c>
      <c r="CW845" s="244" t="s">
        <v>153</v>
      </c>
      <c r="CX845" s="245" t="s">
        <v>153</v>
      </c>
      <c r="CY845" s="246" t="s">
        <v>153</v>
      </c>
      <c r="CZ845" s="247" t="s">
        <v>153</v>
      </c>
      <c r="DA845" s="248" t="s">
        <v>153</v>
      </c>
      <c r="DB845" s="249" t="s">
        <v>153</v>
      </c>
      <c r="DC845" s="250" t="s">
        <v>153</v>
      </c>
      <c r="DD845" s="251" t="s">
        <v>153</v>
      </c>
      <c r="DE845" s="252" t="s">
        <v>153</v>
      </c>
      <c r="DF845" s="253" t="s">
        <v>153</v>
      </c>
      <c r="DG845" s="254" t="s">
        <v>153</v>
      </c>
      <c r="DH845" s="255" t="s">
        <v>153</v>
      </c>
      <c r="DI845" s="256" t="s">
        <v>153</v>
      </c>
      <c r="DJ845" s="257" t="s">
        <v>153</v>
      </c>
      <c r="DK845" s="258" t="s">
        <v>153</v>
      </c>
      <c r="DL845" s="259" t="s">
        <v>153</v>
      </c>
      <c r="DM845" s="260" t="s">
        <v>153</v>
      </c>
      <c r="DN845" s="261" t="s">
        <v>153</v>
      </c>
      <c r="DO845" s="262" t="s">
        <v>153</v>
      </c>
      <c r="DP845" s="263" t="s">
        <v>153</v>
      </c>
      <c r="DQ845" s="264" t="s">
        <v>153</v>
      </c>
      <c r="DR845" s="265" t="s">
        <v>153</v>
      </c>
      <c r="DS845" s="266" t="s">
        <v>153</v>
      </c>
      <c r="DT845" s="267" t="s">
        <v>153</v>
      </c>
      <c r="DU845" s="268" t="s">
        <v>153</v>
      </c>
      <c r="DV845" s="269" t="s">
        <v>153</v>
      </c>
      <c r="DW845" s="270" t="s">
        <v>153</v>
      </c>
      <c r="DX845" s="271" t="s">
        <v>153</v>
      </c>
      <c r="DY845" s="272" t="s">
        <v>153</v>
      </c>
      <c r="DZ845" s="273" t="s">
        <v>191</v>
      </c>
      <c r="EA845" s="274">
        <v>43951</v>
      </c>
      <c r="EB845" s="275">
        <v>16571.419999999998</v>
      </c>
      <c r="EC845" s="276">
        <v>43495</v>
      </c>
      <c r="ED845" s="277" t="s">
        <v>225</v>
      </c>
      <c r="EE845" s="279" t="str">
        <f>HYPERLINK("https://my.pitchbook.com?c=265000-78", "View company online")</f>
        <v>View company online</v>
      </c>
    </row>
    <row r="846" spans="1:135" x14ac:dyDescent="0.45">
      <c r="A846" s="10" t="s">
        <v>16778</v>
      </c>
      <c r="B846" s="11" t="s">
        <v>16779</v>
      </c>
      <c r="C846" s="12" t="s">
        <v>153</v>
      </c>
      <c r="D846" s="13" t="s">
        <v>153</v>
      </c>
      <c r="E846" s="14" t="s">
        <v>16780</v>
      </c>
      <c r="F846" s="15" t="s">
        <v>16781</v>
      </c>
      <c r="G846" s="16" t="s">
        <v>16782</v>
      </c>
      <c r="H846" s="17" t="s">
        <v>153</v>
      </c>
      <c r="I846" s="18" t="s">
        <v>16778</v>
      </c>
      <c r="J846" s="19" t="s">
        <v>16783</v>
      </c>
      <c r="K846" s="20" t="s">
        <v>157</v>
      </c>
      <c r="L846" s="21" t="s">
        <v>158</v>
      </c>
      <c r="M846" s="22" t="s">
        <v>159</v>
      </c>
      <c r="N846" s="23" t="s">
        <v>3093</v>
      </c>
      <c r="O846" s="24" t="s">
        <v>153</v>
      </c>
      <c r="P846" s="25" t="s">
        <v>16784</v>
      </c>
      <c r="Q846" s="26" t="s">
        <v>204</v>
      </c>
      <c r="R846" s="27">
        <v>607.29999999999995</v>
      </c>
      <c r="S846" s="28" t="s">
        <v>290</v>
      </c>
      <c r="T846" s="29" t="s">
        <v>205</v>
      </c>
      <c r="U846" s="30" t="s">
        <v>237</v>
      </c>
      <c r="V846" s="31" t="s">
        <v>16785</v>
      </c>
      <c r="W846" s="32" t="s">
        <v>153</v>
      </c>
      <c r="X846" s="33" t="s">
        <v>153</v>
      </c>
      <c r="Y846" s="34" t="s">
        <v>153</v>
      </c>
      <c r="Z846" s="35" t="s">
        <v>153</v>
      </c>
      <c r="AA846" s="36" t="s">
        <v>153</v>
      </c>
      <c r="AB846" s="37" t="s">
        <v>12141</v>
      </c>
      <c r="AC846" s="38" t="s">
        <v>153</v>
      </c>
      <c r="AD846" s="39" t="s">
        <v>153</v>
      </c>
      <c r="AE846" s="40" t="s">
        <v>153</v>
      </c>
      <c r="AF846" s="41" t="s">
        <v>153</v>
      </c>
      <c r="AG846" s="42" t="s">
        <v>153</v>
      </c>
      <c r="AH846" s="43" t="s">
        <v>153</v>
      </c>
      <c r="AI846" s="44" t="s">
        <v>153</v>
      </c>
      <c r="AJ846" s="45" t="s">
        <v>153</v>
      </c>
      <c r="AK846" s="46" t="s">
        <v>153</v>
      </c>
      <c r="AL846" s="47" t="s">
        <v>153</v>
      </c>
      <c r="AM846" s="48" t="s">
        <v>153</v>
      </c>
      <c r="AN846" s="49" t="s">
        <v>153</v>
      </c>
      <c r="AO846" s="50" t="s">
        <v>153</v>
      </c>
      <c r="AP846" s="51" t="s">
        <v>153</v>
      </c>
      <c r="AQ846" s="52" t="s">
        <v>153</v>
      </c>
      <c r="AR846" s="53" t="s">
        <v>153</v>
      </c>
      <c r="AS846" s="54" t="s">
        <v>153</v>
      </c>
      <c r="AT846" s="55" t="s">
        <v>433</v>
      </c>
      <c r="AU846" s="56" t="s">
        <v>16786</v>
      </c>
      <c r="AV846" s="57" t="s">
        <v>16787</v>
      </c>
      <c r="AW846" s="58" t="s">
        <v>436</v>
      </c>
      <c r="AX846" s="59" t="s">
        <v>436</v>
      </c>
      <c r="AY846" s="60" t="s">
        <v>16788</v>
      </c>
      <c r="AZ846" s="61" t="s">
        <v>215</v>
      </c>
      <c r="BA846" s="62" t="s">
        <v>16789</v>
      </c>
      <c r="BB846" s="63" t="s">
        <v>153</v>
      </c>
      <c r="BC846" s="64" t="s">
        <v>16790</v>
      </c>
      <c r="BD846" s="65" t="s">
        <v>216</v>
      </c>
      <c r="BE846" s="66" t="s">
        <v>217</v>
      </c>
      <c r="BF846" s="67" t="s">
        <v>16791</v>
      </c>
      <c r="BG846" s="68" t="s">
        <v>153</v>
      </c>
      <c r="BH846" s="69" t="s">
        <v>153</v>
      </c>
      <c r="BI846" s="70" t="s">
        <v>12141</v>
      </c>
      <c r="BJ846" s="71" t="s">
        <v>153</v>
      </c>
      <c r="BK846" s="72" t="s">
        <v>153</v>
      </c>
      <c r="BL846" s="73" t="s">
        <v>153</v>
      </c>
      <c r="BM846" s="74" t="s">
        <v>153</v>
      </c>
      <c r="BN846" s="75" t="s">
        <v>153</v>
      </c>
      <c r="BO846" s="76" t="s">
        <v>153</v>
      </c>
      <c r="BP846" s="77" t="s">
        <v>16792</v>
      </c>
      <c r="BQ846" s="78">
        <v>39814</v>
      </c>
      <c r="BR846" s="79">
        <v>607.29999999999995</v>
      </c>
      <c r="BS846" s="80" t="s">
        <v>186</v>
      </c>
      <c r="BT846" s="81" t="s">
        <v>153</v>
      </c>
      <c r="BU846" s="82" t="s">
        <v>153</v>
      </c>
      <c r="BV846" s="83" t="s">
        <v>251</v>
      </c>
      <c r="BW846" s="84" t="s">
        <v>153</v>
      </c>
      <c r="BX846" s="85" t="s">
        <v>153</v>
      </c>
      <c r="BY846" s="86" t="s">
        <v>252</v>
      </c>
      <c r="BZ846" s="87" t="s">
        <v>153</v>
      </c>
      <c r="CA846" s="88" t="s">
        <v>190</v>
      </c>
      <c r="CB846" s="89">
        <v>42355</v>
      </c>
      <c r="CC846" s="90">
        <v>5800</v>
      </c>
      <c r="CD846" s="91" t="s">
        <v>186</v>
      </c>
      <c r="CE846" s="92">
        <v>5800</v>
      </c>
      <c r="CF846" s="93" t="s">
        <v>186</v>
      </c>
      <c r="CG846" s="94" t="s">
        <v>226</v>
      </c>
      <c r="CH846" s="95" t="s">
        <v>153</v>
      </c>
      <c r="CI846" s="96" t="s">
        <v>153</v>
      </c>
      <c r="CJ846" s="97" t="s">
        <v>225</v>
      </c>
      <c r="CK846" s="98">
        <v>42355</v>
      </c>
      <c r="CL846" s="99" t="s">
        <v>153</v>
      </c>
      <c r="CM846" s="100" t="s">
        <v>153</v>
      </c>
      <c r="CN846" s="101" t="s">
        <v>190</v>
      </c>
      <c r="CO846" s="102" t="s">
        <v>153</v>
      </c>
      <c r="CP846" s="103" t="s">
        <v>153</v>
      </c>
      <c r="CQ846" s="104" t="s">
        <v>153</v>
      </c>
      <c r="CR846" s="105" t="s">
        <v>153</v>
      </c>
      <c r="CS846" s="106" t="s">
        <v>153</v>
      </c>
      <c r="CT846" s="107" t="s">
        <v>153</v>
      </c>
      <c r="CU846" s="108" t="s">
        <v>153</v>
      </c>
      <c r="CV846" s="109" t="s">
        <v>153</v>
      </c>
      <c r="CW846" s="110" t="s">
        <v>153</v>
      </c>
      <c r="CX846" s="111" t="s">
        <v>153</v>
      </c>
      <c r="CY846" s="112" t="s">
        <v>153</v>
      </c>
      <c r="CZ846" s="113" t="s">
        <v>153</v>
      </c>
      <c r="DA846" s="114" t="s">
        <v>153</v>
      </c>
      <c r="DB846" s="115" t="s">
        <v>153</v>
      </c>
      <c r="DC846" s="116" t="s">
        <v>153</v>
      </c>
      <c r="DD846" s="117" t="s">
        <v>153</v>
      </c>
      <c r="DE846" s="118" t="s">
        <v>153</v>
      </c>
      <c r="DF846" s="119" t="s">
        <v>153</v>
      </c>
      <c r="DG846" s="120" t="s">
        <v>153</v>
      </c>
      <c r="DH846" s="121" t="s">
        <v>153</v>
      </c>
      <c r="DI846" s="122" t="s">
        <v>153</v>
      </c>
      <c r="DJ846" s="123" t="s">
        <v>153</v>
      </c>
      <c r="DK846" s="124" t="s">
        <v>153</v>
      </c>
      <c r="DL846" s="125" t="s">
        <v>153</v>
      </c>
      <c r="DM846" s="126" t="s">
        <v>153</v>
      </c>
      <c r="DN846" s="127" t="s">
        <v>153</v>
      </c>
      <c r="DO846" s="128" t="s">
        <v>153</v>
      </c>
      <c r="DP846" s="129" t="s">
        <v>153</v>
      </c>
      <c r="DQ846" s="130" t="s">
        <v>153</v>
      </c>
      <c r="DR846" s="131" t="s">
        <v>153</v>
      </c>
      <c r="DS846" s="132" t="s">
        <v>153</v>
      </c>
      <c r="DT846" s="133" t="s">
        <v>153</v>
      </c>
      <c r="DU846" s="134" t="s">
        <v>153</v>
      </c>
      <c r="DV846" s="135" t="s">
        <v>153</v>
      </c>
      <c r="DW846" s="136" t="s">
        <v>153</v>
      </c>
      <c r="DX846" s="137" t="s">
        <v>153</v>
      </c>
      <c r="DY846" s="138" t="s">
        <v>153</v>
      </c>
      <c r="DZ846" s="139" t="s">
        <v>191</v>
      </c>
      <c r="EA846" s="140">
        <v>44147</v>
      </c>
      <c r="EB846" s="141">
        <v>5800</v>
      </c>
      <c r="EC846" s="142">
        <v>42355</v>
      </c>
      <c r="ED846" s="143" t="s">
        <v>226</v>
      </c>
      <c r="EE846" s="278" t="str">
        <f>HYPERLINK("https://my.pitchbook.com?c=59390-56", "View company online")</f>
        <v>View company online</v>
      </c>
    </row>
    <row r="847" spans="1:135" x14ac:dyDescent="0.45">
      <c r="A847" s="144" t="s">
        <v>16793</v>
      </c>
      <c r="B847" s="145" t="s">
        <v>16794</v>
      </c>
      <c r="C847" s="146" t="s">
        <v>153</v>
      </c>
      <c r="D847" s="147" t="s">
        <v>153</v>
      </c>
      <c r="E847" s="148" t="s">
        <v>153</v>
      </c>
      <c r="F847" s="149" t="s">
        <v>153</v>
      </c>
      <c r="G847" s="150" t="s">
        <v>16795</v>
      </c>
      <c r="H847" s="151" t="s">
        <v>153</v>
      </c>
      <c r="I847" s="152" t="s">
        <v>16793</v>
      </c>
      <c r="J847" s="153" t="s">
        <v>16796</v>
      </c>
      <c r="K847" s="154" t="s">
        <v>232</v>
      </c>
      <c r="L847" s="155" t="s">
        <v>233</v>
      </c>
      <c r="M847" s="156" t="s">
        <v>3219</v>
      </c>
      <c r="N847" s="157" t="s">
        <v>16797</v>
      </c>
      <c r="O847" s="158" t="s">
        <v>153</v>
      </c>
      <c r="P847" s="159" t="s">
        <v>16798</v>
      </c>
      <c r="Q847" s="160" t="s">
        <v>564</v>
      </c>
      <c r="R847" s="161" t="s">
        <v>153</v>
      </c>
      <c r="S847" s="162" t="s">
        <v>290</v>
      </c>
      <c r="T847" s="163" t="s">
        <v>205</v>
      </c>
      <c r="U847" s="164" t="s">
        <v>565</v>
      </c>
      <c r="V847" s="165" t="s">
        <v>153</v>
      </c>
      <c r="W847" s="166">
        <v>8800</v>
      </c>
      <c r="X847" s="167" t="s">
        <v>16799</v>
      </c>
      <c r="Y847" s="168" t="s">
        <v>153</v>
      </c>
      <c r="Z847" s="169" t="s">
        <v>153</v>
      </c>
      <c r="AA847" s="170" t="s">
        <v>153</v>
      </c>
      <c r="AB847" s="171" t="s">
        <v>7293</v>
      </c>
      <c r="AC847" s="172" t="s">
        <v>153</v>
      </c>
      <c r="AD847" s="173" t="s">
        <v>153</v>
      </c>
      <c r="AE847" s="174" t="s">
        <v>153</v>
      </c>
      <c r="AF847" s="175" t="s">
        <v>153</v>
      </c>
      <c r="AG847" s="176" t="s">
        <v>153</v>
      </c>
      <c r="AH847" s="177" t="s">
        <v>153</v>
      </c>
      <c r="AI847" s="178" t="s">
        <v>153</v>
      </c>
      <c r="AJ847" s="179" t="s">
        <v>153</v>
      </c>
      <c r="AK847" s="180" t="s">
        <v>153</v>
      </c>
      <c r="AL847" s="181" t="s">
        <v>153</v>
      </c>
      <c r="AM847" s="182" t="s">
        <v>153</v>
      </c>
      <c r="AN847" s="183" t="s">
        <v>16800</v>
      </c>
      <c r="AO847" s="184" t="s">
        <v>153</v>
      </c>
      <c r="AP847" s="185" t="s">
        <v>153</v>
      </c>
      <c r="AQ847" s="186" t="s">
        <v>153</v>
      </c>
      <c r="AR847" s="187" t="s">
        <v>153</v>
      </c>
      <c r="AS847" s="188" t="s">
        <v>153</v>
      </c>
      <c r="AT847" s="189" t="s">
        <v>997</v>
      </c>
      <c r="AU847" s="190" t="s">
        <v>16801</v>
      </c>
      <c r="AV847" s="191" t="s">
        <v>153</v>
      </c>
      <c r="AW847" s="192" t="s">
        <v>999</v>
      </c>
      <c r="AX847" s="193" t="s">
        <v>308</v>
      </c>
      <c r="AY847" s="194" t="s">
        <v>2294</v>
      </c>
      <c r="AZ847" s="195" t="s">
        <v>215</v>
      </c>
      <c r="BA847" s="196" t="s">
        <v>153</v>
      </c>
      <c r="BB847" s="197" t="s">
        <v>153</v>
      </c>
      <c r="BC847" s="198" t="s">
        <v>153</v>
      </c>
      <c r="BD847" s="199" t="s">
        <v>216</v>
      </c>
      <c r="BE847" s="200" t="s">
        <v>217</v>
      </c>
      <c r="BF847" s="201" t="s">
        <v>16802</v>
      </c>
      <c r="BG847" s="202" t="s">
        <v>153</v>
      </c>
      <c r="BH847" s="203" t="s">
        <v>153</v>
      </c>
      <c r="BI847" s="204" t="s">
        <v>7293</v>
      </c>
      <c r="BJ847" s="205" t="s">
        <v>16803</v>
      </c>
      <c r="BK847" s="206" t="s">
        <v>153</v>
      </c>
      <c r="BL847" s="207" t="s">
        <v>153</v>
      </c>
      <c r="BM847" s="208" t="s">
        <v>16804</v>
      </c>
      <c r="BN847" s="209" t="s">
        <v>153</v>
      </c>
      <c r="BO847" s="210" t="s">
        <v>153</v>
      </c>
      <c r="BP847" s="211" t="s">
        <v>16805</v>
      </c>
      <c r="BQ847" s="212">
        <v>32086</v>
      </c>
      <c r="BR847" s="213" t="s">
        <v>153</v>
      </c>
      <c r="BS847" s="214" t="s">
        <v>153</v>
      </c>
      <c r="BT847" s="215" t="s">
        <v>153</v>
      </c>
      <c r="BU847" s="216" t="s">
        <v>153</v>
      </c>
      <c r="BV847" s="217" t="s">
        <v>251</v>
      </c>
      <c r="BW847" s="218" t="s">
        <v>153</v>
      </c>
      <c r="BX847" s="219" t="s">
        <v>153</v>
      </c>
      <c r="BY847" s="220" t="s">
        <v>252</v>
      </c>
      <c r="BZ847" s="221" t="s">
        <v>153</v>
      </c>
      <c r="CA847" s="222" t="s">
        <v>190</v>
      </c>
      <c r="CB847" s="223">
        <v>37567</v>
      </c>
      <c r="CC847" s="224">
        <v>5800</v>
      </c>
      <c r="CD847" s="225" t="s">
        <v>186</v>
      </c>
      <c r="CE847" s="226">
        <v>5800</v>
      </c>
      <c r="CF847" s="227" t="s">
        <v>187</v>
      </c>
      <c r="CG847" s="228" t="s">
        <v>226</v>
      </c>
      <c r="CH847" s="229" t="s">
        <v>153</v>
      </c>
      <c r="CI847" s="230" t="s">
        <v>153</v>
      </c>
      <c r="CJ847" s="231" t="s">
        <v>225</v>
      </c>
      <c r="CK847" s="232">
        <v>37567</v>
      </c>
      <c r="CL847" s="233" t="s">
        <v>153</v>
      </c>
      <c r="CM847" s="234" t="s">
        <v>153</v>
      </c>
      <c r="CN847" s="235" t="s">
        <v>190</v>
      </c>
      <c r="CO847" s="236" t="s">
        <v>153</v>
      </c>
      <c r="CP847" s="237" t="s">
        <v>153</v>
      </c>
      <c r="CQ847" s="238" t="s">
        <v>153</v>
      </c>
      <c r="CR847" s="239" t="s">
        <v>153</v>
      </c>
      <c r="CS847" s="240" t="s">
        <v>153</v>
      </c>
      <c r="CT847" s="241" t="s">
        <v>153</v>
      </c>
      <c r="CU847" s="242" t="s">
        <v>153</v>
      </c>
      <c r="CV847" s="243" t="s">
        <v>153</v>
      </c>
      <c r="CW847" s="244" t="s">
        <v>153</v>
      </c>
      <c r="CX847" s="245" t="s">
        <v>153</v>
      </c>
      <c r="CY847" s="246" t="s">
        <v>153</v>
      </c>
      <c r="CZ847" s="247" t="s">
        <v>153</v>
      </c>
      <c r="DA847" s="248" t="s">
        <v>153</v>
      </c>
      <c r="DB847" s="249" t="s">
        <v>153</v>
      </c>
      <c r="DC847" s="250" t="s">
        <v>153</v>
      </c>
      <c r="DD847" s="251" t="s">
        <v>153</v>
      </c>
      <c r="DE847" s="252" t="s">
        <v>153</v>
      </c>
      <c r="DF847" s="253" t="s">
        <v>153</v>
      </c>
      <c r="DG847" s="254" t="s">
        <v>153</v>
      </c>
      <c r="DH847" s="255" t="s">
        <v>153</v>
      </c>
      <c r="DI847" s="256" t="s">
        <v>153</v>
      </c>
      <c r="DJ847" s="257" t="s">
        <v>153</v>
      </c>
      <c r="DK847" s="258" t="s">
        <v>153</v>
      </c>
      <c r="DL847" s="259" t="s">
        <v>153</v>
      </c>
      <c r="DM847" s="260" t="s">
        <v>153</v>
      </c>
      <c r="DN847" s="261" t="s">
        <v>153</v>
      </c>
      <c r="DO847" s="262" t="s">
        <v>153</v>
      </c>
      <c r="DP847" s="263" t="s">
        <v>153</v>
      </c>
      <c r="DQ847" s="264" t="s">
        <v>153</v>
      </c>
      <c r="DR847" s="265" t="s">
        <v>153</v>
      </c>
      <c r="DS847" s="266" t="s">
        <v>153</v>
      </c>
      <c r="DT847" s="267" t="s">
        <v>153</v>
      </c>
      <c r="DU847" s="268" t="s">
        <v>153</v>
      </c>
      <c r="DV847" s="269" t="s">
        <v>153</v>
      </c>
      <c r="DW847" s="270" t="s">
        <v>153</v>
      </c>
      <c r="DX847" s="271" t="s">
        <v>153</v>
      </c>
      <c r="DY847" s="272" t="s">
        <v>153</v>
      </c>
      <c r="DZ847" s="273" t="s">
        <v>191</v>
      </c>
      <c r="EA847" s="274">
        <v>43940</v>
      </c>
      <c r="EB847" s="275">
        <v>5800</v>
      </c>
      <c r="EC847" s="276">
        <v>37567</v>
      </c>
      <c r="ED847" s="277" t="s">
        <v>226</v>
      </c>
      <c r="EE847" s="279" t="str">
        <f>HYPERLINK("https://my.pitchbook.com?c=43021-90", "View company online")</f>
        <v>View company online</v>
      </c>
    </row>
    <row r="848" spans="1:135" x14ac:dyDescent="0.45">
      <c r="A848" s="10" t="s">
        <v>16806</v>
      </c>
      <c r="B848" s="11" t="s">
        <v>16807</v>
      </c>
      <c r="C848" s="12" t="s">
        <v>153</v>
      </c>
      <c r="D848" s="13" t="s">
        <v>153</v>
      </c>
      <c r="E848" s="14" t="s">
        <v>16808</v>
      </c>
      <c r="F848" s="15" t="s">
        <v>16809</v>
      </c>
      <c r="G848" s="16" t="s">
        <v>16810</v>
      </c>
      <c r="H848" s="17" t="s">
        <v>16811</v>
      </c>
      <c r="I848" s="18" t="s">
        <v>16806</v>
      </c>
      <c r="J848" s="19" t="s">
        <v>16812</v>
      </c>
      <c r="K848" s="20" t="s">
        <v>232</v>
      </c>
      <c r="L848" s="21" t="s">
        <v>362</v>
      </c>
      <c r="M848" s="22" t="s">
        <v>362</v>
      </c>
      <c r="N848" s="23" t="s">
        <v>16813</v>
      </c>
      <c r="O848" s="24" t="s">
        <v>153</v>
      </c>
      <c r="P848" s="25" t="s">
        <v>16814</v>
      </c>
      <c r="Q848" s="26" t="s">
        <v>564</v>
      </c>
      <c r="R848" s="27">
        <v>11.36</v>
      </c>
      <c r="S848" s="28" t="s">
        <v>290</v>
      </c>
      <c r="T848" s="29" t="s">
        <v>205</v>
      </c>
      <c r="U848" s="30" t="s">
        <v>1169</v>
      </c>
      <c r="V848" s="31" t="s">
        <v>16815</v>
      </c>
      <c r="W848" s="32">
        <v>2400</v>
      </c>
      <c r="X848" s="33" t="s">
        <v>16816</v>
      </c>
      <c r="Y848" s="34" t="s">
        <v>153</v>
      </c>
      <c r="Z848" s="35" t="s">
        <v>153</v>
      </c>
      <c r="AA848" s="36">
        <v>1968</v>
      </c>
      <c r="AB848" s="37" t="s">
        <v>153</v>
      </c>
      <c r="AC848" s="38" t="s">
        <v>153</v>
      </c>
      <c r="AD848" s="39" t="s">
        <v>153</v>
      </c>
      <c r="AE848" s="40" t="s">
        <v>153</v>
      </c>
      <c r="AF848" s="41" t="s">
        <v>153</v>
      </c>
      <c r="AG848" s="42" t="s">
        <v>153</v>
      </c>
      <c r="AH848" s="43" t="s">
        <v>153</v>
      </c>
      <c r="AI848" s="44" t="s">
        <v>153</v>
      </c>
      <c r="AJ848" s="45" t="s">
        <v>153</v>
      </c>
      <c r="AK848" s="46" t="s">
        <v>153</v>
      </c>
      <c r="AL848" s="47" t="s">
        <v>153</v>
      </c>
      <c r="AM848" s="48" t="s">
        <v>153</v>
      </c>
      <c r="AN848" s="49" t="s">
        <v>209</v>
      </c>
      <c r="AO848" s="50" t="s">
        <v>16817</v>
      </c>
      <c r="AP848" s="51" t="s">
        <v>16818</v>
      </c>
      <c r="AQ848" s="52" t="s">
        <v>16819</v>
      </c>
      <c r="AR848" s="53" t="s">
        <v>16820</v>
      </c>
      <c r="AS848" s="54" t="s">
        <v>153</v>
      </c>
      <c r="AT848" s="55" t="s">
        <v>16821</v>
      </c>
      <c r="AU848" s="56" t="s">
        <v>16822</v>
      </c>
      <c r="AV848" s="57" t="s">
        <v>153</v>
      </c>
      <c r="AW848" s="58" t="s">
        <v>16823</v>
      </c>
      <c r="AX848" s="59" t="s">
        <v>385</v>
      </c>
      <c r="AY848" s="60" t="s">
        <v>16824</v>
      </c>
      <c r="AZ848" s="61" t="s">
        <v>215</v>
      </c>
      <c r="BA848" s="62" t="s">
        <v>153</v>
      </c>
      <c r="BB848" s="63" t="s">
        <v>153</v>
      </c>
      <c r="BC848" s="64" t="s">
        <v>153</v>
      </c>
      <c r="BD848" s="65" t="s">
        <v>216</v>
      </c>
      <c r="BE848" s="66" t="s">
        <v>217</v>
      </c>
      <c r="BF848" s="67" t="s">
        <v>16825</v>
      </c>
      <c r="BG848" s="68" t="s">
        <v>153</v>
      </c>
      <c r="BH848" s="69" t="s">
        <v>153</v>
      </c>
      <c r="BI848" s="70" t="s">
        <v>7328</v>
      </c>
      <c r="BJ848" s="71" t="s">
        <v>16826</v>
      </c>
      <c r="BK848" s="72" t="s">
        <v>16827</v>
      </c>
      <c r="BL848" s="73" t="s">
        <v>153</v>
      </c>
      <c r="BM848" s="74" t="s">
        <v>16828</v>
      </c>
      <c r="BN848" s="75" t="s">
        <v>16829</v>
      </c>
      <c r="BO848" s="76" t="s">
        <v>16830</v>
      </c>
      <c r="BP848" s="77" t="s">
        <v>16831</v>
      </c>
      <c r="BQ848" s="78">
        <v>33784</v>
      </c>
      <c r="BR848" s="79" t="s">
        <v>153</v>
      </c>
      <c r="BS848" s="80" t="s">
        <v>153</v>
      </c>
      <c r="BT848" s="81" t="s">
        <v>153</v>
      </c>
      <c r="BU848" s="82" t="s">
        <v>153</v>
      </c>
      <c r="BV848" s="83" t="s">
        <v>251</v>
      </c>
      <c r="BW848" s="84" t="s">
        <v>153</v>
      </c>
      <c r="BX848" s="85" t="s">
        <v>153</v>
      </c>
      <c r="BY848" s="86" t="s">
        <v>252</v>
      </c>
      <c r="BZ848" s="87" t="s">
        <v>153</v>
      </c>
      <c r="CA848" s="88" t="s">
        <v>190</v>
      </c>
      <c r="CB848" s="89">
        <v>42352</v>
      </c>
      <c r="CC848" s="90">
        <v>5800</v>
      </c>
      <c r="CD848" s="91" t="s">
        <v>186</v>
      </c>
      <c r="CE848" s="92">
        <v>5800</v>
      </c>
      <c r="CF848" s="93" t="s">
        <v>186</v>
      </c>
      <c r="CG848" s="94" t="s">
        <v>226</v>
      </c>
      <c r="CH848" s="95" t="s">
        <v>153</v>
      </c>
      <c r="CI848" s="96" t="s">
        <v>153</v>
      </c>
      <c r="CJ848" s="97" t="s">
        <v>225</v>
      </c>
      <c r="CK848" s="98">
        <v>42352</v>
      </c>
      <c r="CL848" s="99">
        <v>2200</v>
      </c>
      <c r="CM848" s="100" t="s">
        <v>153</v>
      </c>
      <c r="CN848" s="101" t="s">
        <v>190</v>
      </c>
      <c r="CO848" s="102" t="s">
        <v>153</v>
      </c>
      <c r="CP848" s="103" t="s">
        <v>153</v>
      </c>
      <c r="CQ848" s="104" t="s">
        <v>153</v>
      </c>
      <c r="CR848" s="105" t="s">
        <v>153</v>
      </c>
      <c r="CS848" s="106" t="s">
        <v>153</v>
      </c>
      <c r="CT848" s="107" t="s">
        <v>153</v>
      </c>
      <c r="CU848" s="108" t="s">
        <v>153</v>
      </c>
      <c r="CV848" s="109" t="s">
        <v>153</v>
      </c>
      <c r="CW848" s="110" t="s">
        <v>153</v>
      </c>
      <c r="CX848" s="111" t="s">
        <v>153</v>
      </c>
      <c r="CY848" s="112" t="s">
        <v>153</v>
      </c>
      <c r="CZ848" s="113" t="s">
        <v>153</v>
      </c>
      <c r="DA848" s="114" t="s">
        <v>153</v>
      </c>
      <c r="DB848" s="115" t="s">
        <v>153</v>
      </c>
      <c r="DC848" s="116" t="s">
        <v>153</v>
      </c>
      <c r="DD848" s="117" t="s">
        <v>153</v>
      </c>
      <c r="DE848" s="118" t="s">
        <v>153</v>
      </c>
      <c r="DF848" s="119" t="s">
        <v>153</v>
      </c>
      <c r="DG848" s="120" t="s">
        <v>153</v>
      </c>
      <c r="DH848" s="121" t="s">
        <v>153</v>
      </c>
      <c r="DI848" s="122" t="s">
        <v>153</v>
      </c>
      <c r="DJ848" s="123" t="s">
        <v>153</v>
      </c>
      <c r="DK848" s="124" t="s">
        <v>153</v>
      </c>
      <c r="DL848" s="125" t="s">
        <v>153</v>
      </c>
      <c r="DM848" s="126" t="s">
        <v>153</v>
      </c>
      <c r="DN848" s="127" t="s">
        <v>153</v>
      </c>
      <c r="DO848" s="128" t="s">
        <v>153</v>
      </c>
      <c r="DP848" s="129" t="s">
        <v>153</v>
      </c>
      <c r="DQ848" s="130" t="s">
        <v>153</v>
      </c>
      <c r="DR848" s="131" t="s">
        <v>153</v>
      </c>
      <c r="DS848" s="132" t="s">
        <v>153</v>
      </c>
      <c r="DT848" s="133" t="s">
        <v>153</v>
      </c>
      <c r="DU848" s="134" t="s">
        <v>153</v>
      </c>
      <c r="DV848" s="135" t="s">
        <v>153</v>
      </c>
      <c r="DW848" s="136" t="s">
        <v>153</v>
      </c>
      <c r="DX848" s="137" t="s">
        <v>153</v>
      </c>
      <c r="DY848" s="138" t="s">
        <v>153</v>
      </c>
      <c r="DZ848" s="139" t="s">
        <v>191</v>
      </c>
      <c r="EA848" s="140">
        <v>44271</v>
      </c>
      <c r="EB848" s="141">
        <v>5800</v>
      </c>
      <c r="EC848" s="142">
        <v>42352</v>
      </c>
      <c r="ED848" s="143" t="s">
        <v>226</v>
      </c>
      <c r="EE848" s="278" t="str">
        <f>HYPERLINK("https://my.pitchbook.com?c=41306-95", "View company online")</f>
        <v>View company online</v>
      </c>
    </row>
    <row r="849" spans="1:135" x14ac:dyDescent="0.45">
      <c r="A849" s="144" t="s">
        <v>16832</v>
      </c>
      <c r="B849" s="145" t="s">
        <v>16833</v>
      </c>
      <c r="C849" s="146" t="s">
        <v>153</v>
      </c>
      <c r="D849" s="147" t="s">
        <v>153</v>
      </c>
      <c r="E849" s="148" t="s">
        <v>153</v>
      </c>
      <c r="F849" s="149" t="s">
        <v>16834</v>
      </c>
      <c r="G849" s="150" t="s">
        <v>16835</v>
      </c>
      <c r="H849" s="151" t="s">
        <v>153</v>
      </c>
      <c r="I849" s="152" t="s">
        <v>16832</v>
      </c>
      <c r="J849" s="153" t="s">
        <v>16836</v>
      </c>
      <c r="K849" s="154" t="s">
        <v>198</v>
      </c>
      <c r="L849" s="155" t="s">
        <v>199</v>
      </c>
      <c r="M849" s="156" t="s">
        <v>1389</v>
      </c>
      <c r="N849" s="157" t="s">
        <v>16837</v>
      </c>
      <c r="O849" s="158" t="s">
        <v>399</v>
      </c>
      <c r="P849" s="159" t="s">
        <v>16838</v>
      </c>
      <c r="Q849" s="160" t="s">
        <v>564</v>
      </c>
      <c r="R849" s="161">
        <v>600</v>
      </c>
      <c r="S849" s="162" t="s">
        <v>290</v>
      </c>
      <c r="T849" s="163" t="s">
        <v>205</v>
      </c>
      <c r="U849" s="164" t="s">
        <v>452</v>
      </c>
      <c r="V849" s="165" t="s">
        <v>153</v>
      </c>
      <c r="W849" s="166">
        <v>3700</v>
      </c>
      <c r="X849" s="167" t="s">
        <v>16839</v>
      </c>
      <c r="Y849" s="168" t="s">
        <v>153</v>
      </c>
      <c r="Z849" s="169" t="s">
        <v>153</v>
      </c>
      <c r="AA849" s="170">
        <v>1993</v>
      </c>
      <c r="AB849" s="171" t="s">
        <v>153</v>
      </c>
      <c r="AC849" s="172" t="s">
        <v>153</v>
      </c>
      <c r="AD849" s="173" t="s">
        <v>153</v>
      </c>
      <c r="AE849" s="174" t="s">
        <v>153</v>
      </c>
      <c r="AF849" s="175" t="s">
        <v>153</v>
      </c>
      <c r="AG849" s="176" t="s">
        <v>153</v>
      </c>
      <c r="AH849" s="177" t="s">
        <v>153</v>
      </c>
      <c r="AI849" s="178" t="s">
        <v>153</v>
      </c>
      <c r="AJ849" s="179" t="s">
        <v>153</v>
      </c>
      <c r="AK849" s="180" t="s">
        <v>153</v>
      </c>
      <c r="AL849" s="181" t="s">
        <v>153</v>
      </c>
      <c r="AM849" s="182" t="s">
        <v>153</v>
      </c>
      <c r="AN849" s="183" t="s">
        <v>2518</v>
      </c>
      <c r="AO849" s="184" t="s">
        <v>153</v>
      </c>
      <c r="AP849" s="185" t="s">
        <v>153</v>
      </c>
      <c r="AQ849" s="186" t="s">
        <v>153</v>
      </c>
      <c r="AR849" s="187" t="s">
        <v>153</v>
      </c>
      <c r="AS849" s="188" t="s">
        <v>153</v>
      </c>
      <c r="AT849" s="189" t="s">
        <v>4174</v>
      </c>
      <c r="AU849" s="190" t="s">
        <v>16840</v>
      </c>
      <c r="AV849" s="191" t="s">
        <v>153</v>
      </c>
      <c r="AW849" s="192" t="s">
        <v>4176</v>
      </c>
      <c r="AX849" s="193" t="s">
        <v>4177</v>
      </c>
      <c r="AY849" s="194" t="s">
        <v>16841</v>
      </c>
      <c r="AZ849" s="195" t="s">
        <v>215</v>
      </c>
      <c r="BA849" s="196" t="s">
        <v>16842</v>
      </c>
      <c r="BB849" s="197" t="s">
        <v>16843</v>
      </c>
      <c r="BC849" s="198" t="s">
        <v>153</v>
      </c>
      <c r="BD849" s="199" t="s">
        <v>216</v>
      </c>
      <c r="BE849" s="200" t="s">
        <v>217</v>
      </c>
      <c r="BF849" s="201" t="s">
        <v>16844</v>
      </c>
      <c r="BG849" s="202" t="s">
        <v>153</v>
      </c>
      <c r="BH849" s="203" t="s">
        <v>153</v>
      </c>
      <c r="BI849" s="204" t="s">
        <v>10476</v>
      </c>
      <c r="BJ849" s="205" t="s">
        <v>16845</v>
      </c>
      <c r="BK849" s="206" t="s">
        <v>153</v>
      </c>
      <c r="BL849" s="207" t="s">
        <v>153</v>
      </c>
      <c r="BM849" s="208" t="s">
        <v>16846</v>
      </c>
      <c r="BN849" s="209" t="s">
        <v>153</v>
      </c>
      <c r="BO849" s="210" t="s">
        <v>16847</v>
      </c>
      <c r="BP849" s="211" t="s">
        <v>16848</v>
      </c>
      <c r="BQ849" s="212">
        <v>36537</v>
      </c>
      <c r="BR849" s="213">
        <v>700</v>
      </c>
      <c r="BS849" s="214" t="s">
        <v>186</v>
      </c>
      <c r="BT849" s="215" t="s">
        <v>153</v>
      </c>
      <c r="BU849" s="216" t="s">
        <v>153</v>
      </c>
      <c r="BV849" s="217" t="s">
        <v>709</v>
      </c>
      <c r="BW849" s="218" t="s">
        <v>153</v>
      </c>
      <c r="BX849" s="219" t="s">
        <v>153</v>
      </c>
      <c r="BY849" s="220" t="s">
        <v>165</v>
      </c>
      <c r="BZ849" s="221" t="s">
        <v>16849</v>
      </c>
      <c r="CA849" s="222" t="s">
        <v>190</v>
      </c>
      <c r="CB849" s="223">
        <v>37073</v>
      </c>
      <c r="CC849" s="224">
        <v>5800</v>
      </c>
      <c r="CD849" s="225" t="s">
        <v>186</v>
      </c>
      <c r="CE849" s="226">
        <v>5800</v>
      </c>
      <c r="CF849" s="227" t="s">
        <v>153</v>
      </c>
      <c r="CG849" s="228" t="s">
        <v>226</v>
      </c>
      <c r="CH849" s="229" t="s">
        <v>153</v>
      </c>
      <c r="CI849" s="230" t="s">
        <v>153</v>
      </c>
      <c r="CJ849" s="231" t="s">
        <v>225</v>
      </c>
      <c r="CK849" s="232">
        <v>37073</v>
      </c>
      <c r="CL849" s="233" t="s">
        <v>153</v>
      </c>
      <c r="CM849" s="234" t="s">
        <v>153</v>
      </c>
      <c r="CN849" s="235" t="s">
        <v>190</v>
      </c>
      <c r="CO849" s="236" t="s">
        <v>153</v>
      </c>
      <c r="CP849" s="237" t="s">
        <v>153</v>
      </c>
      <c r="CQ849" s="238" t="s">
        <v>153</v>
      </c>
      <c r="CR849" s="239" t="s">
        <v>153</v>
      </c>
      <c r="CS849" s="240" t="s">
        <v>153</v>
      </c>
      <c r="CT849" s="241" t="s">
        <v>153</v>
      </c>
      <c r="CU849" s="242" t="s">
        <v>153</v>
      </c>
      <c r="CV849" s="243" t="s">
        <v>153</v>
      </c>
      <c r="CW849" s="244" t="s">
        <v>153</v>
      </c>
      <c r="CX849" s="245" t="s">
        <v>153</v>
      </c>
      <c r="CY849" s="246" t="s">
        <v>153</v>
      </c>
      <c r="CZ849" s="247" t="s">
        <v>153</v>
      </c>
      <c r="DA849" s="248" t="s">
        <v>153</v>
      </c>
      <c r="DB849" s="249" t="s">
        <v>153</v>
      </c>
      <c r="DC849" s="250" t="s">
        <v>153</v>
      </c>
      <c r="DD849" s="251" t="s">
        <v>153</v>
      </c>
      <c r="DE849" s="252" t="s">
        <v>153</v>
      </c>
      <c r="DF849" s="253" t="s">
        <v>153</v>
      </c>
      <c r="DG849" s="254" t="s">
        <v>153</v>
      </c>
      <c r="DH849" s="255" t="s">
        <v>153</v>
      </c>
      <c r="DI849" s="256" t="s">
        <v>153</v>
      </c>
      <c r="DJ849" s="257" t="s">
        <v>153</v>
      </c>
      <c r="DK849" s="258" t="s">
        <v>153</v>
      </c>
      <c r="DL849" s="259" t="s">
        <v>153</v>
      </c>
      <c r="DM849" s="260" t="s">
        <v>153</v>
      </c>
      <c r="DN849" s="261" t="s">
        <v>153</v>
      </c>
      <c r="DO849" s="262" t="s">
        <v>153</v>
      </c>
      <c r="DP849" s="263" t="s">
        <v>153</v>
      </c>
      <c r="DQ849" s="264" t="s">
        <v>153</v>
      </c>
      <c r="DR849" s="265" t="s">
        <v>153</v>
      </c>
      <c r="DS849" s="266" t="s">
        <v>153</v>
      </c>
      <c r="DT849" s="267" t="s">
        <v>153</v>
      </c>
      <c r="DU849" s="268" t="s">
        <v>153</v>
      </c>
      <c r="DV849" s="269" t="s">
        <v>153</v>
      </c>
      <c r="DW849" s="270" t="s">
        <v>153</v>
      </c>
      <c r="DX849" s="271" t="s">
        <v>153</v>
      </c>
      <c r="DY849" s="272" t="s">
        <v>153</v>
      </c>
      <c r="DZ849" s="273" t="s">
        <v>191</v>
      </c>
      <c r="EA849" s="274">
        <v>44259</v>
      </c>
      <c r="EB849" s="275">
        <v>5800</v>
      </c>
      <c r="EC849" s="276">
        <v>37073</v>
      </c>
      <c r="ED849" s="277" t="s">
        <v>226</v>
      </c>
      <c r="EE849" s="279" t="str">
        <f>HYPERLINK("https://my.pitchbook.com?c=42160-78", "View company online")</f>
        <v>View company online</v>
      </c>
    </row>
    <row r="850" spans="1:135" x14ac:dyDescent="0.45">
      <c r="A850" s="10" t="s">
        <v>16850</v>
      </c>
      <c r="B850" s="11" t="s">
        <v>16851</v>
      </c>
      <c r="C850" s="12" t="s">
        <v>153</v>
      </c>
      <c r="D850" s="13" t="s">
        <v>153</v>
      </c>
      <c r="E850" s="14" t="s">
        <v>153</v>
      </c>
      <c r="F850" s="15" t="s">
        <v>16852</v>
      </c>
      <c r="G850" s="16" t="s">
        <v>16853</v>
      </c>
      <c r="H850" s="17" t="s">
        <v>153</v>
      </c>
      <c r="I850" s="18" t="s">
        <v>16850</v>
      </c>
      <c r="J850" s="19" t="s">
        <v>16854</v>
      </c>
      <c r="K850" s="20" t="s">
        <v>157</v>
      </c>
      <c r="L850" s="21" t="s">
        <v>817</v>
      </c>
      <c r="M850" s="22" t="s">
        <v>1499</v>
      </c>
      <c r="N850" s="23" t="s">
        <v>2944</v>
      </c>
      <c r="O850" s="24" t="s">
        <v>261</v>
      </c>
      <c r="P850" s="25" t="s">
        <v>16855</v>
      </c>
      <c r="Q850" s="26" t="s">
        <v>564</v>
      </c>
      <c r="R850" s="27" t="s">
        <v>153</v>
      </c>
      <c r="S850" s="28" t="s">
        <v>163</v>
      </c>
      <c r="T850" s="29" t="s">
        <v>164</v>
      </c>
      <c r="U850" s="30" t="s">
        <v>165</v>
      </c>
      <c r="V850" s="31" t="s">
        <v>16856</v>
      </c>
      <c r="W850" s="32">
        <v>2200</v>
      </c>
      <c r="X850" s="33" t="s">
        <v>16857</v>
      </c>
      <c r="Y850" s="34" t="s">
        <v>153</v>
      </c>
      <c r="Z850" s="35" t="s">
        <v>153</v>
      </c>
      <c r="AA850" s="36">
        <v>1952</v>
      </c>
      <c r="AB850" s="37" t="s">
        <v>3508</v>
      </c>
      <c r="AC850" s="38" t="s">
        <v>153</v>
      </c>
      <c r="AD850" s="39" t="s">
        <v>153</v>
      </c>
      <c r="AE850" s="40" t="s">
        <v>153</v>
      </c>
      <c r="AF850" s="41" t="s">
        <v>153</v>
      </c>
      <c r="AG850" s="42" t="s">
        <v>153</v>
      </c>
      <c r="AH850" s="43" t="s">
        <v>153</v>
      </c>
      <c r="AI850" s="44" t="s">
        <v>153</v>
      </c>
      <c r="AJ850" s="45" t="s">
        <v>153</v>
      </c>
      <c r="AK850" s="46" t="s">
        <v>153</v>
      </c>
      <c r="AL850" s="47" t="s">
        <v>153</v>
      </c>
      <c r="AM850" s="48" t="s">
        <v>153</v>
      </c>
      <c r="AN850" s="49" t="s">
        <v>456</v>
      </c>
      <c r="AO850" s="50" t="s">
        <v>16858</v>
      </c>
      <c r="AP850" s="51" t="s">
        <v>16859</v>
      </c>
      <c r="AQ850" s="52" t="s">
        <v>171</v>
      </c>
      <c r="AR850" s="53" t="s">
        <v>16860</v>
      </c>
      <c r="AS850" s="54" t="s">
        <v>16861</v>
      </c>
      <c r="AT850" s="55" t="s">
        <v>3755</v>
      </c>
      <c r="AU850" s="56" t="s">
        <v>16862</v>
      </c>
      <c r="AV850" s="57" t="s">
        <v>16863</v>
      </c>
      <c r="AW850" s="58" t="s">
        <v>3758</v>
      </c>
      <c r="AX850" s="59" t="s">
        <v>3758</v>
      </c>
      <c r="AY850" s="60" t="s">
        <v>16864</v>
      </c>
      <c r="AZ850" s="61" t="s">
        <v>3761</v>
      </c>
      <c r="BA850" s="62" t="s">
        <v>16861</v>
      </c>
      <c r="BB850" s="63" t="s">
        <v>16865</v>
      </c>
      <c r="BC850" s="64" t="s">
        <v>16860</v>
      </c>
      <c r="BD850" s="65" t="s">
        <v>1406</v>
      </c>
      <c r="BE850" s="66" t="s">
        <v>1407</v>
      </c>
      <c r="BF850" s="67" t="s">
        <v>16866</v>
      </c>
      <c r="BG850" s="68" t="s">
        <v>153</v>
      </c>
      <c r="BH850" s="69" t="s">
        <v>153</v>
      </c>
      <c r="BI850" s="70" t="s">
        <v>3508</v>
      </c>
      <c r="BJ850" s="71" t="s">
        <v>16867</v>
      </c>
      <c r="BK850" s="72" t="s">
        <v>16868</v>
      </c>
      <c r="BL850" s="73" t="s">
        <v>153</v>
      </c>
      <c r="BM850" s="74" t="s">
        <v>16869</v>
      </c>
      <c r="BN850" s="75" t="s">
        <v>16870</v>
      </c>
      <c r="BO850" s="76" t="s">
        <v>153</v>
      </c>
      <c r="BP850" s="77" t="s">
        <v>16871</v>
      </c>
      <c r="BQ850" s="78">
        <v>40018</v>
      </c>
      <c r="BR850" s="79">
        <v>1800</v>
      </c>
      <c r="BS850" s="80" t="s">
        <v>186</v>
      </c>
      <c r="BT850" s="81">
        <v>1800</v>
      </c>
      <c r="BU850" s="82" t="s">
        <v>186</v>
      </c>
      <c r="BV850" s="83" t="s">
        <v>188</v>
      </c>
      <c r="BW850" s="84" t="s">
        <v>729</v>
      </c>
      <c r="BX850" s="85" t="s">
        <v>153</v>
      </c>
      <c r="BY850" s="86" t="s">
        <v>165</v>
      </c>
      <c r="BZ850" s="87" t="s">
        <v>16872</v>
      </c>
      <c r="CA850" s="88" t="s">
        <v>190</v>
      </c>
      <c r="CB850" s="89">
        <v>41729</v>
      </c>
      <c r="CC850" s="90">
        <v>5800</v>
      </c>
      <c r="CD850" s="91" t="s">
        <v>186</v>
      </c>
      <c r="CE850" s="92">
        <v>5800</v>
      </c>
      <c r="CF850" s="93" t="s">
        <v>186</v>
      </c>
      <c r="CG850" s="94" t="s">
        <v>226</v>
      </c>
      <c r="CH850" s="95" t="s">
        <v>729</v>
      </c>
      <c r="CI850" s="96" t="s">
        <v>153</v>
      </c>
      <c r="CJ850" s="97" t="s">
        <v>225</v>
      </c>
      <c r="CK850" s="98">
        <v>41729</v>
      </c>
      <c r="CL850" s="99" t="s">
        <v>153</v>
      </c>
      <c r="CM850" s="100" t="s">
        <v>153</v>
      </c>
      <c r="CN850" s="101" t="s">
        <v>190</v>
      </c>
      <c r="CO850" s="102" t="s">
        <v>153</v>
      </c>
      <c r="CP850" s="103" t="s">
        <v>153</v>
      </c>
      <c r="CQ850" s="104" t="s">
        <v>153</v>
      </c>
      <c r="CR850" s="105" t="s">
        <v>153</v>
      </c>
      <c r="CS850" s="106" t="s">
        <v>153</v>
      </c>
      <c r="CT850" s="107" t="s">
        <v>153</v>
      </c>
      <c r="CU850" s="108" t="s">
        <v>153</v>
      </c>
      <c r="CV850" s="109" t="s">
        <v>153</v>
      </c>
      <c r="CW850" s="110" t="s">
        <v>153</v>
      </c>
      <c r="CX850" s="111" t="s">
        <v>153</v>
      </c>
      <c r="CY850" s="112" t="s">
        <v>153</v>
      </c>
      <c r="CZ850" s="113" t="s">
        <v>153</v>
      </c>
      <c r="DA850" s="114" t="s">
        <v>153</v>
      </c>
      <c r="DB850" s="115" t="s">
        <v>153</v>
      </c>
      <c r="DC850" s="116" t="s">
        <v>153</v>
      </c>
      <c r="DD850" s="117" t="s">
        <v>153</v>
      </c>
      <c r="DE850" s="118" t="s">
        <v>153</v>
      </c>
      <c r="DF850" s="119" t="s">
        <v>153</v>
      </c>
      <c r="DG850" s="120" t="s">
        <v>153</v>
      </c>
      <c r="DH850" s="121" t="s">
        <v>153</v>
      </c>
      <c r="DI850" s="122" t="s">
        <v>153</v>
      </c>
      <c r="DJ850" s="123" t="s">
        <v>153</v>
      </c>
      <c r="DK850" s="124" t="s">
        <v>153</v>
      </c>
      <c r="DL850" s="125" t="s">
        <v>153</v>
      </c>
      <c r="DM850" s="126" t="s">
        <v>153</v>
      </c>
      <c r="DN850" s="127" t="s">
        <v>153</v>
      </c>
      <c r="DO850" s="128" t="s">
        <v>153</v>
      </c>
      <c r="DP850" s="129" t="s">
        <v>153</v>
      </c>
      <c r="DQ850" s="130" t="s">
        <v>153</v>
      </c>
      <c r="DR850" s="131" t="s">
        <v>153</v>
      </c>
      <c r="DS850" s="132" t="s">
        <v>153</v>
      </c>
      <c r="DT850" s="133" t="s">
        <v>153</v>
      </c>
      <c r="DU850" s="134" t="s">
        <v>153</v>
      </c>
      <c r="DV850" s="135" t="s">
        <v>153</v>
      </c>
      <c r="DW850" s="136" t="s">
        <v>153</v>
      </c>
      <c r="DX850" s="137" t="s">
        <v>153</v>
      </c>
      <c r="DY850" s="138" t="s">
        <v>153</v>
      </c>
      <c r="DZ850" s="139" t="s">
        <v>191</v>
      </c>
      <c r="EA850" s="140">
        <v>44299</v>
      </c>
      <c r="EB850" s="141">
        <v>5800</v>
      </c>
      <c r="EC850" s="142">
        <v>41729</v>
      </c>
      <c r="ED850" s="143" t="s">
        <v>226</v>
      </c>
      <c r="EE850" s="278" t="str">
        <f>HYPERLINK("https://my.pitchbook.com?c=40361-59", "View company online")</f>
        <v>View company online</v>
      </c>
    </row>
    <row r="851" spans="1:135" x14ac:dyDescent="0.45">
      <c r="A851" s="144" t="s">
        <v>16873</v>
      </c>
      <c r="B851" s="145" t="s">
        <v>16874</v>
      </c>
      <c r="C851" s="146" t="s">
        <v>153</v>
      </c>
      <c r="D851" s="147" t="s">
        <v>153</v>
      </c>
      <c r="E851" s="148" t="s">
        <v>16875</v>
      </c>
      <c r="F851" s="149" t="s">
        <v>153</v>
      </c>
      <c r="G851" s="150" t="s">
        <v>16876</v>
      </c>
      <c r="H851" s="151" t="s">
        <v>153</v>
      </c>
      <c r="I851" s="152" t="s">
        <v>16873</v>
      </c>
      <c r="J851" s="153" t="s">
        <v>16877</v>
      </c>
      <c r="K851" s="154" t="s">
        <v>792</v>
      </c>
      <c r="L851" s="155" t="s">
        <v>841</v>
      </c>
      <c r="M851" s="156" t="s">
        <v>913</v>
      </c>
      <c r="N851" s="157" t="s">
        <v>10376</v>
      </c>
      <c r="O851" s="158" t="s">
        <v>796</v>
      </c>
      <c r="P851" s="159" t="s">
        <v>16878</v>
      </c>
      <c r="Q851" s="160" t="s">
        <v>204</v>
      </c>
      <c r="R851" s="161" t="s">
        <v>153</v>
      </c>
      <c r="S851" s="162" t="s">
        <v>368</v>
      </c>
      <c r="T851" s="163" t="s">
        <v>205</v>
      </c>
      <c r="U851" s="164" t="s">
        <v>292</v>
      </c>
      <c r="V851" s="165" t="s">
        <v>16879</v>
      </c>
      <c r="W851" s="166">
        <v>5100</v>
      </c>
      <c r="X851" s="167" t="s">
        <v>16880</v>
      </c>
      <c r="Y851" s="168" t="s">
        <v>153</v>
      </c>
      <c r="Z851" s="169" t="s">
        <v>153</v>
      </c>
      <c r="AA851" s="170">
        <v>1991</v>
      </c>
      <c r="AB851" s="171" t="s">
        <v>153</v>
      </c>
      <c r="AC851" s="172" t="s">
        <v>153</v>
      </c>
      <c r="AD851" s="173" t="s">
        <v>153</v>
      </c>
      <c r="AE851" s="174" t="s">
        <v>153</v>
      </c>
      <c r="AF851" s="175" t="s">
        <v>153</v>
      </c>
      <c r="AG851" s="176" t="s">
        <v>153</v>
      </c>
      <c r="AH851" s="177" t="s">
        <v>153</v>
      </c>
      <c r="AI851" s="178" t="s">
        <v>153</v>
      </c>
      <c r="AJ851" s="179" t="s">
        <v>153</v>
      </c>
      <c r="AK851" s="180" t="s">
        <v>153</v>
      </c>
      <c r="AL851" s="181" t="s">
        <v>153</v>
      </c>
      <c r="AM851" s="182" t="s">
        <v>153</v>
      </c>
      <c r="AN851" s="183" t="s">
        <v>1983</v>
      </c>
      <c r="AO851" s="184" t="s">
        <v>153</v>
      </c>
      <c r="AP851" s="185" t="s">
        <v>153</v>
      </c>
      <c r="AQ851" s="186" t="s">
        <v>153</v>
      </c>
      <c r="AR851" s="187" t="s">
        <v>153</v>
      </c>
      <c r="AS851" s="188" t="s">
        <v>153</v>
      </c>
      <c r="AT851" s="189" t="s">
        <v>1124</v>
      </c>
      <c r="AU851" s="190" t="s">
        <v>16881</v>
      </c>
      <c r="AV851" s="191" t="s">
        <v>153</v>
      </c>
      <c r="AW851" s="192" t="s">
        <v>1127</v>
      </c>
      <c r="AX851" s="193" t="s">
        <v>1128</v>
      </c>
      <c r="AY851" s="194" t="s">
        <v>16882</v>
      </c>
      <c r="AZ851" s="195" t="s">
        <v>215</v>
      </c>
      <c r="BA851" s="196" t="s">
        <v>153</v>
      </c>
      <c r="BB851" s="197" t="s">
        <v>153</v>
      </c>
      <c r="BC851" s="198" t="s">
        <v>153</v>
      </c>
      <c r="BD851" s="199" t="s">
        <v>216</v>
      </c>
      <c r="BE851" s="200" t="s">
        <v>217</v>
      </c>
      <c r="BF851" s="201" t="s">
        <v>16883</v>
      </c>
      <c r="BG851" s="202" t="s">
        <v>153</v>
      </c>
      <c r="BH851" s="203" t="s">
        <v>153</v>
      </c>
      <c r="BI851" s="204" t="s">
        <v>3937</v>
      </c>
      <c r="BJ851" s="205" t="s">
        <v>16884</v>
      </c>
      <c r="BK851" s="206" t="s">
        <v>153</v>
      </c>
      <c r="BL851" s="207" t="s">
        <v>153</v>
      </c>
      <c r="BM851" s="208" t="s">
        <v>16885</v>
      </c>
      <c r="BN851" s="209" t="s">
        <v>153</v>
      </c>
      <c r="BO851" s="210" t="s">
        <v>153</v>
      </c>
      <c r="BP851" s="211" t="s">
        <v>16886</v>
      </c>
      <c r="BQ851" s="212" t="s">
        <v>153</v>
      </c>
      <c r="BR851" s="213" t="s">
        <v>153</v>
      </c>
      <c r="BS851" s="214" t="s">
        <v>153</v>
      </c>
      <c r="BT851" s="215" t="s">
        <v>153</v>
      </c>
      <c r="BU851" s="216" t="s">
        <v>153</v>
      </c>
      <c r="BV851" s="217" t="s">
        <v>393</v>
      </c>
      <c r="BW851" s="218" t="s">
        <v>153</v>
      </c>
      <c r="BX851" s="219" t="s">
        <v>153</v>
      </c>
      <c r="BY851" s="220" t="s">
        <v>165</v>
      </c>
      <c r="BZ851" s="221" t="s">
        <v>153</v>
      </c>
      <c r="CA851" s="222" t="s">
        <v>190</v>
      </c>
      <c r="CB851" s="223">
        <v>36759</v>
      </c>
      <c r="CC851" s="224">
        <v>5800</v>
      </c>
      <c r="CD851" s="225" t="s">
        <v>186</v>
      </c>
      <c r="CE851" s="226">
        <v>5800</v>
      </c>
      <c r="CF851" s="227" t="s">
        <v>187</v>
      </c>
      <c r="CG851" s="228" t="s">
        <v>226</v>
      </c>
      <c r="CH851" s="229" t="s">
        <v>930</v>
      </c>
      <c r="CI851" s="230" t="s">
        <v>153</v>
      </c>
      <c r="CJ851" s="231" t="s">
        <v>225</v>
      </c>
      <c r="CK851" s="232">
        <v>36759</v>
      </c>
      <c r="CL851" s="233" t="s">
        <v>153</v>
      </c>
      <c r="CM851" s="234" t="s">
        <v>153</v>
      </c>
      <c r="CN851" s="235" t="s">
        <v>190</v>
      </c>
      <c r="CO851" s="236" t="s">
        <v>153</v>
      </c>
      <c r="CP851" s="237" t="s">
        <v>153</v>
      </c>
      <c r="CQ851" s="238" t="s">
        <v>153</v>
      </c>
      <c r="CR851" s="239" t="s">
        <v>153</v>
      </c>
      <c r="CS851" s="240" t="s">
        <v>153</v>
      </c>
      <c r="CT851" s="241" t="s">
        <v>153</v>
      </c>
      <c r="CU851" s="242" t="s">
        <v>153</v>
      </c>
      <c r="CV851" s="243" t="s">
        <v>153</v>
      </c>
      <c r="CW851" s="244" t="s">
        <v>153</v>
      </c>
      <c r="CX851" s="245" t="s">
        <v>153</v>
      </c>
      <c r="CY851" s="246" t="s">
        <v>153</v>
      </c>
      <c r="CZ851" s="247" t="s">
        <v>153</v>
      </c>
      <c r="DA851" s="248" t="s">
        <v>153</v>
      </c>
      <c r="DB851" s="249" t="s">
        <v>153</v>
      </c>
      <c r="DC851" s="250" t="s">
        <v>153</v>
      </c>
      <c r="DD851" s="251" t="s">
        <v>153</v>
      </c>
      <c r="DE851" s="252" t="s">
        <v>153</v>
      </c>
      <c r="DF851" s="253" t="s">
        <v>153</v>
      </c>
      <c r="DG851" s="254" t="s">
        <v>153</v>
      </c>
      <c r="DH851" s="255" t="s">
        <v>153</v>
      </c>
      <c r="DI851" s="256" t="s">
        <v>153</v>
      </c>
      <c r="DJ851" s="257" t="s">
        <v>153</v>
      </c>
      <c r="DK851" s="258" t="s">
        <v>153</v>
      </c>
      <c r="DL851" s="259" t="s">
        <v>153</v>
      </c>
      <c r="DM851" s="260" t="s">
        <v>153</v>
      </c>
      <c r="DN851" s="261" t="s">
        <v>153</v>
      </c>
      <c r="DO851" s="262" t="s">
        <v>153</v>
      </c>
      <c r="DP851" s="263" t="s">
        <v>153</v>
      </c>
      <c r="DQ851" s="264" t="s">
        <v>153</v>
      </c>
      <c r="DR851" s="265" t="s">
        <v>153</v>
      </c>
      <c r="DS851" s="266" t="s">
        <v>153</v>
      </c>
      <c r="DT851" s="267" t="s">
        <v>153</v>
      </c>
      <c r="DU851" s="268" t="s">
        <v>153</v>
      </c>
      <c r="DV851" s="269" t="s">
        <v>153</v>
      </c>
      <c r="DW851" s="270" t="s">
        <v>153</v>
      </c>
      <c r="DX851" s="271" t="s">
        <v>153</v>
      </c>
      <c r="DY851" s="272" t="s">
        <v>153</v>
      </c>
      <c r="DZ851" s="273" t="s">
        <v>191</v>
      </c>
      <c r="EA851" s="274">
        <v>44217</v>
      </c>
      <c r="EB851" s="275">
        <v>5800</v>
      </c>
      <c r="EC851" s="276">
        <v>36759</v>
      </c>
      <c r="ED851" s="277" t="s">
        <v>226</v>
      </c>
      <c r="EE851" s="279" t="str">
        <f>HYPERLINK("https://my.pitchbook.com?c=57400-84", "View company online")</f>
        <v>View company online</v>
      </c>
    </row>
    <row r="852" spans="1:135" x14ac:dyDescent="0.45">
      <c r="A852" s="10" t="s">
        <v>16887</v>
      </c>
      <c r="B852" s="11" t="s">
        <v>16888</v>
      </c>
      <c r="C852" s="12" t="s">
        <v>153</v>
      </c>
      <c r="D852" s="13" t="s">
        <v>153</v>
      </c>
      <c r="E852" s="14" t="s">
        <v>153</v>
      </c>
      <c r="F852" s="15" t="s">
        <v>16889</v>
      </c>
      <c r="G852" s="16" t="s">
        <v>16890</v>
      </c>
      <c r="H852" s="17" t="s">
        <v>16891</v>
      </c>
      <c r="I852" s="18" t="s">
        <v>16887</v>
      </c>
      <c r="J852" s="19" t="s">
        <v>16892</v>
      </c>
      <c r="K852" s="20" t="s">
        <v>157</v>
      </c>
      <c r="L852" s="21" t="s">
        <v>421</v>
      </c>
      <c r="M852" s="22" t="s">
        <v>503</v>
      </c>
      <c r="N852" s="23" t="s">
        <v>12496</v>
      </c>
      <c r="O852" s="24" t="s">
        <v>399</v>
      </c>
      <c r="P852" s="25" t="s">
        <v>16893</v>
      </c>
      <c r="Q852" s="26" t="s">
        <v>564</v>
      </c>
      <c r="R852" s="27" t="s">
        <v>153</v>
      </c>
      <c r="S852" s="28" t="s">
        <v>290</v>
      </c>
      <c r="T852" s="29" t="s">
        <v>164</v>
      </c>
      <c r="U852" s="30" t="s">
        <v>292</v>
      </c>
      <c r="V852" s="31" t="s">
        <v>16894</v>
      </c>
      <c r="W852" s="32">
        <v>45000</v>
      </c>
      <c r="X852" s="33" t="s">
        <v>16895</v>
      </c>
      <c r="Y852" s="34" t="s">
        <v>153</v>
      </c>
      <c r="Z852" s="35" t="s">
        <v>153</v>
      </c>
      <c r="AA852" s="36">
        <v>1989</v>
      </c>
      <c r="AB852" s="37" t="s">
        <v>16896</v>
      </c>
      <c r="AC852" s="38" t="s">
        <v>153</v>
      </c>
      <c r="AD852" s="39" t="s">
        <v>153</v>
      </c>
      <c r="AE852" s="40" t="s">
        <v>153</v>
      </c>
      <c r="AF852" s="41" t="s">
        <v>153</v>
      </c>
      <c r="AG852" s="42" t="s">
        <v>153</v>
      </c>
      <c r="AH852" s="43" t="s">
        <v>153</v>
      </c>
      <c r="AI852" s="44" t="s">
        <v>153</v>
      </c>
      <c r="AJ852" s="45" t="s">
        <v>153</v>
      </c>
      <c r="AK852" s="46" t="s">
        <v>153</v>
      </c>
      <c r="AL852" s="47" t="s">
        <v>153</v>
      </c>
      <c r="AM852" s="48" t="s">
        <v>153</v>
      </c>
      <c r="AN852" s="49" t="s">
        <v>868</v>
      </c>
      <c r="AO852" s="50" t="s">
        <v>16897</v>
      </c>
      <c r="AP852" s="51" t="s">
        <v>16898</v>
      </c>
      <c r="AQ852" s="52" t="s">
        <v>16899</v>
      </c>
      <c r="AR852" s="53" t="s">
        <v>16900</v>
      </c>
      <c r="AS852" s="54" t="s">
        <v>16901</v>
      </c>
      <c r="AT852" s="55" t="s">
        <v>6840</v>
      </c>
      <c r="AU852" s="56" t="s">
        <v>16902</v>
      </c>
      <c r="AV852" s="57" t="s">
        <v>153</v>
      </c>
      <c r="AW852" s="58" t="s">
        <v>6842</v>
      </c>
      <c r="AX852" s="59" t="s">
        <v>5243</v>
      </c>
      <c r="AY852" s="60" t="s">
        <v>16903</v>
      </c>
      <c r="AZ852" s="61" t="s">
        <v>215</v>
      </c>
      <c r="BA852" s="62" t="s">
        <v>16901</v>
      </c>
      <c r="BB852" s="63" t="s">
        <v>16904</v>
      </c>
      <c r="BC852" s="64" t="s">
        <v>16905</v>
      </c>
      <c r="BD852" s="65" t="s">
        <v>216</v>
      </c>
      <c r="BE852" s="66" t="s">
        <v>217</v>
      </c>
      <c r="BF852" s="67" t="s">
        <v>16906</v>
      </c>
      <c r="BG852" s="68" t="s">
        <v>153</v>
      </c>
      <c r="BH852" s="69" t="s">
        <v>153</v>
      </c>
      <c r="BI852" s="70" t="s">
        <v>16896</v>
      </c>
      <c r="BJ852" s="71" t="s">
        <v>16907</v>
      </c>
      <c r="BK852" s="72" t="s">
        <v>153</v>
      </c>
      <c r="BL852" s="73" t="s">
        <v>153</v>
      </c>
      <c r="BM852" s="74" t="s">
        <v>16908</v>
      </c>
      <c r="BN852" s="75" t="s">
        <v>153</v>
      </c>
      <c r="BO852" s="76" t="s">
        <v>153</v>
      </c>
      <c r="BP852" s="77" t="s">
        <v>16909</v>
      </c>
      <c r="BQ852" s="78">
        <v>35796</v>
      </c>
      <c r="BR852" s="79" t="s">
        <v>153</v>
      </c>
      <c r="BS852" s="80" t="s">
        <v>153</v>
      </c>
      <c r="BT852" s="81" t="s">
        <v>153</v>
      </c>
      <c r="BU852" s="82" t="s">
        <v>153</v>
      </c>
      <c r="BV852" s="83" t="s">
        <v>709</v>
      </c>
      <c r="BW852" s="84" t="s">
        <v>153</v>
      </c>
      <c r="BX852" s="85" t="s">
        <v>153</v>
      </c>
      <c r="BY852" s="86" t="s">
        <v>165</v>
      </c>
      <c r="BZ852" s="87" t="s">
        <v>153</v>
      </c>
      <c r="CA852" s="88" t="s">
        <v>190</v>
      </c>
      <c r="CB852" s="89">
        <v>43159</v>
      </c>
      <c r="CC852" s="90">
        <v>5800</v>
      </c>
      <c r="CD852" s="91" t="s">
        <v>186</v>
      </c>
      <c r="CE852" s="92">
        <v>5800</v>
      </c>
      <c r="CF852" s="93" t="s">
        <v>186</v>
      </c>
      <c r="CG852" s="94" t="s">
        <v>226</v>
      </c>
      <c r="CH852" s="95" t="s">
        <v>153</v>
      </c>
      <c r="CI852" s="96" t="s">
        <v>153</v>
      </c>
      <c r="CJ852" s="97" t="s">
        <v>225</v>
      </c>
      <c r="CK852" s="98">
        <v>43159</v>
      </c>
      <c r="CL852" s="99" t="s">
        <v>153</v>
      </c>
      <c r="CM852" s="100" t="s">
        <v>153</v>
      </c>
      <c r="CN852" s="101" t="s">
        <v>190</v>
      </c>
      <c r="CO852" s="102" t="s">
        <v>153</v>
      </c>
      <c r="CP852" s="103" t="s">
        <v>153</v>
      </c>
      <c r="CQ852" s="104" t="s">
        <v>153</v>
      </c>
      <c r="CR852" s="105" t="s">
        <v>153</v>
      </c>
      <c r="CS852" s="106" t="s">
        <v>153</v>
      </c>
      <c r="CT852" s="107" t="s">
        <v>153</v>
      </c>
      <c r="CU852" s="108" t="s">
        <v>153</v>
      </c>
      <c r="CV852" s="109" t="s">
        <v>153</v>
      </c>
      <c r="CW852" s="110" t="s">
        <v>153</v>
      </c>
      <c r="CX852" s="111" t="s">
        <v>153</v>
      </c>
      <c r="CY852" s="112" t="s">
        <v>153</v>
      </c>
      <c r="CZ852" s="113" t="s">
        <v>153</v>
      </c>
      <c r="DA852" s="114" t="s">
        <v>153</v>
      </c>
      <c r="DB852" s="115" t="s">
        <v>153</v>
      </c>
      <c r="DC852" s="116" t="s">
        <v>153</v>
      </c>
      <c r="DD852" s="117" t="s">
        <v>153</v>
      </c>
      <c r="DE852" s="118" t="s">
        <v>153</v>
      </c>
      <c r="DF852" s="119" t="s">
        <v>153</v>
      </c>
      <c r="DG852" s="120" t="s">
        <v>153</v>
      </c>
      <c r="DH852" s="121" t="s">
        <v>153</v>
      </c>
      <c r="DI852" s="122" t="s">
        <v>153</v>
      </c>
      <c r="DJ852" s="123" t="s">
        <v>153</v>
      </c>
      <c r="DK852" s="124" t="s">
        <v>153</v>
      </c>
      <c r="DL852" s="125" t="s">
        <v>153</v>
      </c>
      <c r="DM852" s="126" t="s">
        <v>153</v>
      </c>
      <c r="DN852" s="127" t="s">
        <v>153</v>
      </c>
      <c r="DO852" s="128" t="s">
        <v>153</v>
      </c>
      <c r="DP852" s="129" t="s">
        <v>153</v>
      </c>
      <c r="DQ852" s="130" t="s">
        <v>153</v>
      </c>
      <c r="DR852" s="131" t="s">
        <v>153</v>
      </c>
      <c r="DS852" s="132" t="s">
        <v>153</v>
      </c>
      <c r="DT852" s="133" t="s">
        <v>153</v>
      </c>
      <c r="DU852" s="134" t="s">
        <v>153</v>
      </c>
      <c r="DV852" s="135" t="s">
        <v>153</v>
      </c>
      <c r="DW852" s="136" t="s">
        <v>153</v>
      </c>
      <c r="DX852" s="137" t="s">
        <v>153</v>
      </c>
      <c r="DY852" s="138" t="s">
        <v>153</v>
      </c>
      <c r="DZ852" s="139" t="s">
        <v>191</v>
      </c>
      <c r="EA852" s="140">
        <v>44371</v>
      </c>
      <c r="EB852" s="141">
        <v>5800</v>
      </c>
      <c r="EC852" s="142">
        <v>43159</v>
      </c>
      <c r="ED852" s="143" t="s">
        <v>226</v>
      </c>
      <c r="EE852" s="278" t="str">
        <f>HYPERLINK("https://my.pitchbook.com?c=10122-85", "View company online")</f>
        <v>View company online</v>
      </c>
    </row>
    <row r="853" spans="1:135" x14ac:dyDescent="0.45">
      <c r="A853" s="144" t="s">
        <v>16910</v>
      </c>
      <c r="B853" s="145" t="s">
        <v>16911</v>
      </c>
      <c r="C853" s="146" t="s">
        <v>153</v>
      </c>
      <c r="D853" s="147" t="s">
        <v>153</v>
      </c>
      <c r="E853" s="148" t="s">
        <v>153</v>
      </c>
      <c r="F853" s="149" t="s">
        <v>16912</v>
      </c>
      <c r="G853" s="150" t="s">
        <v>16913</v>
      </c>
      <c r="H853" s="151" t="s">
        <v>153</v>
      </c>
      <c r="I853" s="152" t="s">
        <v>16910</v>
      </c>
      <c r="J853" s="153" t="s">
        <v>16914</v>
      </c>
      <c r="K853" s="154" t="s">
        <v>792</v>
      </c>
      <c r="L853" s="155" t="s">
        <v>841</v>
      </c>
      <c r="M853" s="156" t="s">
        <v>913</v>
      </c>
      <c r="N853" s="157" t="s">
        <v>16915</v>
      </c>
      <c r="O853" s="158" t="s">
        <v>796</v>
      </c>
      <c r="P853" s="159" t="s">
        <v>16916</v>
      </c>
      <c r="Q853" s="160" t="s">
        <v>204</v>
      </c>
      <c r="R853" s="161" t="s">
        <v>153</v>
      </c>
      <c r="S853" s="162" t="s">
        <v>290</v>
      </c>
      <c r="T853" s="163" t="s">
        <v>205</v>
      </c>
      <c r="U853" s="164" t="s">
        <v>237</v>
      </c>
      <c r="V853" s="165" t="s">
        <v>16917</v>
      </c>
      <c r="W853" s="166">
        <v>5705</v>
      </c>
      <c r="X853" s="167" t="s">
        <v>16918</v>
      </c>
      <c r="Y853" s="168" t="s">
        <v>153</v>
      </c>
      <c r="Z853" s="169" t="s">
        <v>153</v>
      </c>
      <c r="AA853" s="170">
        <v>1985</v>
      </c>
      <c r="AB853" s="171" t="s">
        <v>153</v>
      </c>
      <c r="AC853" s="172" t="s">
        <v>153</v>
      </c>
      <c r="AD853" s="173" t="s">
        <v>153</v>
      </c>
      <c r="AE853" s="174" t="s">
        <v>153</v>
      </c>
      <c r="AF853" s="175" t="s">
        <v>153</v>
      </c>
      <c r="AG853" s="176" t="s">
        <v>153</v>
      </c>
      <c r="AH853" s="177" t="s">
        <v>153</v>
      </c>
      <c r="AI853" s="178" t="s">
        <v>153</v>
      </c>
      <c r="AJ853" s="179" t="s">
        <v>153</v>
      </c>
      <c r="AK853" s="180" t="s">
        <v>153</v>
      </c>
      <c r="AL853" s="181" t="s">
        <v>153</v>
      </c>
      <c r="AM853" s="182" t="s">
        <v>153</v>
      </c>
      <c r="AN853" s="183" t="s">
        <v>1442</v>
      </c>
      <c r="AO853" s="184" t="s">
        <v>16919</v>
      </c>
      <c r="AP853" s="185" t="s">
        <v>16920</v>
      </c>
      <c r="AQ853" s="186" t="s">
        <v>16921</v>
      </c>
      <c r="AR853" s="187" t="s">
        <v>153</v>
      </c>
      <c r="AS853" s="188" t="s">
        <v>153</v>
      </c>
      <c r="AT853" s="189" t="s">
        <v>1399</v>
      </c>
      <c r="AU853" s="190" t="s">
        <v>16922</v>
      </c>
      <c r="AV853" s="191" t="s">
        <v>16923</v>
      </c>
      <c r="AW853" s="192" t="s">
        <v>1402</v>
      </c>
      <c r="AX853" s="193" t="s">
        <v>153</v>
      </c>
      <c r="AY853" s="194" t="s">
        <v>16924</v>
      </c>
      <c r="AZ853" s="195" t="s">
        <v>1404</v>
      </c>
      <c r="BA853" s="196" t="s">
        <v>153</v>
      </c>
      <c r="BB853" s="197" t="s">
        <v>153</v>
      </c>
      <c r="BC853" s="198" t="s">
        <v>153</v>
      </c>
      <c r="BD853" s="199" t="s">
        <v>1406</v>
      </c>
      <c r="BE853" s="200" t="s">
        <v>1407</v>
      </c>
      <c r="BF853" s="201" t="s">
        <v>16925</v>
      </c>
      <c r="BG853" s="202" t="s">
        <v>153</v>
      </c>
      <c r="BH853" s="203" t="s">
        <v>153</v>
      </c>
      <c r="BI853" s="204" t="s">
        <v>16926</v>
      </c>
      <c r="BJ853" s="205" t="s">
        <v>16927</v>
      </c>
      <c r="BK853" s="206" t="s">
        <v>153</v>
      </c>
      <c r="BL853" s="207" t="s">
        <v>153</v>
      </c>
      <c r="BM853" s="208" t="s">
        <v>16928</v>
      </c>
      <c r="BN853" s="209" t="s">
        <v>153</v>
      </c>
      <c r="BO853" s="210" t="s">
        <v>153</v>
      </c>
      <c r="BP853" s="211" t="s">
        <v>16929</v>
      </c>
      <c r="BQ853" s="212">
        <v>31048</v>
      </c>
      <c r="BR853" s="213" t="s">
        <v>153</v>
      </c>
      <c r="BS853" s="214" t="s">
        <v>153</v>
      </c>
      <c r="BT853" s="215" t="s">
        <v>153</v>
      </c>
      <c r="BU853" s="216" t="s">
        <v>153</v>
      </c>
      <c r="BV853" s="217" t="s">
        <v>589</v>
      </c>
      <c r="BW853" s="218" t="s">
        <v>153</v>
      </c>
      <c r="BX853" s="219" t="s">
        <v>153</v>
      </c>
      <c r="BY853" s="220" t="s">
        <v>225</v>
      </c>
      <c r="BZ853" s="221" t="s">
        <v>153</v>
      </c>
      <c r="CA853" s="222" t="s">
        <v>190</v>
      </c>
      <c r="CB853" s="223">
        <v>43556</v>
      </c>
      <c r="CC853" s="224">
        <v>5800</v>
      </c>
      <c r="CD853" s="225" t="s">
        <v>186</v>
      </c>
      <c r="CE853" s="226">
        <v>8690.18</v>
      </c>
      <c r="CF853" s="227" t="s">
        <v>187</v>
      </c>
      <c r="CG853" s="228" t="s">
        <v>226</v>
      </c>
      <c r="CH853" s="229" t="s">
        <v>153</v>
      </c>
      <c r="CI853" s="230" t="s">
        <v>153</v>
      </c>
      <c r="CJ853" s="231" t="s">
        <v>225</v>
      </c>
      <c r="CK853" s="232">
        <v>43556</v>
      </c>
      <c r="CL853" s="233" t="s">
        <v>153</v>
      </c>
      <c r="CM853" s="234" t="s">
        <v>153</v>
      </c>
      <c r="CN853" s="235" t="s">
        <v>190</v>
      </c>
      <c r="CO853" s="236" t="s">
        <v>153</v>
      </c>
      <c r="CP853" s="237" t="s">
        <v>153</v>
      </c>
      <c r="CQ853" s="238" t="s">
        <v>153</v>
      </c>
      <c r="CR853" s="239" t="s">
        <v>153</v>
      </c>
      <c r="CS853" s="240" t="s">
        <v>153</v>
      </c>
      <c r="CT853" s="241" t="s">
        <v>153</v>
      </c>
      <c r="CU853" s="242" t="s">
        <v>153</v>
      </c>
      <c r="CV853" s="243" t="s">
        <v>153</v>
      </c>
      <c r="CW853" s="244" t="s">
        <v>153</v>
      </c>
      <c r="CX853" s="245" t="s">
        <v>153</v>
      </c>
      <c r="CY853" s="246" t="s">
        <v>153</v>
      </c>
      <c r="CZ853" s="247" t="s">
        <v>153</v>
      </c>
      <c r="DA853" s="248" t="s">
        <v>153</v>
      </c>
      <c r="DB853" s="249" t="s">
        <v>153</v>
      </c>
      <c r="DC853" s="250" t="s">
        <v>153</v>
      </c>
      <c r="DD853" s="251" t="s">
        <v>153</v>
      </c>
      <c r="DE853" s="252" t="s">
        <v>153</v>
      </c>
      <c r="DF853" s="253" t="s">
        <v>153</v>
      </c>
      <c r="DG853" s="254" t="s">
        <v>153</v>
      </c>
      <c r="DH853" s="255" t="s">
        <v>153</v>
      </c>
      <c r="DI853" s="256" t="s">
        <v>153</v>
      </c>
      <c r="DJ853" s="257" t="s">
        <v>153</v>
      </c>
      <c r="DK853" s="258" t="s">
        <v>153</v>
      </c>
      <c r="DL853" s="259" t="s">
        <v>153</v>
      </c>
      <c r="DM853" s="260" t="s">
        <v>153</v>
      </c>
      <c r="DN853" s="261" t="s">
        <v>153</v>
      </c>
      <c r="DO853" s="262" t="s">
        <v>153</v>
      </c>
      <c r="DP853" s="263" t="s">
        <v>153</v>
      </c>
      <c r="DQ853" s="264" t="s">
        <v>153</v>
      </c>
      <c r="DR853" s="265" t="s">
        <v>153</v>
      </c>
      <c r="DS853" s="266" t="s">
        <v>153</v>
      </c>
      <c r="DT853" s="267" t="s">
        <v>153</v>
      </c>
      <c r="DU853" s="268" t="s">
        <v>153</v>
      </c>
      <c r="DV853" s="269" t="s">
        <v>153</v>
      </c>
      <c r="DW853" s="270" t="s">
        <v>153</v>
      </c>
      <c r="DX853" s="271" t="s">
        <v>153</v>
      </c>
      <c r="DY853" s="272" t="s">
        <v>153</v>
      </c>
      <c r="DZ853" s="273" t="s">
        <v>191</v>
      </c>
      <c r="EA853" s="274">
        <v>44217</v>
      </c>
      <c r="EB853" s="275">
        <v>8690.18</v>
      </c>
      <c r="EC853" s="276">
        <v>43556</v>
      </c>
      <c r="ED853" s="277" t="s">
        <v>226</v>
      </c>
      <c r="EE853" s="279" t="str">
        <f>HYPERLINK("https://my.pitchbook.com?c=59614-75", "View company online")</f>
        <v>View company online</v>
      </c>
    </row>
    <row r="854" spans="1:135" x14ac:dyDescent="0.45">
      <c r="A854" s="10" t="s">
        <v>16930</v>
      </c>
      <c r="B854" s="11" t="s">
        <v>16931</v>
      </c>
      <c r="C854" s="12" t="s">
        <v>153</v>
      </c>
      <c r="D854" s="13" t="s">
        <v>153</v>
      </c>
      <c r="E854" s="14" t="s">
        <v>153</v>
      </c>
      <c r="F854" s="15" t="s">
        <v>16932</v>
      </c>
      <c r="G854" s="16" t="s">
        <v>16933</v>
      </c>
      <c r="H854" s="17" t="s">
        <v>16934</v>
      </c>
      <c r="I854" s="18" t="s">
        <v>16930</v>
      </c>
      <c r="J854" s="19" t="s">
        <v>16935</v>
      </c>
      <c r="K854" s="20" t="s">
        <v>157</v>
      </c>
      <c r="L854" s="21" t="s">
        <v>4190</v>
      </c>
      <c r="M854" s="22" t="s">
        <v>7127</v>
      </c>
      <c r="N854" s="23" t="s">
        <v>16936</v>
      </c>
      <c r="O854" s="24" t="s">
        <v>153</v>
      </c>
      <c r="P854" s="25" t="s">
        <v>16937</v>
      </c>
      <c r="Q854" s="26" t="s">
        <v>564</v>
      </c>
      <c r="R854" s="27" t="s">
        <v>153</v>
      </c>
      <c r="S854" s="28" t="s">
        <v>290</v>
      </c>
      <c r="T854" s="29" t="s">
        <v>164</v>
      </c>
      <c r="U854" s="30" t="s">
        <v>565</v>
      </c>
      <c r="V854" s="31" t="s">
        <v>16938</v>
      </c>
      <c r="W854" s="32">
        <v>49</v>
      </c>
      <c r="X854" s="33" t="s">
        <v>16939</v>
      </c>
      <c r="Y854" s="34" t="s">
        <v>153</v>
      </c>
      <c r="Z854" s="35" t="s">
        <v>153</v>
      </c>
      <c r="AA854" s="36">
        <v>1997</v>
      </c>
      <c r="AB854" s="37" t="s">
        <v>8890</v>
      </c>
      <c r="AC854" s="38" t="s">
        <v>153</v>
      </c>
      <c r="AD854" s="39" t="s">
        <v>153</v>
      </c>
      <c r="AE854" s="40" t="s">
        <v>153</v>
      </c>
      <c r="AF854" s="41" t="s">
        <v>153</v>
      </c>
      <c r="AG854" s="42" t="s">
        <v>153</v>
      </c>
      <c r="AH854" s="43" t="s">
        <v>153</v>
      </c>
      <c r="AI854" s="44" t="s">
        <v>153</v>
      </c>
      <c r="AJ854" s="45" t="s">
        <v>153</v>
      </c>
      <c r="AK854" s="46" t="s">
        <v>153</v>
      </c>
      <c r="AL854" s="47" t="s">
        <v>153</v>
      </c>
      <c r="AM854" s="48" t="s">
        <v>153</v>
      </c>
      <c r="AN854" s="49" t="s">
        <v>1595</v>
      </c>
      <c r="AO854" s="50" t="s">
        <v>16940</v>
      </c>
      <c r="AP854" s="51" t="s">
        <v>16941</v>
      </c>
      <c r="AQ854" s="52" t="s">
        <v>16942</v>
      </c>
      <c r="AR854" s="53" t="s">
        <v>16943</v>
      </c>
      <c r="AS854" s="54" t="s">
        <v>16944</v>
      </c>
      <c r="AT854" s="55" t="s">
        <v>780</v>
      </c>
      <c r="AU854" s="56" t="s">
        <v>16945</v>
      </c>
      <c r="AV854" s="57" t="s">
        <v>16946</v>
      </c>
      <c r="AW854" s="58" t="s">
        <v>782</v>
      </c>
      <c r="AX854" s="59" t="s">
        <v>783</v>
      </c>
      <c r="AY854" s="60" t="s">
        <v>2876</v>
      </c>
      <c r="AZ854" s="61" t="s">
        <v>215</v>
      </c>
      <c r="BA854" s="62" t="s">
        <v>16944</v>
      </c>
      <c r="BB854" s="63" t="s">
        <v>153</v>
      </c>
      <c r="BC854" s="64" t="s">
        <v>16947</v>
      </c>
      <c r="BD854" s="65" t="s">
        <v>216</v>
      </c>
      <c r="BE854" s="66" t="s">
        <v>217</v>
      </c>
      <c r="BF854" s="67" t="s">
        <v>16948</v>
      </c>
      <c r="BG854" s="68" t="s">
        <v>153</v>
      </c>
      <c r="BH854" s="69" t="s">
        <v>153</v>
      </c>
      <c r="BI854" s="70" t="s">
        <v>8890</v>
      </c>
      <c r="BJ854" s="71" t="s">
        <v>16949</v>
      </c>
      <c r="BK854" s="72" t="s">
        <v>16950</v>
      </c>
      <c r="BL854" s="73" t="s">
        <v>153</v>
      </c>
      <c r="BM854" s="74" t="s">
        <v>16951</v>
      </c>
      <c r="BN854" s="75" t="s">
        <v>16952</v>
      </c>
      <c r="BO854" s="76" t="s">
        <v>16953</v>
      </c>
      <c r="BP854" s="77" t="s">
        <v>16954</v>
      </c>
      <c r="BQ854" s="78" t="s">
        <v>153</v>
      </c>
      <c r="BR854" s="79" t="s">
        <v>153</v>
      </c>
      <c r="BS854" s="80" t="s">
        <v>153</v>
      </c>
      <c r="BT854" s="81" t="s">
        <v>153</v>
      </c>
      <c r="BU854" s="82" t="s">
        <v>153</v>
      </c>
      <c r="BV854" s="83" t="s">
        <v>709</v>
      </c>
      <c r="BW854" s="84" t="s">
        <v>153</v>
      </c>
      <c r="BX854" s="85" t="s">
        <v>153</v>
      </c>
      <c r="BY854" s="86" t="s">
        <v>165</v>
      </c>
      <c r="BZ854" s="87" t="s">
        <v>153</v>
      </c>
      <c r="CA854" s="88" t="s">
        <v>190</v>
      </c>
      <c r="CB854" s="89">
        <v>43955</v>
      </c>
      <c r="CC854" s="90">
        <v>5800</v>
      </c>
      <c r="CD854" s="91" t="s">
        <v>187</v>
      </c>
      <c r="CE854" s="92">
        <v>5800</v>
      </c>
      <c r="CF854" s="93" t="s">
        <v>187</v>
      </c>
      <c r="CG854" s="94" t="s">
        <v>188</v>
      </c>
      <c r="CH854" s="95" t="s">
        <v>729</v>
      </c>
      <c r="CI854" s="96" t="s">
        <v>153</v>
      </c>
      <c r="CJ854" s="97" t="s">
        <v>165</v>
      </c>
      <c r="CK854" s="98">
        <v>43955</v>
      </c>
      <c r="CL854" s="99" t="s">
        <v>153</v>
      </c>
      <c r="CM854" s="100" t="s">
        <v>153</v>
      </c>
      <c r="CN854" s="101" t="s">
        <v>394</v>
      </c>
      <c r="CO854" s="102" t="s">
        <v>153</v>
      </c>
      <c r="CP854" s="103" t="s">
        <v>153</v>
      </c>
      <c r="CQ854" s="104" t="s">
        <v>153</v>
      </c>
      <c r="CR854" s="105" t="s">
        <v>153</v>
      </c>
      <c r="CS854" s="106" t="s">
        <v>153</v>
      </c>
      <c r="CT854" s="107" t="s">
        <v>153</v>
      </c>
      <c r="CU854" s="108" t="s">
        <v>153</v>
      </c>
      <c r="CV854" s="109" t="s">
        <v>153</v>
      </c>
      <c r="CW854" s="110" t="s">
        <v>153</v>
      </c>
      <c r="CX854" s="111" t="s">
        <v>153</v>
      </c>
      <c r="CY854" s="112" t="s">
        <v>153</v>
      </c>
      <c r="CZ854" s="113" t="s">
        <v>153</v>
      </c>
      <c r="DA854" s="114" t="s">
        <v>153</v>
      </c>
      <c r="DB854" s="115" t="s">
        <v>153</v>
      </c>
      <c r="DC854" s="116" t="s">
        <v>153</v>
      </c>
      <c r="DD854" s="117" t="s">
        <v>153</v>
      </c>
      <c r="DE854" s="118" t="s">
        <v>153</v>
      </c>
      <c r="DF854" s="119" t="s">
        <v>153</v>
      </c>
      <c r="DG854" s="120" t="s">
        <v>153</v>
      </c>
      <c r="DH854" s="121" t="s">
        <v>153</v>
      </c>
      <c r="DI854" s="122" t="s">
        <v>153</v>
      </c>
      <c r="DJ854" s="123" t="s">
        <v>153</v>
      </c>
      <c r="DK854" s="124" t="s">
        <v>153</v>
      </c>
      <c r="DL854" s="125" t="s">
        <v>153</v>
      </c>
      <c r="DM854" s="126" t="s">
        <v>153</v>
      </c>
      <c r="DN854" s="127" t="s">
        <v>153</v>
      </c>
      <c r="DO854" s="128" t="s">
        <v>153</v>
      </c>
      <c r="DP854" s="129" t="s">
        <v>153</v>
      </c>
      <c r="DQ854" s="130" t="s">
        <v>153</v>
      </c>
      <c r="DR854" s="131" t="s">
        <v>153</v>
      </c>
      <c r="DS854" s="132" t="s">
        <v>153</v>
      </c>
      <c r="DT854" s="133" t="s">
        <v>153</v>
      </c>
      <c r="DU854" s="134" t="s">
        <v>153</v>
      </c>
      <c r="DV854" s="135" t="s">
        <v>153</v>
      </c>
      <c r="DW854" s="136" t="s">
        <v>153</v>
      </c>
      <c r="DX854" s="137" t="s">
        <v>153</v>
      </c>
      <c r="DY854" s="138" t="s">
        <v>153</v>
      </c>
      <c r="DZ854" s="139" t="s">
        <v>191</v>
      </c>
      <c r="EA854" s="140">
        <v>44392</v>
      </c>
      <c r="EB854" s="141">
        <v>5800</v>
      </c>
      <c r="EC854" s="142">
        <v>43955</v>
      </c>
      <c r="ED854" s="143" t="s">
        <v>188</v>
      </c>
      <c r="EE854" s="278" t="str">
        <f>HYPERLINK("https://my.pitchbook.com?c=10546-12", "View company online")</f>
        <v>View company online</v>
      </c>
    </row>
    <row r="855" spans="1:135" x14ac:dyDescent="0.45">
      <c r="A855" s="144" t="s">
        <v>16955</v>
      </c>
      <c r="B855" s="145" t="s">
        <v>16956</v>
      </c>
      <c r="C855" s="146" t="s">
        <v>153</v>
      </c>
      <c r="D855" s="147" t="s">
        <v>153</v>
      </c>
      <c r="E855" s="148" t="s">
        <v>153</v>
      </c>
      <c r="F855" s="149" t="s">
        <v>153</v>
      </c>
      <c r="G855" s="150" t="s">
        <v>16957</v>
      </c>
      <c r="H855" s="151" t="s">
        <v>16958</v>
      </c>
      <c r="I855" s="152" t="s">
        <v>16955</v>
      </c>
      <c r="J855" s="153" t="s">
        <v>16959</v>
      </c>
      <c r="K855" s="154" t="s">
        <v>882</v>
      </c>
      <c r="L855" s="155" t="s">
        <v>1257</v>
      </c>
      <c r="M855" s="156" t="s">
        <v>6835</v>
      </c>
      <c r="N855" s="157" t="s">
        <v>16960</v>
      </c>
      <c r="O855" s="158" t="s">
        <v>14631</v>
      </c>
      <c r="P855" s="159" t="s">
        <v>16961</v>
      </c>
      <c r="Q855" s="160" t="s">
        <v>204</v>
      </c>
      <c r="R855" s="161">
        <v>61.97</v>
      </c>
      <c r="S855" s="162" t="s">
        <v>163</v>
      </c>
      <c r="T855" s="163" t="s">
        <v>205</v>
      </c>
      <c r="U855" s="164" t="s">
        <v>292</v>
      </c>
      <c r="V855" s="165" t="s">
        <v>153</v>
      </c>
      <c r="W855" s="166">
        <v>3819</v>
      </c>
      <c r="X855" s="167" t="s">
        <v>16962</v>
      </c>
      <c r="Y855" s="168" t="s">
        <v>153</v>
      </c>
      <c r="Z855" s="169" t="s">
        <v>153</v>
      </c>
      <c r="AA855" s="170">
        <v>1984</v>
      </c>
      <c r="AB855" s="171" t="s">
        <v>153</v>
      </c>
      <c r="AC855" s="172" t="s">
        <v>153</v>
      </c>
      <c r="AD855" s="173" t="s">
        <v>153</v>
      </c>
      <c r="AE855" s="174" t="s">
        <v>153</v>
      </c>
      <c r="AF855" s="175" t="s">
        <v>153</v>
      </c>
      <c r="AG855" s="176" t="s">
        <v>153</v>
      </c>
      <c r="AH855" s="177" t="s">
        <v>153</v>
      </c>
      <c r="AI855" s="178" t="s">
        <v>153</v>
      </c>
      <c r="AJ855" s="179" t="s">
        <v>153</v>
      </c>
      <c r="AK855" s="180" t="s">
        <v>153</v>
      </c>
      <c r="AL855" s="181" t="s">
        <v>153</v>
      </c>
      <c r="AM855" s="182" t="s">
        <v>153</v>
      </c>
      <c r="AN855" s="183" t="s">
        <v>8772</v>
      </c>
      <c r="AO855" s="184" t="s">
        <v>16963</v>
      </c>
      <c r="AP855" s="185" t="s">
        <v>16964</v>
      </c>
      <c r="AQ855" s="186" t="s">
        <v>171</v>
      </c>
      <c r="AR855" s="187" t="s">
        <v>16965</v>
      </c>
      <c r="AS855" s="188" t="s">
        <v>153</v>
      </c>
      <c r="AT855" s="189" t="s">
        <v>16966</v>
      </c>
      <c r="AU855" s="190" t="s">
        <v>16967</v>
      </c>
      <c r="AV855" s="191" t="s">
        <v>153</v>
      </c>
      <c r="AW855" s="192" t="s">
        <v>627</v>
      </c>
      <c r="AX855" s="193" t="s">
        <v>308</v>
      </c>
      <c r="AY855" s="194" t="s">
        <v>16968</v>
      </c>
      <c r="AZ855" s="195" t="s">
        <v>215</v>
      </c>
      <c r="BA855" s="196" t="s">
        <v>153</v>
      </c>
      <c r="BB855" s="197" t="s">
        <v>153</v>
      </c>
      <c r="BC855" s="198" t="s">
        <v>153</v>
      </c>
      <c r="BD855" s="199" t="s">
        <v>216</v>
      </c>
      <c r="BE855" s="200" t="s">
        <v>217</v>
      </c>
      <c r="BF855" s="201" t="s">
        <v>16969</v>
      </c>
      <c r="BG855" s="202" t="s">
        <v>153</v>
      </c>
      <c r="BH855" s="203" t="s">
        <v>153</v>
      </c>
      <c r="BI855" s="204" t="s">
        <v>10771</v>
      </c>
      <c r="BJ855" s="205" t="s">
        <v>16970</v>
      </c>
      <c r="BK855" s="206" t="s">
        <v>153</v>
      </c>
      <c r="BL855" s="207" t="s">
        <v>153</v>
      </c>
      <c r="BM855" s="208" t="s">
        <v>16971</v>
      </c>
      <c r="BN855" s="209" t="s">
        <v>153</v>
      </c>
      <c r="BO855" s="210" t="s">
        <v>16972</v>
      </c>
      <c r="BP855" s="211" t="s">
        <v>16973</v>
      </c>
      <c r="BQ855" s="212" t="s">
        <v>153</v>
      </c>
      <c r="BR855" s="213">
        <v>1.5</v>
      </c>
      <c r="BS855" s="214" t="s">
        <v>186</v>
      </c>
      <c r="BT855" s="215" t="s">
        <v>153</v>
      </c>
      <c r="BU855" s="216" t="s">
        <v>153</v>
      </c>
      <c r="BV855" s="217" t="s">
        <v>471</v>
      </c>
      <c r="BW855" s="218" t="s">
        <v>1811</v>
      </c>
      <c r="BX855" s="219" t="s">
        <v>153</v>
      </c>
      <c r="BY855" s="220" t="s">
        <v>472</v>
      </c>
      <c r="BZ855" s="221" t="s">
        <v>153</v>
      </c>
      <c r="CA855" s="222" t="s">
        <v>190</v>
      </c>
      <c r="CB855" s="223">
        <v>40385</v>
      </c>
      <c r="CC855" s="224">
        <v>5800</v>
      </c>
      <c r="CD855" s="225" t="s">
        <v>186</v>
      </c>
      <c r="CE855" s="226">
        <v>5800</v>
      </c>
      <c r="CF855" s="227" t="s">
        <v>186</v>
      </c>
      <c r="CG855" s="228" t="s">
        <v>226</v>
      </c>
      <c r="CH855" s="229" t="s">
        <v>153</v>
      </c>
      <c r="CI855" s="230" t="s">
        <v>153</v>
      </c>
      <c r="CJ855" s="231" t="s">
        <v>225</v>
      </c>
      <c r="CK855" s="232">
        <v>40385</v>
      </c>
      <c r="CL855" s="233" t="s">
        <v>153</v>
      </c>
      <c r="CM855" s="234" t="s">
        <v>153</v>
      </c>
      <c r="CN855" s="235" t="s">
        <v>190</v>
      </c>
      <c r="CO855" s="236" t="s">
        <v>153</v>
      </c>
      <c r="CP855" s="237" t="s">
        <v>153</v>
      </c>
      <c r="CQ855" s="238" t="s">
        <v>153</v>
      </c>
      <c r="CR855" s="239" t="s">
        <v>153</v>
      </c>
      <c r="CS855" s="240" t="s">
        <v>153</v>
      </c>
      <c r="CT855" s="241" t="s">
        <v>153</v>
      </c>
      <c r="CU855" s="242" t="s">
        <v>153</v>
      </c>
      <c r="CV855" s="243" t="s">
        <v>153</v>
      </c>
      <c r="CW855" s="244" t="s">
        <v>153</v>
      </c>
      <c r="CX855" s="245" t="s">
        <v>153</v>
      </c>
      <c r="CY855" s="246" t="s">
        <v>153</v>
      </c>
      <c r="CZ855" s="247" t="s">
        <v>153</v>
      </c>
      <c r="DA855" s="248" t="s">
        <v>153</v>
      </c>
      <c r="DB855" s="249" t="s">
        <v>153</v>
      </c>
      <c r="DC855" s="250" t="s">
        <v>153</v>
      </c>
      <c r="DD855" s="251" t="s">
        <v>153</v>
      </c>
      <c r="DE855" s="252" t="s">
        <v>153</v>
      </c>
      <c r="DF855" s="253" t="s">
        <v>153</v>
      </c>
      <c r="DG855" s="254" t="s">
        <v>153</v>
      </c>
      <c r="DH855" s="255" t="s">
        <v>153</v>
      </c>
      <c r="DI855" s="256" t="s">
        <v>153</v>
      </c>
      <c r="DJ855" s="257" t="s">
        <v>153</v>
      </c>
      <c r="DK855" s="258" t="s">
        <v>153</v>
      </c>
      <c r="DL855" s="259" t="s">
        <v>153</v>
      </c>
      <c r="DM855" s="260" t="s">
        <v>153</v>
      </c>
      <c r="DN855" s="261" t="s">
        <v>153</v>
      </c>
      <c r="DO855" s="262" t="s">
        <v>153</v>
      </c>
      <c r="DP855" s="263" t="s">
        <v>153</v>
      </c>
      <c r="DQ855" s="264" t="s">
        <v>153</v>
      </c>
      <c r="DR855" s="265" t="s">
        <v>153</v>
      </c>
      <c r="DS855" s="266" t="s">
        <v>153</v>
      </c>
      <c r="DT855" s="267" t="s">
        <v>153</v>
      </c>
      <c r="DU855" s="268" t="s">
        <v>153</v>
      </c>
      <c r="DV855" s="269" t="s">
        <v>153</v>
      </c>
      <c r="DW855" s="270" t="s">
        <v>153</v>
      </c>
      <c r="DX855" s="271" t="s">
        <v>153</v>
      </c>
      <c r="DY855" s="272" t="s">
        <v>153</v>
      </c>
      <c r="DZ855" s="273" t="s">
        <v>191</v>
      </c>
      <c r="EA855" s="274">
        <v>44342</v>
      </c>
      <c r="EB855" s="275">
        <v>5800</v>
      </c>
      <c r="EC855" s="276">
        <v>40385</v>
      </c>
      <c r="ED855" s="277" t="s">
        <v>226</v>
      </c>
      <c r="EE855" s="279" t="str">
        <f>HYPERLINK("https://my.pitchbook.com?c=25122-34", "View company online")</f>
        <v>View company online</v>
      </c>
    </row>
    <row r="856" spans="1:135" x14ac:dyDescent="0.45">
      <c r="A856" s="10" t="s">
        <v>16974</v>
      </c>
      <c r="B856" s="11" t="s">
        <v>16975</v>
      </c>
      <c r="C856" s="12" t="s">
        <v>153</v>
      </c>
      <c r="D856" s="13" t="s">
        <v>153</v>
      </c>
      <c r="E856" s="14" t="s">
        <v>153</v>
      </c>
      <c r="F856" s="15" t="s">
        <v>16976</v>
      </c>
      <c r="G856" s="16" t="s">
        <v>16977</v>
      </c>
      <c r="H856" s="17" t="s">
        <v>16978</v>
      </c>
      <c r="I856" s="18" t="s">
        <v>16974</v>
      </c>
      <c r="J856" s="19" t="s">
        <v>16979</v>
      </c>
      <c r="K856" s="20" t="s">
        <v>792</v>
      </c>
      <c r="L856" s="21" t="s">
        <v>841</v>
      </c>
      <c r="M856" s="22" t="s">
        <v>2326</v>
      </c>
      <c r="N856" s="23" t="s">
        <v>2822</v>
      </c>
      <c r="O856" s="24" t="s">
        <v>796</v>
      </c>
      <c r="P856" s="25" t="s">
        <v>16980</v>
      </c>
      <c r="Q856" s="26" t="s">
        <v>204</v>
      </c>
      <c r="R856" s="27">
        <v>1254.73</v>
      </c>
      <c r="S856" s="28" t="s">
        <v>290</v>
      </c>
      <c r="T856" s="29" t="s">
        <v>291</v>
      </c>
      <c r="U856" s="30" t="s">
        <v>237</v>
      </c>
      <c r="V856" s="31" t="s">
        <v>16981</v>
      </c>
      <c r="W856" s="32">
        <v>9696</v>
      </c>
      <c r="X856" s="33" t="s">
        <v>16982</v>
      </c>
      <c r="Y856" s="34" t="s">
        <v>16983</v>
      </c>
      <c r="Z856" s="35" t="s">
        <v>16984</v>
      </c>
      <c r="AA856" s="36">
        <v>1952</v>
      </c>
      <c r="AB856" s="37" t="s">
        <v>16985</v>
      </c>
      <c r="AC856" s="38" t="s">
        <v>153</v>
      </c>
      <c r="AD856" s="39" t="s">
        <v>1882</v>
      </c>
      <c r="AE856" s="40">
        <v>31204.9</v>
      </c>
      <c r="AF856" s="41">
        <v>3761.26</v>
      </c>
      <c r="AG856" s="42">
        <v>1433.19</v>
      </c>
      <c r="AH856" s="43">
        <v>7167.26</v>
      </c>
      <c r="AI856" s="44">
        <v>2524.9699999999998</v>
      </c>
      <c r="AJ856" s="45">
        <v>2037.67</v>
      </c>
      <c r="AK856" s="46">
        <v>5285.32</v>
      </c>
      <c r="AL856" s="47">
        <v>4725.3599999999997</v>
      </c>
      <c r="AM856" s="48">
        <v>-13.35</v>
      </c>
      <c r="AN856" s="49" t="s">
        <v>1765</v>
      </c>
      <c r="AO856" s="50" t="s">
        <v>16986</v>
      </c>
      <c r="AP856" s="51" t="s">
        <v>16987</v>
      </c>
      <c r="AQ856" s="52" t="s">
        <v>7218</v>
      </c>
      <c r="AR856" s="53" t="s">
        <v>153</v>
      </c>
      <c r="AS856" s="54" t="s">
        <v>16988</v>
      </c>
      <c r="AT856" s="55" t="s">
        <v>6426</v>
      </c>
      <c r="AU856" s="56" t="s">
        <v>16989</v>
      </c>
      <c r="AV856" s="57" t="s">
        <v>16990</v>
      </c>
      <c r="AW856" s="58" t="s">
        <v>6429</v>
      </c>
      <c r="AX856" s="59" t="s">
        <v>6195</v>
      </c>
      <c r="AY856" s="60" t="s">
        <v>16991</v>
      </c>
      <c r="AZ856" s="61" t="s">
        <v>3046</v>
      </c>
      <c r="BA856" s="62" t="s">
        <v>16988</v>
      </c>
      <c r="BB856" s="63" t="s">
        <v>16992</v>
      </c>
      <c r="BC856" s="64" t="s">
        <v>153</v>
      </c>
      <c r="BD856" s="65" t="s">
        <v>1406</v>
      </c>
      <c r="BE856" s="66" t="s">
        <v>3047</v>
      </c>
      <c r="BF856" s="67" t="s">
        <v>16993</v>
      </c>
      <c r="BG856" s="68" t="s">
        <v>16994</v>
      </c>
      <c r="BH856" s="69">
        <v>1</v>
      </c>
      <c r="BI856" s="70" t="s">
        <v>16985</v>
      </c>
      <c r="BJ856" s="71" t="s">
        <v>153</v>
      </c>
      <c r="BK856" s="72" t="s">
        <v>153</v>
      </c>
      <c r="BL856" s="73" t="s">
        <v>153</v>
      </c>
      <c r="BM856" s="74" t="s">
        <v>153</v>
      </c>
      <c r="BN856" s="75" t="s">
        <v>153</v>
      </c>
      <c r="BO856" s="76" t="s">
        <v>16995</v>
      </c>
      <c r="BP856" s="77" t="s">
        <v>153</v>
      </c>
      <c r="BQ856" s="78">
        <v>34743</v>
      </c>
      <c r="BR856" s="79" t="s">
        <v>153</v>
      </c>
      <c r="BS856" s="80" t="s">
        <v>153</v>
      </c>
      <c r="BT856" s="81" t="s">
        <v>153</v>
      </c>
      <c r="BU856" s="82" t="s">
        <v>153</v>
      </c>
      <c r="BV856" s="83" t="s">
        <v>251</v>
      </c>
      <c r="BW856" s="84" t="s">
        <v>153</v>
      </c>
      <c r="BX856" s="85" t="s">
        <v>153</v>
      </c>
      <c r="BY856" s="86" t="s">
        <v>252</v>
      </c>
      <c r="BZ856" s="87" t="s">
        <v>153</v>
      </c>
      <c r="CA856" s="88" t="s">
        <v>190</v>
      </c>
      <c r="CB856" s="89">
        <v>43131</v>
      </c>
      <c r="CC856" s="90">
        <v>5799.67</v>
      </c>
      <c r="CD856" s="91" t="s">
        <v>186</v>
      </c>
      <c r="CE856" s="92">
        <v>11347.42</v>
      </c>
      <c r="CF856" s="93" t="s">
        <v>187</v>
      </c>
      <c r="CG856" s="94" t="s">
        <v>226</v>
      </c>
      <c r="CH856" s="95" t="s">
        <v>153</v>
      </c>
      <c r="CI856" s="96" t="s">
        <v>153</v>
      </c>
      <c r="CJ856" s="97" t="s">
        <v>225</v>
      </c>
      <c r="CK856" s="98">
        <v>43131</v>
      </c>
      <c r="CL856" s="99" t="s">
        <v>153</v>
      </c>
      <c r="CM856" s="100" t="s">
        <v>153</v>
      </c>
      <c r="CN856" s="101" t="s">
        <v>190</v>
      </c>
      <c r="CO856" s="102">
        <v>-2.09</v>
      </c>
      <c r="CP856" s="103">
        <v>2</v>
      </c>
      <c r="CQ856" s="104">
        <v>0</v>
      </c>
      <c r="CR856" s="105">
        <v>-0.17</v>
      </c>
      <c r="CS856" s="106">
        <v>-4.22</v>
      </c>
      <c r="CT856" s="107">
        <v>1</v>
      </c>
      <c r="CU856" s="108">
        <v>0.04</v>
      </c>
      <c r="CV856" s="109">
        <v>80</v>
      </c>
      <c r="CW856" s="110">
        <v>-8.69</v>
      </c>
      <c r="CX856" s="111">
        <v>2</v>
      </c>
      <c r="CY856" s="112">
        <v>0.26</v>
      </c>
      <c r="CZ856" s="113">
        <v>92</v>
      </c>
      <c r="DA856" s="114">
        <v>0.04</v>
      </c>
      <c r="DB856" s="115">
        <v>80</v>
      </c>
      <c r="DC856" s="116">
        <v>341.51</v>
      </c>
      <c r="DD856" s="117">
        <v>100</v>
      </c>
      <c r="DE856" s="118">
        <v>1.61</v>
      </c>
      <c r="DF856" s="119">
        <v>0.47</v>
      </c>
      <c r="DG856" s="120">
        <v>140.35</v>
      </c>
      <c r="DH856" s="121">
        <v>100</v>
      </c>
      <c r="DI856" s="122">
        <v>542.67999999999995</v>
      </c>
      <c r="DJ856" s="123">
        <v>100</v>
      </c>
      <c r="DK856" s="124">
        <v>116.39</v>
      </c>
      <c r="DL856" s="125">
        <v>97</v>
      </c>
      <c r="DM856" s="126">
        <v>164.31</v>
      </c>
      <c r="DN856" s="127">
        <v>100</v>
      </c>
      <c r="DO856" s="128">
        <v>542.67999999999995</v>
      </c>
      <c r="DP856" s="129">
        <v>100</v>
      </c>
      <c r="DQ856" s="130">
        <v>69079</v>
      </c>
      <c r="DR856" s="131">
        <v>-224</v>
      </c>
      <c r="DS856" s="132">
        <v>-0.32</v>
      </c>
      <c r="DT856" s="133">
        <v>2631</v>
      </c>
      <c r="DU856" s="134">
        <v>-2</v>
      </c>
      <c r="DV856" s="135">
        <v>-0.08</v>
      </c>
      <c r="DW856" s="136">
        <v>170077</v>
      </c>
      <c r="DX856" s="137">
        <v>591</v>
      </c>
      <c r="DY856" s="138">
        <v>0.35</v>
      </c>
      <c r="DZ856" s="139" t="s">
        <v>191</v>
      </c>
      <c r="EA856" s="140">
        <v>44382</v>
      </c>
      <c r="EB856" s="141">
        <v>11347.42</v>
      </c>
      <c r="EC856" s="142">
        <v>43131</v>
      </c>
      <c r="ED856" s="143" t="s">
        <v>226</v>
      </c>
      <c r="EE856" s="278" t="str">
        <f>HYPERLINK("https://my.pitchbook.com?c=92196-28", "View company online")</f>
        <v>View company online</v>
      </c>
    </row>
    <row r="857" spans="1:135" x14ac:dyDescent="0.45">
      <c r="A857" s="144" t="s">
        <v>16996</v>
      </c>
      <c r="B857" s="145" t="s">
        <v>16997</v>
      </c>
      <c r="C857" s="146" t="s">
        <v>153</v>
      </c>
      <c r="D857" s="147" t="s">
        <v>153</v>
      </c>
      <c r="E857" s="148" t="s">
        <v>153</v>
      </c>
      <c r="F857" s="149" t="s">
        <v>16998</v>
      </c>
      <c r="G857" s="150" t="s">
        <v>16999</v>
      </c>
      <c r="H857" s="151" t="s">
        <v>153</v>
      </c>
      <c r="I857" s="152" t="s">
        <v>16996</v>
      </c>
      <c r="J857" s="153" t="s">
        <v>17000</v>
      </c>
      <c r="K857" s="154" t="s">
        <v>232</v>
      </c>
      <c r="L857" s="155" t="s">
        <v>362</v>
      </c>
      <c r="M857" s="156" t="s">
        <v>362</v>
      </c>
      <c r="N857" s="157" t="s">
        <v>1102</v>
      </c>
      <c r="O857" s="158" t="s">
        <v>153</v>
      </c>
      <c r="P857" s="159" t="s">
        <v>17001</v>
      </c>
      <c r="Q857" s="160" t="s">
        <v>162</v>
      </c>
      <c r="R857" s="161" t="s">
        <v>153</v>
      </c>
      <c r="S857" s="162" t="s">
        <v>163</v>
      </c>
      <c r="T857" s="163" t="s">
        <v>1392</v>
      </c>
      <c r="U857" s="164" t="s">
        <v>3170</v>
      </c>
      <c r="V857" s="165" t="s">
        <v>153</v>
      </c>
      <c r="W857" s="166">
        <v>10001</v>
      </c>
      <c r="X857" s="167" t="s">
        <v>17002</v>
      </c>
      <c r="Y857" s="168" t="s">
        <v>153</v>
      </c>
      <c r="Z857" s="169" t="s">
        <v>153</v>
      </c>
      <c r="AA857" s="170">
        <v>1955</v>
      </c>
      <c r="AB857" s="171" t="s">
        <v>153</v>
      </c>
      <c r="AC857" s="172" t="s">
        <v>153</v>
      </c>
      <c r="AD857" s="173" t="s">
        <v>153</v>
      </c>
      <c r="AE857" s="174" t="s">
        <v>153</v>
      </c>
      <c r="AF857" s="175" t="s">
        <v>153</v>
      </c>
      <c r="AG857" s="176" t="s">
        <v>153</v>
      </c>
      <c r="AH857" s="177" t="s">
        <v>153</v>
      </c>
      <c r="AI857" s="178" t="s">
        <v>153</v>
      </c>
      <c r="AJ857" s="179" t="s">
        <v>153</v>
      </c>
      <c r="AK857" s="180" t="s">
        <v>153</v>
      </c>
      <c r="AL857" s="181" t="s">
        <v>153</v>
      </c>
      <c r="AM857" s="182" t="s">
        <v>153</v>
      </c>
      <c r="AN857" s="183" t="s">
        <v>153</v>
      </c>
      <c r="AO857" s="184" t="s">
        <v>17003</v>
      </c>
      <c r="AP857" s="185" t="s">
        <v>17004</v>
      </c>
      <c r="AQ857" s="186" t="s">
        <v>17005</v>
      </c>
      <c r="AR857" s="187" t="s">
        <v>17006</v>
      </c>
      <c r="AS857" s="188" t="s">
        <v>17007</v>
      </c>
      <c r="AT857" s="189" t="s">
        <v>5517</v>
      </c>
      <c r="AU857" s="190" t="s">
        <v>17008</v>
      </c>
      <c r="AV857" s="191" t="s">
        <v>153</v>
      </c>
      <c r="AW857" s="192" t="s">
        <v>5519</v>
      </c>
      <c r="AX857" s="193" t="s">
        <v>5520</v>
      </c>
      <c r="AY857" s="194" t="s">
        <v>5521</v>
      </c>
      <c r="AZ857" s="195" t="s">
        <v>2546</v>
      </c>
      <c r="BA857" s="196" t="s">
        <v>17007</v>
      </c>
      <c r="BB857" s="197" t="s">
        <v>17009</v>
      </c>
      <c r="BC857" s="198" t="s">
        <v>153</v>
      </c>
      <c r="BD857" s="199" t="s">
        <v>2547</v>
      </c>
      <c r="BE857" s="200" t="s">
        <v>2547</v>
      </c>
      <c r="BF857" s="201" t="s">
        <v>17010</v>
      </c>
      <c r="BG857" s="202" t="s">
        <v>17011</v>
      </c>
      <c r="BH857" s="203">
        <v>1</v>
      </c>
      <c r="BI857" s="204" t="s">
        <v>153</v>
      </c>
      <c r="BJ857" s="205" t="s">
        <v>17012</v>
      </c>
      <c r="BK857" s="206" t="s">
        <v>17013</v>
      </c>
      <c r="BL857" s="207" t="s">
        <v>17014</v>
      </c>
      <c r="BM857" s="208" t="s">
        <v>17015</v>
      </c>
      <c r="BN857" s="209" t="s">
        <v>17016</v>
      </c>
      <c r="BO857" s="210" t="s">
        <v>17017</v>
      </c>
      <c r="BP857" s="211" t="s">
        <v>5525</v>
      </c>
      <c r="BQ857" s="212">
        <v>42285</v>
      </c>
      <c r="BR857" s="213">
        <v>5799.13</v>
      </c>
      <c r="BS857" s="214" t="s">
        <v>186</v>
      </c>
      <c r="BT857" s="215">
        <v>5799.13</v>
      </c>
      <c r="BU857" s="216" t="s">
        <v>187</v>
      </c>
      <c r="BV857" s="217" t="s">
        <v>188</v>
      </c>
      <c r="BW857" s="218" t="s">
        <v>729</v>
      </c>
      <c r="BX857" s="219" t="s">
        <v>153</v>
      </c>
      <c r="BY857" s="220" t="s">
        <v>165</v>
      </c>
      <c r="BZ857" s="221" t="s">
        <v>153</v>
      </c>
      <c r="CA857" s="222" t="s">
        <v>190</v>
      </c>
      <c r="CB857" s="223">
        <v>42285</v>
      </c>
      <c r="CC857" s="224">
        <v>5799.13</v>
      </c>
      <c r="CD857" s="225" t="s">
        <v>186</v>
      </c>
      <c r="CE857" s="226">
        <v>5799.13</v>
      </c>
      <c r="CF857" s="227" t="s">
        <v>187</v>
      </c>
      <c r="CG857" s="228" t="s">
        <v>188</v>
      </c>
      <c r="CH857" s="229" t="s">
        <v>729</v>
      </c>
      <c r="CI857" s="230" t="s">
        <v>153</v>
      </c>
      <c r="CJ857" s="231" t="s">
        <v>165</v>
      </c>
      <c r="CK857" s="232">
        <v>42285</v>
      </c>
      <c r="CL857" s="233" t="s">
        <v>153</v>
      </c>
      <c r="CM857" s="234" t="s">
        <v>153</v>
      </c>
      <c r="CN857" s="235" t="s">
        <v>190</v>
      </c>
      <c r="CO857" s="236" t="s">
        <v>153</v>
      </c>
      <c r="CP857" s="237" t="s">
        <v>153</v>
      </c>
      <c r="CQ857" s="238" t="s">
        <v>153</v>
      </c>
      <c r="CR857" s="239" t="s">
        <v>153</v>
      </c>
      <c r="CS857" s="240" t="s">
        <v>153</v>
      </c>
      <c r="CT857" s="241" t="s">
        <v>153</v>
      </c>
      <c r="CU857" s="242" t="s">
        <v>153</v>
      </c>
      <c r="CV857" s="243" t="s">
        <v>153</v>
      </c>
      <c r="CW857" s="244" t="s">
        <v>153</v>
      </c>
      <c r="CX857" s="245" t="s">
        <v>153</v>
      </c>
      <c r="CY857" s="246" t="s">
        <v>153</v>
      </c>
      <c r="CZ857" s="247" t="s">
        <v>153</v>
      </c>
      <c r="DA857" s="248" t="s">
        <v>153</v>
      </c>
      <c r="DB857" s="249" t="s">
        <v>153</v>
      </c>
      <c r="DC857" s="250" t="s">
        <v>153</v>
      </c>
      <c r="DD857" s="251" t="s">
        <v>153</v>
      </c>
      <c r="DE857" s="252" t="s">
        <v>153</v>
      </c>
      <c r="DF857" s="253" t="s">
        <v>153</v>
      </c>
      <c r="DG857" s="254" t="s">
        <v>153</v>
      </c>
      <c r="DH857" s="255" t="s">
        <v>153</v>
      </c>
      <c r="DI857" s="256" t="s">
        <v>153</v>
      </c>
      <c r="DJ857" s="257" t="s">
        <v>153</v>
      </c>
      <c r="DK857" s="258" t="s">
        <v>153</v>
      </c>
      <c r="DL857" s="259" t="s">
        <v>153</v>
      </c>
      <c r="DM857" s="260" t="s">
        <v>153</v>
      </c>
      <c r="DN857" s="261" t="s">
        <v>153</v>
      </c>
      <c r="DO857" s="262" t="s">
        <v>153</v>
      </c>
      <c r="DP857" s="263" t="s">
        <v>153</v>
      </c>
      <c r="DQ857" s="264" t="s">
        <v>153</v>
      </c>
      <c r="DR857" s="265" t="s">
        <v>153</v>
      </c>
      <c r="DS857" s="266" t="s">
        <v>153</v>
      </c>
      <c r="DT857" s="267" t="s">
        <v>153</v>
      </c>
      <c r="DU857" s="268" t="s">
        <v>153</v>
      </c>
      <c r="DV857" s="269" t="s">
        <v>153</v>
      </c>
      <c r="DW857" s="270" t="s">
        <v>153</v>
      </c>
      <c r="DX857" s="271" t="s">
        <v>153</v>
      </c>
      <c r="DY857" s="272" t="s">
        <v>153</v>
      </c>
      <c r="DZ857" s="273" t="s">
        <v>191</v>
      </c>
      <c r="EA857" s="274">
        <v>44147</v>
      </c>
      <c r="EB857" s="275">
        <v>5799.13</v>
      </c>
      <c r="EC857" s="276">
        <v>42285</v>
      </c>
      <c r="ED857" s="277" t="s">
        <v>188</v>
      </c>
      <c r="EE857" s="279" t="str">
        <f>HYPERLINK("https://my.pitchbook.com?c=107253-82", "View company online")</f>
        <v>View company online</v>
      </c>
    </row>
    <row r="858" spans="1:135" x14ac:dyDescent="0.45">
      <c r="A858" s="10" t="s">
        <v>17018</v>
      </c>
      <c r="B858" s="11" t="s">
        <v>17019</v>
      </c>
      <c r="C858" s="12" t="s">
        <v>153</v>
      </c>
      <c r="D858" s="13" t="s">
        <v>153</v>
      </c>
      <c r="E858" s="14" t="s">
        <v>153</v>
      </c>
      <c r="F858" s="15" t="s">
        <v>153</v>
      </c>
      <c r="G858" s="16" t="s">
        <v>17020</v>
      </c>
      <c r="H858" s="17" t="s">
        <v>153</v>
      </c>
      <c r="I858" s="18" t="s">
        <v>17018</v>
      </c>
      <c r="J858" s="19" t="s">
        <v>17021</v>
      </c>
      <c r="K858" s="20" t="s">
        <v>792</v>
      </c>
      <c r="L858" s="21" t="s">
        <v>841</v>
      </c>
      <c r="M858" s="22" t="s">
        <v>913</v>
      </c>
      <c r="N858" s="23" t="s">
        <v>10376</v>
      </c>
      <c r="O858" s="24" t="s">
        <v>3141</v>
      </c>
      <c r="P858" s="25" t="s">
        <v>17022</v>
      </c>
      <c r="Q858" s="26" t="s">
        <v>204</v>
      </c>
      <c r="R858" s="27" t="s">
        <v>153</v>
      </c>
      <c r="S858" s="28" t="s">
        <v>163</v>
      </c>
      <c r="T858" s="29" t="s">
        <v>205</v>
      </c>
      <c r="U858" s="30" t="s">
        <v>206</v>
      </c>
      <c r="V858" s="31" t="s">
        <v>153</v>
      </c>
      <c r="W858" s="32" t="s">
        <v>153</v>
      </c>
      <c r="X858" s="33" t="s">
        <v>153</v>
      </c>
      <c r="Y858" s="34" t="s">
        <v>153</v>
      </c>
      <c r="Z858" s="35" t="s">
        <v>153</v>
      </c>
      <c r="AA858" s="36">
        <v>2005</v>
      </c>
      <c r="AB858" s="37" t="s">
        <v>153</v>
      </c>
      <c r="AC858" s="38" t="s">
        <v>153</v>
      </c>
      <c r="AD858" s="39" t="s">
        <v>153</v>
      </c>
      <c r="AE858" s="40" t="s">
        <v>153</v>
      </c>
      <c r="AF858" s="41" t="s">
        <v>153</v>
      </c>
      <c r="AG858" s="42" t="s">
        <v>153</v>
      </c>
      <c r="AH858" s="43" t="s">
        <v>153</v>
      </c>
      <c r="AI858" s="44" t="s">
        <v>153</v>
      </c>
      <c r="AJ858" s="45" t="s">
        <v>153</v>
      </c>
      <c r="AK858" s="46" t="s">
        <v>153</v>
      </c>
      <c r="AL858" s="47" t="s">
        <v>153</v>
      </c>
      <c r="AM858" s="48" t="s">
        <v>153</v>
      </c>
      <c r="AN858" s="49" t="s">
        <v>3444</v>
      </c>
      <c r="AO858" s="50" t="s">
        <v>17023</v>
      </c>
      <c r="AP858" s="51" t="s">
        <v>17024</v>
      </c>
      <c r="AQ858" s="52" t="s">
        <v>171</v>
      </c>
      <c r="AR858" s="53" t="s">
        <v>153</v>
      </c>
      <c r="AS858" s="54" t="s">
        <v>153</v>
      </c>
      <c r="AT858" s="55" t="s">
        <v>808</v>
      </c>
      <c r="AU858" s="56" t="s">
        <v>153</v>
      </c>
      <c r="AV858" s="57" t="s">
        <v>153</v>
      </c>
      <c r="AW858" s="58" t="s">
        <v>153</v>
      </c>
      <c r="AX858" s="59" t="s">
        <v>153</v>
      </c>
      <c r="AY858" s="60" t="s">
        <v>153</v>
      </c>
      <c r="AZ858" s="61" t="s">
        <v>808</v>
      </c>
      <c r="BA858" s="62" t="s">
        <v>153</v>
      </c>
      <c r="BB858" s="63" t="s">
        <v>153</v>
      </c>
      <c r="BC858" s="64" t="s">
        <v>153</v>
      </c>
      <c r="BD858" s="65" t="s">
        <v>180</v>
      </c>
      <c r="BE858" s="66" t="s">
        <v>809</v>
      </c>
      <c r="BF858" s="67" t="s">
        <v>17025</v>
      </c>
      <c r="BG858" s="68" t="s">
        <v>17026</v>
      </c>
      <c r="BH858" s="69">
        <v>1</v>
      </c>
      <c r="BI858" s="70" t="s">
        <v>11803</v>
      </c>
      <c r="BJ858" s="71" t="s">
        <v>153</v>
      </c>
      <c r="BK858" s="72" t="s">
        <v>153</v>
      </c>
      <c r="BL858" s="73" t="s">
        <v>17027</v>
      </c>
      <c r="BM858" s="74" t="s">
        <v>153</v>
      </c>
      <c r="BN858" s="75" t="s">
        <v>153</v>
      </c>
      <c r="BO858" s="76" t="s">
        <v>153</v>
      </c>
      <c r="BP858" s="77" t="s">
        <v>153</v>
      </c>
      <c r="BQ858" s="78" t="s">
        <v>153</v>
      </c>
      <c r="BR858" s="79" t="s">
        <v>153</v>
      </c>
      <c r="BS858" s="80" t="s">
        <v>153</v>
      </c>
      <c r="BT858" s="81" t="s">
        <v>153</v>
      </c>
      <c r="BU858" s="82" t="s">
        <v>153</v>
      </c>
      <c r="BV858" s="83" t="s">
        <v>906</v>
      </c>
      <c r="BW858" s="84" t="s">
        <v>153</v>
      </c>
      <c r="BX858" s="85" t="s">
        <v>153</v>
      </c>
      <c r="BY858" s="86" t="s">
        <v>225</v>
      </c>
      <c r="BZ858" s="87" t="s">
        <v>153</v>
      </c>
      <c r="CA858" s="88" t="s">
        <v>190</v>
      </c>
      <c r="CB858" s="89">
        <v>39370</v>
      </c>
      <c r="CC858" s="90">
        <v>5791.01</v>
      </c>
      <c r="CD858" s="91" t="s">
        <v>186</v>
      </c>
      <c r="CE858" s="92">
        <v>12321.29</v>
      </c>
      <c r="CF858" s="93" t="s">
        <v>187</v>
      </c>
      <c r="CG858" s="94" t="s">
        <v>226</v>
      </c>
      <c r="CH858" s="95" t="s">
        <v>729</v>
      </c>
      <c r="CI858" s="96" t="s">
        <v>153</v>
      </c>
      <c r="CJ858" s="97" t="s">
        <v>225</v>
      </c>
      <c r="CK858" s="98">
        <v>39370</v>
      </c>
      <c r="CL858" s="99" t="s">
        <v>153</v>
      </c>
      <c r="CM858" s="100" t="s">
        <v>153</v>
      </c>
      <c r="CN858" s="101" t="s">
        <v>190</v>
      </c>
      <c r="CO858" s="102" t="s">
        <v>153</v>
      </c>
      <c r="CP858" s="103" t="s">
        <v>153</v>
      </c>
      <c r="CQ858" s="104" t="s">
        <v>153</v>
      </c>
      <c r="CR858" s="105" t="s">
        <v>153</v>
      </c>
      <c r="CS858" s="106" t="s">
        <v>153</v>
      </c>
      <c r="CT858" s="107" t="s">
        <v>153</v>
      </c>
      <c r="CU858" s="108" t="s">
        <v>153</v>
      </c>
      <c r="CV858" s="109" t="s">
        <v>153</v>
      </c>
      <c r="CW858" s="110" t="s">
        <v>153</v>
      </c>
      <c r="CX858" s="111" t="s">
        <v>153</v>
      </c>
      <c r="CY858" s="112" t="s">
        <v>153</v>
      </c>
      <c r="CZ858" s="113" t="s">
        <v>153</v>
      </c>
      <c r="DA858" s="114" t="s">
        <v>153</v>
      </c>
      <c r="DB858" s="115" t="s">
        <v>153</v>
      </c>
      <c r="DC858" s="116" t="s">
        <v>153</v>
      </c>
      <c r="DD858" s="117" t="s">
        <v>153</v>
      </c>
      <c r="DE858" s="118" t="s">
        <v>153</v>
      </c>
      <c r="DF858" s="119" t="s">
        <v>153</v>
      </c>
      <c r="DG858" s="120" t="s">
        <v>153</v>
      </c>
      <c r="DH858" s="121" t="s">
        <v>153</v>
      </c>
      <c r="DI858" s="122" t="s">
        <v>153</v>
      </c>
      <c r="DJ858" s="123" t="s">
        <v>153</v>
      </c>
      <c r="DK858" s="124" t="s">
        <v>153</v>
      </c>
      <c r="DL858" s="125" t="s">
        <v>153</v>
      </c>
      <c r="DM858" s="126" t="s">
        <v>153</v>
      </c>
      <c r="DN858" s="127" t="s">
        <v>153</v>
      </c>
      <c r="DO858" s="128" t="s">
        <v>153</v>
      </c>
      <c r="DP858" s="129" t="s">
        <v>153</v>
      </c>
      <c r="DQ858" s="130" t="s">
        <v>153</v>
      </c>
      <c r="DR858" s="131" t="s">
        <v>153</v>
      </c>
      <c r="DS858" s="132" t="s">
        <v>153</v>
      </c>
      <c r="DT858" s="133" t="s">
        <v>153</v>
      </c>
      <c r="DU858" s="134" t="s">
        <v>153</v>
      </c>
      <c r="DV858" s="135" t="s">
        <v>153</v>
      </c>
      <c r="DW858" s="136" t="s">
        <v>153</v>
      </c>
      <c r="DX858" s="137" t="s">
        <v>153</v>
      </c>
      <c r="DY858" s="138" t="s">
        <v>153</v>
      </c>
      <c r="DZ858" s="139" t="s">
        <v>191</v>
      </c>
      <c r="EA858" s="140">
        <v>43940</v>
      </c>
      <c r="EB858" s="141">
        <v>12321.29</v>
      </c>
      <c r="EC858" s="142">
        <v>39370</v>
      </c>
      <c r="ED858" s="143" t="s">
        <v>226</v>
      </c>
      <c r="EE858" s="278" t="str">
        <f>HYPERLINK("https://my.pitchbook.com?c=157556-44", "View company online")</f>
        <v>View company online</v>
      </c>
    </row>
    <row r="859" spans="1:135" x14ac:dyDescent="0.45">
      <c r="A859" s="144" t="s">
        <v>17028</v>
      </c>
      <c r="B859" s="145" t="s">
        <v>17029</v>
      </c>
      <c r="C859" s="146" t="s">
        <v>153</v>
      </c>
      <c r="D859" s="147" t="s">
        <v>153</v>
      </c>
      <c r="E859" s="148" t="s">
        <v>153</v>
      </c>
      <c r="F859" s="149" t="s">
        <v>153</v>
      </c>
      <c r="G859" s="150" t="s">
        <v>153</v>
      </c>
      <c r="H859" s="151" t="s">
        <v>153</v>
      </c>
      <c r="I859" s="152" t="s">
        <v>17028</v>
      </c>
      <c r="J859" s="153" t="s">
        <v>17030</v>
      </c>
      <c r="K859" s="154" t="s">
        <v>882</v>
      </c>
      <c r="L859" s="155" t="s">
        <v>2888</v>
      </c>
      <c r="M859" s="156" t="s">
        <v>2889</v>
      </c>
      <c r="N859" s="157" t="s">
        <v>3484</v>
      </c>
      <c r="O859" s="158" t="s">
        <v>153</v>
      </c>
      <c r="P859" s="159" t="s">
        <v>17031</v>
      </c>
      <c r="Q859" s="160" t="s">
        <v>162</v>
      </c>
      <c r="R859" s="161" t="s">
        <v>153</v>
      </c>
      <c r="S859" s="162" t="s">
        <v>153</v>
      </c>
      <c r="T859" s="163" t="s">
        <v>1392</v>
      </c>
      <c r="U859" s="164" t="s">
        <v>165</v>
      </c>
      <c r="V859" s="165" t="s">
        <v>153</v>
      </c>
      <c r="W859" s="166" t="s">
        <v>153</v>
      </c>
      <c r="X859" s="167" t="s">
        <v>153</v>
      </c>
      <c r="Y859" s="168" t="s">
        <v>153</v>
      </c>
      <c r="Z859" s="169" t="s">
        <v>153</v>
      </c>
      <c r="AA859" s="170" t="s">
        <v>153</v>
      </c>
      <c r="AB859" s="171" t="s">
        <v>153</v>
      </c>
      <c r="AC859" s="172" t="s">
        <v>153</v>
      </c>
      <c r="AD859" s="173" t="s">
        <v>153</v>
      </c>
      <c r="AE859" s="174" t="s">
        <v>153</v>
      </c>
      <c r="AF859" s="175" t="s">
        <v>153</v>
      </c>
      <c r="AG859" s="176" t="s">
        <v>153</v>
      </c>
      <c r="AH859" s="177" t="s">
        <v>153</v>
      </c>
      <c r="AI859" s="178" t="s">
        <v>153</v>
      </c>
      <c r="AJ859" s="179" t="s">
        <v>153</v>
      </c>
      <c r="AK859" s="180" t="s">
        <v>153</v>
      </c>
      <c r="AL859" s="181" t="s">
        <v>153</v>
      </c>
      <c r="AM859" s="182" t="s">
        <v>153</v>
      </c>
      <c r="AN859" s="183" t="s">
        <v>153</v>
      </c>
      <c r="AO859" s="184" t="s">
        <v>153</v>
      </c>
      <c r="AP859" s="185" t="s">
        <v>153</v>
      </c>
      <c r="AQ859" s="186" t="s">
        <v>153</v>
      </c>
      <c r="AR859" s="187" t="s">
        <v>153</v>
      </c>
      <c r="AS859" s="188" t="s">
        <v>153</v>
      </c>
      <c r="AT859" s="189" t="s">
        <v>8996</v>
      </c>
      <c r="AU859" s="190" t="s">
        <v>17032</v>
      </c>
      <c r="AV859" s="191" t="s">
        <v>153</v>
      </c>
      <c r="AW859" s="192" t="s">
        <v>8997</v>
      </c>
      <c r="AX859" s="193" t="s">
        <v>153</v>
      </c>
      <c r="AY859" s="194" t="s">
        <v>17033</v>
      </c>
      <c r="AZ859" s="195" t="s">
        <v>681</v>
      </c>
      <c r="BA859" s="196" t="s">
        <v>153</v>
      </c>
      <c r="BB859" s="197" t="s">
        <v>153</v>
      </c>
      <c r="BC859" s="198" t="s">
        <v>153</v>
      </c>
      <c r="BD859" s="199" t="s">
        <v>180</v>
      </c>
      <c r="BE859" s="200" t="s">
        <v>684</v>
      </c>
      <c r="BF859" s="201" t="s">
        <v>17034</v>
      </c>
      <c r="BG859" s="202" t="s">
        <v>17035</v>
      </c>
      <c r="BH859" s="203">
        <v>1</v>
      </c>
      <c r="BI859" s="204" t="s">
        <v>153</v>
      </c>
      <c r="BJ859" s="205" t="s">
        <v>5800</v>
      </c>
      <c r="BK859" s="206" t="s">
        <v>153</v>
      </c>
      <c r="BL859" s="207" t="s">
        <v>17036</v>
      </c>
      <c r="BM859" s="208" t="s">
        <v>9001</v>
      </c>
      <c r="BN859" s="209" t="s">
        <v>153</v>
      </c>
      <c r="BO859" s="210" t="s">
        <v>153</v>
      </c>
      <c r="BP859" s="211" t="s">
        <v>153</v>
      </c>
      <c r="BQ859" s="212">
        <v>42736</v>
      </c>
      <c r="BR859" s="213">
        <v>5787.09</v>
      </c>
      <c r="BS859" s="214" t="s">
        <v>186</v>
      </c>
      <c r="BT859" s="215">
        <v>5787.09</v>
      </c>
      <c r="BU859" s="216" t="s">
        <v>187</v>
      </c>
      <c r="BV859" s="217" t="s">
        <v>188</v>
      </c>
      <c r="BW859" s="218" t="s">
        <v>1525</v>
      </c>
      <c r="BX859" s="219" t="s">
        <v>1526</v>
      </c>
      <c r="BY859" s="220" t="s">
        <v>165</v>
      </c>
      <c r="BZ859" s="221" t="s">
        <v>153</v>
      </c>
      <c r="CA859" s="222" t="s">
        <v>190</v>
      </c>
      <c r="CB859" s="223">
        <v>42736</v>
      </c>
      <c r="CC859" s="224">
        <v>5787.09</v>
      </c>
      <c r="CD859" s="225" t="s">
        <v>186</v>
      </c>
      <c r="CE859" s="226">
        <v>5787.09</v>
      </c>
      <c r="CF859" s="227" t="s">
        <v>187</v>
      </c>
      <c r="CG859" s="228" t="s">
        <v>188</v>
      </c>
      <c r="CH859" s="229" t="s">
        <v>1525</v>
      </c>
      <c r="CI859" s="230" t="s">
        <v>1526</v>
      </c>
      <c r="CJ859" s="231" t="s">
        <v>165</v>
      </c>
      <c r="CK859" s="232">
        <v>42736</v>
      </c>
      <c r="CL859" s="233" t="s">
        <v>153</v>
      </c>
      <c r="CM859" s="234" t="s">
        <v>153</v>
      </c>
      <c r="CN859" s="235" t="s">
        <v>190</v>
      </c>
      <c r="CO859" s="236" t="s">
        <v>153</v>
      </c>
      <c r="CP859" s="237" t="s">
        <v>153</v>
      </c>
      <c r="CQ859" s="238" t="s">
        <v>153</v>
      </c>
      <c r="CR859" s="239" t="s">
        <v>153</v>
      </c>
      <c r="CS859" s="240" t="s">
        <v>153</v>
      </c>
      <c r="CT859" s="241" t="s">
        <v>153</v>
      </c>
      <c r="CU859" s="242" t="s">
        <v>153</v>
      </c>
      <c r="CV859" s="243" t="s">
        <v>153</v>
      </c>
      <c r="CW859" s="244" t="s">
        <v>153</v>
      </c>
      <c r="CX859" s="245" t="s">
        <v>153</v>
      </c>
      <c r="CY859" s="246" t="s">
        <v>153</v>
      </c>
      <c r="CZ859" s="247" t="s">
        <v>153</v>
      </c>
      <c r="DA859" s="248" t="s">
        <v>153</v>
      </c>
      <c r="DB859" s="249" t="s">
        <v>153</v>
      </c>
      <c r="DC859" s="250" t="s">
        <v>153</v>
      </c>
      <c r="DD859" s="251" t="s">
        <v>153</v>
      </c>
      <c r="DE859" s="252" t="s">
        <v>153</v>
      </c>
      <c r="DF859" s="253" t="s">
        <v>153</v>
      </c>
      <c r="DG859" s="254" t="s">
        <v>153</v>
      </c>
      <c r="DH859" s="255" t="s">
        <v>153</v>
      </c>
      <c r="DI859" s="256" t="s">
        <v>153</v>
      </c>
      <c r="DJ859" s="257" t="s">
        <v>153</v>
      </c>
      <c r="DK859" s="258" t="s">
        <v>153</v>
      </c>
      <c r="DL859" s="259" t="s">
        <v>153</v>
      </c>
      <c r="DM859" s="260" t="s">
        <v>153</v>
      </c>
      <c r="DN859" s="261" t="s">
        <v>153</v>
      </c>
      <c r="DO859" s="262" t="s">
        <v>153</v>
      </c>
      <c r="DP859" s="263" t="s">
        <v>153</v>
      </c>
      <c r="DQ859" s="264" t="s">
        <v>153</v>
      </c>
      <c r="DR859" s="265" t="s">
        <v>153</v>
      </c>
      <c r="DS859" s="266" t="s">
        <v>153</v>
      </c>
      <c r="DT859" s="267" t="s">
        <v>153</v>
      </c>
      <c r="DU859" s="268" t="s">
        <v>153</v>
      </c>
      <c r="DV859" s="269" t="s">
        <v>153</v>
      </c>
      <c r="DW859" s="270" t="s">
        <v>153</v>
      </c>
      <c r="DX859" s="271" t="s">
        <v>153</v>
      </c>
      <c r="DY859" s="272" t="s">
        <v>153</v>
      </c>
      <c r="DZ859" s="273" t="s">
        <v>191</v>
      </c>
      <c r="EA859" s="274">
        <v>44174</v>
      </c>
      <c r="EB859" s="275">
        <v>5787.09</v>
      </c>
      <c r="EC859" s="276">
        <v>42736</v>
      </c>
      <c r="ED859" s="277" t="s">
        <v>188</v>
      </c>
      <c r="EE859" s="279" t="str">
        <f>HYPERLINK("https://my.pitchbook.com?c=221858-83", "View company online")</f>
        <v>View company online</v>
      </c>
    </row>
    <row r="860" spans="1:135" x14ac:dyDescent="0.45">
      <c r="A860" s="10" t="s">
        <v>17037</v>
      </c>
      <c r="B860" s="11" t="s">
        <v>17038</v>
      </c>
      <c r="C860" s="12" t="s">
        <v>153</v>
      </c>
      <c r="D860" s="13" t="s">
        <v>153</v>
      </c>
      <c r="E860" s="14" t="s">
        <v>153</v>
      </c>
      <c r="F860" s="15" t="s">
        <v>17039</v>
      </c>
      <c r="G860" s="16" t="s">
        <v>17040</v>
      </c>
      <c r="H860" s="17" t="s">
        <v>17041</v>
      </c>
      <c r="I860" s="18" t="s">
        <v>17037</v>
      </c>
      <c r="J860" s="19" t="s">
        <v>17042</v>
      </c>
      <c r="K860" s="20" t="s">
        <v>232</v>
      </c>
      <c r="L860" s="21" t="s">
        <v>233</v>
      </c>
      <c r="M860" s="22" t="s">
        <v>234</v>
      </c>
      <c r="N860" s="23" t="s">
        <v>17043</v>
      </c>
      <c r="O860" s="24" t="s">
        <v>153</v>
      </c>
      <c r="P860" s="25" t="s">
        <v>17044</v>
      </c>
      <c r="Q860" s="26" t="s">
        <v>564</v>
      </c>
      <c r="R860" s="27">
        <v>136.53</v>
      </c>
      <c r="S860" s="28" t="s">
        <v>290</v>
      </c>
      <c r="T860" s="29" t="s">
        <v>205</v>
      </c>
      <c r="U860" s="30" t="s">
        <v>565</v>
      </c>
      <c r="V860" s="31" t="s">
        <v>153</v>
      </c>
      <c r="W860" s="32">
        <v>22000</v>
      </c>
      <c r="X860" s="33" t="s">
        <v>17045</v>
      </c>
      <c r="Y860" s="34" t="s">
        <v>153</v>
      </c>
      <c r="Z860" s="35" t="s">
        <v>153</v>
      </c>
      <c r="AA860" s="36">
        <v>1865</v>
      </c>
      <c r="AB860" s="37" t="s">
        <v>153</v>
      </c>
      <c r="AC860" s="38" t="s">
        <v>153</v>
      </c>
      <c r="AD860" s="39" t="s">
        <v>153</v>
      </c>
      <c r="AE860" s="40" t="s">
        <v>153</v>
      </c>
      <c r="AF860" s="41" t="s">
        <v>153</v>
      </c>
      <c r="AG860" s="42" t="s">
        <v>153</v>
      </c>
      <c r="AH860" s="43" t="s">
        <v>153</v>
      </c>
      <c r="AI860" s="44" t="s">
        <v>153</v>
      </c>
      <c r="AJ860" s="45" t="s">
        <v>153</v>
      </c>
      <c r="AK860" s="46" t="s">
        <v>153</v>
      </c>
      <c r="AL860" s="47" t="s">
        <v>153</v>
      </c>
      <c r="AM860" s="48" t="s">
        <v>153</v>
      </c>
      <c r="AN860" s="49" t="s">
        <v>5666</v>
      </c>
      <c r="AO860" s="50" t="s">
        <v>153</v>
      </c>
      <c r="AP860" s="51" t="s">
        <v>153</v>
      </c>
      <c r="AQ860" s="52" t="s">
        <v>153</v>
      </c>
      <c r="AR860" s="53" t="s">
        <v>153</v>
      </c>
      <c r="AS860" s="54" t="s">
        <v>153</v>
      </c>
      <c r="AT860" s="55" t="s">
        <v>677</v>
      </c>
      <c r="AU860" s="56" t="s">
        <v>17046</v>
      </c>
      <c r="AV860" s="57" t="s">
        <v>153</v>
      </c>
      <c r="AW860" s="58" t="s">
        <v>679</v>
      </c>
      <c r="AX860" s="59" t="s">
        <v>153</v>
      </c>
      <c r="AY860" s="60" t="s">
        <v>17047</v>
      </c>
      <c r="AZ860" s="61" t="s">
        <v>681</v>
      </c>
      <c r="BA860" s="62" t="s">
        <v>153</v>
      </c>
      <c r="BB860" s="63" t="s">
        <v>153</v>
      </c>
      <c r="BC860" s="64" t="s">
        <v>153</v>
      </c>
      <c r="BD860" s="65" t="s">
        <v>180</v>
      </c>
      <c r="BE860" s="66" t="s">
        <v>684</v>
      </c>
      <c r="BF860" s="67" t="s">
        <v>17048</v>
      </c>
      <c r="BG860" s="68" t="s">
        <v>153</v>
      </c>
      <c r="BH860" s="69" t="s">
        <v>153</v>
      </c>
      <c r="BI860" s="70" t="s">
        <v>17049</v>
      </c>
      <c r="BJ860" s="71" t="s">
        <v>17050</v>
      </c>
      <c r="BK860" s="72" t="s">
        <v>153</v>
      </c>
      <c r="BL860" s="73" t="s">
        <v>153</v>
      </c>
      <c r="BM860" s="74" t="s">
        <v>17051</v>
      </c>
      <c r="BN860" s="75" t="s">
        <v>153</v>
      </c>
      <c r="BO860" s="76" t="s">
        <v>153</v>
      </c>
      <c r="BP860" s="77" t="s">
        <v>17052</v>
      </c>
      <c r="BQ860" s="78">
        <v>36243</v>
      </c>
      <c r="BR860" s="79" t="s">
        <v>153</v>
      </c>
      <c r="BS860" s="80" t="s">
        <v>153</v>
      </c>
      <c r="BT860" s="81" t="s">
        <v>153</v>
      </c>
      <c r="BU860" s="82" t="s">
        <v>153</v>
      </c>
      <c r="BV860" s="83" t="s">
        <v>251</v>
      </c>
      <c r="BW860" s="84" t="s">
        <v>153</v>
      </c>
      <c r="BX860" s="85" t="s">
        <v>153</v>
      </c>
      <c r="BY860" s="86" t="s">
        <v>252</v>
      </c>
      <c r="BZ860" s="87" t="s">
        <v>153</v>
      </c>
      <c r="CA860" s="88" t="s">
        <v>190</v>
      </c>
      <c r="CB860" s="89">
        <v>42736</v>
      </c>
      <c r="CC860" s="90">
        <v>5787.09</v>
      </c>
      <c r="CD860" s="91" t="s">
        <v>186</v>
      </c>
      <c r="CE860" s="92">
        <v>5787.09</v>
      </c>
      <c r="CF860" s="93" t="s">
        <v>187</v>
      </c>
      <c r="CG860" s="94" t="s">
        <v>226</v>
      </c>
      <c r="CH860" s="95" t="s">
        <v>153</v>
      </c>
      <c r="CI860" s="96" t="s">
        <v>153</v>
      </c>
      <c r="CJ860" s="97" t="s">
        <v>225</v>
      </c>
      <c r="CK860" s="98">
        <v>42736</v>
      </c>
      <c r="CL860" s="99" t="s">
        <v>153</v>
      </c>
      <c r="CM860" s="100" t="s">
        <v>153</v>
      </c>
      <c r="CN860" s="101" t="s">
        <v>190</v>
      </c>
      <c r="CO860" s="102" t="s">
        <v>153</v>
      </c>
      <c r="CP860" s="103" t="s">
        <v>153</v>
      </c>
      <c r="CQ860" s="104" t="s">
        <v>153</v>
      </c>
      <c r="CR860" s="105" t="s">
        <v>153</v>
      </c>
      <c r="CS860" s="106" t="s">
        <v>153</v>
      </c>
      <c r="CT860" s="107" t="s">
        <v>153</v>
      </c>
      <c r="CU860" s="108" t="s">
        <v>153</v>
      </c>
      <c r="CV860" s="109" t="s">
        <v>153</v>
      </c>
      <c r="CW860" s="110" t="s">
        <v>153</v>
      </c>
      <c r="CX860" s="111" t="s">
        <v>153</v>
      </c>
      <c r="CY860" s="112" t="s">
        <v>153</v>
      </c>
      <c r="CZ860" s="113" t="s">
        <v>153</v>
      </c>
      <c r="DA860" s="114" t="s">
        <v>153</v>
      </c>
      <c r="DB860" s="115" t="s">
        <v>153</v>
      </c>
      <c r="DC860" s="116" t="s">
        <v>153</v>
      </c>
      <c r="DD860" s="117" t="s">
        <v>153</v>
      </c>
      <c r="DE860" s="118" t="s">
        <v>153</v>
      </c>
      <c r="DF860" s="119" t="s">
        <v>153</v>
      </c>
      <c r="DG860" s="120" t="s">
        <v>153</v>
      </c>
      <c r="DH860" s="121" t="s">
        <v>153</v>
      </c>
      <c r="DI860" s="122" t="s">
        <v>153</v>
      </c>
      <c r="DJ860" s="123" t="s">
        <v>153</v>
      </c>
      <c r="DK860" s="124" t="s">
        <v>153</v>
      </c>
      <c r="DL860" s="125" t="s">
        <v>153</v>
      </c>
      <c r="DM860" s="126" t="s">
        <v>153</v>
      </c>
      <c r="DN860" s="127" t="s">
        <v>153</v>
      </c>
      <c r="DO860" s="128" t="s">
        <v>153</v>
      </c>
      <c r="DP860" s="129" t="s">
        <v>153</v>
      </c>
      <c r="DQ860" s="130" t="s">
        <v>153</v>
      </c>
      <c r="DR860" s="131" t="s">
        <v>153</v>
      </c>
      <c r="DS860" s="132" t="s">
        <v>153</v>
      </c>
      <c r="DT860" s="133" t="s">
        <v>153</v>
      </c>
      <c r="DU860" s="134" t="s">
        <v>153</v>
      </c>
      <c r="DV860" s="135" t="s">
        <v>153</v>
      </c>
      <c r="DW860" s="136" t="s">
        <v>153</v>
      </c>
      <c r="DX860" s="137" t="s">
        <v>153</v>
      </c>
      <c r="DY860" s="138" t="s">
        <v>153</v>
      </c>
      <c r="DZ860" s="139" t="s">
        <v>191</v>
      </c>
      <c r="EA860" s="140">
        <v>44368</v>
      </c>
      <c r="EB860" s="141">
        <v>5787.09</v>
      </c>
      <c r="EC860" s="142">
        <v>42736</v>
      </c>
      <c r="ED860" s="143" t="s">
        <v>226</v>
      </c>
      <c r="EE860" s="278" t="str">
        <f>HYPERLINK("https://my.pitchbook.com?c=11712-61", "View company online")</f>
        <v>View company online</v>
      </c>
    </row>
    <row r="861" spans="1:135" x14ac:dyDescent="0.45">
      <c r="A861" s="144" t="s">
        <v>17053</v>
      </c>
      <c r="B861" s="145" t="s">
        <v>17054</v>
      </c>
      <c r="C861" s="146" t="s">
        <v>153</v>
      </c>
      <c r="D861" s="147" t="s">
        <v>153</v>
      </c>
      <c r="E861" s="148" t="s">
        <v>17055</v>
      </c>
      <c r="F861" s="149" t="s">
        <v>153</v>
      </c>
      <c r="G861" s="150" t="s">
        <v>17056</v>
      </c>
      <c r="H861" s="151" t="s">
        <v>17057</v>
      </c>
      <c r="I861" s="152" t="s">
        <v>17053</v>
      </c>
      <c r="J861" s="153" t="s">
        <v>17058</v>
      </c>
      <c r="K861" s="154" t="s">
        <v>257</v>
      </c>
      <c r="L861" s="155" t="s">
        <v>258</v>
      </c>
      <c r="M861" s="156" t="s">
        <v>259</v>
      </c>
      <c r="N861" s="157" t="s">
        <v>260</v>
      </c>
      <c r="O861" s="158" t="s">
        <v>153</v>
      </c>
      <c r="P861" s="159" t="s">
        <v>17059</v>
      </c>
      <c r="Q861" s="160" t="s">
        <v>289</v>
      </c>
      <c r="R861" s="161">
        <v>21.67</v>
      </c>
      <c r="S861" s="162" t="s">
        <v>163</v>
      </c>
      <c r="T861" s="163" t="s">
        <v>205</v>
      </c>
      <c r="U861" s="164" t="s">
        <v>941</v>
      </c>
      <c r="V861" s="165" t="s">
        <v>17060</v>
      </c>
      <c r="W861" s="166">
        <v>874</v>
      </c>
      <c r="X861" s="167" t="s">
        <v>17061</v>
      </c>
      <c r="Y861" s="168" t="s">
        <v>153</v>
      </c>
      <c r="Z861" s="169" t="s">
        <v>153</v>
      </c>
      <c r="AA861" s="170">
        <v>1990</v>
      </c>
      <c r="AB861" s="171" t="s">
        <v>153</v>
      </c>
      <c r="AC861" s="172" t="s">
        <v>153</v>
      </c>
      <c r="AD861" s="173" t="s">
        <v>153</v>
      </c>
      <c r="AE861" s="174" t="s">
        <v>153</v>
      </c>
      <c r="AF861" s="175" t="s">
        <v>153</v>
      </c>
      <c r="AG861" s="176" t="s">
        <v>153</v>
      </c>
      <c r="AH861" s="177" t="s">
        <v>153</v>
      </c>
      <c r="AI861" s="178" t="s">
        <v>153</v>
      </c>
      <c r="AJ861" s="179" t="s">
        <v>153</v>
      </c>
      <c r="AK861" s="180" t="s">
        <v>153</v>
      </c>
      <c r="AL861" s="181" t="s">
        <v>153</v>
      </c>
      <c r="AM861" s="182" t="s">
        <v>153</v>
      </c>
      <c r="AN861" s="183" t="s">
        <v>5377</v>
      </c>
      <c r="AO861" s="184" t="s">
        <v>153</v>
      </c>
      <c r="AP861" s="185" t="s">
        <v>153</v>
      </c>
      <c r="AQ861" s="186" t="s">
        <v>153</v>
      </c>
      <c r="AR861" s="187" t="s">
        <v>153</v>
      </c>
      <c r="AS861" s="188" t="s">
        <v>153</v>
      </c>
      <c r="AT861" s="189" t="s">
        <v>17062</v>
      </c>
      <c r="AU861" s="190" t="s">
        <v>17063</v>
      </c>
      <c r="AV861" s="191" t="s">
        <v>17064</v>
      </c>
      <c r="AW861" s="192" t="s">
        <v>17065</v>
      </c>
      <c r="AX861" s="193" t="s">
        <v>308</v>
      </c>
      <c r="AY861" s="194" t="s">
        <v>17066</v>
      </c>
      <c r="AZ861" s="195" t="s">
        <v>215</v>
      </c>
      <c r="BA861" s="196" t="s">
        <v>17067</v>
      </c>
      <c r="BB861" s="197" t="s">
        <v>17068</v>
      </c>
      <c r="BC861" s="198" t="s">
        <v>17069</v>
      </c>
      <c r="BD861" s="199" t="s">
        <v>216</v>
      </c>
      <c r="BE861" s="200" t="s">
        <v>217</v>
      </c>
      <c r="BF861" s="201" t="s">
        <v>17070</v>
      </c>
      <c r="BG861" s="202" t="s">
        <v>153</v>
      </c>
      <c r="BH861" s="203" t="s">
        <v>153</v>
      </c>
      <c r="BI861" s="204" t="s">
        <v>17071</v>
      </c>
      <c r="BJ861" s="205" t="s">
        <v>17072</v>
      </c>
      <c r="BK861" s="206" t="s">
        <v>153</v>
      </c>
      <c r="BL861" s="207" t="s">
        <v>153</v>
      </c>
      <c r="BM861" s="208" t="s">
        <v>17073</v>
      </c>
      <c r="BN861" s="209" t="s">
        <v>153</v>
      </c>
      <c r="BO861" s="210" t="s">
        <v>13822</v>
      </c>
      <c r="BP861" s="211" t="s">
        <v>17074</v>
      </c>
      <c r="BQ861" s="212" t="s">
        <v>153</v>
      </c>
      <c r="BR861" s="213" t="s">
        <v>153</v>
      </c>
      <c r="BS861" s="214" t="s">
        <v>153</v>
      </c>
      <c r="BT861" s="215" t="s">
        <v>153</v>
      </c>
      <c r="BU861" s="216" t="s">
        <v>153</v>
      </c>
      <c r="BV861" s="217" t="s">
        <v>471</v>
      </c>
      <c r="BW861" s="218" t="s">
        <v>153</v>
      </c>
      <c r="BX861" s="219" t="s">
        <v>153</v>
      </c>
      <c r="BY861" s="220" t="s">
        <v>472</v>
      </c>
      <c r="BZ861" s="221" t="s">
        <v>153</v>
      </c>
      <c r="CA861" s="222" t="s">
        <v>190</v>
      </c>
      <c r="CB861" s="223">
        <v>41866</v>
      </c>
      <c r="CC861" s="224">
        <v>5786.5</v>
      </c>
      <c r="CD861" s="225" t="s">
        <v>186</v>
      </c>
      <c r="CE861" s="226">
        <v>5786.5</v>
      </c>
      <c r="CF861" s="227" t="s">
        <v>186</v>
      </c>
      <c r="CG861" s="228" t="s">
        <v>226</v>
      </c>
      <c r="CH861" s="229" t="s">
        <v>153</v>
      </c>
      <c r="CI861" s="230" t="s">
        <v>153</v>
      </c>
      <c r="CJ861" s="231" t="s">
        <v>225</v>
      </c>
      <c r="CK861" s="232">
        <v>41866</v>
      </c>
      <c r="CL861" s="233" t="s">
        <v>153</v>
      </c>
      <c r="CM861" s="234" t="s">
        <v>1607</v>
      </c>
      <c r="CN861" s="235" t="s">
        <v>190</v>
      </c>
      <c r="CO861" s="236" t="s">
        <v>153</v>
      </c>
      <c r="CP861" s="237" t="s">
        <v>153</v>
      </c>
      <c r="CQ861" s="238" t="s">
        <v>153</v>
      </c>
      <c r="CR861" s="239" t="s">
        <v>153</v>
      </c>
      <c r="CS861" s="240" t="s">
        <v>153</v>
      </c>
      <c r="CT861" s="241" t="s">
        <v>153</v>
      </c>
      <c r="CU861" s="242" t="s">
        <v>153</v>
      </c>
      <c r="CV861" s="243" t="s">
        <v>153</v>
      </c>
      <c r="CW861" s="244" t="s">
        <v>153</v>
      </c>
      <c r="CX861" s="245" t="s">
        <v>153</v>
      </c>
      <c r="CY861" s="246" t="s">
        <v>153</v>
      </c>
      <c r="CZ861" s="247" t="s">
        <v>153</v>
      </c>
      <c r="DA861" s="248" t="s">
        <v>153</v>
      </c>
      <c r="DB861" s="249" t="s">
        <v>153</v>
      </c>
      <c r="DC861" s="250" t="s">
        <v>153</v>
      </c>
      <c r="DD861" s="251" t="s">
        <v>153</v>
      </c>
      <c r="DE861" s="252" t="s">
        <v>153</v>
      </c>
      <c r="DF861" s="253" t="s">
        <v>153</v>
      </c>
      <c r="DG861" s="254" t="s">
        <v>153</v>
      </c>
      <c r="DH861" s="255" t="s">
        <v>153</v>
      </c>
      <c r="DI861" s="256" t="s">
        <v>153</v>
      </c>
      <c r="DJ861" s="257" t="s">
        <v>153</v>
      </c>
      <c r="DK861" s="258" t="s">
        <v>153</v>
      </c>
      <c r="DL861" s="259" t="s">
        <v>153</v>
      </c>
      <c r="DM861" s="260" t="s">
        <v>153</v>
      </c>
      <c r="DN861" s="261" t="s">
        <v>153</v>
      </c>
      <c r="DO861" s="262" t="s">
        <v>153</v>
      </c>
      <c r="DP861" s="263" t="s">
        <v>153</v>
      </c>
      <c r="DQ861" s="264" t="s">
        <v>153</v>
      </c>
      <c r="DR861" s="265" t="s">
        <v>153</v>
      </c>
      <c r="DS861" s="266" t="s">
        <v>153</v>
      </c>
      <c r="DT861" s="267" t="s">
        <v>153</v>
      </c>
      <c r="DU861" s="268" t="s">
        <v>153</v>
      </c>
      <c r="DV861" s="269" t="s">
        <v>153</v>
      </c>
      <c r="DW861" s="270" t="s">
        <v>153</v>
      </c>
      <c r="DX861" s="271" t="s">
        <v>153</v>
      </c>
      <c r="DY861" s="272" t="s">
        <v>153</v>
      </c>
      <c r="DZ861" s="273" t="s">
        <v>191</v>
      </c>
      <c r="EA861" s="274">
        <v>44383</v>
      </c>
      <c r="EB861" s="275">
        <v>5786.5</v>
      </c>
      <c r="EC861" s="276">
        <v>41866</v>
      </c>
      <c r="ED861" s="277" t="s">
        <v>226</v>
      </c>
      <c r="EE861" s="279" t="str">
        <f>HYPERLINK("https://my.pitchbook.com?c=41073-58", "View company online")</f>
        <v>View company online</v>
      </c>
    </row>
    <row r="862" spans="1:135" x14ac:dyDescent="0.45">
      <c r="A862" s="10" t="s">
        <v>17075</v>
      </c>
      <c r="B862" s="11" t="s">
        <v>17076</v>
      </c>
      <c r="C862" s="12" t="s">
        <v>153</v>
      </c>
      <c r="D862" s="13" t="s">
        <v>153</v>
      </c>
      <c r="E862" s="14" t="s">
        <v>17077</v>
      </c>
      <c r="F862" s="15" t="s">
        <v>17078</v>
      </c>
      <c r="G862" s="16" t="s">
        <v>17079</v>
      </c>
      <c r="H862" s="17" t="s">
        <v>153</v>
      </c>
      <c r="I862" s="18" t="s">
        <v>17075</v>
      </c>
      <c r="J862" s="19" t="s">
        <v>17080</v>
      </c>
      <c r="K862" s="20" t="s">
        <v>157</v>
      </c>
      <c r="L862" s="21" t="s">
        <v>4190</v>
      </c>
      <c r="M862" s="22" t="s">
        <v>12696</v>
      </c>
      <c r="N862" s="23" t="s">
        <v>17081</v>
      </c>
      <c r="O862" s="24" t="s">
        <v>153</v>
      </c>
      <c r="P862" s="25" t="s">
        <v>17082</v>
      </c>
      <c r="Q862" s="26" t="s">
        <v>162</v>
      </c>
      <c r="R862" s="27" t="s">
        <v>153</v>
      </c>
      <c r="S862" s="28" t="s">
        <v>163</v>
      </c>
      <c r="T862" s="29" t="s">
        <v>1392</v>
      </c>
      <c r="U862" s="30" t="s">
        <v>5464</v>
      </c>
      <c r="V862" s="31" t="s">
        <v>17083</v>
      </c>
      <c r="W862" s="32">
        <v>600</v>
      </c>
      <c r="X862" s="33" t="s">
        <v>17084</v>
      </c>
      <c r="Y862" s="34" t="s">
        <v>153</v>
      </c>
      <c r="Z862" s="35" t="s">
        <v>153</v>
      </c>
      <c r="AA862" s="36">
        <v>2006</v>
      </c>
      <c r="AB862" s="37" t="s">
        <v>153</v>
      </c>
      <c r="AC862" s="38" t="s">
        <v>153</v>
      </c>
      <c r="AD862" s="39" t="s">
        <v>153</v>
      </c>
      <c r="AE862" s="40">
        <v>48.56</v>
      </c>
      <c r="AF862" s="41" t="s">
        <v>153</v>
      </c>
      <c r="AG862" s="42" t="s">
        <v>153</v>
      </c>
      <c r="AH862" s="43" t="s">
        <v>153</v>
      </c>
      <c r="AI862" s="44">
        <v>4.3899999999999997</v>
      </c>
      <c r="AJ862" s="45">
        <v>1.85</v>
      </c>
      <c r="AK862" s="46" t="s">
        <v>153</v>
      </c>
      <c r="AL862" s="47">
        <v>0</v>
      </c>
      <c r="AM862" s="48">
        <v>4.84</v>
      </c>
      <c r="AN862" s="49" t="s">
        <v>168</v>
      </c>
      <c r="AO862" s="50" t="s">
        <v>17085</v>
      </c>
      <c r="AP862" s="51" t="s">
        <v>17086</v>
      </c>
      <c r="AQ862" s="52" t="s">
        <v>512</v>
      </c>
      <c r="AR862" s="53" t="s">
        <v>153</v>
      </c>
      <c r="AS862" s="54" t="s">
        <v>17087</v>
      </c>
      <c r="AT862" s="55" t="s">
        <v>1071</v>
      </c>
      <c r="AU862" s="56" t="s">
        <v>17088</v>
      </c>
      <c r="AV862" s="57" t="s">
        <v>17089</v>
      </c>
      <c r="AW862" s="58" t="s">
        <v>1074</v>
      </c>
      <c r="AX862" s="59" t="s">
        <v>177</v>
      </c>
      <c r="AY862" s="60" t="s">
        <v>17090</v>
      </c>
      <c r="AZ862" s="61" t="s">
        <v>179</v>
      </c>
      <c r="BA862" s="62" t="s">
        <v>153</v>
      </c>
      <c r="BB862" s="63" t="s">
        <v>153</v>
      </c>
      <c r="BC862" s="64" t="s">
        <v>17091</v>
      </c>
      <c r="BD862" s="65" t="s">
        <v>180</v>
      </c>
      <c r="BE862" s="66" t="s">
        <v>181</v>
      </c>
      <c r="BF862" s="67" t="s">
        <v>17092</v>
      </c>
      <c r="BG862" s="68" t="s">
        <v>2879</v>
      </c>
      <c r="BH862" s="69">
        <v>1</v>
      </c>
      <c r="BI862" s="70" t="s">
        <v>153</v>
      </c>
      <c r="BJ862" s="71" t="s">
        <v>17093</v>
      </c>
      <c r="BK862" s="72" t="s">
        <v>153</v>
      </c>
      <c r="BL862" s="73" t="s">
        <v>2881</v>
      </c>
      <c r="BM862" s="74" t="s">
        <v>17094</v>
      </c>
      <c r="BN862" s="75" t="s">
        <v>153</v>
      </c>
      <c r="BO862" s="76" t="s">
        <v>17095</v>
      </c>
      <c r="BP862" s="77" t="s">
        <v>17096</v>
      </c>
      <c r="BQ862" s="78">
        <v>41561</v>
      </c>
      <c r="BR862" s="79" t="s">
        <v>153</v>
      </c>
      <c r="BS862" s="80" t="s">
        <v>153</v>
      </c>
      <c r="BT862" s="81" t="s">
        <v>153</v>
      </c>
      <c r="BU862" s="82" t="s">
        <v>153</v>
      </c>
      <c r="BV862" s="83" t="s">
        <v>589</v>
      </c>
      <c r="BW862" s="84" t="s">
        <v>153</v>
      </c>
      <c r="BX862" s="85" t="s">
        <v>153</v>
      </c>
      <c r="BY862" s="86" t="s">
        <v>165</v>
      </c>
      <c r="BZ862" s="87" t="s">
        <v>153</v>
      </c>
      <c r="CA862" s="88" t="s">
        <v>190</v>
      </c>
      <c r="CB862" s="89">
        <v>43966</v>
      </c>
      <c r="CC862" s="90">
        <v>5781.5</v>
      </c>
      <c r="CD862" s="91" t="s">
        <v>186</v>
      </c>
      <c r="CE862" s="92">
        <v>5781.5</v>
      </c>
      <c r="CF862" s="93" t="s">
        <v>187</v>
      </c>
      <c r="CG862" s="94" t="s">
        <v>188</v>
      </c>
      <c r="CH862" s="95" t="s">
        <v>153</v>
      </c>
      <c r="CI862" s="96" t="s">
        <v>153</v>
      </c>
      <c r="CJ862" s="97" t="s">
        <v>165</v>
      </c>
      <c r="CK862" s="98">
        <v>43966</v>
      </c>
      <c r="CL862" s="99" t="s">
        <v>153</v>
      </c>
      <c r="CM862" s="100" t="s">
        <v>153</v>
      </c>
      <c r="CN862" s="101" t="s">
        <v>190</v>
      </c>
      <c r="CO862" s="102">
        <v>0.27</v>
      </c>
      <c r="CP862" s="103">
        <v>91</v>
      </c>
      <c r="CQ862" s="104">
        <v>-0.06</v>
      </c>
      <c r="CR862" s="105">
        <v>-18.68</v>
      </c>
      <c r="CS862" s="106">
        <v>0.89</v>
      </c>
      <c r="CT862" s="107">
        <v>95</v>
      </c>
      <c r="CU862" s="108">
        <v>-0.09</v>
      </c>
      <c r="CV862" s="109">
        <v>21</v>
      </c>
      <c r="CW862" s="110">
        <v>1.03</v>
      </c>
      <c r="CX862" s="111">
        <v>82</v>
      </c>
      <c r="CY862" s="112">
        <v>0.74</v>
      </c>
      <c r="CZ862" s="113">
        <v>96</v>
      </c>
      <c r="DA862" s="114">
        <v>-0.09</v>
      </c>
      <c r="DB862" s="115">
        <v>21</v>
      </c>
      <c r="DC862" s="116">
        <v>18.27</v>
      </c>
      <c r="DD862" s="117">
        <v>95</v>
      </c>
      <c r="DE862" s="118">
        <v>0.04</v>
      </c>
      <c r="DF862" s="119">
        <v>0.2</v>
      </c>
      <c r="DG862" s="120">
        <v>42.11</v>
      </c>
      <c r="DH862" s="121">
        <v>98</v>
      </c>
      <c r="DI862" s="122">
        <v>12.66</v>
      </c>
      <c r="DJ862" s="123">
        <v>88</v>
      </c>
      <c r="DK862" s="124">
        <v>51.1</v>
      </c>
      <c r="DL862" s="125">
        <v>95</v>
      </c>
      <c r="DM862" s="126">
        <v>33.130000000000003</v>
      </c>
      <c r="DN862" s="127">
        <v>97</v>
      </c>
      <c r="DO862" s="128">
        <v>12.66</v>
      </c>
      <c r="DP862" s="129">
        <v>88</v>
      </c>
      <c r="DQ862" s="130">
        <v>30511</v>
      </c>
      <c r="DR862" s="131">
        <v>-758</v>
      </c>
      <c r="DS862" s="132">
        <v>-2.42</v>
      </c>
      <c r="DT862" s="133">
        <v>529</v>
      </c>
      <c r="DU862" s="134">
        <v>2</v>
      </c>
      <c r="DV862" s="135">
        <v>0.38</v>
      </c>
      <c r="DW862" s="136">
        <v>3974</v>
      </c>
      <c r="DX862" s="137">
        <v>0</v>
      </c>
      <c r="DY862" s="138">
        <v>0</v>
      </c>
      <c r="DZ862" s="139" t="s">
        <v>191</v>
      </c>
      <c r="EA862" s="140">
        <v>44379</v>
      </c>
      <c r="EB862" s="141">
        <v>5781.5</v>
      </c>
      <c r="EC862" s="142">
        <v>43966</v>
      </c>
      <c r="ED862" s="143" t="s">
        <v>188</v>
      </c>
      <c r="EE862" s="278" t="str">
        <f>HYPERLINK("https://my.pitchbook.com?c=223612-66", "View company online")</f>
        <v>View company online</v>
      </c>
    </row>
    <row r="863" spans="1:135" x14ac:dyDescent="0.45">
      <c r="A863" s="144" t="s">
        <v>17097</v>
      </c>
      <c r="B863" s="145" t="s">
        <v>17098</v>
      </c>
      <c r="C863" s="146" t="s">
        <v>153</v>
      </c>
      <c r="D863" s="147" t="s">
        <v>153</v>
      </c>
      <c r="E863" s="148" t="s">
        <v>153</v>
      </c>
      <c r="F863" s="149" t="s">
        <v>17099</v>
      </c>
      <c r="G863" s="150" t="s">
        <v>17100</v>
      </c>
      <c r="H863" s="151" t="s">
        <v>153</v>
      </c>
      <c r="I863" s="152" t="s">
        <v>17097</v>
      </c>
      <c r="J863" s="153" t="s">
        <v>17101</v>
      </c>
      <c r="K863" s="154" t="s">
        <v>792</v>
      </c>
      <c r="L863" s="155" t="s">
        <v>2586</v>
      </c>
      <c r="M863" s="156" t="s">
        <v>2587</v>
      </c>
      <c r="N863" s="157" t="s">
        <v>17102</v>
      </c>
      <c r="O863" s="158" t="s">
        <v>1119</v>
      </c>
      <c r="P863" s="159" t="s">
        <v>17103</v>
      </c>
      <c r="Q863" s="160" t="s">
        <v>204</v>
      </c>
      <c r="R863" s="161" t="s">
        <v>153</v>
      </c>
      <c r="S863" s="162" t="s">
        <v>163</v>
      </c>
      <c r="T863" s="163" t="s">
        <v>205</v>
      </c>
      <c r="U863" s="164" t="s">
        <v>237</v>
      </c>
      <c r="V863" s="165" t="s">
        <v>153</v>
      </c>
      <c r="W863" s="166">
        <v>1000</v>
      </c>
      <c r="X863" s="167" t="s">
        <v>17104</v>
      </c>
      <c r="Y863" s="168" t="s">
        <v>153</v>
      </c>
      <c r="Z863" s="169" t="s">
        <v>153</v>
      </c>
      <c r="AA863" s="170" t="s">
        <v>153</v>
      </c>
      <c r="AB863" s="171" t="s">
        <v>153</v>
      </c>
      <c r="AC863" s="172" t="s">
        <v>153</v>
      </c>
      <c r="AD863" s="173" t="s">
        <v>153</v>
      </c>
      <c r="AE863" s="174" t="s">
        <v>153</v>
      </c>
      <c r="AF863" s="175" t="s">
        <v>153</v>
      </c>
      <c r="AG863" s="176" t="s">
        <v>153</v>
      </c>
      <c r="AH863" s="177" t="s">
        <v>153</v>
      </c>
      <c r="AI863" s="178" t="s">
        <v>153</v>
      </c>
      <c r="AJ863" s="179" t="s">
        <v>153</v>
      </c>
      <c r="AK863" s="180" t="s">
        <v>153</v>
      </c>
      <c r="AL863" s="181" t="s">
        <v>153</v>
      </c>
      <c r="AM863" s="182" t="s">
        <v>153</v>
      </c>
      <c r="AN863" s="183" t="s">
        <v>599</v>
      </c>
      <c r="AO863" s="184" t="s">
        <v>17105</v>
      </c>
      <c r="AP863" s="185" t="s">
        <v>17106</v>
      </c>
      <c r="AQ863" s="186" t="s">
        <v>17107</v>
      </c>
      <c r="AR863" s="187" t="s">
        <v>17108</v>
      </c>
      <c r="AS863" s="188" t="s">
        <v>17109</v>
      </c>
      <c r="AT863" s="189" t="s">
        <v>1124</v>
      </c>
      <c r="AU863" s="190" t="s">
        <v>17110</v>
      </c>
      <c r="AV863" s="191" t="s">
        <v>4698</v>
      </c>
      <c r="AW863" s="192" t="s">
        <v>1127</v>
      </c>
      <c r="AX863" s="193" t="s">
        <v>1128</v>
      </c>
      <c r="AY863" s="194" t="s">
        <v>1129</v>
      </c>
      <c r="AZ863" s="195" t="s">
        <v>215</v>
      </c>
      <c r="BA863" s="196" t="s">
        <v>153</v>
      </c>
      <c r="BB863" s="197" t="s">
        <v>153</v>
      </c>
      <c r="BC863" s="198" t="s">
        <v>153</v>
      </c>
      <c r="BD863" s="199" t="s">
        <v>216</v>
      </c>
      <c r="BE863" s="200" t="s">
        <v>217</v>
      </c>
      <c r="BF863" s="201" t="s">
        <v>17111</v>
      </c>
      <c r="BG863" s="202" t="s">
        <v>153</v>
      </c>
      <c r="BH863" s="203" t="s">
        <v>153</v>
      </c>
      <c r="BI863" s="204" t="s">
        <v>16131</v>
      </c>
      <c r="BJ863" s="205" t="s">
        <v>153</v>
      </c>
      <c r="BK863" s="206" t="s">
        <v>153</v>
      </c>
      <c r="BL863" s="207" t="s">
        <v>153</v>
      </c>
      <c r="BM863" s="208" t="s">
        <v>153</v>
      </c>
      <c r="BN863" s="209" t="s">
        <v>153</v>
      </c>
      <c r="BO863" s="210" t="s">
        <v>17112</v>
      </c>
      <c r="BP863" s="211" t="s">
        <v>17113</v>
      </c>
      <c r="BQ863" s="212">
        <v>32932</v>
      </c>
      <c r="BR863" s="213" t="s">
        <v>153</v>
      </c>
      <c r="BS863" s="214" t="s">
        <v>153</v>
      </c>
      <c r="BT863" s="215" t="s">
        <v>153</v>
      </c>
      <c r="BU863" s="216" t="s">
        <v>153</v>
      </c>
      <c r="BV863" s="217" t="s">
        <v>251</v>
      </c>
      <c r="BW863" s="218" t="s">
        <v>153</v>
      </c>
      <c r="BX863" s="219" t="s">
        <v>153</v>
      </c>
      <c r="BY863" s="220" t="s">
        <v>252</v>
      </c>
      <c r="BZ863" s="221" t="s">
        <v>153</v>
      </c>
      <c r="CA863" s="222" t="s">
        <v>190</v>
      </c>
      <c r="CB863" s="223">
        <v>40112</v>
      </c>
      <c r="CC863" s="224">
        <v>5769.79</v>
      </c>
      <c r="CD863" s="225" t="s">
        <v>186</v>
      </c>
      <c r="CE863" s="226">
        <v>5769.79</v>
      </c>
      <c r="CF863" s="227" t="s">
        <v>186</v>
      </c>
      <c r="CG863" s="228" t="s">
        <v>226</v>
      </c>
      <c r="CH863" s="229" t="s">
        <v>153</v>
      </c>
      <c r="CI863" s="230" t="s">
        <v>153</v>
      </c>
      <c r="CJ863" s="231" t="s">
        <v>225</v>
      </c>
      <c r="CK863" s="232">
        <v>40112</v>
      </c>
      <c r="CL863" s="233" t="s">
        <v>153</v>
      </c>
      <c r="CM863" s="234" t="s">
        <v>153</v>
      </c>
      <c r="CN863" s="235" t="s">
        <v>190</v>
      </c>
      <c r="CO863" s="236" t="s">
        <v>153</v>
      </c>
      <c r="CP863" s="237" t="s">
        <v>153</v>
      </c>
      <c r="CQ863" s="238" t="s">
        <v>153</v>
      </c>
      <c r="CR863" s="239" t="s">
        <v>153</v>
      </c>
      <c r="CS863" s="240" t="s">
        <v>153</v>
      </c>
      <c r="CT863" s="241" t="s">
        <v>153</v>
      </c>
      <c r="CU863" s="242" t="s">
        <v>153</v>
      </c>
      <c r="CV863" s="243" t="s">
        <v>153</v>
      </c>
      <c r="CW863" s="244" t="s">
        <v>153</v>
      </c>
      <c r="CX863" s="245" t="s">
        <v>153</v>
      </c>
      <c r="CY863" s="246" t="s">
        <v>153</v>
      </c>
      <c r="CZ863" s="247" t="s">
        <v>153</v>
      </c>
      <c r="DA863" s="248" t="s">
        <v>153</v>
      </c>
      <c r="DB863" s="249" t="s">
        <v>153</v>
      </c>
      <c r="DC863" s="250" t="s">
        <v>153</v>
      </c>
      <c r="DD863" s="251" t="s">
        <v>153</v>
      </c>
      <c r="DE863" s="252" t="s">
        <v>153</v>
      </c>
      <c r="DF863" s="253" t="s">
        <v>153</v>
      </c>
      <c r="DG863" s="254" t="s">
        <v>153</v>
      </c>
      <c r="DH863" s="255" t="s">
        <v>153</v>
      </c>
      <c r="DI863" s="256" t="s">
        <v>153</v>
      </c>
      <c r="DJ863" s="257" t="s">
        <v>153</v>
      </c>
      <c r="DK863" s="258" t="s">
        <v>153</v>
      </c>
      <c r="DL863" s="259" t="s">
        <v>153</v>
      </c>
      <c r="DM863" s="260" t="s">
        <v>153</v>
      </c>
      <c r="DN863" s="261" t="s">
        <v>153</v>
      </c>
      <c r="DO863" s="262" t="s">
        <v>153</v>
      </c>
      <c r="DP863" s="263" t="s">
        <v>153</v>
      </c>
      <c r="DQ863" s="264" t="s">
        <v>153</v>
      </c>
      <c r="DR863" s="265" t="s">
        <v>153</v>
      </c>
      <c r="DS863" s="266" t="s">
        <v>153</v>
      </c>
      <c r="DT863" s="267" t="s">
        <v>153</v>
      </c>
      <c r="DU863" s="268" t="s">
        <v>153</v>
      </c>
      <c r="DV863" s="269" t="s">
        <v>153</v>
      </c>
      <c r="DW863" s="270" t="s">
        <v>153</v>
      </c>
      <c r="DX863" s="271" t="s">
        <v>153</v>
      </c>
      <c r="DY863" s="272" t="s">
        <v>153</v>
      </c>
      <c r="DZ863" s="273" t="s">
        <v>191</v>
      </c>
      <c r="EA863" s="274">
        <v>44319</v>
      </c>
      <c r="EB863" s="275">
        <v>5769.79</v>
      </c>
      <c r="EC863" s="276">
        <v>40112</v>
      </c>
      <c r="ED863" s="277" t="s">
        <v>226</v>
      </c>
      <c r="EE863" s="279" t="str">
        <f>HYPERLINK("https://my.pitchbook.com?c=41275-09", "View company online")</f>
        <v>View company online</v>
      </c>
    </row>
    <row r="864" spans="1:135" x14ac:dyDescent="0.45">
      <c r="A864" s="10" t="s">
        <v>17114</v>
      </c>
      <c r="B864" s="11" t="s">
        <v>17115</v>
      </c>
      <c r="C864" s="12" t="s">
        <v>153</v>
      </c>
      <c r="D864" s="13" t="s">
        <v>153</v>
      </c>
      <c r="E864" s="14" t="s">
        <v>153</v>
      </c>
      <c r="F864" s="15" t="s">
        <v>17116</v>
      </c>
      <c r="G864" s="16" t="s">
        <v>17117</v>
      </c>
      <c r="H864" s="17" t="s">
        <v>153</v>
      </c>
      <c r="I864" s="18" t="s">
        <v>17114</v>
      </c>
      <c r="J864" s="19" t="s">
        <v>17118</v>
      </c>
      <c r="K864" s="20" t="s">
        <v>882</v>
      </c>
      <c r="L864" s="21" t="s">
        <v>2888</v>
      </c>
      <c r="M864" s="22" t="s">
        <v>2889</v>
      </c>
      <c r="N864" s="23" t="s">
        <v>17119</v>
      </c>
      <c r="O864" s="24" t="s">
        <v>17120</v>
      </c>
      <c r="P864" s="25" t="s">
        <v>17121</v>
      </c>
      <c r="Q864" s="26" t="s">
        <v>204</v>
      </c>
      <c r="R864" s="27" t="s">
        <v>153</v>
      </c>
      <c r="S864" s="28" t="s">
        <v>153</v>
      </c>
      <c r="T864" s="29" t="s">
        <v>205</v>
      </c>
      <c r="U864" s="30" t="s">
        <v>2000</v>
      </c>
      <c r="V864" s="31" t="s">
        <v>17122</v>
      </c>
      <c r="W864" s="32" t="s">
        <v>153</v>
      </c>
      <c r="X864" s="33" t="s">
        <v>153</v>
      </c>
      <c r="Y864" s="34" t="s">
        <v>153</v>
      </c>
      <c r="Z864" s="35" t="s">
        <v>153</v>
      </c>
      <c r="AA864" s="36">
        <v>2010</v>
      </c>
      <c r="AB864" s="37" t="s">
        <v>153</v>
      </c>
      <c r="AC864" s="38" t="s">
        <v>153</v>
      </c>
      <c r="AD864" s="39" t="s">
        <v>153</v>
      </c>
      <c r="AE864" s="40" t="s">
        <v>153</v>
      </c>
      <c r="AF864" s="41" t="s">
        <v>153</v>
      </c>
      <c r="AG864" s="42" t="s">
        <v>153</v>
      </c>
      <c r="AH864" s="43" t="s">
        <v>153</v>
      </c>
      <c r="AI864" s="44" t="s">
        <v>153</v>
      </c>
      <c r="AJ864" s="45" t="s">
        <v>153</v>
      </c>
      <c r="AK864" s="46" t="s">
        <v>153</v>
      </c>
      <c r="AL864" s="47" t="s">
        <v>153</v>
      </c>
      <c r="AM864" s="48" t="s">
        <v>153</v>
      </c>
      <c r="AN864" s="49" t="s">
        <v>456</v>
      </c>
      <c r="AO864" s="50" t="s">
        <v>153</v>
      </c>
      <c r="AP864" s="51" t="s">
        <v>153</v>
      </c>
      <c r="AQ864" s="52" t="s">
        <v>153</v>
      </c>
      <c r="AR864" s="53" t="s">
        <v>153</v>
      </c>
      <c r="AS864" s="54" t="s">
        <v>153</v>
      </c>
      <c r="AT864" s="55" t="s">
        <v>1071</v>
      </c>
      <c r="AU864" s="56" t="s">
        <v>17123</v>
      </c>
      <c r="AV864" s="57" t="s">
        <v>153</v>
      </c>
      <c r="AW864" s="58" t="s">
        <v>1074</v>
      </c>
      <c r="AX864" s="59" t="s">
        <v>177</v>
      </c>
      <c r="AY864" s="60" t="s">
        <v>17124</v>
      </c>
      <c r="AZ864" s="61" t="s">
        <v>179</v>
      </c>
      <c r="BA864" s="62" t="s">
        <v>153</v>
      </c>
      <c r="BB864" s="63" t="s">
        <v>153</v>
      </c>
      <c r="BC864" s="64" t="s">
        <v>153</v>
      </c>
      <c r="BD864" s="65" t="s">
        <v>180</v>
      </c>
      <c r="BE864" s="66" t="s">
        <v>181</v>
      </c>
      <c r="BF864" s="67" t="s">
        <v>17125</v>
      </c>
      <c r="BG864" s="68" t="s">
        <v>17126</v>
      </c>
      <c r="BH864" s="69">
        <v>2</v>
      </c>
      <c r="BI864" s="70" t="s">
        <v>17127</v>
      </c>
      <c r="BJ864" s="71" t="s">
        <v>17128</v>
      </c>
      <c r="BK864" s="72" t="s">
        <v>17129</v>
      </c>
      <c r="BL864" s="73" t="s">
        <v>17130</v>
      </c>
      <c r="BM864" s="74" t="s">
        <v>17131</v>
      </c>
      <c r="BN864" s="75" t="s">
        <v>17132</v>
      </c>
      <c r="BO864" s="76" t="s">
        <v>153</v>
      </c>
      <c r="BP864" s="77" t="s">
        <v>17133</v>
      </c>
      <c r="BQ864" s="78">
        <v>40896</v>
      </c>
      <c r="BR864" s="79">
        <v>23.37</v>
      </c>
      <c r="BS864" s="80" t="s">
        <v>186</v>
      </c>
      <c r="BT864" s="81">
        <v>70.11</v>
      </c>
      <c r="BU864" s="82" t="s">
        <v>186</v>
      </c>
      <c r="BV864" s="83" t="s">
        <v>906</v>
      </c>
      <c r="BW864" s="84" t="s">
        <v>153</v>
      </c>
      <c r="BX864" s="85" t="s">
        <v>153</v>
      </c>
      <c r="BY864" s="86" t="s">
        <v>165</v>
      </c>
      <c r="BZ864" s="87" t="s">
        <v>153</v>
      </c>
      <c r="CA864" s="88" t="s">
        <v>190</v>
      </c>
      <c r="CB864" s="89">
        <v>43431</v>
      </c>
      <c r="CC864" s="90">
        <v>5753.48</v>
      </c>
      <c r="CD864" s="91" t="s">
        <v>186</v>
      </c>
      <c r="CE864" s="92">
        <v>11506.96</v>
      </c>
      <c r="CF864" s="93" t="s">
        <v>187</v>
      </c>
      <c r="CG864" s="94" t="s">
        <v>1524</v>
      </c>
      <c r="CH864" s="95" t="s">
        <v>1525</v>
      </c>
      <c r="CI864" s="96" t="s">
        <v>153</v>
      </c>
      <c r="CJ864" s="97" t="s">
        <v>225</v>
      </c>
      <c r="CK864" s="98">
        <v>43431</v>
      </c>
      <c r="CL864" s="99">
        <v>4515.0600000000004</v>
      </c>
      <c r="CM864" s="100" t="s">
        <v>17134</v>
      </c>
      <c r="CN864" s="101" t="s">
        <v>190</v>
      </c>
      <c r="CO864" s="102" t="s">
        <v>153</v>
      </c>
      <c r="CP864" s="103" t="s">
        <v>153</v>
      </c>
      <c r="CQ864" s="104" t="s">
        <v>153</v>
      </c>
      <c r="CR864" s="105" t="s">
        <v>153</v>
      </c>
      <c r="CS864" s="106" t="s">
        <v>153</v>
      </c>
      <c r="CT864" s="107" t="s">
        <v>153</v>
      </c>
      <c r="CU864" s="108" t="s">
        <v>153</v>
      </c>
      <c r="CV864" s="109" t="s">
        <v>153</v>
      </c>
      <c r="CW864" s="110" t="s">
        <v>153</v>
      </c>
      <c r="CX864" s="111" t="s">
        <v>153</v>
      </c>
      <c r="CY864" s="112" t="s">
        <v>153</v>
      </c>
      <c r="CZ864" s="113" t="s">
        <v>153</v>
      </c>
      <c r="DA864" s="114" t="s">
        <v>153</v>
      </c>
      <c r="DB864" s="115" t="s">
        <v>153</v>
      </c>
      <c r="DC864" s="116" t="s">
        <v>153</v>
      </c>
      <c r="DD864" s="117" t="s">
        <v>153</v>
      </c>
      <c r="DE864" s="118" t="s">
        <v>153</v>
      </c>
      <c r="DF864" s="119" t="s">
        <v>153</v>
      </c>
      <c r="DG864" s="120" t="s">
        <v>153</v>
      </c>
      <c r="DH864" s="121" t="s">
        <v>153</v>
      </c>
      <c r="DI864" s="122" t="s">
        <v>153</v>
      </c>
      <c r="DJ864" s="123" t="s">
        <v>153</v>
      </c>
      <c r="DK864" s="124" t="s">
        <v>153</v>
      </c>
      <c r="DL864" s="125" t="s">
        <v>153</v>
      </c>
      <c r="DM864" s="126" t="s">
        <v>153</v>
      </c>
      <c r="DN864" s="127" t="s">
        <v>153</v>
      </c>
      <c r="DO864" s="128" t="s">
        <v>153</v>
      </c>
      <c r="DP864" s="129" t="s">
        <v>153</v>
      </c>
      <c r="DQ864" s="130" t="s">
        <v>153</v>
      </c>
      <c r="DR864" s="131" t="s">
        <v>153</v>
      </c>
      <c r="DS864" s="132" t="s">
        <v>153</v>
      </c>
      <c r="DT864" s="133" t="s">
        <v>153</v>
      </c>
      <c r="DU864" s="134" t="s">
        <v>153</v>
      </c>
      <c r="DV864" s="135" t="s">
        <v>153</v>
      </c>
      <c r="DW864" s="136" t="s">
        <v>153</v>
      </c>
      <c r="DX864" s="137" t="s">
        <v>153</v>
      </c>
      <c r="DY864" s="138" t="s">
        <v>153</v>
      </c>
      <c r="DZ864" s="139" t="s">
        <v>191</v>
      </c>
      <c r="EA864" s="140">
        <v>44260</v>
      </c>
      <c r="EB864" s="141">
        <v>11506.96</v>
      </c>
      <c r="EC864" s="142">
        <v>43431</v>
      </c>
      <c r="ED864" s="143" t="s">
        <v>1524</v>
      </c>
      <c r="EE864" s="278" t="str">
        <f>HYPERLINK("https://my.pitchbook.com?c=107859-16", "View company online")</f>
        <v>View company online</v>
      </c>
    </row>
    <row r="865" spans="1:135" x14ac:dyDescent="0.45">
      <c r="A865" s="144" t="s">
        <v>17135</v>
      </c>
      <c r="B865" s="145" t="s">
        <v>17136</v>
      </c>
      <c r="C865" s="146" t="s">
        <v>153</v>
      </c>
      <c r="D865" s="147" t="s">
        <v>153</v>
      </c>
      <c r="E865" s="148" t="s">
        <v>17137</v>
      </c>
      <c r="F865" s="149" t="s">
        <v>153</v>
      </c>
      <c r="G865" s="150" t="s">
        <v>17138</v>
      </c>
      <c r="H865" s="151" t="s">
        <v>17139</v>
      </c>
      <c r="I865" s="152" t="s">
        <v>17135</v>
      </c>
      <c r="J865" s="153" t="s">
        <v>17140</v>
      </c>
      <c r="K865" s="154" t="s">
        <v>257</v>
      </c>
      <c r="L865" s="155" t="s">
        <v>478</v>
      </c>
      <c r="M865" s="156" t="s">
        <v>479</v>
      </c>
      <c r="N865" s="157" t="s">
        <v>17141</v>
      </c>
      <c r="O865" s="158" t="s">
        <v>17142</v>
      </c>
      <c r="P865" s="159" t="s">
        <v>17143</v>
      </c>
      <c r="Q865" s="160" t="s">
        <v>289</v>
      </c>
      <c r="R865" s="161">
        <v>838.27</v>
      </c>
      <c r="S865" s="162" t="s">
        <v>163</v>
      </c>
      <c r="T865" s="163" t="s">
        <v>164</v>
      </c>
      <c r="U865" s="164" t="s">
        <v>12662</v>
      </c>
      <c r="V865" s="165" t="s">
        <v>17144</v>
      </c>
      <c r="W865" s="166" t="s">
        <v>153</v>
      </c>
      <c r="X865" s="167" t="s">
        <v>153</v>
      </c>
      <c r="Y865" s="168" t="s">
        <v>153</v>
      </c>
      <c r="Z865" s="169" t="s">
        <v>153</v>
      </c>
      <c r="AA865" s="170">
        <v>2007</v>
      </c>
      <c r="AB865" s="171" t="s">
        <v>2138</v>
      </c>
      <c r="AC865" s="172" t="s">
        <v>153</v>
      </c>
      <c r="AD865" s="173" t="s">
        <v>428</v>
      </c>
      <c r="AE865" s="174" t="s">
        <v>153</v>
      </c>
      <c r="AF865" s="175" t="s">
        <v>153</v>
      </c>
      <c r="AG865" s="176" t="s">
        <v>153</v>
      </c>
      <c r="AH865" s="177" t="s">
        <v>153</v>
      </c>
      <c r="AI865" s="178" t="s">
        <v>153</v>
      </c>
      <c r="AJ865" s="179" t="s">
        <v>153</v>
      </c>
      <c r="AK865" s="180" t="s">
        <v>153</v>
      </c>
      <c r="AL865" s="181" t="s">
        <v>153</v>
      </c>
      <c r="AM865" s="182" t="s">
        <v>153</v>
      </c>
      <c r="AN865" s="183" t="s">
        <v>153</v>
      </c>
      <c r="AO865" s="184" t="s">
        <v>17145</v>
      </c>
      <c r="AP865" s="185" t="s">
        <v>17146</v>
      </c>
      <c r="AQ865" s="186" t="s">
        <v>2291</v>
      </c>
      <c r="AR865" s="187" t="s">
        <v>17147</v>
      </c>
      <c r="AS865" s="188" t="s">
        <v>17148</v>
      </c>
      <c r="AT865" s="189" t="s">
        <v>13470</v>
      </c>
      <c r="AU865" s="190" t="s">
        <v>17149</v>
      </c>
      <c r="AV865" s="191" t="s">
        <v>153</v>
      </c>
      <c r="AW865" s="192" t="s">
        <v>13472</v>
      </c>
      <c r="AX865" s="193" t="s">
        <v>308</v>
      </c>
      <c r="AY865" s="194" t="s">
        <v>17150</v>
      </c>
      <c r="AZ865" s="195" t="s">
        <v>215</v>
      </c>
      <c r="BA865" s="196" t="s">
        <v>17151</v>
      </c>
      <c r="BB865" s="197" t="s">
        <v>153</v>
      </c>
      <c r="BC865" s="198" t="s">
        <v>17152</v>
      </c>
      <c r="BD865" s="199" t="s">
        <v>216</v>
      </c>
      <c r="BE865" s="200" t="s">
        <v>217</v>
      </c>
      <c r="BF865" s="201" t="s">
        <v>17153</v>
      </c>
      <c r="BG865" s="202" t="s">
        <v>17154</v>
      </c>
      <c r="BH865" s="203">
        <v>2</v>
      </c>
      <c r="BI865" s="204" t="s">
        <v>2138</v>
      </c>
      <c r="BJ865" s="205" t="s">
        <v>17155</v>
      </c>
      <c r="BK865" s="206" t="s">
        <v>153</v>
      </c>
      <c r="BL865" s="207" t="s">
        <v>17156</v>
      </c>
      <c r="BM865" s="208" t="s">
        <v>17157</v>
      </c>
      <c r="BN865" s="209" t="s">
        <v>153</v>
      </c>
      <c r="BO865" s="210" t="s">
        <v>17158</v>
      </c>
      <c r="BP865" s="211" t="s">
        <v>17159</v>
      </c>
      <c r="BQ865" s="212">
        <v>39968</v>
      </c>
      <c r="BR865" s="213">
        <v>0.13</v>
      </c>
      <c r="BS865" s="214" t="s">
        <v>186</v>
      </c>
      <c r="BT865" s="215" t="s">
        <v>153</v>
      </c>
      <c r="BU865" s="216" t="s">
        <v>153</v>
      </c>
      <c r="BV865" s="217" t="s">
        <v>4289</v>
      </c>
      <c r="BW865" s="218" t="s">
        <v>153</v>
      </c>
      <c r="BX865" s="219" t="s">
        <v>153</v>
      </c>
      <c r="BY865" s="220" t="s">
        <v>4290</v>
      </c>
      <c r="BZ865" s="221" t="s">
        <v>17160</v>
      </c>
      <c r="CA865" s="222" t="s">
        <v>190</v>
      </c>
      <c r="CB865" s="223">
        <v>43556</v>
      </c>
      <c r="CC865" s="224">
        <v>5750</v>
      </c>
      <c r="CD865" s="225" t="s">
        <v>187</v>
      </c>
      <c r="CE865" s="226">
        <v>5750</v>
      </c>
      <c r="CF865" s="227" t="s">
        <v>187</v>
      </c>
      <c r="CG865" s="228" t="s">
        <v>226</v>
      </c>
      <c r="CH865" s="229" t="s">
        <v>153</v>
      </c>
      <c r="CI865" s="230" t="s">
        <v>153</v>
      </c>
      <c r="CJ865" s="231" t="s">
        <v>225</v>
      </c>
      <c r="CK865" s="232">
        <v>43556</v>
      </c>
      <c r="CL865" s="233" t="s">
        <v>153</v>
      </c>
      <c r="CM865" s="234" t="s">
        <v>153</v>
      </c>
      <c r="CN865" s="235" t="s">
        <v>190</v>
      </c>
      <c r="CO865" s="236" t="s">
        <v>153</v>
      </c>
      <c r="CP865" s="237" t="s">
        <v>153</v>
      </c>
      <c r="CQ865" s="238" t="s">
        <v>153</v>
      </c>
      <c r="CR865" s="239" t="s">
        <v>153</v>
      </c>
      <c r="CS865" s="240" t="s">
        <v>153</v>
      </c>
      <c r="CT865" s="241" t="s">
        <v>153</v>
      </c>
      <c r="CU865" s="242" t="s">
        <v>153</v>
      </c>
      <c r="CV865" s="243" t="s">
        <v>153</v>
      </c>
      <c r="CW865" s="244" t="s">
        <v>153</v>
      </c>
      <c r="CX865" s="245" t="s">
        <v>153</v>
      </c>
      <c r="CY865" s="246" t="s">
        <v>153</v>
      </c>
      <c r="CZ865" s="247" t="s">
        <v>153</v>
      </c>
      <c r="DA865" s="248" t="s">
        <v>153</v>
      </c>
      <c r="DB865" s="249" t="s">
        <v>153</v>
      </c>
      <c r="DC865" s="250" t="s">
        <v>153</v>
      </c>
      <c r="DD865" s="251" t="s">
        <v>153</v>
      </c>
      <c r="DE865" s="252" t="s">
        <v>153</v>
      </c>
      <c r="DF865" s="253" t="s">
        <v>153</v>
      </c>
      <c r="DG865" s="254" t="s">
        <v>153</v>
      </c>
      <c r="DH865" s="255" t="s">
        <v>153</v>
      </c>
      <c r="DI865" s="256" t="s">
        <v>153</v>
      </c>
      <c r="DJ865" s="257" t="s">
        <v>153</v>
      </c>
      <c r="DK865" s="258" t="s">
        <v>153</v>
      </c>
      <c r="DL865" s="259" t="s">
        <v>153</v>
      </c>
      <c r="DM865" s="260" t="s">
        <v>153</v>
      </c>
      <c r="DN865" s="261" t="s">
        <v>153</v>
      </c>
      <c r="DO865" s="262" t="s">
        <v>153</v>
      </c>
      <c r="DP865" s="263" t="s">
        <v>153</v>
      </c>
      <c r="DQ865" s="264" t="s">
        <v>153</v>
      </c>
      <c r="DR865" s="265" t="s">
        <v>153</v>
      </c>
      <c r="DS865" s="266" t="s">
        <v>153</v>
      </c>
      <c r="DT865" s="267" t="s">
        <v>153</v>
      </c>
      <c r="DU865" s="268" t="s">
        <v>153</v>
      </c>
      <c r="DV865" s="269" t="s">
        <v>153</v>
      </c>
      <c r="DW865" s="270" t="s">
        <v>153</v>
      </c>
      <c r="DX865" s="271" t="s">
        <v>153</v>
      </c>
      <c r="DY865" s="272" t="s">
        <v>153</v>
      </c>
      <c r="DZ865" s="273" t="s">
        <v>191</v>
      </c>
      <c r="EA865" s="274">
        <v>44399</v>
      </c>
      <c r="EB865" s="275">
        <v>5750</v>
      </c>
      <c r="EC865" s="276">
        <v>43556</v>
      </c>
      <c r="ED865" s="277" t="s">
        <v>226</v>
      </c>
      <c r="EE865" s="279" t="str">
        <f>HYPERLINK("https://my.pitchbook.com?c=58626-46", "View company online")</f>
        <v>View company online</v>
      </c>
    </row>
    <row r="866" spans="1:135" x14ac:dyDescent="0.45">
      <c r="A866" s="10" t="s">
        <v>17161</v>
      </c>
      <c r="B866" s="11" t="s">
        <v>17162</v>
      </c>
      <c r="C866" s="12" t="s">
        <v>153</v>
      </c>
      <c r="D866" s="13" t="s">
        <v>153</v>
      </c>
      <c r="E866" s="14" t="s">
        <v>17163</v>
      </c>
      <c r="F866" s="15" t="s">
        <v>153</v>
      </c>
      <c r="G866" s="16" t="s">
        <v>153</v>
      </c>
      <c r="H866" s="17" t="s">
        <v>17164</v>
      </c>
      <c r="I866" s="18" t="s">
        <v>17161</v>
      </c>
      <c r="J866" s="19" t="s">
        <v>17165</v>
      </c>
      <c r="K866" s="20" t="s">
        <v>157</v>
      </c>
      <c r="L866" s="21" t="s">
        <v>817</v>
      </c>
      <c r="M866" s="22" t="s">
        <v>2107</v>
      </c>
      <c r="N866" s="23" t="s">
        <v>17166</v>
      </c>
      <c r="O866" s="24" t="s">
        <v>261</v>
      </c>
      <c r="P866" s="25" t="s">
        <v>17167</v>
      </c>
      <c r="Q866" s="26" t="s">
        <v>162</v>
      </c>
      <c r="R866" s="27" t="s">
        <v>153</v>
      </c>
      <c r="S866" s="28" t="s">
        <v>290</v>
      </c>
      <c r="T866" s="29" t="s">
        <v>8360</v>
      </c>
      <c r="U866" s="30" t="s">
        <v>2534</v>
      </c>
      <c r="V866" s="31" t="s">
        <v>17168</v>
      </c>
      <c r="W866" s="32">
        <v>4500</v>
      </c>
      <c r="X866" s="33" t="s">
        <v>17169</v>
      </c>
      <c r="Y866" s="34" t="s">
        <v>153</v>
      </c>
      <c r="Z866" s="35" t="s">
        <v>153</v>
      </c>
      <c r="AA866" s="36">
        <v>1971</v>
      </c>
      <c r="AB866" s="37" t="s">
        <v>153</v>
      </c>
      <c r="AC866" s="38" t="s">
        <v>153</v>
      </c>
      <c r="AD866" s="39" t="s">
        <v>428</v>
      </c>
      <c r="AE866" s="40" t="s">
        <v>153</v>
      </c>
      <c r="AF866" s="41" t="s">
        <v>153</v>
      </c>
      <c r="AG866" s="42" t="s">
        <v>153</v>
      </c>
      <c r="AH866" s="43" t="s">
        <v>153</v>
      </c>
      <c r="AI866" s="44" t="s">
        <v>153</v>
      </c>
      <c r="AJ866" s="45" t="s">
        <v>153</v>
      </c>
      <c r="AK866" s="46" t="s">
        <v>153</v>
      </c>
      <c r="AL866" s="47" t="s">
        <v>153</v>
      </c>
      <c r="AM866" s="48" t="s">
        <v>153</v>
      </c>
      <c r="AN866" s="49" t="s">
        <v>429</v>
      </c>
      <c r="AO866" s="50" t="s">
        <v>17170</v>
      </c>
      <c r="AP866" s="51" t="s">
        <v>17171</v>
      </c>
      <c r="AQ866" s="52" t="s">
        <v>512</v>
      </c>
      <c r="AR866" s="53" t="s">
        <v>17172</v>
      </c>
      <c r="AS866" s="54" t="s">
        <v>17173</v>
      </c>
      <c r="AT866" s="55" t="s">
        <v>17174</v>
      </c>
      <c r="AU866" s="56" t="s">
        <v>17175</v>
      </c>
      <c r="AV866" s="57" t="s">
        <v>153</v>
      </c>
      <c r="AW866" s="58" t="s">
        <v>17176</v>
      </c>
      <c r="AX866" s="59" t="s">
        <v>273</v>
      </c>
      <c r="AY866" s="60" t="s">
        <v>17177</v>
      </c>
      <c r="AZ866" s="61" t="s">
        <v>215</v>
      </c>
      <c r="BA866" s="62" t="s">
        <v>17178</v>
      </c>
      <c r="BB866" s="63" t="s">
        <v>153</v>
      </c>
      <c r="BC866" s="64" t="s">
        <v>17179</v>
      </c>
      <c r="BD866" s="65" t="s">
        <v>216</v>
      </c>
      <c r="BE866" s="66" t="s">
        <v>217</v>
      </c>
      <c r="BF866" s="67" t="s">
        <v>17180</v>
      </c>
      <c r="BG866" s="68" t="s">
        <v>17181</v>
      </c>
      <c r="BH866" s="69">
        <v>2</v>
      </c>
      <c r="BI866" s="70" t="s">
        <v>153</v>
      </c>
      <c r="BJ866" s="71" t="s">
        <v>153</v>
      </c>
      <c r="BK866" s="72" t="s">
        <v>17182</v>
      </c>
      <c r="BL866" s="73" t="s">
        <v>17183</v>
      </c>
      <c r="BM866" s="74" t="s">
        <v>153</v>
      </c>
      <c r="BN866" s="75" t="s">
        <v>17184</v>
      </c>
      <c r="BO866" s="76" t="s">
        <v>17185</v>
      </c>
      <c r="BP866" s="77" t="s">
        <v>17186</v>
      </c>
      <c r="BQ866" s="78">
        <v>26299</v>
      </c>
      <c r="BR866" s="79" t="s">
        <v>153</v>
      </c>
      <c r="BS866" s="80" t="s">
        <v>153</v>
      </c>
      <c r="BT866" s="81" t="s">
        <v>153</v>
      </c>
      <c r="BU866" s="82" t="s">
        <v>153</v>
      </c>
      <c r="BV866" s="83" t="s">
        <v>251</v>
      </c>
      <c r="BW866" s="84" t="s">
        <v>153</v>
      </c>
      <c r="BX866" s="85" t="s">
        <v>153</v>
      </c>
      <c r="BY866" s="86" t="s">
        <v>252</v>
      </c>
      <c r="BZ866" s="87" t="s">
        <v>153</v>
      </c>
      <c r="CA866" s="88" t="s">
        <v>190</v>
      </c>
      <c r="CB866" s="89">
        <v>44316</v>
      </c>
      <c r="CC866" s="90">
        <v>5750</v>
      </c>
      <c r="CD866" s="91" t="s">
        <v>186</v>
      </c>
      <c r="CE866" s="92">
        <v>5750</v>
      </c>
      <c r="CF866" s="93" t="s">
        <v>187</v>
      </c>
      <c r="CG866" s="94" t="s">
        <v>226</v>
      </c>
      <c r="CH866" s="95" t="s">
        <v>153</v>
      </c>
      <c r="CI866" s="96" t="s">
        <v>153</v>
      </c>
      <c r="CJ866" s="97" t="s">
        <v>225</v>
      </c>
      <c r="CK866" s="98">
        <v>44316</v>
      </c>
      <c r="CL866" s="99" t="s">
        <v>153</v>
      </c>
      <c r="CM866" s="100" t="s">
        <v>153</v>
      </c>
      <c r="CN866" s="101" t="s">
        <v>1278</v>
      </c>
      <c r="CO866" s="102">
        <v>1.24</v>
      </c>
      <c r="CP866" s="103">
        <v>97</v>
      </c>
      <c r="CQ866" s="104">
        <v>0.03</v>
      </c>
      <c r="CR866" s="105">
        <v>2.23</v>
      </c>
      <c r="CS866" s="106">
        <v>3.39</v>
      </c>
      <c r="CT866" s="107">
        <v>99</v>
      </c>
      <c r="CU866" s="108">
        <v>0.1</v>
      </c>
      <c r="CV866" s="109">
        <v>86</v>
      </c>
      <c r="CW866" s="110">
        <v>-3.47</v>
      </c>
      <c r="CX866" s="111">
        <v>8</v>
      </c>
      <c r="CY866" s="112">
        <v>10.25</v>
      </c>
      <c r="CZ866" s="113">
        <v>100</v>
      </c>
      <c r="DA866" s="114">
        <v>0.1</v>
      </c>
      <c r="DB866" s="115">
        <v>86</v>
      </c>
      <c r="DC866" s="116">
        <v>48.53</v>
      </c>
      <c r="DD866" s="117">
        <v>98</v>
      </c>
      <c r="DE866" s="118">
        <v>0.11</v>
      </c>
      <c r="DF866" s="119">
        <v>0.22</v>
      </c>
      <c r="DG866" s="120">
        <v>22.76</v>
      </c>
      <c r="DH866" s="121">
        <v>96</v>
      </c>
      <c r="DI866" s="122">
        <v>1.21</v>
      </c>
      <c r="DJ866" s="123">
        <v>54</v>
      </c>
      <c r="DK866" s="124">
        <v>6.26</v>
      </c>
      <c r="DL866" s="125">
        <v>81</v>
      </c>
      <c r="DM866" s="126">
        <v>39.25</v>
      </c>
      <c r="DN866" s="127">
        <v>98</v>
      </c>
      <c r="DO866" s="128">
        <v>1.21</v>
      </c>
      <c r="DP866" s="129">
        <v>54</v>
      </c>
      <c r="DQ866" s="130">
        <v>3771</v>
      </c>
      <c r="DR866" s="131">
        <v>-212</v>
      </c>
      <c r="DS866" s="132">
        <v>-5.32</v>
      </c>
      <c r="DT866" s="133">
        <v>623</v>
      </c>
      <c r="DU866" s="134">
        <v>10</v>
      </c>
      <c r="DV866" s="135">
        <v>1.63</v>
      </c>
      <c r="DW866" s="136">
        <v>381</v>
      </c>
      <c r="DX866" s="137">
        <v>0</v>
      </c>
      <c r="DY866" s="138">
        <v>0</v>
      </c>
      <c r="DZ866" s="139" t="s">
        <v>191</v>
      </c>
      <c r="EA866" s="140">
        <v>44354</v>
      </c>
      <c r="EB866" s="141">
        <v>5750</v>
      </c>
      <c r="EC866" s="142">
        <v>44316</v>
      </c>
      <c r="ED866" s="143" t="s">
        <v>226</v>
      </c>
      <c r="EE866" s="278" t="str">
        <f>HYPERLINK("https://my.pitchbook.com?c=14172-85", "View company online")</f>
        <v>View company online</v>
      </c>
    </row>
    <row r="867" spans="1:135" x14ac:dyDescent="0.45">
      <c r="A867" s="144" t="s">
        <v>17187</v>
      </c>
      <c r="B867" s="145" t="s">
        <v>17188</v>
      </c>
      <c r="C867" s="146" t="s">
        <v>153</v>
      </c>
      <c r="D867" s="147" t="s">
        <v>153</v>
      </c>
      <c r="E867" s="148" t="s">
        <v>17189</v>
      </c>
      <c r="F867" s="149" t="s">
        <v>153</v>
      </c>
      <c r="G867" s="150" t="s">
        <v>17190</v>
      </c>
      <c r="H867" s="151" t="s">
        <v>17191</v>
      </c>
      <c r="I867" s="152" t="s">
        <v>17187</v>
      </c>
      <c r="J867" s="153" t="s">
        <v>17192</v>
      </c>
      <c r="K867" s="154" t="s">
        <v>792</v>
      </c>
      <c r="L867" s="155" t="s">
        <v>841</v>
      </c>
      <c r="M867" s="156" t="s">
        <v>842</v>
      </c>
      <c r="N867" s="157" t="s">
        <v>843</v>
      </c>
      <c r="O867" s="158" t="s">
        <v>796</v>
      </c>
      <c r="P867" s="159" t="s">
        <v>17193</v>
      </c>
      <c r="Q867" s="160" t="s">
        <v>204</v>
      </c>
      <c r="R867" s="161" t="s">
        <v>153</v>
      </c>
      <c r="S867" s="162" t="s">
        <v>290</v>
      </c>
      <c r="T867" s="163" t="s">
        <v>205</v>
      </c>
      <c r="U867" s="164" t="s">
        <v>206</v>
      </c>
      <c r="V867" s="165" t="s">
        <v>17194</v>
      </c>
      <c r="W867" s="166">
        <v>4000</v>
      </c>
      <c r="X867" s="167" t="s">
        <v>17195</v>
      </c>
      <c r="Y867" s="168" t="s">
        <v>153</v>
      </c>
      <c r="Z867" s="169" t="s">
        <v>153</v>
      </c>
      <c r="AA867" s="170">
        <v>1962</v>
      </c>
      <c r="AB867" s="171" t="s">
        <v>153</v>
      </c>
      <c r="AC867" s="172" t="s">
        <v>153</v>
      </c>
      <c r="AD867" s="173" t="s">
        <v>153</v>
      </c>
      <c r="AE867" s="174" t="s">
        <v>153</v>
      </c>
      <c r="AF867" s="175" t="s">
        <v>153</v>
      </c>
      <c r="AG867" s="176" t="s">
        <v>153</v>
      </c>
      <c r="AH867" s="177" t="s">
        <v>153</v>
      </c>
      <c r="AI867" s="178" t="s">
        <v>153</v>
      </c>
      <c r="AJ867" s="179" t="s">
        <v>153</v>
      </c>
      <c r="AK867" s="180" t="s">
        <v>153</v>
      </c>
      <c r="AL867" s="181" t="s">
        <v>153</v>
      </c>
      <c r="AM867" s="182" t="s">
        <v>153</v>
      </c>
      <c r="AN867" s="183" t="s">
        <v>868</v>
      </c>
      <c r="AO867" s="184" t="s">
        <v>153</v>
      </c>
      <c r="AP867" s="185" t="s">
        <v>153</v>
      </c>
      <c r="AQ867" s="186" t="s">
        <v>153</v>
      </c>
      <c r="AR867" s="187" t="s">
        <v>153</v>
      </c>
      <c r="AS867" s="188" t="s">
        <v>153</v>
      </c>
      <c r="AT867" s="189" t="s">
        <v>17196</v>
      </c>
      <c r="AU867" s="190" t="s">
        <v>17197</v>
      </c>
      <c r="AV867" s="191" t="s">
        <v>153</v>
      </c>
      <c r="AW867" s="192" t="s">
        <v>17198</v>
      </c>
      <c r="AX867" s="193" t="s">
        <v>153</v>
      </c>
      <c r="AY867" s="194" t="s">
        <v>17199</v>
      </c>
      <c r="AZ867" s="195" t="s">
        <v>9343</v>
      </c>
      <c r="BA867" s="196" t="s">
        <v>153</v>
      </c>
      <c r="BB867" s="197" t="s">
        <v>153</v>
      </c>
      <c r="BC867" s="198" t="s">
        <v>153</v>
      </c>
      <c r="BD867" s="199" t="s">
        <v>180</v>
      </c>
      <c r="BE867" s="200" t="s">
        <v>2051</v>
      </c>
      <c r="BF867" s="201" t="s">
        <v>17200</v>
      </c>
      <c r="BG867" s="202" t="s">
        <v>153</v>
      </c>
      <c r="BH867" s="203" t="s">
        <v>153</v>
      </c>
      <c r="BI867" s="204" t="s">
        <v>5347</v>
      </c>
      <c r="BJ867" s="205" t="s">
        <v>17201</v>
      </c>
      <c r="BK867" s="206" t="s">
        <v>17202</v>
      </c>
      <c r="BL867" s="207" t="s">
        <v>153</v>
      </c>
      <c r="BM867" s="208" t="s">
        <v>17203</v>
      </c>
      <c r="BN867" s="209" t="s">
        <v>17204</v>
      </c>
      <c r="BO867" s="210" t="s">
        <v>153</v>
      </c>
      <c r="BP867" s="211" t="s">
        <v>153</v>
      </c>
      <c r="BQ867" s="212">
        <v>42627</v>
      </c>
      <c r="BR867" s="213" t="s">
        <v>153</v>
      </c>
      <c r="BS867" s="214" t="s">
        <v>153</v>
      </c>
      <c r="BT867" s="215" t="s">
        <v>153</v>
      </c>
      <c r="BU867" s="216" t="s">
        <v>153</v>
      </c>
      <c r="BV867" s="217" t="s">
        <v>226</v>
      </c>
      <c r="BW867" s="218" t="s">
        <v>729</v>
      </c>
      <c r="BX867" s="219" t="s">
        <v>153</v>
      </c>
      <c r="BY867" s="220" t="s">
        <v>225</v>
      </c>
      <c r="BZ867" s="221" t="s">
        <v>153</v>
      </c>
      <c r="CA867" s="222" t="s">
        <v>394</v>
      </c>
      <c r="CB867" s="223">
        <v>43167</v>
      </c>
      <c r="CC867" s="224">
        <v>5741</v>
      </c>
      <c r="CD867" s="225" t="s">
        <v>186</v>
      </c>
      <c r="CE867" s="226">
        <v>5741</v>
      </c>
      <c r="CF867" s="227" t="s">
        <v>186</v>
      </c>
      <c r="CG867" s="228" t="s">
        <v>226</v>
      </c>
      <c r="CH867" s="229" t="s">
        <v>729</v>
      </c>
      <c r="CI867" s="230" t="s">
        <v>153</v>
      </c>
      <c r="CJ867" s="231" t="s">
        <v>225</v>
      </c>
      <c r="CK867" s="232">
        <v>43167</v>
      </c>
      <c r="CL867" s="233" t="s">
        <v>153</v>
      </c>
      <c r="CM867" s="234" t="s">
        <v>153</v>
      </c>
      <c r="CN867" s="235" t="s">
        <v>190</v>
      </c>
      <c r="CO867" s="236" t="s">
        <v>153</v>
      </c>
      <c r="CP867" s="237" t="s">
        <v>153</v>
      </c>
      <c r="CQ867" s="238" t="s">
        <v>153</v>
      </c>
      <c r="CR867" s="239" t="s">
        <v>153</v>
      </c>
      <c r="CS867" s="240" t="s">
        <v>153</v>
      </c>
      <c r="CT867" s="241" t="s">
        <v>153</v>
      </c>
      <c r="CU867" s="242" t="s">
        <v>153</v>
      </c>
      <c r="CV867" s="243" t="s">
        <v>153</v>
      </c>
      <c r="CW867" s="244" t="s">
        <v>153</v>
      </c>
      <c r="CX867" s="245" t="s">
        <v>153</v>
      </c>
      <c r="CY867" s="246" t="s">
        <v>153</v>
      </c>
      <c r="CZ867" s="247" t="s">
        <v>153</v>
      </c>
      <c r="DA867" s="248" t="s">
        <v>153</v>
      </c>
      <c r="DB867" s="249" t="s">
        <v>153</v>
      </c>
      <c r="DC867" s="250" t="s">
        <v>153</v>
      </c>
      <c r="DD867" s="251" t="s">
        <v>153</v>
      </c>
      <c r="DE867" s="252" t="s">
        <v>153</v>
      </c>
      <c r="DF867" s="253" t="s">
        <v>153</v>
      </c>
      <c r="DG867" s="254" t="s">
        <v>153</v>
      </c>
      <c r="DH867" s="255" t="s">
        <v>153</v>
      </c>
      <c r="DI867" s="256" t="s">
        <v>153</v>
      </c>
      <c r="DJ867" s="257" t="s">
        <v>153</v>
      </c>
      <c r="DK867" s="258" t="s">
        <v>153</v>
      </c>
      <c r="DL867" s="259" t="s">
        <v>153</v>
      </c>
      <c r="DM867" s="260" t="s">
        <v>153</v>
      </c>
      <c r="DN867" s="261" t="s">
        <v>153</v>
      </c>
      <c r="DO867" s="262" t="s">
        <v>153</v>
      </c>
      <c r="DP867" s="263" t="s">
        <v>153</v>
      </c>
      <c r="DQ867" s="264" t="s">
        <v>153</v>
      </c>
      <c r="DR867" s="265" t="s">
        <v>153</v>
      </c>
      <c r="DS867" s="266" t="s">
        <v>153</v>
      </c>
      <c r="DT867" s="267" t="s">
        <v>153</v>
      </c>
      <c r="DU867" s="268" t="s">
        <v>153</v>
      </c>
      <c r="DV867" s="269" t="s">
        <v>153</v>
      </c>
      <c r="DW867" s="270" t="s">
        <v>153</v>
      </c>
      <c r="DX867" s="271" t="s">
        <v>153</v>
      </c>
      <c r="DY867" s="272" t="s">
        <v>153</v>
      </c>
      <c r="DZ867" s="273" t="s">
        <v>191</v>
      </c>
      <c r="EA867" s="274">
        <v>44147</v>
      </c>
      <c r="EB867" s="275">
        <v>5741</v>
      </c>
      <c r="EC867" s="276">
        <v>43167</v>
      </c>
      <c r="ED867" s="277" t="s">
        <v>226</v>
      </c>
      <c r="EE867" s="279" t="str">
        <f>HYPERLINK("https://my.pitchbook.com?c=143722-54", "View company online")</f>
        <v>View company online</v>
      </c>
    </row>
    <row r="868" spans="1:135" x14ac:dyDescent="0.45">
      <c r="A868" s="10" t="s">
        <v>17205</v>
      </c>
      <c r="B868" s="11" t="s">
        <v>17206</v>
      </c>
      <c r="C868" s="12" t="s">
        <v>153</v>
      </c>
      <c r="D868" s="13" t="s">
        <v>153</v>
      </c>
      <c r="E868" s="14" t="s">
        <v>153</v>
      </c>
      <c r="F868" s="15" t="s">
        <v>17207</v>
      </c>
      <c r="G868" s="16" t="s">
        <v>17208</v>
      </c>
      <c r="H868" s="17" t="s">
        <v>17209</v>
      </c>
      <c r="I868" s="18" t="s">
        <v>17205</v>
      </c>
      <c r="J868" s="19" t="s">
        <v>17210</v>
      </c>
      <c r="K868" s="20" t="s">
        <v>198</v>
      </c>
      <c r="L868" s="21" t="s">
        <v>199</v>
      </c>
      <c r="M868" s="22" t="s">
        <v>344</v>
      </c>
      <c r="N868" s="23" t="s">
        <v>345</v>
      </c>
      <c r="O868" s="24" t="s">
        <v>399</v>
      </c>
      <c r="P868" s="25" t="s">
        <v>17211</v>
      </c>
      <c r="Q868" s="26" t="s">
        <v>204</v>
      </c>
      <c r="R868" s="27" t="s">
        <v>153</v>
      </c>
      <c r="S868" s="28" t="s">
        <v>290</v>
      </c>
      <c r="T868" s="29" t="s">
        <v>164</v>
      </c>
      <c r="U868" s="30" t="s">
        <v>237</v>
      </c>
      <c r="V868" s="31" t="s">
        <v>17212</v>
      </c>
      <c r="W868" s="32">
        <v>10123</v>
      </c>
      <c r="X868" s="33" t="s">
        <v>17213</v>
      </c>
      <c r="Y868" s="34" t="s">
        <v>153</v>
      </c>
      <c r="Z868" s="35" t="s">
        <v>153</v>
      </c>
      <c r="AA868" s="36">
        <v>1998</v>
      </c>
      <c r="AB868" s="37" t="s">
        <v>17214</v>
      </c>
      <c r="AC868" s="38" t="s">
        <v>153</v>
      </c>
      <c r="AD868" s="39" t="s">
        <v>153</v>
      </c>
      <c r="AE868" s="40">
        <v>3752.61</v>
      </c>
      <c r="AF868" s="41">
        <v>3199.85</v>
      </c>
      <c r="AG868" s="42">
        <v>553.47</v>
      </c>
      <c r="AH868" s="43">
        <v>16069.31</v>
      </c>
      <c r="AI868" s="44">
        <v>1841.55</v>
      </c>
      <c r="AJ868" s="45">
        <v>1074.8800000000001</v>
      </c>
      <c r="AK868" s="46">
        <v>12761.93</v>
      </c>
      <c r="AL868" s="47">
        <v>1916.01</v>
      </c>
      <c r="AM868" s="48">
        <v>0.69</v>
      </c>
      <c r="AN868" s="49" t="s">
        <v>168</v>
      </c>
      <c r="AO868" s="50" t="s">
        <v>17215</v>
      </c>
      <c r="AP868" s="51" t="s">
        <v>17216</v>
      </c>
      <c r="AQ868" s="52" t="s">
        <v>512</v>
      </c>
      <c r="AR868" s="53" t="s">
        <v>153</v>
      </c>
      <c r="AS868" s="54" t="s">
        <v>153</v>
      </c>
      <c r="AT868" s="55" t="s">
        <v>17217</v>
      </c>
      <c r="AU868" s="56" t="s">
        <v>17218</v>
      </c>
      <c r="AV868" s="57" t="s">
        <v>153</v>
      </c>
      <c r="AW868" s="58" t="s">
        <v>17219</v>
      </c>
      <c r="AX868" s="59" t="s">
        <v>153</v>
      </c>
      <c r="AY868" s="60" t="s">
        <v>153</v>
      </c>
      <c r="AZ868" s="61" t="s">
        <v>17220</v>
      </c>
      <c r="BA868" s="62" t="s">
        <v>153</v>
      </c>
      <c r="BB868" s="63" t="s">
        <v>153</v>
      </c>
      <c r="BC868" s="64" t="s">
        <v>17221</v>
      </c>
      <c r="BD868" s="65" t="s">
        <v>5323</v>
      </c>
      <c r="BE868" s="66" t="s">
        <v>5324</v>
      </c>
      <c r="BF868" s="67" t="s">
        <v>17222</v>
      </c>
      <c r="BG868" s="68" t="s">
        <v>153</v>
      </c>
      <c r="BH868" s="69" t="s">
        <v>153</v>
      </c>
      <c r="BI868" s="70" t="s">
        <v>17214</v>
      </c>
      <c r="BJ868" s="71" t="s">
        <v>17223</v>
      </c>
      <c r="BK868" s="72" t="s">
        <v>153</v>
      </c>
      <c r="BL868" s="73" t="s">
        <v>153</v>
      </c>
      <c r="BM868" s="74" t="s">
        <v>17224</v>
      </c>
      <c r="BN868" s="75" t="s">
        <v>153</v>
      </c>
      <c r="BO868" s="76" t="s">
        <v>17225</v>
      </c>
      <c r="BP868" s="77" t="s">
        <v>153</v>
      </c>
      <c r="BQ868" s="78">
        <v>41773</v>
      </c>
      <c r="BR868" s="79">
        <v>5722.41</v>
      </c>
      <c r="BS868" s="80" t="s">
        <v>186</v>
      </c>
      <c r="BT868" s="81">
        <v>10797</v>
      </c>
      <c r="BU868" s="82" t="s">
        <v>187</v>
      </c>
      <c r="BV868" s="83" t="s">
        <v>226</v>
      </c>
      <c r="BW868" s="84" t="s">
        <v>153</v>
      </c>
      <c r="BX868" s="85" t="s">
        <v>153</v>
      </c>
      <c r="BY868" s="86" t="s">
        <v>225</v>
      </c>
      <c r="BZ868" s="87" t="s">
        <v>17226</v>
      </c>
      <c r="CA868" s="88" t="s">
        <v>190</v>
      </c>
      <c r="CB868" s="89">
        <v>41773</v>
      </c>
      <c r="CC868" s="90">
        <v>5722.41</v>
      </c>
      <c r="CD868" s="91" t="s">
        <v>186</v>
      </c>
      <c r="CE868" s="92">
        <v>10797</v>
      </c>
      <c r="CF868" s="93" t="s">
        <v>187</v>
      </c>
      <c r="CG868" s="94" t="s">
        <v>226</v>
      </c>
      <c r="CH868" s="95" t="s">
        <v>153</v>
      </c>
      <c r="CI868" s="96" t="s">
        <v>153</v>
      </c>
      <c r="CJ868" s="97" t="s">
        <v>225</v>
      </c>
      <c r="CK868" s="98">
        <v>41773</v>
      </c>
      <c r="CL868" s="99">
        <v>4354.01</v>
      </c>
      <c r="CM868" s="100" t="s">
        <v>17226</v>
      </c>
      <c r="CN868" s="101" t="s">
        <v>190</v>
      </c>
      <c r="CO868" s="102">
        <v>0.27</v>
      </c>
      <c r="CP868" s="103">
        <v>91</v>
      </c>
      <c r="CQ868" s="104">
        <v>0.15</v>
      </c>
      <c r="CR868" s="105">
        <v>127.24</v>
      </c>
      <c r="CS868" s="106">
        <v>-0.03</v>
      </c>
      <c r="CT868" s="107">
        <v>8</v>
      </c>
      <c r="CU868" s="108">
        <v>-0.03</v>
      </c>
      <c r="CV868" s="109">
        <v>36</v>
      </c>
      <c r="CW868" s="110">
        <v>-0.6</v>
      </c>
      <c r="CX868" s="111">
        <v>18</v>
      </c>
      <c r="CY868" s="112">
        <v>0.55000000000000004</v>
      </c>
      <c r="CZ868" s="113">
        <v>95</v>
      </c>
      <c r="DA868" s="114">
        <v>-0.03</v>
      </c>
      <c r="DB868" s="115">
        <v>36</v>
      </c>
      <c r="DC868" s="116">
        <v>941.62</v>
      </c>
      <c r="DD868" s="117">
        <v>100</v>
      </c>
      <c r="DE868" s="118">
        <v>5.82</v>
      </c>
      <c r="DF868" s="119">
        <v>0.62</v>
      </c>
      <c r="DG868" s="120">
        <v>109.17</v>
      </c>
      <c r="DH868" s="121">
        <v>99</v>
      </c>
      <c r="DI868" s="122">
        <v>2714.15</v>
      </c>
      <c r="DJ868" s="123">
        <v>100</v>
      </c>
      <c r="DK868" s="124">
        <v>151.88999999999999</v>
      </c>
      <c r="DL868" s="125">
        <v>98</v>
      </c>
      <c r="DM868" s="126">
        <v>66.44</v>
      </c>
      <c r="DN868" s="127">
        <v>99</v>
      </c>
      <c r="DO868" s="128">
        <v>2714.15</v>
      </c>
      <c r="DP868" s="129">
        <v>100</v>
      </c>
      <c r="DQ868" s="130">
        <v>90880</v>
      </c>
      <c r="DR868" s="131">
        <v>-2959</v>
      </c>
      <c r="DS868" s="132">
        <v>-3.15</v>
      </c>
      <c r="DT868" s="133">
        <v>1060</v>
      </c>
      <c r="DU868" s="134">
        <v>8</v>
      </c>
      <c r="DV868" s="135">
        <v>0.76</v>
      </c>
      <c r="DW868" s="136">
        <v>852244</v>
      </c>
      <c r="DX868" s="137">
        <v>-190</v>
      </c>
      <c r="DY868" s="138">
        <v>-0.02</v>
      </c>
      <c r="DZ868" s="139" t="s">
        <v>191</v>
      </c>
      <c r="EA868" s="140">
        <v>44340</v>
      </c>
      <c r="EB868" s="141">
        <v>10797</v>
      </c>
      <c r="EC868" s="142">
        <v>41773</v>
      </c>
      <c r="ED868" s="143" t="s">
        <v>226</v>
      </c>
      <c r="EE868" s="278" t="str">
        <f>HYPERLINK("https://my.pitchbook.com?c=58698-01", "View company online")</f>
        <v>View company online</v>
      </c>
    </row>
    <row r="869" spans="1:135" x14ac:dyDescent="0.45">
      <c r="A869" s="144" t="s">
        <v>17227</v>
      </c>
      <c r="B869" s="145" t="s">
        <v>17228</v>
      </c>
      <c r="C869" s="146" t="s">
        <v>153</v>
      </c>
      <c r="D869" s="147" t="s">
        <v>153</v>
      </c>
      <c r="E869" s="148" t="s">
        <v>153</v>
      </c>
      <c r="F869" s="149" t="s">
        <v>153</v>
      </c>
      <c r="G869" s="150" t="s">
        <v>17229</v>
      </c>
      <c r="H869" s="151" t="s">
        <v>17230</v>
      </c>
      <c r="I869" s="152" t="s">
        <v>17227</v>
      </c>
      <c r="J869" s="153" t="s">
        <v>17231</v>
      </c>
      <c r="K869" s="154" t="s">
        <v>232</v>
      </c>
      <c r="L869" s="155" t="s">
        <v>1016</v>
      </c>
      <c r="M869" s="156" t="s">
        <v>2416</v>
      </c>
      <c r="N869" s="157" t="s">
        <v>2417</v>
      </c>
      <c r="O869" s="158" t="s">
        <v>153</v>
      </c>
      <c r="P869" s="159" t="s">
        <v>17232</v>
      </c>
      <c r="Q869" s="160" t="s">
        <v>204</v>
      </c>
      <c r="R869" s="161" t="s">
        <v>153</v>
      </c>
      <c r="S869" s="162" t="s">
        <v>163</v>
      </c>
      <c r="T869" s="163" t="s">
        <v>205</v>
      </c>
      <c r="U869" s="164" t="s">
        <v>206</v>
      </c>
      <c r="V869" s="165" t="s">
        <v>17233</v>
      </c>
      <c r="W869" s="166">
        <v>2000</v>
      </c>
      <c r="X869" s="167" t="s">
        <v>17234</v>
      </c>
      <c r="Y869" s="168" t="s">
        <v>153</v>
      </c>
      <c r="Z869" s="169" t="s">
        <v>153</v>
      </c>
      <c r="AA869" s="170">
        <v>1959</v>
      </c>
      <c r="AB869" s="171" t="s">
        <v>153</v>
      </c>
      <c r="AC869" s="172" t="s">
        <v>153</v>
      </c>
      <c r="AD869" s="173" t="s">
        <v>153</v>
      </c>
      <c r="AE869" s="174" t="s">
        <v>153</v>
      </c>
      <c r="AF869" s="175" t="s">
        <v>153</v>
      </c>
      <c r="AG869" s="176" t="s">
        <v>153</v>
      </c>
      <c r="AH869" s="177" t="s">
        <v>153</v>
      </c>
      <c r="AI869" s="178" t="s">
        <v>153</v>
      </c>
      <c r="AJ869" s="179" t="s">
        <v>153</v>
      </c>
      <c r="AK869" s="180" t="s">
        <v>153</v>
      </c>
      <c r="AL869" s="181" t="s">
        <v>153</v>
      </c>
      <c r="AM869" s="182" t="s">
        <v>153</v>
      </c>
      <c r="AN869" s="183" t="s">
        <v>1442</v>
      </c>
      <c r="AO869" s="184" t="s">
        <v>153</v>
      </c>
      <c r="AP869" s="185" t="s">
        <v>153</v>
      </c>
      <c r="AQ869" s="186" t="s">
        <v>153</v>
      </c>
      <c r="AR869" s="187" t="s">
        <v>153</v>
      </c>
      <c r="AS869" s="188" t="s">
        <v>153</v>
      </c>
      <c r="AT869" s="189" t="s">
        <v>153</v>
      </c>
      <c r="AU869" s="190" t="s">
        <v>153</v>
      </c>
      <c r="AV869" s="191" t="s">
        <v>153</v>
      </c>
      <c r="AW869" s="192" t="s">
        <v>153</v>
      </c>
      <c r="AX869" s="193" t="s">
        <v>153</v>
      </c>
      <c r="AY869" s="194" t="s">
        <v>153</v>
      </c>
      <c r="AZ869" s="195" t="s">
        <v>153</v>
      </c>
      <c r="BA869" s="196" t="s">
        <v>153</v>
      </c>
      <c r="BB869" s="197" t="s">
        <v>153</v>
      </c>
      <c r="BC869" s="198" t="s">
        <v>153</v>
      </c>
      <c r="BD869" s="199" t="s">
        <v>153</v>
      </c>
      <c r="BE869" s="200" t="s">
        <v>153</v>
      </c>
      <c r="BF869" s="201" t="s">
        <v>17235</v>
      </c>
      <c r="BG869" s="202" t="s">
        <v>153</v>
      </c>
      <c r="BH869" s="203" t="s">
        <v>153</v>
      </c>
      <c r="BI869" s="204" t="s">
        <v>17236</v>
      </c>
      <c r="BJ869" s="205" t="s">
        <v>17237</v>
      </c>
      <c r="BK869" s="206" t="s">
        <v>153</v>
      </c>
      <c r="BL869" s="207" t="s">
        <v>153</v>
      </c>
      <c r="BM869" s="208" t="s">
        <v>17238</v>
      </c>
      <c r="BN869" s="209" t="s">
        <v>153</v>
      </c>
      <c r="BO869" s="210" t="s">
        <v>17239</v>
      </c>
      <c r="BP869" s="211" t="s">
        <v>17240</v>
      </c>
      <c r="BQ869" s="212">
        <v>32874</v>
      </c>
      <c r="BR869" s="213">
        <v>150</v>
      </c>
      <c r="BS869" s="214" t="s">
        <v>186</v>
      </c>
      <c r="BT869" s="215">
        <v>150</v>
      </c>
      <c r="BU869" s="216" t="s">
        <v>186</v>
      </c>
      <c r="BV869" s="217" t="s">
        <v>226</v>
      </c>
      <c r="BW869" s="218" t="s">
        <v>153</v>
      </c>
      <c r="BX869" s="219" t="s">
        <v>153</v>
      </c>
      <c r="BY869" s="220" t="s">
        <v>225</v>
      </c>
      <c r="BZ869" s="221" t="s">
        <v>153</v>
      </c>
      <c r="CA869" s="222" t="s">
        <v>190</v>
      </c>
      <c r="CB869" s="223">
        <v>43609</v>
      </c>
      <c r="CC869" s="224">
        <v>5720</v>
      </c>
      <c r="CD869" s="225" t="s">
        <v>186</v>
      </c>
      <c r="CE869" s="226">
        <v>5720</v>
      </c>
      <c r="CF869" s="227" t="s">
        <v>187</v>
      </c>
      <c r="CG869" s="228" t="s">
        <v>226</v>
      </c>
      <c r="CH869" s="229" t="s">
        <v>729</v>
      </c>
      <c r="CI869" s="230" t="s">
        <v>153</v>
      </c>
      <c r="CJ869" s="231" t="s">
        <v>225</v>
      </c>
      <c r="CK869" s="232">
        <v>43609</v>
      </c>
      <c r="CL869" s="233" t="s">
        <v>153</v>
      </c>
      <c r="CM869" s="234" t="s">
        <v>153</v>
      </c>
      <c r="CN869" s="235" t="s">
        <v>190</v>
      </c>
      <c r="CO869" s="236" t="s">
        <v>153</v>
      </c>
      <c r="CP869" s="237" t="s">
        <v>153</v>
      </c>
      <c r="CQ869" s="238" t="s">
        <v>153</v>
      </c>
      <c r="CR869" s="239" t="s">
        <v>153</v>
      </c>
      <c r="CS869" s="240" t="s">
        <v>153</v>
      </c>
      <c r="CT869" s="241" t="s">
        <v>153</v>
      </c>
      <c r="CU869" s="242" t="s">
        <v>153</v>
      </c>
      <c r="CV869" s="243" t="s">
        <v>153</v>
      </c>
      <c r="CW869" s="244" t="s">
        <v>153</v>
      </c>
      <c r="CX869" s="245" t="s">
        <v>153</v>
      </c>
      <c r="CY869" s="246" t="s">
        <v>153</v>
      </c>
      <c r="CZ869" s="247" t="s">
        <v>153</v>
      </c>
      <c r="DA869" s="248" t="s">
        <v>153</v>
      </c>
      <c r="DB869" s="249" t="s">
        <v>153</v>
      </c>
      <c r="DC869" s="250" t="s">
        <v>153</v>
      </c>
      <c r="DD869" s="251" t="s">
        <v>153</v>
      </c>
      <c r="DE869" s="252" t="s">
        <v>153</v>
      </c>
      <c r="DF869" s="253" t="s">
        <v>153</v>
      </c>
      <c r="DG869" s="254" t="s">
        <v>153</v>
      </c>
      <c r="DH869" s="255" t="s">
        <v>153</v>
      </c>
      <c r="DI869" s="256" t="s">
        <v>153</v>
      </c>
      <c r="DJ869" s="257" t="s">
        <v>153</v>
      </c>
      <c r="DK869" s="258" t="s">
        <v>153</v>
      </c>
      <c r="DL869" s="259" t="s">
        <v>153</v>
      </c>
      <c r="DM869" s="260" t="s">
        <v>153</v>
      </c>
      <c r="DN869" s="261" t="s">
        <v>153</v>
      </c>
      <c r="DO869" s="262" t="s">
        <v>153</v>
      </c>
      <c r="DP869" s="263" t="s">
        <v>153</v>
      </c>
      <c r="DQ869" s="264" t="s">
        <v>153</v>
      </c>
      <c r="DR869" s="265" t="s">
        <v>153</v>
      </c>
      <c r="DS869" s="266" t="s">
        <v>153</v>
      </c>
      <c r="DT869" s="267" t="s">
        <v>153</v>
      </c>
      <c r="DU869" s="268" t="s">
        <v>153</v>
      </c>
      <c r="DV869" s="269" t="s">
        <v>153</v>
      </c>
      <c r="DW869" s="270" t="s">
        <v>153</v>
      </c>
      <c r="DX869" s="271" t="s">
        <v>153</v>
      </c>
      <c r="DY869" s="272" t="s">
        <v>153</v>
      </c>
      <c r="DZ869" s="273" t="s">
        <v>191</v>
      </c>
      <c r="EA869" s="274">
        <v>44399</v>
      </c>
      <c r="EB869" s="275">
        <v>5720</v>
      </c>
      <c r="EC869" s="276">
        <v>43609</v>
      </c>
      <c r="ED869" s="277" t="s">
        <v>226</v>
      </c>
      <c r="EE869" s="279" t="str">
        <f>HYPERLINK("https://my.pitchbook.com?c=11403-55", "View company online")</f>
        <v>View company online</v>
      </c>
    </row>
    <row r="870" spans="1:135" x14ac:dyDescent="0.45">
      <c r="A870" s="10" t="s">
        <v>17241</v>
      </c>
      <c r="B870" s="11" t="s">
        <v>17242</v>
      </c>
      <c r="C870" s="12" t="s">
        <v>153</v>
      </c>
      <c r="D870" s="13" t="s">
        <v>153</v>
      </c>
      <c r="E870" s="14" t="s">
        <v>153</v>
      </c>
      <c r="F870" s="15" t="s">
        <v>153</v>
      </c>
      <c r="G870" s="16" t="s">
        <v>17243</v>
      </c>
      <c r="H870" s="17" t="s">
        <v>17244</v>
      </c>
      <c r="I870" s="18" t="s">
        <v>17241</v>
      </c>
      <c r="J870" s="19" t="s">
        <v>17245</v>
      </c>
      <c r="K870" s="20" t="s">
        <v>882</v>
      </c>
      <c r="L870" s="21" t="s">
        <v>1257</v>
      </c>
      <c r="M870" s="22" t="s">
        <v>17246</v>
      </c>
      <c r="N870" s="23" t="s">
        <v>17247</v>
      </c>
      <c r="O870" s="24" t="s">
        <v>153</v>
      </c>
      <c r="P870" s="25" t="s">
        <v>17248</v>
      </c>
      <c r="Q870" s="26" t="s">
        <v>289</v>
      </c>
      <c r="R870" s="27">
        <v>77.13</v>
      </c>
      <c r="S870" s="28" t="s">
        <v>290</v>
      </c>
      <c r="T870" s="29" t="s">
        <v>291</v>
      </c>
      <c r="U870" s="30" t="s">
        <v>452</v>
      </c>
      <c r="V870" s="31" t="s">
        <v>17249</v>
      </c>
      <c r="W870" s="32">
        <v>8875</v>
      </c>
      <c r="X870" s="33" t="s">
        <v>17250</v>
      </c>
      <c r="Y870" s="34" t="s">
        <v>295</v>
      </c>
      <c r="Z870" s="35" t="s">
        <v>17251</v>
      </c>
      <c r="AA870" s="36">
        <v>1998</v>
      </c>
      <c r="AB870" s="37" t="s">
        <v>153</v>
      </c>
      <c r="AC870" s="38" t="s">
        <v>537</v>
      </c>
      <c r="AD870" s="39" t="s">
        <v>1264</v>
      </c>
      <c r="AE870" s="40">
        <v>558.91999999999996</v>
      </c>
      <c r="AF870" s="41">
        <v>363.06</v>
      </c>
      <c r="AG870" s="42">
        <v>139.88</v>
      </c>
      <c r="AH870" s="43">
        <v>2617.25</v>
      </c>
      <c r="AI870" s="44" t="s">
        <v>153</v>
      </c>
      <c r="AJ870" s="45">
        <v>123.44</v>
      </c>
      <c r="AK870" s="46">
        <v>5247.29</v>
      </c>
      <c r="AL870" s="47">
        <v>-1561.72</v>
      </c>
      <c r="AM870" s="48">
        <v>-2.2200000000000002</v>
      </c>
      <c r="AN870" s="49" t="s">
        <v>376</v>
      </c>
      <c r="AO870" s="50" t="s">
        <v>17252</v>
      </c>
      <c r="AP870" s="51" t="s">
        <v>17253</v>
      </c>
      <c r="AQ870" s="52" t="s">
        <v>379</v>
      </c>
      <c r="AR870" s="53" t="s">
        <v>17254</v>
      </c>
      <c r="AS870" s="54" t="s">
        <v>17255</v>
      </c>
      <c r="AT870" s="55" t="s">
        <v>4202</v>
      </c>
      <c r="AU870" s="56" t="s">
        <v>17256</v>
      </c>
      <c r="AV870" s="57" t="s">
        <v>17257</v>
      </c>
      <c r="AW870" s="58" t="s">
        <v>4205</v>
      </c>
      <c r="AX870" s="59" t="s">
        <v>153</v>
      </c>
      <c r="AY870" s="60" t="s">
        <v>14579</v>
      </c>
      <c r="AZ870" s="61" t="s">
        <v>1519</v>
      </c>
      <c r="BA870" s="62" t="s">
        <v>17255</v>
      </c>
      <c r="BB870" s="63" t="s">
        <v>17258</v>
      </c>
      <c r="BC870" s="64" t="s">
        <v>153</v>
      </c>
      <c r="BD870" s="65" t="s">
        <v>1406</v>
      </c>
      <c r="BE870" s="66" t="s">
        <v>1407</v>
      </c>
      <c r="BF870" s="67" t="s">
        <v>17259</v>
      </c>
      <c r="BG870" s="68" t="s">
        <v>17260</v>
      </c>
      <c r="BH870" s="69">
        <v>1</v>
      </c>
      <c r="BI870" s="70" t="s">
        <v>153</v>
      </c>
      <c r="BJ870" s="71" t="s">
        <v>17261</v>
      </c>
      <c r="BK870" s="72" t="s">
        <v>17262</v>
      </c>
      <c r="BL870" s="73" t="s">
        <v>17263</v>
      </c>
      <c r="BM870" s="74" t="s">
        <v>17264</v>
      </c>
      <c r="BN870" s="75" t="s">
        <v>17265</v>
      </c>
      <c r="BO870" s="76" t="s">
        <v>153</v>
      </c>
      <c r="BP870" s="77" t="s">
        <v>17266</v>
      </c>
      <c r="BQ870" s="78">
        <v>36586</v>
      </c>
      <c r="BR870" s="79" t="s">
        <v>153</v>
      </c>
      <c r="BS870" s="80" t="s">
        <v>153</v>
      </c>
      <c r="BT870" s="81" t="s">
        <v>153</v>
      </c>
      <c r="BU870" s="82" t="s">
        <v>153</v>
      </c>
      <c r="BV870" s="83" t="s">
        <v>3566</v>
      </c>
      <c r="BW870" s="84" t="s">
        <v>153</v>
      </c>
      <c r="BX870" s="85" t="s">
        <v>153</v>
      </c>
      <c r="BY870" s="86" t="s">
        <v>321</v>
      </c>
      <c r="BZ870" s="87" t="s">
        <v>153</v>
      </c>
      <c r="CA870" s="88" t="s">
        <v>190</v>
      </c>
      <c r="CB870" s="89">
        <v>44368</v>
      </c>
      <c r="CC870" s="90">
        <v>5700</v>
      </c>
      <c r="CD870" s="91" t="s">
        <v>186</v>
      </c>
      <c r="CE870" s="92">
        <v>5700</v>
      </c>
      <c r="CF870" s="93" t="s">
        <v>187</v>
      </c>
      <c r="CG870" s="94" t="s">
        <v>188</v>
      </c>
      <c r="CH870" s="95" t="s">
        <v>930</v>
      </c>
      <c r="CI870" s="96" t="s">
        <v>153</v>
      </c>
      <c r="CJ870" s="97" t="s">
        <v>165</v>
      </c>
      <c r="CK870" s="98">
        <v>44368</v>
      </c>
      <c r="CL870" s="99" t="s">
        <v>153</v>
      </c>
      <c r="CM870" s="100" t="s">
        <v>153</v>
      </c>
      <c r="CN870" s="101" t="s">
        <v>1278</v>
      </c>
      <c r="CO870" s="102">
        <v>-1.44</v>
      </c>
      <c r="CP870" s="103">
        <v>3</v>
      </c>
      <c r="CQ870" s="104">
        <v>-0.01</v>
      </c>
      <c r="CR870" s="105">
        <v>-0.45</v>
      </c>
      <c r="CS870" s="106">
        <v>-1.44</v>
      </c>
      <c r="CT870" s="107">
        <v>3</v>
      </c>
      <c r="CU870" s="108" t="s">
        <v>153</v>
      </c>
      <c r="CV870" s="109" t="s">
        <v>153</v>
      </c>
      <c r="CW870" s="110">
        <v>-3.01</v>
      </c>
      <c r="CX870" s="111">
        <v>9</v>
      </c>
      <c r="CY870" s="112">
        <v>0.13</v>
      </c>
      <c r="CZ870" s="113">
        <v>91</v>
      </c>
      <c r="DA870" s="114" t="s">
        <v>153</v>
      </c>
      <c r="DB870" s="115" t="s">
        <v>153</v>
      </c>
      <c r="DC870" s="116">
        <v>1060.82</v>
      </c>
      <c r="DD870" s="117">
        <v>100</v>
      </c>
      <c r="DE870" s="118">
        <v>-0.66</v>
      </c>
      <c r="DF870" s="119">
        <v>-0.06</v>
      </c>
      <c r="DG870" s="120">
        <v>1060.82</v>
      </c>
      <c r="DH870" s="121">
        <v>100</v>
      </c>
      <c r="DI870" s="122" t="s">
        <v>153</v>
      </c>
      <c r="DJ870" s="123" t="s">
        <v>153</v>
      </c>
      <c r="DK870" s="124">
        <v>1166.46</v>
      </c>
      <c r="DL870" s="125">
        <v>100</v>
      </c>
      <c r="DM870" s="126">
        <v>955.19</v>
      </c>
      <c r="DN870" s="127">
        <v>100</v>
      </c>
      <c r="DO870" s="128" t="s">
        <v>153</v>
      </c>
      <c r="DP870" s="129" t="s">
        <v>153</v>
      </c>
      <c r="DQ870" s="130">
        <v>698901</v>
      </c>
      <c r="DR870" s="131">
        <v>-26369</v>
      </c>
      <c r="DS870" s="132">
        <v>-3.64</v>
      </c>
      <c r="DT870" s="133">
        <v>15292</v>
      </c>
      <c r="DU870" s="134">
        <v>-22</v>
      </c>
      <c r="DV870" s="135">
        <v>-0.14000000000000001</v>
      </c>
      <c r="DW870" s="136" t="s">
        <v>153</v>
      </c>
      <c r="DX870" s="137" t="s">
        <v>153</v>
      </c>
      <c r="DY870" s="138" t="s">
        <v>153</v>
      </c>
      <c r="DZ870" s="139" t="s">
        <v>191</v>
      </c>
      <c r="EA870" s="140">
        <v>44401</v>
      </c>
      <c r="EB870" s="141">
        <v>5700</v>
      </c>
      <c r="EC870" s="142">
        <v>44368</v>
      </c>
      <c r="ED870" s="143" t="s">
        <v>188</v>
      </c>
      <c r="EE870" s="278" t="str">
        <f>HYPERLINK("https://my.pitchbook.com?c=42037-12", "View company online")</f>
        <v>View company online</v>
      </c>
    </row>
    <row r="871" spans="1:135" x14ac:dyDescent="0.45">
      <c r="A871" s="144" t="s">
        <v>17267</v>
      </c>
      <c r="B871" s="145" t="s">
        <v>4069</v>
      </c>
      <c r="C871" s="146" t="s">
        <v>153</v>
      </c>
      <c r="D871" s="147" t="s">
        <v>153</v>
      </c>
      <c r="E871" s="148" t="s">
        <v>153</v>
      </c>
      <c r="F871" s="149" t="s">
        <v>17268</v>
      </c>
      <c r="G871" s="150" t="s">
        <v>17269</v>
      </c>
      <c r="H871" s="151" t="s">
        <v>17270</v>
      </c>
      <c r="I871" s="152" t="s">
        <v>17267</v>
      </c>
      <c r="J871" s="153" t="s">
        <v>17271</v>
      </c>
      <c r="K871" s="154" t="s">
        <v>198</v>
      </c>
      <c r="L871" s="155" t="s">
        <v>199</v>
      </c>
      <c r="M871" s="156" t="s">
        <v>344</v>
      </c>
      <c r="N871" s="157" t="s">
        <v>17272</v>
      </c>
      <c r="O871" s="158" t="s">
        <v>153</v>
      </c>
      <c r="P871" s="159" t="s">
        <v>17273</v>
      </c>
      <c r="Q871" s="160" t="s">
        <v>564</v>
      </c>
      <c r="R871" s="161">
        <v>2769.79</v>
      </c>
      <c r="S871" s="162" t="s">
        <v>290</v>
      </c>
      <c r="T871" s="163" t="s">
        <v>1392</v>
      </c>
      <c r="U871" s="164" t="s">
        <v>1063</v>
      </c>
      <c r="V871" s="165" t="s">
        <v>17274</v>
      </c>
      <c r="W871" s="166">
        <v>531</v>
      </c>
      <c r="X871" s="167" t="s">
        <v>17275</v>
      </c>
      <c r="Y871" s="168" t="s">
        <v>153</v>
      </c>
      <c r="Z871" s="169" t="s">
        <v>153</v>
      </c>
      <c r="AA871" s="170">
        <v>2002</v>
      </c>
      <c r="AB871" s="171" t="s">
        <v>153</v>
      </c>
      <c r="AC871" s="172" t="s">
        <v>153</v>
      </c>
      <c r="AD871" s="173" t="s">
        <v>153</v>
      </c>
      <c r="AE871" s="174">
        <v>16748.189999999999</v>
      </c>
      <c r="AF871" s="175">
        <v>12245.55</v>
      </c>
      <c r="AG871" s="176">
        <v>-1640.12</v>
      </c>
      <c r="AH871" s="177">
        <v>44531.23</v>
      </c>
      <c r="AI871" s="178">
        <v>6483.14</v>
      </c>
      <c r="AJ871" s="179">
        <v>705.28</v>
      </c>
      <c r="AK871" s="180" t="s">
        <v>153</v>
      </c>
      <c r="AL871" s="181">
        <v>39293.919999999998</v>
      </c>
      <c r="AM871" s="182">
        <v>4.0199999999999996</v>
      </c>
      <c r="AN871" s="183" t="s">
        <v>5929</v>
      </c>
      <c r="AO871" s="184" t="s">
        <v>17276</v>
      </c>
      <c r="AP871" s="185" t="s">
        <v>17277</v>
      </c>
      <c r="AQ871" s="186" t="s">
        <v>512</v>
      </c>
      <c r="AR871" s="187" t="s">
        <v>17278</v>
      </c>
      <c r="AS871" s="188" t="s">
        <v>153</v>
      </c>
      <c r="AT871" s="189" t="s">
        <v>331</v>
      </c>
      <c r="AU871" s="190" t="s">
        <v>17279</v>
      </c>
      <c r="AV871" s="191" t="s">
        <v>17280</v>
      </c>
      <c r="AW871" s="192" t="s">
        <v>333</v>
      </c>
      <c r="AX871" s="193" t="s">
        <v>153</v>
      </c>
      <c r="AY871" s="194" t="s">
        <v>17281</v>
      </c>
      <c r="AZ871" s="195" t="s">
        <v>335</v>
      </c>
      <c r="BA871" s="196" t="s">
        <v>153</v>
      </c>
      <c r="BB871" s="197" t="s">
        <v>153</v>
      </c>
      <c r="BC871" s="198" t="s">
        <v>17282</v>
      </c>
      <c r="BD871" s="199" t="s">
        <v>180</v>
      </c>
      <c r="BE871" s="200" t="s">
        <v>181</v>
      </c>
      <c r="BF871" s="201" t="s">
        <v>17283</v>
      </c>
      <c r="BG871" s="202" t="s">
        <v>153</v>
      </c>
      <c r="BH871" s="203" t="s">
        <v>153</v>
      </c>
      <c r="BI871" s="204" t="s">
        <v>153</v>
      </c>
      <c r="BJ871" s="205" t="s">
        <v>17284</v>
      </c>
      <c r="BK871" s="206" t="s">
        <v>153</v>
      </c>
      <c r="BL871" s="207" t="s">
        <v>153</v>
      </c>
      <c r="BM871" s="208" t="s">
        <v>17285</v>
      </c>
      <c r="BN871" s="209" t="s">
        <v>153</v>
      </c>
      <c r="BO871" s="210" t="s">
        <v>153</v>
      </c>
      <c r="BP871" s="211" t="s">
        <v>17286</v>
      </c>
      <c r="BQ871" s="212">
        <v>37591</v>
      </c>
      <c r="BR871" s="213" t="s">
        <v>153</v>
      </c>
      <c r="BS871" s="214" t="s">
        <v>153</v>
      </c>
      <c r="BT871" s="215" t="s">
        <v>153</v>
      </c>
      <c r="BU871" s="216" t="s">
        <v>153</v>
      </c>
      <c r="BV871" s="217" t="s">
        <v>709</v>
      </c>
      <c r="BW871" s="218" t="s">
        <v>153</v>
      </c>
      <c r="BX871" s="219" t="s">
        <v>153</v>
      </c>
      <c r="BY871" s="220" t="s">
        <v>165</v>
      </c>
      <c r="BZ871" s="221" t="s">
        <v>153</v>
      </c>
      <c r="CA871" s="222" t="s">
        <v>190</v>
      </c>
      <c r="CB871" s="223">
        <v>44181</v>
      </c>
      <c r="CC871" s="224">
        <v>5700</v>
      </c>
      <c r="CD871" s="225" t="s">
        <v>186</v>
      </c>
      <c r="CE871" s="226" t="s">
        <v>153</v>
      </c>
      <c r="CF871" s="227" t="s">
        <v>153</v>
      </c>
      <c r="CG871" s="228" t="s">
        <v>5867</v>
      </c>
      <c r="CH871" s="229" t="s">
        <v>153</v>
      </c>
      <c r="CI871" s="230" t="s">
        <v>153</v>
      </c>
      <c r="CJ871" s="231" t="s">
        <v>153</v>
      </c>
      <c r="CK871" s="232">
        <v>44181</v>
      </c>
      <c r="CL871" s="233" t="s">
        <v>153</v>
      </c>
      <c r="CM871" s="234" t="s">
        <v>153</v>
      </c>
      <c r="CN871" s="235" t="s">
        <v>190</v>
      </c>
      <c r="CO871" s="236" t="s">
        <v>153</v>
      </c>
      <c r="CP871" s="237" t="s">
        <v>153</v>
      </c>
      <c r="CQ871" s="238" t="s">
        <v>153</v>
      </c>
      <c r="CR871" s="239" t="s">
        <v>153</v>
      </c>
      <c r="CS871" s="240" t="s">
        <v>153</v>
      </c>
      <c r="CT871" s="241" t="s">
        <v>153</v>
      </c>
      <c r="CU871" s="242" t="s">
        <v>153</v>
      </c>
      <c r="CV871" s="243" t="s">
        <v>153</v>
      </c>
      <c r="CW871" s="244" t="s">
        <v>153</v>
      </c>
      <c r="CX871" s="245" t="s">
        <v>153</v>
      </c>
      <c r="CY871" s="246" t="s">
        <v>153</v>
      </c>
      <c r="CZ871" s="247" t="s">
        <v>153</v>
      </c>
      <c r="DA871" s="248" t="s">
        <v>153</v>
      </c>
      <c r="DB871" s="249" t="s">
        <v>153</v>
      </c>
      <c r="DC871" s="250" t="s">
        <v>153</v>
      </c>
      <c r="DD871" s="251" t="s">
        <v>153</v>
      </c>
      <c r="DE871" s="252" t="s">
        <v>153</v>
      </c>
      <c r="DF871" s="253" t="s">
        <v>153</v>
      </c>
      <c r="DG871" s="254" t="s">
        <v>153</v>
      </c>
      <c r="DH871" s="255" t="s">
        <v>153</v>
      </c>
      <c r="DI871" s="256" t="s">
        <v>153</v>
      </c>
      <c r="DJ871" s="257" t="s">
        <v>153</v>
      </c>
      <c r="DK871" s="258" t="s">
        <v>153</v>
      </c>
      <c r="DL871" s="259" t="s">
        <v>153</v>
      </c>
      <c r="DM871" s="260" t="s">
        <v>153</v>
      </c>
      <c r="DN871" s="261" t="s">
        <v>153</v>
      </c>
      <c r="DO871" s="262" t="s">
        <v>153</v>
      </c>
      <c r="DP871" s="263" t="s">
        <v>153</v>
      </c>
      <c r="DQ871" s="264" t="s">
        <v>153</v>
      </c>
      <c r="DR871" s="265" t="s">
        <v>153</v>
      </c>
      <c r="DS871" s="266" t="s">
        <v>153</v>
      </c>
      <c r="DT871" s="267" t="s">
        <v>153</v>
      </c>
      <c r="DU871" s="268" t="s">
        <v>153</v>
      </c>
      <c r="DV871" s="269" t="s">
        <v>153</v>
      </c>
      <c r="DW871" s="270" t="s">
        <v>153</v>
      </c>
      <c r="DX871" s="271" t="s">
        <v>153</v>
      </c>
      <c r="DY871" s="272" t="s">
        <v>153</v>
      </c>
      <c r="DZ871" s="273" t="s">
        <v>191</v>
      </c>
      <c r="EA871" s="274">
        <v>44402</v>
      </c>
      <c r="EB871" s="275">
        <v>2784.72</v>
      </c>
      <c r="EC871" s="276">
        <v>43839</v>
      </c>
      <c r="ED871" s="277" t="s">
        <v>226</v>
      </c>
      <c r="EE871" s="279" t="str">
        <f>HYPERLINK("https://my.pitchbook.com?c=10567-36", "View company online")</f>
        <v>View company online</v>
      </c>
    </row>
    <row r="872" spans="1:135" x14ac:dyDescent="0.45">
      <c r="A872" s="10" t="s">
        <v>17287</v>
      </c>
      <c r="B872" s="11" t="s">
        <v>17288</v>
      </c>
      <c r="C872" s="12" t="s">
        <v>153</v>
      </c>
      <c r="D872" s="13" t="s">
        <v>153</v>
      </c>
      <c r="E872" s="14" t="s">
        <v>153</v>
      </c>
      <c r="F872" s="15" t="s">
        <v>153</v>
      </c>
      <c r="G872" s="16" t="s">
        <v>153</v>
      </c>
      <c r="H872" s="17" t="s">
        <v>153</v>
      </c>
      <c r="I872" s="18" t="s">
        <v>17287</v>
      </c>
      <c r="J872" s="19" t="s">
        <v>17289</v>
      </c>
      <c r="K872" s="20" t="s">
        <v>198</v>
      </c>
      <c r="L872" s="21" t="s">
        <v>199</v>
      </c>
      <c r="M872" s="22" t="s">
        <v>3522</v>
      </c>
      <c r="N872" s="23" t="s">
        <v>12908</v>
      </c>
      <c r="O872" s="24" t="s">
        <v>1592</v>
      </c>
      <c r="P872" s="25" t="s">
        <v>17290</v>
      </c>
      <c r="Q872" s="26" t="s">
        <v>289</v>
      </c>
      <c r="R872" s="27">
        <v>180.3</v>
      </c>
      <c r="S872" s="28" t="s">
        <v>163</v>
      </c>
      <c r="T872" s="29" t="s">
        <v>205</v>
      </c>
      <c r="U872" s="30" t="s">
        <v>482</v>
      </c>
      <c r="V872" s="31" t="s">
        <v>17291</v>
      </c>
      <c r="W872" s="32">
        <v>148</v>
      </c>
      <c r="X872" s="33" t="s">
        <v>17292</v>
      </c>
      <c r="Y872" s="34" t="s">
        <v>153</v>
      </c>
      <c r="Z872" s="35" t="s">
        <v>153</v>
      </c>
      <c r="AA872" s="36">
        <v>1997</v>
      </c>
      <c r="AB872" s="37" t="s">
        <v>13887</v>
      </c>
      <c r="AC872" s="38" t="s">
        <v>153</v>
      </c>
      <c r="AD872" s="39" t="s">
        <v>153</v>
      </c>
      <c r="AE872" s="40" t="s">
        <v>153</v>
      </c>
      <c r="AF872" s="41" t="s">
        <v>153</v>
      </c>
      <c r="AG872" s="42" t="s">
        <v>153</v>
      </c>
      <c r="AH872" s="43" t="s">
        <v>153</v>
      </c>
      <c r="AI872" s="44" t="s">
        <v>153</v>
      </c>
      <c r="AJ872" s="45" t="s">
        <v>153</v>
      </c>
      <c r="AK872" s="46" t="s">
        <v>153</v>
      </c>
      <c r="AL872" s="47" t="s">
        <v>153</v>
      </c>
      <c r="AM872" s="48" t="s">
        <v>153</v>
      </c>
      <c r="AN872" s="49" t="s">
        <v>11140</v>
      </c>
      <c r="AO872" s="50" t="s">
        <v>153</v>
      </c>
      <c r="AP872" s="51" t="s">
        <v>153</v>
      </c>
      <c r="AQ872" s="52" t="s">
        <v>153</v>
      </c>
      <c r="AR872" s="53" t="s">
        <v>153</v>
      </c>
      <c r="AS872" s="54" t="s">
        <v>153</v>
      </c>
      <c r="AT872" s="55" t="s">
        <v>17293</v>
      </c>
      <c r="AU872" s="56" t="s">
        <v>17294</v>
      </c>
      <c r="AV872" s="57" t="s">
        <v>153</v>
      </c>
      <c r="AW872" s="58" t="s">
        <v>17295</v>
      </c>
      <c r="AX872" s="59" t="s">
        <v>385</v>
      </c>
      <c r="AY872" s="60" t="s">
        <v>17296</v>
      </c>
      <c r="AZ872" s="61" t="s">
        <v>215</v>
      </c>
      <c r="BA872" s="62" t="s">
        <v>153</v>
      </c>
      <c r="BB872" s="63" t="s">
        <v>153</v>
      </c>
      <c r="BC872" s="64" t="s">
        <v>153</v>
      </c>
      <c r="BD872" s="65" t="s">
        <v>216</v>
      </c>
      <c r="BE872" s="66" t="s">
        <v>217</v>
      </c>
      <c r="BF872" s="67" t="s">
        <v>17297</v>
      </c>
      <c r="BG872" s="68" t="s">
        <v>153</v>
      </c>
      <c r="BH872" s="69" t="s">
        <v>153</v>
      </c>
      <c r="BI872" s="70" t="s">
        <v>13887</v>
      </c>
      <c r="BJ872" s="71" t="s">
        <v>17298</v>
      </c>
      <c r="BK872" s="72" t="s">
        <v>153</v>
      </c>
      <c r="BL872" s="73" t="s">
        <v>153</v>
      </c>
      <c r="BM872" s="74" t="s">
        <v>17299</v>
      </c>
      <c r="BN872" s="75" t="s">
        <v>153</v>
      </c>
      <c r="BO872" s="76" t="s">
        <v>153</v>
      </c>
      <c r="BP872" s="77" t="s">
        <v>17300</v>
      </c>
      <c r="BQ872" s="78" t="s">
        <v>153</v>
      </c>
      <c r="BR872" s="79" t="s">
        <v>153</v>
      </c>
      <c r="BS872" s="80" t="s">
        <v>153</v>
      </c>
      <c r="BT872" s="81" t="s">
        <v>153</v>
      </c>
      <c r="BU872" s="82" t="s">
        <v>153</v>
      </c>
      <c r="BV872" s="83" t="s">
        <v>471</v>
      </c>
      <c r="BW872" s="84" t="s">
        <v>153</v>
      </c>
      <c r="BX872" s="85" t="s">
        <v>153</v>
      </c>
      <c r="BY872" s="86" t="s">
        <v>472</v>
      </c>
      <c r="BZ872" s="87" t="s">
        <v>153</v>
      </c>
      <c r="CA872" s="88" t="s">
        <v>190</v>
      </c>
      <c r="CB872" s="89">
        <v>36700</v>
      </c>
      <c r="CC872" s="90">
        <v>5700</v>
      </c>
      <c r="CD872" s="91" t="s">
        <v>186</v>
      </c>
      <c r="CE872" s="92">
        <v>5700</v>
      </c>
      <c r="CF872" s="93" t="s">
        <v>153</v>
      </c>
      <c r="CG872" s="94" t="s">
        <v>226</v>
      </c>
      <c r="CH872" s="95" t="s">
        <v>153</v>
      </c>
      <c r="CI872" s="96" t="s">
        <v>153</v>
      </c>
      <c r="CJ872" s="97" t="s">
        <v>225</v>
      </c>
      <c r="CK872" s="98">
        <v>36700</v>
      </c>
      <c r="CL872" s="99" t="s">
        <v>153</v>
      </c>
      <c r="CM872" s="100" t="s">
        <v>153</v>
      </c>
      <c r="CN872" s="101" t="s">
        <v>190</v>
      </c>
      <c r="CO872" s="102" t="s">
        <v>153</v>
      </c>
      <c r="CP872" s="103" t="s">
        <v>153</v>
      </c>
      <c r="CQ872" s="104" t="s">
        <v>153</v>
      </c>
      <c r="CR872" s="105" t="s">
        <v>153</v>
      </c>
      <c r="CS872" s="106" t="s">
        <v>153</v>
      </c>
      <c r="CT872" s="107" t="s">
        <v>153</v>
      </c>
      <c r="CU872" s="108" t="s">
        <v>153</v>
      </c>
      <c r="CV872" s="109" t="s">
        <v>153</v>
      </c>
      <c r="CW872" s="110" t="s">
        <v>153</v>
      </c>
      <c r="CX872" s="111" t="s">
        <v>153</v>
      </c>
      <c r="CY872" s="112" t="s">
        <v>153</v>
      </c>
      <c r="CZ872" s="113" t="s">
        <v>153</v>
      </c>
      <c r="DA872" s="114" t="s">
        <v>153</v>
      </c>
      <c r="DB872" s="115" t="s">
        <v>153</v>
      </c>
      <c r="DC872" s="116" t="s">
        <v>153</v>
      </c>
      <c r="DD872" s="117" t="s">
        <v>153</v>
      </c>
      <c r="DE872" s="118" t="s">
        <v>153</v>
      </c>
      <c r="DF872" s="119" t="s">
        <v>153</v>
      </c>
      <c r="DG872" s="120" t="s">
        <v>153</v>
      </c>
      <c r="DH872" s="121" t="s">
        <v>153</v>
      </c>
      <c r="DI872" s="122" t="s">
        <v>153</v>
      </c>
      <c r="DJ872" s="123" t="s">
        <v>153</v>
      </c>
      <c r="DK872" s="124" t="s">
        <v>153</v>
      </c>
      <c r="DL872" s="125" t="s">
        <v>153</v>
      </c>
      <c r="DM872" s="126" t="s">
        <v>153</v>
      </c>
      <c r="DN872" s="127" t="s">
        <v>153</v>
      </c>
      <c r="DO872" s="128" t="s">
        <v>153</v>
      </c>
      <c r="DP872" s="129" t="s">
        <v>153</v>
      </c>
      <c r="DQ872" s="130" t="s">
        <v>153</v>
      </c>
      <c r="DR872" s="131" t="s">
        <v>153</v>
      </c>
      <c r="DS872" s="132" t="s">
        <v>153</v>
      </c>
      <c r="DT872" s="133" t="s">
        <v>153</v>
      </c>
      <c r="DU872" s="134" t="s">
        <v>153</v>
      </c>
      <c r="DV872" s="135" t="s">
        <v>153</v>
      </c>
      <c r="DW872" s="136" t="s">
        <v>153</v>
      </c>
      <c r="DX872" s="137" t="s">
        <v>153</v>
      </c>
      <c r="DY872" s="138" t="s">
        <v>153</v>
      </c>
      <c r="DZ872" s="139" t="s">
        <v>191</v>
      </c>
      <c r="EA872" s="140">
        <v>44217</v>
      </c>
      <c r="EB872" s="141">
        <v>5700</v>
      </c>
      <c r="EC872" s="142">
        <v>36700</v>
      </c>
      <c r="ED872" s="143" t="s">
        <v>226</v>
      </c>
      <c r="EE872" s="278" t="str">
        <f>HYPERLINK("https://my.pitchbook.com?c=52801-12", "View company online")</f>
        <v>View company online</v>
      </c>
    </row>
    <row r="873" spans="1:135" x14ac:dyDescent="0.45">
      <c r="A873" s="144" t="s">
        <v>17301</v>
      </c>
      <c r="B873" s="145" t="s">
        <v>17302</v>
      </c>
      <c r="C873" s="146" t="s">
        <v>153</v>
      </c>
      <c r="D873" s="147" t="s">
        <v>153</v>
      </c>
      <c r="E873" s="148" t="s">
        <v>17303</v>
      </c>
      <c r="F873" s="149" t="s">
        <v>153</v>
      </c>
      <c r="G873" s="150" t="s">
        <v>17304</v>
      </c>
      <c r="H873" s="151" t="s">
        <v>153</v>
      </c>
      <c r="I873" s="152" t="s">
        <v>17301</v>
      </c>
      <c r="J873" s="153" t="s">
        <v>17305</v>
      </c>
      <c r="K873" s="154" t="s">
        <v>157</v>
      </c>
      <c r="L873" s="155" t="s">
        <v>421</v>
      </c>
      <c r="M873" s="156" t="s">
        <v>422</v>
      </c>
      <c r="N873" s="157" t="s">
        <v>3773</v>
      </c>
      <c r="O873" s="158" t="s">
        <v>17306</v>
      </c>
      <c r="P873" s="159" t="s">
        <v>17307</v>
      </c>
      <c r="Q873" s="160" t="s">
        <v>289</v>
      </c>
      <c r="R873" s="161">
        <v>45</v>
      </c>
      <c r="S873" s="162" t="s">
        <v>163</v>
      </c>
      <c r="T873" s="163" t="s">
        <v>205</v>
      </c>
      <c r="U873" s="164" t="s">
        <v>941</v>
      </c>
      <c r="V873" s="165" t="s">
        <v>17308</v>
      </c>
      <c r="W873" s="166">
        <v>283</v>
      </c>
      <c r="X873" s="167" t="s">
        <v>17309</v>
      </c>
      <c r="Y873" s="168" t="s">
        <v>153</v>
      </c>
      <c r="Z873" s="169" t="s">
        <v>153</v>
      </c>
      <c r="AA873" s="170">
        <v>1995</v>
      </c>
      <c r="AB873" s="171" t="s">
        <v>153</v>
      </c>
      <c r="AC873" s="172" t="s">
        <v>153</v>
      </c>
      <c r="AD873" s="173" t="s">
        <v>153</v>
      </c>
      <c r="AE873" s="174" t="s">
        <v>153</v>
      </c>
      <c r="AF873" s="175" t="s">
        <v>153</v>
      </c>
      <c r="AG873" s="176" t="s">
        <v>153</v>
      </c>
      <c r="AH873" s="177" t="s">
        <v>153</v>
      </c>
      <c r="AI873" s="178" t="s">
        <v>153</v>
      </c>
      <c r="AJ873" s="179" t="s">
        <v>153</v>
      </c>
      <c r="AK873" s="180" t="s">
        <v>153</v>
      </c>
      <c r="AL873" s="181" t="s">
        <v>153</v>
      </c>
      <c r="AM873" s="182" t="s">
        <v>153</v>
      </c>
      <c r="AN873" s="183" t="s">
        <v>4680</v>
      </c>
      <c r="AO873" s="184" t="s">
        <v>153</v>
      </c>
      <c r="AP873" s="185" t="s">
        <v>153</v>
      </c>
      <c r="AQ873" s="186" t="s">
        <v>153</v>
      </c>
      <c r="AR873" s="187" t="s">
        <v>153</v>
      </c>
      <c r="AS873" s="188" t="s">
        <v>153</v>
      </c>
      <c r="AT873" s="189" t="s">
        <v>3124</v>
      </c>
      <c r="AU873" s="190" t="s">
        <v>17310</v>
      </c>
      <c r="AV873" s="191" t="s">
        <v>153</v>
      </c>
      <c r="AW873" s="192" t="s">
        <v>3126</v>
      </c>
      <c r="AX873" s="193" t="s">
        <v>1128</v>
      </c>
      <c r="AY873" s="194" t="s">
        <v>17311</v>
      </c>
      <c r="AZ873" s="195" t="s">
        <v>215</v>
      </c>
      <c r="BA873" s="196" t="s">
        <v>17312</v>
      </c>
      <c r="BB873" s="197" t="s">
        <v>17313</v>
      </c>
      <c r="BC873" s="198" t="s">
        <v>17314</v>
      </c>
      <c r="BD873" s="199" t="s">
        <v>216</v>
      </c>
      <c r="BE873" s="200" t="s">
        <v>217</v>
      </c>
      <c r="BF873" s="201" t="s">
        <v>17315</v>
      </c>
      <c r="BG873" s="202" t="s">
        <v>153</v>
      </c>
      <c r="BH873" s="203" t="s">
        <v>153</v>
      </c>
      <c r="BI873" s="204" t="s">
        <v>17316</v>
      </c>
      <c r="BJ873" s="205" t="s">
        <v>17317</v>
      </c>
      <c r="BK873" s="206" t="s">
        <v>153</v>
      </c>
      <c r="BL873" s="207" t="s">
        <v>153</v>
      </c>
      <c r="BM873" s="208" t="s">
        <v>17318</v>
      </c>
      <c r="BN873" s="209" t="s">
        <v>153</v>
      </c>
      <c r="BO873" s="210" t="s">
        <v>153</v>
      </c>
      <c r="BP873" s="211" t="s">
        <v>17319</v>
      </c>
      <c r="BQ873" s="212">
        <v>35765</v>
      </c>
      <c r="BR873" s="213" t="s">
        <v>153</v>
      </c>
      <c r="BS873" s="214" t="s">
        <v>153</v>
      </c>
      <c r="BT873" s="215" t="s">
        <v>153</v>
      </c>
      <c r="BU873" s="216" t="s">
        <v>153</v>
      </c>
      <c r="BV873" s="217" t="s">
        <v>471</v>
      </c>
      <c r="BW873" s="218" t="s">
        <v>153</v>
      </c>
      <c r="BX873" s="219" t="s">
        <v>153</v>
      </c>
      <c r="BY873" s="220" t="s">
        <v>472</v>
      </c>
      <c r="BZ873" s="221" t="s">
        <v>153</v>
      </c>
      <c r="CA873" s="222" t="s">
        <v>190</v>
      </c>
      <c r="CB873" s="223">
        <v>36251</v>
      </c>
      <c r="CC873" s="224">
        <v>5700</v>
      </c>
      <c r="CD873" s="225" t="s">
        <v>186</v>
      </c>
      <c r="CE873" s="226">
        <v>5700</v>
      </c>
      <c r="CF873" s="227" t="s">
        <v>186</v>
      </c>
      <c r="CG873" s="228" t="s">
        <v>226</v>
      </c>
      <c r="CH873" s="229" t="s">
        <v>153</v>
      </c>
      <c r="CI873" s="230" t="s">
        <v>153</v>
      </c>
      <c r="CJ873" s="231" t="s">
        <v>225</v>
      </c>
      <c r="CK873" s="232">
        <v>36251</v>
      </c>
      <c r="CL873" s="233" t="s">
        <v>153</v>
      </c>
      <c r="CM873" s="234" t="s">
        <v>153</v>
      </c>
      <c r="CN873" s="235" t="s">
        <v>190</v>
      </c>
      <c r="CO873" s="236" t="s">
        <v>153</v>
      </c>
      <c r="CP873" s="237" t="s">
        <v>153</v>
      </c>
      <c r="CQ873" s="238" t="s">
        <v>153</v>
      </c>
      <c r="CR873" s="239" t="s">
        <v>153</v>
      </c>
      <c r="CS873" s="240" t="s">
        <v>153</v>
      </c>
      <c r="CT873" s="241" t="s">
        <v>153</v>
      </c>
      <c r="CU873" s="242" t="s">
        <v>153</v>
      </c>
      <c r="CV873" s="243" t="s">
        <v>153</v>
      </c>
      <c r="CW873" s="244" t="s">
        <v>153</v>
      </c>
      <c r="CX873" s="245" t="s">
        <v>153</v>
      </c>
      <c r="CY873" s="246" t="s">
        <v>153</v>
      </c>
      <c r="CZ873" s="247" t="s">
        <v>153</v>
      </c>
      <c r="DA873" s="248" t="s">
        <v>153</v>
      </c>
      <c r="DB873" s="249" t="s">
        <v>153</v>
      </c>
      <c r="DC873" s="250" t="s">
        <v>153</v>
      </c>
      <c r="DD873" s="251" t="s">
        <v>153</v>
      </c>
      <c r="DE873" s="252" t="s">
        <v>153</v>
      </c>
      <c r="DF873" s="253" t="s">
        <v>153</v>
      </c>
      <c r="DG873" s="254" t="s">
        <v>153</v>
      </c>
      <c r="DH873" s="255" t="s">
        <v>153</v>
      </c>
      <c r="DI873" s="256" t="s">
        <v>153</v>
      </c>
      <c r="DJ873" s="257" t="s">
        <v>153</v>
      </c>
      <c r="DK873" s="258" t="s">
        <v>153</v>
      </c>
      <c r="DL873" s="259" t="s">
        <v>153</v>
      </c>
      <c r="DM873" s="260" t="s">
        <v>153</v>
      </c>
      <c r="DN873" s="261" t="s">
        <v>153</v>
      </c>
      <c r="DO873" s="262" t="s">
        <v>153</v>
      </c>
      <c r="DP873" s="263" t="s">
        <v>153</v>
      </c>
      <c r="DQ873" s="264" t="s">
        <v>153</v>
      </c>
      <c r="DR873" s="265" t="s">
        <v>153</v>
      </c>
      <c r="DS873" s="266" t="s">
        <v>153</v>
      </c>
      <c r="DT873" s="267" t="s">
        <v>153</v>
      </c>
      <c r="DU873" s="268" t="s">
        <v>153</v>
      </c>
      <c r="DV873" s="269" t="s">
        <v>153</v>
      </c>
      <c r="DW873" s="270" t="s">
        <v>153</v>
      </c>
      <c r="DX873" s="271" t="s">
        <v>153</v>
      </c>
      <c r="DY873" s="272" t="s">
        <v>153</v>
      </c>
      <c r="DZ873" s="273" t="s">
        <v>191</v>
      </c>
      <c r="EA873" s="274">
        <v>44217</v>
      </c>
      <c r="EB873" s="275">
        <v>5700</v>
      </c>
      <c r="EC873" s="276">
        <v>36251</v>
      </c>
      <c r="ED873" s="277" t="s">
        <v>226</v>
      </c>
      <c r="EE873" s="279" t="str">
        <f>HYPERLINK("https://my.pitchbook.com?c=54520-57", "View company online")</f>
        <v>View company online</v>
      </c>
    </row>
    <row r="874" spans="1:135" x14ac:dyDescent="0.45">
      <c r="A874" s="10" t="s">
        <v>17320</v>
      </c>
      <c r="B874" s="11" t="s">
        <v>17321</v>
      </c>
      <c r="C874" s="12" t="s">
        <v>153</v>
      </c>
      <c r="D874" s="13" t="s">
        <v>153</v>
      </c>
      <c r="E874" s="14" t="s">
        <v>153</v>
      </c>
      <c r="F874" s="15" t="s">
        <v>153</v>
      </c>
      <c r="G874" s="16" t="s">
        <v>153</v>
      </c>
      <c r="H874" s="17" t="s">
        <v>153</v>
      </c>
      <c r="I874" s="18" t="s">
        <v>17320</v>
      </c>
      <c r="J874" s="19" t="s">
        <v>17322</v>
      </c>
      <c r="K874" s="20" t="s">
        <v>882</v>
      </c>
      <c r="L874" s="21" t="s">
        <v>2888</v>
      </c>
      <c r="M874" s="22" t="s">
        <v>2889</v>
      </c>
      <c r="N874" s="23" t="s">
        <v>2890</v>
      </c>
      <c r="O874" s="24" t="s">
        <v>153</v>
      </c>
      <c r="P874" s="25" t="s">
        <v>17323</v>
      </c>
      <c r="Q874" s="26" t="s">
        <v>162</v>
      </c>
      <c r="R874" s="27" t="s">
        <v>153</v>
      </c>
      <c r="S874" s="28" t="s">
        <v>153</v>
      </c>
      <c r="T874" s="29" t="s">
        <v>1392</v>
      </c>
      <c r="U874" s="30" t="s">
        <v>165</v>
      </c>
      <c r="V874" s="31" t="s">
        <v>153</v>
      </c>
      <c r="W874" s="32" t="s">
        <v>153</v>
      </c>
      <c r="X874" s="33" t="s">
        <v>153</v>
      </c>
      <c r="Y874" s="34" t="s">
        <v>153</v>
      </c>
      <c r="Z874" s="35" t="s">
        <v>153</v>
      </c>
      <c r="AA874" s="36" t="s">
        <v>153</v>
      </c>
      <c r="AB874" s="37" t="s">
        <v>153</v>
      </c>
      <c r="AC874" s="38" t="s">
        <v>153</v>
      </c>
      <c r="AD874" s="39" t="s">
        <v>153</v>
      </c>
      <c r="AE874" s="40" t="s">
        <v>153</v>
      </c>
      <c r="AF874" s="41" t="s">
        <v>153</v>
      </c>
      <c r="AG874" s="42" t="s">
        <v>153</v>
      </c>
      <c r="AH874" s="43" t="s">
        <v>153</v>
      </c>
      <c r="AI874" s="44" t="s">
        <v>153</v>
      </c>
      <c r="AJ874" s="45" t="s">
        <v>153</v>
      </c>
      <c r="AK874" s="46" t="s">
        <v>153</v>
      </c>
      <c r="AL874" s="47" t="s">
        <v>153</v>
      </c>
      <c r="AM874" s="48" t="s">
        <v>153</v>
      </c>
      <c r="AN874" s="49" t="s">
        <v>153</v>
      </c>
      <c r="AO874" s="50" t="s">
        <v>153</v>
      </c>
      <c r="AP874" s="51" t="s">
        <v>153</v>
      </c>
      <c r="AQ874" s="52" t="s">
        <v>153</v>
      </c>
      <c r="AR874" s="53" t="s">
        <v>153</v>
      </c>
      <c r="AS874" s="54" t="s">
        <v>153</v>
      </c>
      <c r="AT874" s="55" t="s">
        <v>3124</v>
      </c>
      <c r="AU874" s="56" t="s">
        <v>153</v>
      </c>
      <c r="AV874" s="57" t="s">
        <v>153</v>
      </c>
      <c r="AW874" s="58" t="s">
        <v>3126</v>
      </c>
      <c r="AX874" s="59" t="s">
        <v>1128</v>
      </c>
      <c r="AY874" s="60" t="s">
        <v>153</v>
      </c>
      <c r="AZ874" s="61" t="s">
        <v>215</v>
      </c>
      <c r="BA874" s="62" t="s">
        <v>153</v>
      </c>
      <c r="BB874" s="63" t="s">
        <v>153</v>
      </c>
      <c r="BC874" s="64" t="s">
        <v>153</v>
      </c>
      <c r="BD874" s="65" t="s">
        <v>216</v>
      </c>
      <c r="BE874" s="66" t="s">
        <v>217</v>
      </c>
      <c r="BF874" s="67" t="s">
        <v>17324</v>
      </c>
      <c r="BG874" s="68" t="s">
        <v>2879</v>
      </c>
      <c r="BH874" s="69">
        <v>1</v>
      </c>
      <c r="BI874" s="70" t="s">
        <v>153</v>
      </c>
      <c r="BJ874" s="71" t="s">
        <v>17325</v>
      </c>
      <c r="BK874" s="72" t="s">
        <v>153</v>
      </c>
      <c r="BL874" s="73" t="s">
        <v>2881</v>
      </c>
      <c r="BM874" s="74" t="s">
        <v>17326</v>
      </c>
      <c r="BN874" s="75" t="s">
        <v>153</v>
      </c>
      <c r="BO874" s="76" t="s">
        <v>153</v>
      </c>
      <c r="BP874" s="77" t="s">
        <v>153</v>
      </c>
      <c r="BQ874" s="78">
        <v>43809</v>
      </c>
      <c r="BR874" s="79">
        <v>5700</v>
      </c>
      <c r="BS874" s="80" t="s">
        <v>186</v>
      </c>
      <c r="BT874" s="81">
        <v>5700</v>
      </c>
      <c r="BU874" s="82" t="s">
        <v>187</v>
      </c>
      <c r="BV874" s="83" t="s">
        <v>188</v>
      </c>
      <c r="BW874" s="84" t="s">
        <v>1525</v>
      </c>
      <c r="BX874" s="85" t="s">
        <v>1526</v>
      </c>
      <c r="BY874" s="86" t="s">
        <v>165</v>
      </c>
      <c r="BZ874" s="87" t="s">
        <v>153</v>
      </c>
      <c r="CA874" s="88" t="s">
        <v>190</v>
      </c>
      <c r="CB874" s="89">
        <v>43809</v>
      </c>
      <c r="CC874" s="90">
        <v>5700</v>
      </c>
      <c r="CD874" s="91" t="s">
        <v>186</v>
      </c>
      <c r="CE874" s="92">
        <v>5700</v>
      </c>
      <c r="CF874" s="93" t="s">
        <v>187</v>
      </c>
      <c r="CG874" s="94" t="s">
        <v>188</v>
      </c>
      <c r="CH874" s="95" t="s">
        <v>1525</v>
      </c>
      <c r="CI874" s="96" t="s">
        <v>1526</v>
      </c>
      <c r="CJ874" s="97" t="s">
        <v>165</v>
      </c>
      <c r="CK874" s="98">
        <v>43809</v>
      </c>
      <c r="CL874" s="99" t="s">
        <v>153</v>
      </c>
      <c r="CM874" s="100" t="s">
        <v>153</v>
      </c>
      <c r="CN874" s="101" t="s">
        <v>190</v>
      </c>
      <c r="CO874" s="102" t="s">
        <v>153</v>
      </c>
      <c r="CP874" s="103" t="s">
        <v>153</v>
      </c>
      <c r="CQ874" s="104" t="s">
        <v>153</v>
      </c>
      <c r="CR874" s="105" t="s">
        <v>153</v>
      </c>
      <c r="CS874" s="106" t="s">
        <v>153</v>
      </c>
      <c r="CT874" s="107" t="s">
        <v>153</v>
      </c>
      <c r="CU874" s="108" t="s">
        <v>153</v>
      </c>
      <c r="CV874" s="109" t="s">
        <v>153</v>
      </c>
      <c r="CW874" s="110" t="s">
        <v>153</v>
      </c>
      <c r="CX874" s="111" t="s">
        <v>153</v>
      </c>
      <c r="CY874" s="112" t="s">
        <v>153</v>
      </c>
      <c r="CZ874" s="113" t="s">
        <v>153</v>
      </c>
      <c r="DA874" s="114" t="s">
        <v>153</v>
      </c>
      <c r="DB874" s="115" t="s">
        <v>153</v>
      </c>
      <c r="DC874" s="116" t="s">
        <v>153</v>
      </c>
      <c r="DD874" s="117" t="s">
        <v>153</v>
      </c>
      <c r="DE874" s="118" t="s">
        <v>153</v>
      </c>
      <c r="DF874" s="119" t="s">
        <v>153</v>
      </c>
      <c r="DG874" s="120" t="s">
        <v>153</v>
      </c>
      <c r="DH874" s="121" t="s">
        <v>153</v>
      </c>
      <c r="DI874" s="122" t="s">
        <v>153</v>
      </c>
      <c r="DJ874" s="123" t="s">
        <v>153</v>
      </c>
      <c r="DK874" s="124" t="s">
        <v>153</v>
      </c>
      <c r="DL874" s="125" t="s">
        <v>153</v>
      </c>
      <c r="DM874" s="126" t="s">
        <v>153</v>
      </c>
      <c r="DN874" s="127" t="s">
        <v>153</v>
      </c>
      <c r="DO874" s="128" t="s">
        <v>153</v>
      </c>
      <c r="DP874" s="129" t="s">
        <v>153</v>
      </c>
      <c r="DQ874" s="130" t="s">
        <v>153</v>
      </c>
      <c r="DR874" s="131" t="s">
        <v>153</v>
      </c>
      <c r="DS874" s="132" t="s">
        <v>153</v>
      </c>
      <c r="DT874" s="133" t="s">
        <v>153</v>
      </c>
      <c r="DU874" s="134" t="s">
        <v>153</v>
      </c>
      <c r="DV874" s="135" t="s">
        <v>153</v>
      </c>
      <c r="DW874" s="136" t="s">
        <v>153</v>
      </c>
      <c r="DX874" s="137" t="s">
        <v>153</v>
      </c>
      <c r="DY874" s="138" t="s">
        <v>153</v>
      </c>
      <c r="DZ874" s="139" t="s">
        <v>191</v>
      </c>
      <c r="EA874" s="140">
        <v>44302</v>
      </c>
      <c r="EB874" s="141">
        <v>5700</v>
      </c>
      <c r="EC874" s="142">
        <v>43809</v>
      </c>
      <c r="ED874" s="143" t="s">
        <v>188</v>
      </c>
      <c r="EE874" s="278" t="str">
        <f>HYPERLINK("https://my.pitchbook.com?c=435006-82", "View company online")</f>
        <v>View company online</v>
      </c>
    </row>
    <row r="875" spans="1:135" x14ac:dyDescent="0.45">
      <c r="A875" s="144" t="s">
        <v>17327</v>
      </c>
      <c r="B875" s="145" t="s">
        <v>17328</v>
      </c>
      <c r="C875" s="146" t="s">
        <v>153</v>
      </c>
      <c r="D875" s="147" t="s">
        <v>153</v>
      </c>
      <c r="E875" s="148" t="s">
        <v>153</v>
      </c>
      <c r="F875" s="149" t="s">
        <v>17329</v>
      </c>
      <c r="G875" s="150" t="s">
        <v>17330</v>
      </c>
      <c r="H875" s="151" t="s">
        <v>17331</v>
      </c>
      <c r="I875" s="152" t="s">
        <v>17327</v>
      </c>
      <c r="J875" s="153" t="s">
        <v>17332</v>
      </c>
      <c r="K875" s="154" t="s">
        <v>232</v>
      </c>
      <c r="L875" s="155" t="s">
        <v>2162</v>
      </c>
      <c r="M875" s="156" t="s">
        <v>4087</v>
      </c>
      <c r="N875" s="157" t="s">
        <v>7287</v>
      </c>
      <c r="O875" s="158" t="s">
        <v>1167</v>
      </c>
      <c r="P875" s="159" t="s">
        <v>17333</v>
      </c>
      <c r="Q875" s="160" t="s">
        <v>204</v>
      </c>
      <c r="R875" s="161" t="s">
        <v>153</v>
      </c>
      <c r="S875" s="162" t="s">
        <v>290</v>
      </c>
      <c r="T875" s="163" t="s">
        <v>164</v>
      </c>
      <c r="U875" s="164" t="s">
        <v>237</v>
      </c>
      <c r="V875" s="165" t="s">
        <v>153</v>
      </c>
      <c r="W875" s="166">
        <v>3200</v>
      </c>
      <c r="X875" s="167" t="s">
        <v>17334</v>
      </c>
      <c r="Y875" s="168" t="s">
        <v>153</v>
      </c>
      <c r="Z875" s="169" t="s">
        <v>153</v>
      </c>
      <c r="AA875" s="170">
        <v>1907</v>
      </c>
      <c r="AB875" s="171" t="s">
        <v>17335</v>
      </c>
      <c r="AC875" s="172" t="s">
        <v>153</v>
      </c>
      <c r="AD875" s="173" t="s">
        <v>153</v>
      </c>
      <c r="AE875" s="174" t="s">
        <v>153</v>
      </c>
      <c r="AF875" s="175" t="s">
        <v>153</v>
      </c>
      <c r="AG875" s="176" t="s">
        <v>153</v>
      </c>
      <c r="AH875" s="177" t="s">
        <v>153</v>
      </c>
      <c r="AI875" s="178" t="s">
        <v>153</v>
      </c>
      <c r="AJ875" s="179" t="s">
        <v>153</v>
      </c>
      <c r="AK875" s="180" t="s">
        <v>153</v>
      </c>
      <c r="AL875" s="181" t="s">
        <v>153</v>
      </c>
      <c r="AM875" s="182" t="s">
        <v>153</v>
      </c>
      <c r="AN875" s="183" t="s">
        <v>1908</v>
      </c>
      <c r="AO875" s="184" t="s">
        <v>17336</v>
      </c>
      <c r="AP875" s="185" t="s">
        <v>17337</v>
      </c>
      <c r="AQ875" s="186" t="s">
        <v>17338</v>
      </c>
      <c r="AR875" s="187" t="s">
        <v>17339</v>
      </c>
      <c r="AS875" s="188" t="s">
        <v>17340</v>
      </c>
      <c r="AT875" s="189" t="s">
        <v>13183</v>
      </c>
      <c r="AU875" s="190" t="s">
        <v>17341</v>
      </c>
      <c r="AV875" s="191" t="s">
        <v>17342</v>
      </c>
      <c r="AW875" s="192" t="s">
        <v>5307</v>
      </c>
      <c r="AX875" s="193" t="s">
        <v>13185</v>
      </c>
      <c r="AY875" s="194" t="s">
        <v>17343</v>
      </c>
      <c r="AZ875" s="195" t="s">
        <v>215</v>
      </c>
      <c r="BA875" s="196" t="s">
        <v>17340</v>
      </c>
      <c r="BB875" s="197" t="s">
        <v>153</v>
      </c>
      <c r="BC875" s="198" t="s">
        <v>153</v>
      </c>
      <c r="BD875" s="199" t="s">
        <v>216</v>
      </c>
      <c r="BE875" s="200" t="s">
        <v>217</v>
      </c>
      <c r="BF875" s="201" t="s">
        <v>17344</v>
      </c>
      <c r="BG875" s="202" t="s">
        <v>153</v>
      </c>
      <c r="BH875" s="203" t="s">
        <v>153</v>
      </c>
      <c r="BI875" s="204" t="s">
        <v>17335</v>
      </c>
      <c r="BJ875" s="205" t="s">
        <v>153</v>
      </c>
      <c r="BK875" s="206" t="s">
        <v>153</v>
      </c>
      <c r="BL875" s="207" t="s">
        <v>153</v>
      </c>
      <c r="BM875" s="208" t="s">
        <v>153</v>
      </c>
      <c r="BN875" s="209" t="s">
        <v>153</v>
      </c>
      <c r="BO875" s="210" t="s">
        <v>17345</v>
      </c>
      <c r="BP875" s="211" t="s">
        <v>17346</v>
      </c>
      <c r="BQ875" s="212">
        <v>42036</v>
      </c>
      <c r="BR875" s="213">
        <v>5700</v>
      </c>
      <c r="BS875" s="214" t="s">
        <v>186</v>
      </c>
      <c r="BT875" s="215">
        <v>5700</v>
      </c>
      <c r="BU875" s="216" t="s">
        <v>186</v>
      </c>
      <c r="BV875" s="217" t="s">
        <v>226</v>
      </c>
      <c r="BW875" s="218" t="s">
        <v>153</v>
      </c>
      <c r="BX875" s="219" t="s">
        <v>153</v>
      </c>
      <c r="BY875" s="220" t="s">
        <v>225</v>
      </c>
      <c r="BZ875" s="221" t="s">
        <v>153</v>
      </c>
      <c r="CA875" s="222" t="s">
        <v>190</v>
      </c>
      <c r="CB875" s="223">
        <v>42036</v>
      </c>
      <c r="CC875" s="224">
        <v>5700</v>
      </c>
      <c r="CD875" s="225" t="s">
        <v>186</v>
      </c>
      <c r="CE875" s="226">
        <v>5700</v>
      </c>
      <c r="CF875" s="227" t="s">
        <v>186</v>
      </c>
      <c r="CG875" s="228" t="s">
        <v>226</v>
      </c>
      <c r="CH875" s="229" t="s">
        <v>153</v>
      </c>
      <c r="CI875" s="230" t="s">
        <v>153</v>
      </c>
      <c r="CJ875" s="231" t="s">
        <v>225</v>
      </c>
      <c r="CK875" s="232">
        <v>42036</v>
      </c>
      <c r="CL875" s="233" t="s">
        <v>153</v>
      </c>
      <c r="CM875" s="234" t="s">
        <v>153</v>
      </c>
      <c r="CN875" s="235" t="s">
        <v>190</v>
      </c>
      <c r="CO875" s="236">
        <v>0.53</v>
      </c>
      <c r="CP875" s="237">
        <v>93</v>
      </c>
      <c r="CQ875" s="238">
        <v>0.01</v>
      </c>
      <c r="CR875" s="239">
        <v>2.9</v>
      </c>
      <c r="CS875" s="240">
        <v>1.45</v>
      </c>
      <c r="CT875" s="241">
        <v>97</v>
      </c>
      <c r="CU875" s="242">
        <v>-0.1</v>
      </c>
      <c r="CV875" s="243">
        <v>19</v>
      </c>
      <c r="CW875" s="244">
        <v>1.45</v>
      </c>
      <c r="CX875" s="245">
        <v>84</v>
      </c>
      <c r="CY875" s="246" t="s">
        <v>153</v>
      </c>
      <c r="CZ875" s="247" t="s">
        <v>153</v>
      </c>
      <c r="DA875" s="248">
        <v>-0.1</v>
      </c>
      <c r="DB875" s="249">
        <v>19</v>
      </c>
      <c r="DC875" s="250">
        <v>69.849999999999994</v>
      </c>
      <c r="DD875" s="251">
        <v>99</v>
      </c>
      <c r="DE875" s="252">
        <v>0.05</v>
      </c>
      <c r="DF875" s="253">
        <v>7.0000000000000007E-2</v>
      </c>
      <c r="DG875" s="254">
        <v>99.25</v>
      </c>
      <c r="DH875" s="255">
        <v>99</v>
      </c>
      <c r="DI875" s="256">
        <v>23.82</v>
      </c>
      <c r="DJ875" s="257">
        <v>93</v>
      </c>
      <c r="DK875" s="258">
        <v>99.25</v>
      </c>
      <c r="DL875" s="259">
        <v>97</v>
      </c>
      <c r="DM875" s="260" t="s">
        <v>153</v>
      </c>
      <c r="DN875" s="261" t="s">
        <v>153</v>
      </c>
      <c r="DO875" s="262">
        <v>23.82</v>
      </c>
      <c r="DP875" s="263">
        <v>93</v>
      </c>
      <c r="DQ875" s="264">
        <v>58379</v>
      </c>
      <c r="DR875" s="265">
        <v>1753</v>
      </c>
      <c r="DS875" s="266">
        <v>3.1</v>
      </c>
      <c r="DT875" s="267" t="s">
        <v>153</v>
      </c>
      <c r="DU875" s="268" t="s">
        <v>153</v>
      </c>
      <c r="DV875" s="269" t="s">
        <v>153</v>
      </c>
      <c r="DW875" s="270">
        <v>7479</v>
      </c>
      <c r="DX875" s="271">
        <v>0</v>
      </c>
      <c r="DY875" s="272">
        <v>0</v>
      </c>
      <c r="DZ875" s="273" t="s">
        <v>191</v>
      </c>
      <c r="EA875" s="274">
        <v>44397</v>
      </c>
      <c r="EB875" s="275">
        <v>5700</v>
      </c>
      <c r="EC875" s="276">
        <v>42036</v>
      </c>
      <c r="ED875" s="277" t="s">
        <v>226</v>
      </c>
      <c r="EE875" s="279" t="str">
        <f>HYPERLINK("https://my.pitchbook.com?c=41115-52", "View company online")</f>
        <v>View company online</v>
      </c>
    </row>
    <row r="876" spans="1:135" x14ac:dyDescent="0.45">
      <c r="A876" s="10" t="s">
        <v>17347</v>
      </c>
      <c r="B876" s="11" t="s">
        <v>17348</v>
      </c>
      <c r="C876" s="12" t="s">
        <v>153</v>
      </c>
      <c r="D876" s="13" t="s">
        <v>153</v>
      </c>
      <c r="E876" s="14" t="s">
        <v>17349</v>
      </c>
      <c r="F876" s="15" t="s">
        <v>153</v>
      </c>
      <c r="G876" s="16" t="s">
        <v>17350</v>
      </c>
      <c r="H876" s="17" t="s">
        <v>17351</v>
      </c>
      <c r="I876" s="18" t="s">
        <v>17347</v>
      </c>
      <c r="J876" s="19" t="s">
        <v>17352</v>
      </c>
      <c r="K876" s="20" t="s">
        <v>198</v>
      </c>
      <c r="L876" s="21" t="s">
        <v>199</v>
      </c>
      <c r="M876" s="22" t="s">
        <v>344</v>
      </c>
      <c r="N876" s="23" t="s">
        <v>345</v>
      </c>
      <c r="O876" s="24" t="s">
        <v>8524</v>
      </c>
      <c r="P876" s="25" t="s">
        <v>17353</v>
      </c>
      <c r="Q876" s="26" t="s">
        <v>204</v>
      </c>
      <c r="R876" s="27">
        <v>252</v>
      </c>
      <c r="S876" s="28" t="s">
        <v>290</v>
      </c>
      <c r="T876" s="29" t="s">
        <v>205</v>
      </c>
      <c r="U876" s="30" t="s">
        <v>369</v>
      </c>
      <c r="V876" s="31" t="s">
        <v>17354</v>
      </c>
      <c r="W876" s="32">
        <v>3397</v>
      </c>
      <c r="X876" s="33" t="s">
        <v>17355</v>
      </c>
      <c r="Y876" s="34" t="s">
        <v>153</v>
      </c>
      <c r="Z876" s="35" t="s">
        <v>153</v>
      </c>
      <c r="AA876" s="36">
        <v>1993</v>
      </c>
      <c r="AB876" s="37" t="s">
        <v>3670</v>
      </c>
      <c r="AC876" s="38" t="s">
        <v>153</v>
      </c>
      <c r="AD876" s="39" t="s">
        <v>153</v>
      </c>
      <c r="AE876" s="40" t="s">
        <v>153</v>
      </c>
      <c r="AF876" s="41" t="s">
        <v>153</v>
      </c>
      <c r="AG876" s="42" t="s">
        <v>153</v>
      </c>
      <c r="AH876" s="43" t="s">
        <v>153</v>
      </c>
      <c r="AI876" s="44" t="s">
        <v>153</v>
      </c>
      <c r="AJ876" s="45" t="s">
        <v>153</v>
      </c>
      <c r="AK876" s="46" t="s">
        <v>153</v>
      </c>
      <c r="AL876" s="47" t="s">
        <v>153</v>
      </c>
      <c r="AM876" s="48" t="s">
        <v>153</v>
      </c>
      <c r="AN876" s="49" t="s">
        <v>5377</v>
      </c>
      <c r="AO876" s="50" t="s">
        <v>17356</v>
      </c>
      <c r="AP876" s="51" t="s">
        <v>17357</v>
      </c>
      <c r="AQ876" s="52" t="s">
        <v>9457</v>
      </c>
      <c r="AR876" s="53" t="s">
        <v>153</v>
      </c>
      <c r="AS876" s="54" t="s">
        <v>153</v>
      </c>
      <c r="AT876" s="55" t="s">
        <v>15170</v>
      </c>
      <c r="AU876" s="56" t="s">
        <v>17358</v>
      </c>
      <c r="AV876" s="57" t="s">
        <v>153</v>
      </c>
      <c r="AW876" s="58" t="s">
        <v>15171</v>
      </c>
      <c r="AX876" s="59" t="s">
        <v>1291</v>
      </c>
      <c r="AY876" s="60" t="s">
        <v>17359</v>
      </c>
      <c r="AZ876" s="61" t="s">
        <v>215</v>
      </c>
      <c r="BA876" s="62" t="s">
        <v>153</v>
      </c>
      <c r="BB876" s="63" t="s">
        <v>153</v>
      </c>
      <c r="BC876" s="64" t="s">
        <v>153</v>
      </c>
      <c r="BD876" s="65" t="s">
        <v>216</v>
      </c>
      <c r="BE876" s="66" t="s">
        <v>217</v>
      </c>
      <c r="BF876" s="67" t="s">
        <v>17360</v>
      </c>
      <c r="BG876" s="68" t="s">
        <v>153</v>
      </c>
      <c r="BH876" s="69" t="s">
        <v>153</v>
      </c>
      <c r="BI876" s="70" t="s">
        <v>3670</v>
      </c>
      <c r="BJ876" s="71" t="s">
        <v>17361</v>
      </c>
      <c r="BK876" s="72" t="s">
        <v>153</v>
      </c>
      <c r="BL876" s="73" t="s">
        <v>153</v>
      </c>
      <c r="BM876" s="74" t="s">
        <v>153</v>
      </c>
      <c r="BN876" s="75" t="s">
        <v>153</v>
      </c>
      <c r="BO876" s="76" t="s">
        <v>17362</v>
      </c>
      <c r="BP876" s="77" t="s">
        <v>17363</v>
      </c>
      <c r="BQ876" s="78">
        <v>36292</v>
      </c>
      <c r="BR876" s="79">
        <v>252</v>
      </c>
      <c r="BS876" s="80" t="s">
        <v>186</v>
      </c>
      <c r="BT876" s="81">
        <v>1389.5</v>
      </c>
      <c r="BU876" s="82" t="s">
        <v>187</v>
      </c>
      <c r="BV876" s="83" t="s">
        <v>251</v>
      </c>
      <c r="BW876" s="84" t="s">
        <v>153</v>
      </c>
      <c r="BX876" s="85" t="s">
        <v>153</v>
      </c>
      <c r="BY876" s="86" t="s">
        <v>252</v>
      </c>
      <c r="BZ876" s="87" t="s">
        <v>153</v>
      </c>
      <c r="CA876" s="88" t="s">
        <v>190</v>
      </c>
      <c r="CB876" s="89">
        <v>41943</v>
      </c>
      <c r="CC876" s="90">
        <v>5700</v>
      </c>
      <c r="CD876" s="91" t="s">
        <v>186</v>
      </c>
      <c r="CE876" s="92">
        <v>5700</v>
      </c>
      <c r="CF876" s="93" t="s">
        <v>186</v>
      </c>
      <c r="CG876" s="94" t="s">
        <v>226</v>
      </c>
      <c r="CH876" s="95" t="s">
        <v>153</v>
      </c>
      <c r="CI876" s="96" t="s">
        <v>153</v>
      </c>
      <c r="CJ876" s="97" t="s">
        <v>225</v>
      </c>
      <c r="CK876" s="98">
        <v>41943</v>
      </c>
      <c r="CL876" s="99" t="s">
        <v>153</v>
      </c>
      <c r="CM876" s="100" t="s">
        <v>153</v>
      </c>
      <c r="CN876" s="101" t="s">
        <v>190</v>
      </c>
      <c r="CO876" s="102" t="s">
        <v>153</v>
      </c>
      <c r="CP876" s="103" t="s">
        <v>153</v>
      </c>
      <c r="CQ876" s="104" t="s">
        <v>153</v>
      </c>
      <c r="CR876" s="105" t="s">
        <v>153</v>
      </c>
      <c r="CS876" s="106" t="s">
        <v>153</v>
      </c>
      <c r="CT876" s="107" t="s">
        <v>153</v>
      </c>
      <c r="CU876" s="108" t="s">
        <v>153</v>
      </c>
      <c r="CV876" s="109" t="s">
        <v>153</v>
      </c>
      <c r="CW876" s="110" t="s">
        <v>153</v>
      </c>
      <c r="CX876" s="111" t="s">
        <v>153</v>
      </c>
      <c r="CY876" s="112" t="s">
        <v>153</v>
      </c>
      <c r="CZ876" s="113" t="s">
        <v>153</v>
      </c>
      <c r="DA876" s="114" t="s">
        <v>153</v>
      </c>
      <c r="DB876" s="115" t="s">
        <v>153</v>
      </c>
      <c r="DC876" s="116" t="s">
        <v>153</v>
      </c>
      <c r="DD876" s="117" t="s">
        <v>153</v>
      </c>
      <c r="DE876" s="118" t="s">
        <v>153</v>
      </c>
      <c r="DF876" s="119" t="s">
        <v>153</v>
      </c>
      <c r="DG876" s="120" t="s">
        <v>153</v>
      </c>
      <c r="DH876" s="121" t="s">
        <v>153</v>
      </c>
      <c r="DI876" s="122" t="s">
        <v>153</v>
      </c>
      <c r="DJ876" s="123" t="s">
        <v>153</v>
      </c>
      <c r="DK876" s="124" t="s">
        <v>153</v>
      </c>
      <c r="DL876" s="125" t="s">
        <v>153</v>
      </c>
      <c r="DM876" s="126" t="s">
        <v>153</v>
      </c>
      <c r="DN876" s="127" t="s">
        <v>153</v>
      </c>
      <c r="DO876" s="128" t="s">
        <v>153</v>
      </c>
      <c r="DP876" s="129" t="s">
        <v>153</v>
      </c>
      <c r="DQ876" s="130" t="s">
        <v>153</v>
      </c>
      <c r="DR876" s="131" t="s">
        <v>153</v>
      </c>
      <c r="DS876" s="132" t="s">
        <v>153</v>
      </c>
      <c r="DT876" s="133" t="s">
        <v>153</v>
      </c>
      <c r="DU876" s="134" t="s">
        <v>153</v>
      </c>
      <c r="DV876" s="135" t="s">
        <v>153</v>
      </c>
      <c r="DW876" s="136" t="s">
        <v>153</v>
      </c>
      <c r="DX876" s="137" t="s">
        <v>153</v>
      </c>
      <c r="DY876" s="138" t="s">
        <v>153</v>
      </c>
      <c r="DZ876" s="139" t="s">
        <v>191</v>
      </c>
      <c r="EA876" s="140">
        <v>44217</v>
      </c>
      <c r="EB876" s="141">
        <v>5700</v>
      </c>
      <c r="EC876" s="142">
        <v>41943</v>
      </c>
      <c r="ED876" s="143" t="s">
        <v>226</v>
      </c>
      <c r="EE876" s="278" t="str">
        <f>HYPERLINK("https://my.pitchbook.com?c=41219-92", "View company online")</f>
        <v>View company online</v>
      </c>
    </row>
    <row r="877" spans="1:135" x14ac:dyDescent="0.45">
      <c r="A877" s="144" t="s">
        <v>17364</v>
      </c>
      <c r="B877" s="145" t="s">
        <v>17365</v>
      </c>
      <c r="C877" s="146" t="s">
        <v>153</v>
      </c>
      <c r="D877" s="147" t="s">
        <v>153</v>
      </c>
      <c r="E877" s="148" t="s">
        <v>153</v>
      </c>
      <c r="F877" s="149" t="s">
        <v>153</v>
      </c>
      <c r="G877" s="150" t="s">
        <v>153</v>
      </c>
      <c r="H877" s="151" t="s">
        <v>153</v>
      </c>
      <c r="I877" s="152" t="s">
        <v>17364</v>
      </c>
      <c r="J877" s="153" t="s">
        <v>17366</v>
      </c>
      <c r="K877" s="154" t="s">
        <v>882</v>
      </c>
      <c r="L877" s="155" t="s">
        <v>2888</v>
      </c>
      <c r="M877" s="156" t="s">
        <v>2889</v>
      </c>
      <c r="N877" s="157" t="s">
        <v>3484</v>
      </c>
      <c r="O877" s="158" t="s">
        <v>153</v>
      </c>
      <c r="P877" s="159" t="s">
        <v>17367</v>
      </c>
      <c r="Q877" s="160" t="s">
        <v>204</v>
      </c>
      <c r="R877" s="161" t="s">
        <v>153</v>
      </c>
      <c r="S877" s="162" t="s">
        <v>153</v>
      </c>
      <c r="T877" s="163" t="s">
        <v>205</v>
      </c>
      <c r="U877" s="164" t="s">
        <v>206</v>
      </c>
      <c r="V877" s="165" t="s">
        <v>153</v>
      </c>
      <c r="W877" s="166" t="s">
        <v>153</v>
      </c>
      <c r="X877" s="167" t="s">
        <v>153</v>
      </c>
      <c r="Y877" s="168" t="s">
        <v>153</v>
      </c>
      <c r="Z877" s="169" t="s">
        <v>153</v>
      </c>
      <c r="AA877" s="170" t="s">
        <v>153</v>
      </c>
      <c r="AB877" s="171" t="s">
        <v>153</v>
      </c>
      <c r="AC877" s="172" t="s">
        <v>153</v>
      </c>
      <c r="AD877" s="173" t="s">
        <v>153</v>
      </c>
      <c r="AE877" s="174" t="s">
        <v>153</v>
      </c>
      <c r="AF877" s="175" t="s">
        <v>153</v>
      </c>
      <c r="AG877" s="176" t="s">
        <v>153</v>
      </c>
      <c r="AH877" s="177" t="s">
        <v>153</v>
      </c>
      <c r="AI877" s="178" t="s">
        <v>153</v>
      </c>
      <c r="AJ877" s="179" t="s">
        <v>153</v>
      </c>
      <c r="AK877" s="180" t="s">
        <v>153</v>
      </c>
      <c r="AL877" s="181" t="s">
        <v>153</v>
      </c>
      <c r="AM877" s="182" t="s">
        <v>153</v>
      </c>
      <c r="AN877" s="183" t="s">
        <v>153</v>
      </c>
      <c r="AO877" s="184" t="s">
        <v>153</v>
      </c>
      <c r="AP877" s="185" t="s">
        <v>153</v>
      </c>
      <c r="AQ877" s="186" t="s">
        <v>153</v>
      </c>
      <c r="AR877" s="187" t="s">
        <v>153</v>
      </c>
      <c r="AS877" s="188" t="s">
        <v>153</v>
      </c>
      <c r="AT877" s="189" t="s">
        <v>17368</v>
      </c>
      <c r="AU877" s="190" t="s">
        <v>153</v>
      </c>
      <c r="AV877" s="191" t="s">
        <v>153</v>
      </c>
      <c r="AW877" s="192" t="s">
        <v>153</v>
      </c>
      <c r="AX877" s="193" t="s">
        <v>153</v>
      </c>
      <c r="AY877" s="194" t="s">
        <v>153</v>
      </c>
      <c r="AZ877" s="195" t="s">
        <v>17368</v>
      </c>
      <c r="BA877" s="196" t="s">
        <v>153</v>
      </c>
      <c r="BB877" s="197" t="s">
        <v>153</v>
      </c>
      <c r="BC877" s="198" t="s">
        <v>153</v>
      </c>
      <c r="BD877" s="199" t="s">
        <v>180</v>
      </c>
      <c r="BE877" s="200" t="s">
        <v>684</v>
      </c>
      <c r="BF877" s="201" t="s">
        <v>17369</v>
      </c>
      <c r="BG877" s="202" t="s">
        <v>153</v>
      </c>
      <c r="BH877" s="203" t="s">
        <v>153</v>
      </c>
      <c r="BI877" s="204" t="s">
        <v>17370</v>
      </c>
      <c r="BJ877" s="205" t="s">
        <v>17371</v>
      </c>
      <c r="BK877" s="206" t="s">
        <v>153</v>
      </c>
      <c r="BL877" s="207" t="s">
        <v>153</v>
      </c>
      <c r="BM877" s="208" t="s">
        <v>17372</v>
      </c>
      <c r="BN877" s="209" t="s">
        <v>153</v>
      </c>
      <c r="BO877" s="210" t="s">
        <v>153</v>
      </c>
      <c r="BP877" s="211" t="s">
        <v>153</v>
      </c>
      <c r="BQ877" s="212">
        <v>42893</v>
      </c>
      <c r="BR877" s="213">
        <v>5679.21</v>
      </c>
      <c r="BS877" s="214" t="s">
        <v>186</v>
      </c>
      <c r="BT877" s="215">
        <v>5679.21</v>
      </c>
      <c r="BU877" s="216" t="s">
        <v>186</v>
      </c>
      <c r="BV877" s="217" t="s">
        <v>1524</v>
      </c>
      <c r="BW877" s="218" t="s">
        <v>1525</v>
      </c>
      <c r="BX877" s="219" t="s">
        <v>1526</v>
      </c>
      <c r="BY877" s="220" t="s">
        <v>225</v>
      </c>
      <c r="BZ877" s="221" t="s">
        <v>153</v>
      </c>
      <c r="CA877" s="222" t="s">
        <v>190</v>
      </c>
      <c r="CB877" s="223">
        <v>42893</v>
      </c>
      <c r="CC877" s="224">
        <v>5679.21</v>
      </c>
      <c r="CD877" s="225" t="s">
        <v>186</v>
      </c>
      <c r="CE877" s="226">
        <v>5679.21</v>
      </c>
      <c r="CF877" s="227" t="s">
        <v>186</v>
      </c>
      <c r="CG877" s="228" t="s">
        <v>1524</v>
      </c>
      <c r="CH877" s="229" t="s">
        <v>1525</v>
      </c>
      <c r="CI877" s="230" t="s">
        <v>1526</v>
      </c>
      <c r="CJ877" s="231" t="s">
        <v>225</v>
      </c>
      <c r="CK877" s="232">
        <v>42893</v>
      </c>
      <c r="CL877" s="233" t="s">
        <v>153</v>
      </c>
      <c r="CM877" s="234" t="s">
        <v>153</v>
      </c>
      <c r="CN877" s="235" t="s">
        <v>190</v>
      </c>
      <c r="CO877" s="236" t="s">
        <v>153</v>
      </c>
      <c r="CP877" s="237" t="s">
        <v>153</v>
      </c>
      <c r="CQ877" s="238" t="s">
        <v>153</v>
      </c>
      <c r="CR877" s="239" t="s">
        <v>153</v>
      </c>
      <c r="CS877" s="240" t="s">
        <v>153</v>
      </c>
      <c r="CT877" s="241" t="s">
        <v>153</v>
      </c>
      <c r="CU877" s="242" t="s">
        <v>153</v>
      </c>
      <c r="CV877" s="243" t="s">
        <v>153</v>
      </c>
      <c r="CW877" s="244" t="s">
        <v>153</v>
      </c>
      <c r="CX877" s="245" t="s">
        <v>153</v>
      </c>
      <c r="CY877" s="246" t="s">
        <v>153</v>
      </c>
      <c r="CZ877" s="247" t="s">
        <v>153</v>
      </c>
      <c r="DA877" s="248" t="s">
        <v>153</v>
      </c>
      <c r="DB877" s="249" t="s">
        <v>153</v>
      </c>
      <c r="DC877" s="250" t="s">
        <v>153</v>
      </c>
      <c r="DD877" s="251" t="s">
        <v>153</v>
      </c>
      <c r="DE877" s="252" t="s">
        <v>153</v>
      </c>
      <c r="DF877" s="253" t="s">
        <v>153</v>
      </c>
      <c r="DG877" s="254" t="s">
        <v>153</v>
      </c>
      <c r="DH877" s="255" t="s">
        <v>153</v>
      </c>
      <c r="DI877" s="256" t="s">
        <v>153</v>
      </c>
      <c r="DJ877" s="257" t="s">
        <v>153</v>
      </c>
      <c r="DK877" s="258" t="s">
        <v>153</v>
      </c>
      <c r="DL877" s="259" t="s">
        <v>153</v>
      </c>
      <c r="DM877" s="260" t="s">
        <v>153</v>
      </c>
      <c r="DN877" s="261" t="s">
        <v>153</v>
      </c>
      <c r="DO877" s="262" t="s">
        <v>153</v>
      </c>
      <c r="DP877" s="263" t="s">
        <v>153</v>
      </c>
      <c r="DQ877" s="264" t="s">
        <v>153</v>
      </c>
      <c r="DR877" s="265" t="s">
        <v>153</v>
      </c>
      <c r="DS877" s="266" t="s">
        <v>153</v>
      </c>
      <c r="DT877" s="267" t="s">
        <v>153</v>
      </c>
      <c r="DU877" s="268" t="s">
        <v>153</v>
      </c>
      <c r="DV877" s="269" t="s">
        <v>153</v>
      </c>
      <c r="DW877" s="270" t="s">
        <v>153</v>
      </c>
      <c r="DX877" s="271" t="s">
        <v>153</v>
      </c>
      <c r="DY877" s="272" t="s">
        <v>153</v>
      </c>
      <c r="DZ877" s="273" t="s">
        <v>191</v>
      </c>
      <c r="EA877" s="274">
        <v>44084</v>
      </c>
      <c r="EB877" s="275">
        <v>5679.21</v>
      </c>
      <c r="EC877" s="276">
        <v>42893</v>
      </c>
      <c r="ED877" s="277" t="s">
        <v>1524</v>
      </c>
      <c r="EE877" s="279" t="str">
        <f>HYPERLINK("https://my.pitchbook.com?c=181905-94", "View company online")</f>
        <v>View company online</v>
      </c>
    </row>
    <row r="878" spans="1:135" x14ac:dyDescent="0.45">
      <c r="A878" s="10" t="s">
        <v>17373</v>
      </c>
      <c r="B878" s="11" t="s">
        <v>17374</v>
      </c>
      <c r="C878" s="12" t="s">
        <v>153</v>
      </c>
      <c r="D878" s="13" t="s">
        <v>153</v>
      </c>
      <c r="E878" s="14" t="s">
        <v>153</v>
      </c>
      <c r="F878" s="15" t="s">
        <v>17375</v>
      </c>
      <c r="G878" s="16" t="s">
        <v>17376</v>
      </c>
      <c r="H878" s="17" t="s">
        <v>153</v>
      </c>
      <c r="I878" s="18" t="s">
        <v>17373</v>
      </c>
      <c r="J878" s="19" t="s">
        <v>17377</v>
      </c>
      <c r="K878" s="20" t="s">
        <v>232</v>
      </c>
      <c r="L878" s="21" t="s">
        <v>362</v>
      </c>
      <c r="M878" s="22" t="s">
        <v>363</v>
      </c>
      <c r="N878" s="23" t="s">
        <v>17378</v>
      </c>
      <c r="O878" s="24" t="s">
        <v>399</v>
      </c>
      <c r="P878" s="25" t="s">
        <v>17379</v>
      </c>
      <c r="Q878" s="26" t="s">
        <v>367</v>
      </c>
      <c r="R878" s="27" t="s">
        <v>153</v>
      </c>
      <c r="S878" s="28" t="s">
        <v>290</v>
      </c>
      <c r="T878" s="29" t="s">
        <v>291</v>
      </c>
      <c r="U878" s="30" t="s">
        <v>482</v>
      </c>
      <c r="V878" s="31" t="s">
        <v>17380</v>
      </c>
      <c r="W878" s="32">
        <v>1256</v>
      </c>
      <c r="X878" s="33" t="s">
        <v>17381</v>
      </c>
      <c r="Y878" s="34" t="s">
        <v>1674</v>
      </c>
      <c r="Z878" s="35" t="s">
        <v>17382</v>
      </c>
      <c r="AA878" s="36">
        <v>1986</v>
      </c>
      <c r="AB878" s="37" t="s">
        <v>153</v>
      </c>
      <c r="AC878" s="38" t="s">
        <v>153</v>
      </c>
      <c r="AD878" s="39" t="s">
        <v>153</v>
      </c>
      <c r="AE878" s="40">
        <v>120.74</v>
      </c>
      <c r="AF878" s="41">
        <v>57.22</v>
      </c>
      <c r="AG878" s="42">
        <v>6.95</v>
      </c>
      <c r="AH878" s="43">
        <v>14.63</v>
      </c>
      <c r="AI878" s="44">
        <v>8.74</v>
      </c>
      <c r="AJ878" s="45">
        <v>5.95</v>
      </c>
      <c r="AK878" s="46">
        <v>101.89</v>
      </c>
      <c r="AL878" s="47">
        <v>-69.7</v>
      </c>
      <c r="AM878" s="48">
        <v>-11.52</v>
      </c>
      <c r="AN878" s="49" t="s">
        <v>168</v>
      </c>
      <c r="AO878" s="50" t="s">
        <v>17383</v>
      </c>
      <c r="AP878" s="51" t="s">
        <v>17384</v>
      </c>
      <c r="AQ878" s="52" t="s">
        <v>2928</v>
      </c>
      <c r="AR878" s="53" t="s">
        <v>17385</v>
      </c>
      <c r="AS878" s="54" t="s">
        <v>17386</v>
      </c>
      <c r="AT878" s="55" t="s">
        <v>3972</v>
      </c>
      <c r="AU878" s="56" t="s">
        <v>17387</v>
      </c>
      <c r="AV878" s="57" t="s">
        <v>17388</v>
      </c>
      <c r="AW878" s="58" t="s">
        <v>3974</v>
      </c>
      <c r="AX878" s="59" t="s">
        <v>15622</v>
      </c>
      <c r="AY878" s="60" t="s">
        <v>17389</v>
      </c>
      <c r="AZ878" s="61" t="s">
        <v>1519</v>
      </c>
      <c r="BA878" s="62" t="s">
        <v>17386</v>
      </c>
      <c r="BB878" s="63" t="s">
        <v>17390</v>
      </c>
      <c r="BC878" s="64" t="s">
        <v>17391</v>
      </c>
      <c r="BD878" s="65" t="s">
        <v>1406</v>
      </c>
      <c r="BE878" s="66" t="s">
        <v>1407</v>
      </c>
      <c r="BF878" s="67" t="s">
        <v>17392</v>
      </c>
      <c r="BG878" s="68" t="s">
        <v>153</v>
      </c>
      <c r="BH878" s="69" t="s">
        <v>153</v>
      </c>
      <c r="BI878" s="70" t="s">
        <v>153</v>
      </c>
      <c r="BJ878" s="71" t="s">
        <v>17393</v>
      </c>
      <c r="BK878" s="72" t="s">
        <v>17394</v>
      </c>
      <c r="BL878" s="73" t="s">
        <v>153</v>
      </c>
      <c r="BM878" s="74" t="s">
        <v>17395</v>
      </c>
      <c r="BN878" s="75" t="s">
        <v>17396</v>
      </c>
      <c r="BO878" s="76" t="s">
        <v>17397</v>
      </c>
      <c r="BP878" s="77" t="s">
        <v>153</v>
      </c>
      <c r="BQ878" s="78">
        <v>35054</v>
      </c>
      <c r="BR878" s="79" t="s">
        <v>153</v>
      </c>
      <c r="BS878" s="80" t="s">
        <v>153</v>
      </c>
      <c r="BT878" s="81" t="s">
        <v>153</v>
      </c>
      <c r="BU878" s="82" t="s">
        <v>153</v>
      </c>
      <c r="BV878" s="83" t="s">
        <v>251</v>
      </c>
      <c r="BW878" s="84" t="s">
        <v>153</v>
      </c>
      <c r="BX878" s="85" t="s">
        <v>153</v>
      </c>
      <c r="BY878" s="86" t="s">
        <v>252</v>
      </c>
      <c r="BZ878" s="87" t="s">
        <v>153</v>
      </c>
      <c r="CA878" s="88" t="s">
        <v>190</v>
      </c>
      <c r="CB878" s="89">
        <v>44316</v>
      </c>
      <c r="CC878" s="90">
        <v>5674.55</v>
      </c>
      <c r="CD878" s="91" t="s">
        <v>187</v>
      </c>
      <c r="CE878" s="92">
        <v>11104.65</v>
      </c>
      <c r="CF878" s="93" t="s">
        <v>187</v>
      </c>
      <c r="CG878" s="94" t="s">
        <v>226</v>
      </c>
      <c r="CH878" s="95" t="s">
        <v>153</v>
      </c>
      <c r="CI878" s="96" t="s">
        <v>153</v>
      </c>
      <c r="CJ878" s="97" t="s">
        <v>225</v>
      </c>
      <c r="CK878" s="98">
        <v>44316</v>
      </c>
      <c r="CL878" s="99" t="s">
        <v>153</v>
      </c>
      <c r="CM878" s="100" t="s">
        <v>153</v>
      </c>
      <c r="CN878" s="101" t="s">
        <v>1278</v>
      </c>
      <c r="CO878" s="102">
        <v>0.11</v>
      </c>
      <c r="CP878" s="103">
        <v>89</v>
      </c>
      <c r="CQ878" s="104">
        <v>-2.31</v>
      </c>
      <c r="CR878" s="105">
        <v>-95.42</v>
      </c>
      <c r="CS878" s="106">
        <v>0.11</v>
      </c>
      <c r="CT878" s="107">
        <v>90</v>
      </c>
      <c r="CU878" s="108" t="s">
        <v>153</v>
      </c>
      <c r="CV878" s="109" t="s">
        <v>153</v>
      </c>
      <c r="CW878" s="110">
        <v>2.42</v>
      </c>
      <c r="CX878" s="111">
        <v>87</v>
      </c>
      <c r="CY878" s="112">
        <v>-2.19</v>
      </c>
      <c r="CZ878" s="113">
        <v>1</v>
      </c>
      <c r="DA878" s="114" t="s">
        <v>153</v>
      </c>
      <c r="DB878" s="115" t="s">
        <v>153</v>
      </c>
      <c r="DC878" s="116">
        <v>46.56</v>
      </c>
      <c r="DD878" s="117">
        <v>98</v>
      </c>
      <c r="DE878" s="118">
        <v>35.5</v>
      </c>
      <c r="DF878" s="119">
        <v>320.79000000000002</v>
      </c>
      <c r="DG878" s="120">
        <v>46.56</v>
      </c>
      <c r="DH878" s="121">
        <v>98</v>
      </c>
      <c r="DI878" s="122" t="s">
        <v>153</v>
      </c>
      <c r="DJ878" s="123" t="s">
        <v>153</v>
      </c>
      <c r="DK878" s="124">
        <v>11.07</v>
      </c>
      <c r="DL878" s="125">
        <v>87</v>
      </c>
      <c r="DM878" s="126">
        <v>82.06</v>
      </c>
      <c r="DN878" s="127">
        <v>99</v>
      </c>
      <c r="DO878" s="128" t="s">
        <v>153</v>
      </c>
      <c r="DP878" s="129" t="s">
        <v>153</v>
      </c>
      <c r="DQ878" s="130">
        <v>6496</v>
      </c>
      <c r="DR878" s="131">
        <v>242</v>
      </c>
      <c r="DS878" s="132">
        <v>3.87</v>
      </c>
      <c r="DT878" s="133">
        <v>1318</v>
      </c>
      <c r="DU878" s="134">
        <v>-14</v>
      </c>
      <c r="DV878" s="135">
        <v>-1.05</v>
      </c>
      <c r="DW878" s="136" t="s">
        <v>153</v>
      </c>
      <c r="DX878" s="137" t="s">
        <v>153</v>
      </c>
      <c r="DY878" s="138" t="s">
        <v>153</v>
      </c>
      <c r="DZ878" s="139" t="s">
        <v>191</v>
      </c>
      <c r="EA878" s="140">
        <v>44345</v>
      </c>
      <c r="EB878" s="141">
        <v>11104.65</v>
      </c>
      <c r="EC878" s="142">
        <v>44316</v>
      </c>
      <c r="ED878" s="143" t="s">
        <v>226</v>
      </c>
      <c r="EE878" s="278" t="str">
        <f>HYPERLINK("https://my.pitchbook.com?c=56038-42", "View company online")</f>
        <v>View company online</v>
      </c>
    </row>
    <row r="879" spans="1:135" x14ac:dyDescent="0.45">
      <c r="A879" s="144" t="s">
        <v>17398</v>
      </c>
      <c r="B879" s="145" t="s">
        <v>17399</v>
      </c>
      <c r="C879" s="146" t="s">
        <v>153</v>
      </c>
      <c r="D879" s="147" t="s">
        <v>153</v>
      </c>
      <c r="E879" s="148" t="s">
        <v>153</v>
      </c>
      <c r="F879" s="149" t="s">
        <v>153</v>
      </c>
      <c r="G879" s="150" t="s">
        <v>17400</v>
      </c>
      <c r="H879" s="151" t="s">
        <v>153</v>
      </c>
      <c r="I879" s="152" t="s">
        <v>17398</v>
      </c>
      <c r="J879" s="153" t="s">
        <v>17401</v>
      </c>
      <c r="K879" s="154" t="s">
        <v>792</v>
      </c>
      <c r="L879" s="155" t="s">
        <v>3864</v>
      </c>
      <c r="M879" s="156" t="s">
        <v>9578</v>
      </c>
      <c r="N879" s="157" t="s">
        <v>17402</v>
      </c>
      <c r="O879" s="158" t="s">
        <v>1119</v>
      </c>
      <c r="P879" s="159" t="s">
        <v>17403</v>
      </c>
      <c r="Q879" s="160" t="s">
        <v>204</v>
      </c>
      <c r="R879" s="161">
        <v>5674.28</v>
      </c>
      <c r="S879" s="162" t="s">
        <v>163</v>
      </c>
      <c r="T879" s="163" t="s">
        <v>205</v>
      </c>
      <c r="U879" s="164" t="s">
        <v>237</v>
      </c>
      <c r="V879" s="165" t="s">
        <v>17404</v>
      </c>
      <c r="W879" s="166" t="s">
        <v>153</v>
      </c>
      <c r="X879" s="167" t="s">
        <v>153</v>
      </c>
      <c r="Y879" s="168" t="s">
        <v>153</v>
      </c>
      <c r="Z879" s="169" t="s">
        <v>153</v>
      </c>
      <c r="AA879" s="170">
        <v>1880</v>
      </c>
      <c r="AB879" s="171" t="s">
        <v>153</v>
      </c>
      <c r="AC879" s="172" t="s">
        <v>153</v>
      </c>
      <c r="AD879" s="173" t="s">
        <v>153</v>
      </c>
      <c r="AE879" s="174">
        <v>16.73</v>
      </c>
      <c r="AF879" s="175" t="s">
        <v>153</v>
      </c>
      <c r="AG879" s="176" t="s">
        <v>153</v>
      </c>
      <c r="AH879" s="177" t="s">
        <v>153</v>
      </c>
      <c r="AI879" s="178">
        <v>-1.03</v>
      </c>
      <c r="AJ879" s="179">
        <v>-1.03</v>
      </c>
      <c r="AK879" s="180" t="s">
        <v>153</v>
      </c>
      <c r="AL879" s="181">
        <v>0</v>
      </c>
      <c r="AM879" s="182">
        <v>-18.809999999999999</v>
      </c>
      <c r="AN879" s="183" t="s">
        <v>168</v>
      </c>
      <c r="AO879" s="184" t="s">
        <v>153</v>
      </c>
      <c r="AP879" s="185" t="s">
        <v>153</v>
      </c>
      <c r="AQ879" s="186" t="s">
        <v>153</v>
      </c>
      <c r="AR879" s="187" t="s">
        <v>153</v>
      </c>
      <c r="AS879" s="188" t="s">
        <v>153</v>
      </c>
      <c r="AT879" s="189" t="s">
        <v>677</v>
      </c>
      <c r="AU879" s="190" t="s">
        <v>17405</v>
      </c>
      <c r="AV879" s="191" t="s">
        <v>153</v>
      </c>
      <c r="AW879" s="192" t="s">
        <v>679</v>
      </c>
      <c r="AX879" s="193" t="s">
        <v>153</v>
      </c>
      <c r="AY879" s="194" t="s">
        <v>17406</v>
      </c>
      <c r="AZ879" s="195" t="s">
        <v>681</v>
      </c>
      <c r="BA879" s="196" t="s">
        <v>153</v>
      </c>
      <c r="BB879" s="197" t="s">
        <v>153</v>
      </c>
      <c r="BC879" s="198" t="s">
        <v>153</v>
      </c>
      <c r="BD879" s="199" t="s">
        <v>180</v>
      </c>
      <c r="BE879" s="200" t="s">
        <v>684</v>
      </c>
      <c r="BF879" s="201" t="s">
        <v>17407</v>
      </c>
      <c r="BG879" s="202" t="s">
        <v>153</v>
      </c>
      <c r="BH879" s="203" t="s">
        <v>153</v>
      </c>
      <c r="BI879" s="204" t="s">
        <v>17408</v>
      </c>
      <c r="BJ879" s="205" t="s">
        <v>153</v>
      </c>
      <c r="BK879" s="206" t="s">
        <v>153</v>
      </c>
      <c r="BL879" s="207" t="s">
        <v>153</v>
      </c>
      <c r="BM879" s="208" t="s">
        <v>153</v>
      </c>
      <c r="BN879" s="209" t="s">
        <v>153</v>
      </c>
      <c r="BO879" s="210" t="s">
        <v>153</v>
      </c>
      <c r="BP879" s="211" t="s">
        <v>17409</v>
      </c>
      <c r="BQ879" s="212">
        <v>35998</v>
      </c>
      <c r="BR879" s="213" t="s">
        <v>153</v>
      </c>
      <c r="BS879" s="214" t="s">
        <v>153</v>
      </c>
      <c r="BT879" s="215" t="s">
        <v>153</v>
      </c>
      <c r="BU879" s="216" t="s">
        <v>153</v>
      </c>
      <c r="BV879" s="217" t="s">
        <v>251</v>
      </c>
      <c r="BW879" s="218" t="s">
        <v>153</v>
      </c>
      <c r="BX879" s="219" t="s">
        <v>153</v>
      </c>
      <c r="BY879" s="220" t="s">
        <v>252</v>
      </c>
      <c r="BZ879" s="221" t="s">
        <v>153</v>
      </c>
      <c r="CA879" s="222" t="s">
        <v>190</v>
      </c>
      <c r="CB879" s="223">
        <v>39447</v>
      </c>
      <c r="CC879" s="224">
        <v>5674.28</v>
      </c>
      <c r="CD879" s="225" t="s">
        <v>187</v>
      </c>
      <c r="CE879" s="226">
        <v>5674.28</v>
      </c>
      <c r="CF879" s="227" t="s">
        <v>187</v>
      </c>
      <c r="CG879" s="228" t="s">
        <v>3319</v>
      </c>
      <c r="CH879" s="229" t="s">
        <v>153</v>
      </c>
      <c r="CI879" s="230" t="s">
        <v>153</v>
      </c>
      <c r="CJ879" s="231" t="s">
        <v>225</v>
      </c>
      <c r="CK879" s="232">
        <v>39447</v>
      </c>
      <c r="CL879" s="233" t="s">
        <v>153</v>
      </c>
      <c r="CM879" s="234" t="s">
        <v>153</v>
      </c>
      <c r="CN879" s="235" t="s">
        <v>190</v>
      </c>
      <c r="CO879" s="236" t="s">
        <v>153</v>
      </c>
      <c r="CP879" s="237" t="s">
        <v>153</v>
      </c>
      <c r="CQ879" s="238" t="s">
        <v>153</v>
      </c>
      <c r="CR879" s="239" t="s">
        <v>153</v>
      </c>
      <c r="CS879" s="240" t="s">
        <v>153</v>
      </c>
      <c r="CT879" s="241" t="s">
        <v>153</v>
      </c>
      <c r="CU879" s="242" t="s">
        <v>153</v>
      </c>
      <c r="CV879" s="243" t="s">
        <v>153</v>
      </c>
      <c r="CW879" s="244" t="s">
        <v>153</v>
      </c>
      <c r="CX879" s="245" t="s">
        <v>153</v>
      </c>
      <c r="CY879" s="246" t="s">
        <v>153</v>
      </c>
      <c r="CZ879" s="247" t="s">
        <v>153</v>
      </c>
      <c r="DA879" s="248" t="s">
        <v>153</v>
      </c>
      <c r="DB879" s="249" t="s">
        <v>153</v>
      </c>
      <c r="DC879" s="250" t="s">
        <v>153</v>
      </c>
      <c r="DD879" s="251" t="s">
        <v>153</v>
      </c>
      <c r="DE879" s="252" t="s">
        <v>153</v>
      </c>
      <c r="DF879" s="253" t="s">
        <v>153</v>
      </c>
      <c r="DG879" s="254" t="s">
        <v>153</v>
      </c>
      <c r="DH879" s="255" t="s">
        <v>153</v>
      </c>
      <c r="DI879" s="256" t="s">
        <v>153</v>
      </c>
      <c r="DJ879" s="257" t="s">
        <v>153</v>
      </c>
      <c r="DK879" s="258" t="s">
        <v>153</v>
      </c>
      <c r="DL879" s="259" t="s">
        <v>153</v>
      </c>
      <c r="DM879" s="260" t="s">
        <v>153</v>
      </c>
      <c r="DN879" s="261" t="s">
        <v>153</v>
      </c>
      <c r="DO879" s="262" t="s">
        <v>153</v>
      </c>
      <c r="DP879" s="263" t="s">
        <v>153</v>
      </c>
      <c r="DQ879" s="264" t="s">
        <v>153</v>
      </c>
      <c r="DR879" s="265" t="s">
        <v>153</v>
      </c>
      <c r="DS879" s="266" t="s">
        <v>153</v>
      </c>
      <c r="DT879" s="267" t="s">
        <v>153</v>
      </c>
      <c r="DU879" s="268" t="s">
        <v>153</v>
      </c>
      <c r="DV879" s="269" t="s">
        <v>153</v>
      </c>
      <c r="DW879" s="270" t="s">
        <v>153</v>
      </c>
      <c r="DX879" s="271" t="s">
        <v>153</v>
      </c>
      <c r="DY879" s="272" t="s">
        <v>153</v>
      </c>
      <c r="DZ879" s="273" t="s">
        <v>191</v>
      </c>
      <c r="EA879" s="274">
        <v>44357</v>
      </c>
      <c r="EB879" s="275">
        <v>5674.28</v>
      </c>
      <c r="EC879" s="276">
        <v>39447</v>
      </c>
      <c r="ED879" s="277" t="s">
        <v>3319</v>
      </c>
      <c r="EE879" s="279" t="str">
        <f>HYPERLINK("https://my.pitchbook.com?c=112921-66", "View company online")</f>
        <v>View company online</v>
      </c>
    </row>
    <row r="880" spans="1:135" x14ac:dyDescent="0.45">
      <c r="A880" s="10" t="s">
        <v>17410</v>
      </c>
      <c r="B880" s="11" t="s">
        <v>17411</v>
      </c>
      <c r="C880" s="12" t="s">
        <v>153</v>
      </c>
      <c r="D880" s="13" t="s">
        <v>153</v>
      </c>
      <c r="E880" s="14" t="s">
        <v>153</v>
      </c>
      <c r="F880" s="15" t="s">
        <v>153</v>
      </c>
      <c r="G880" s="16" t="s">
        <v>153</v>
      </c>
      <c r="H880" s="17" t="s">
        <v>153</v>
      </c>
      <c r="I880" s="18" t="s">
        <v>17410</v>
      </c>
      <c r="J880" s="19" t="s">
        <v>17412</v>
      </c>
      <c r="K880" s="20" t="s">
        <v>232</v>
      </c>
      <c r="L880" s="21" t="s">
        <v>362</v>
      </c>
      <c r="M880" s="22" t="s">
        <v>362</v>
      </c>
      <c r="N880" s="23" t="s">
        <v>1102</v>
      </c>
      <c r="O880" s="24" t="s">
        <v>153</v>
      </c>
      <c r="P880" s="25" t="s">
        <v>17413</v>
      </c>
      <c r="Q880" s="26" t="s">
        <v>1487</v>
      </c>
      <c r="R880" s="27" t="s">
        <v>153</v>
      </c>
      <c r="S880" s="28" t="s">
        <v>163</v>
      </c>
      <c r="T880" s="29" t="s">
        <v>1488</v>
      </c>
      <c r="U880" s="30" t="s">
        <v>206</v>
      </c>
      <c r="V880" s="31" t="s">
        <v>153</v>
      </c>
      <c r="W880" s="32" t="s">
        <v>153</v>
      </c>
      <c r="X880" s="33" t="s">
        <v>153</v>
      </c>
      <c r="Y880" s="34" t="s">
        <v>153</v>
      </c>
      <c r="Z880" s="35" t="s">
        <v>153</v>
      </c>
      <c r="AA880" s="36" t="s">
        <v>153</v>
      </c>
      <c r="AB880" s="37" t="s">
        <v>153</v>
      </c>
      <c r="AC880" s="38" t="s">
        <v>570</v>
      </c>
      <c r="AD880" s="39" t="s">
        <v>17414</v>
      </c>
      <c r="AE880" s="40" t="s">
        <v>153</v>
      </c>
      <c r="AF880" s="41" t="s">
        <v>153</v>
      </c>
      <c r="AG880" s="42" t="s">
        <v>153</v>
      </c>
      <c r="AH880" s="43" t="s">
        <v>153</v>
      </c>
      <c r="AI880" s="44" t="s">
        <v>153</v>
      </c>
      <c r="AJ880" s="45" t="s">
        <v>153</v>
      </c>
      <c r="AK880" s="46" t="s">
        <v>153</v>
      </c>
      <c r="AL880" s="47" t="s">
        <v>153</v>
      </c>
      <c r="AM880" s="48" t="s">
        <v>153</v>
      </c>
      <c r="AN880" s="49" t="s">
        <v>153</v>
      </c>
      <c r="AO880" s="50" t="s">
        <v>153</v>
      </c>
      <c r="AP880" s="51" t="s">
        <v>153</v>
      </c>
      <c r="AQ880" s="52" t="s">
        <v>153</v>
      </c>
      <c r="AR880" s="53" t="s">
        <v>153</v>
      </c>
      <c r="AS880" s="54" t="s">
        <v>153</v>
      </c>
      <c r="AT880" s="55" t="s">
        <v>17415</v>
      </c>
      <c r="AU880" s="56" t="s">
        <v>17416</v>
      </c>
      <c r="AV880" s="57" t="s">
        <v>153</v>
      </c>
      <c r="AW880" s="58" t="s">
        <v>17417</v>
      </c>
      <c r="AX880" s="59" t="s">
        <v>273</v>
      </c>
      <c r="AY880" s="60" t="s">
        <v>17418</v>
      </c>
      <c r="AZ880" s="61" t="s">
        <v>215</v>
      </c>
      <c r="BA880" s="62" t="s">
        <v>153</v>
      </c>
      <c r="BB880" s="63" t="s">
        <v>153</v>
      </c>
      <c r="BC880" s="64" t="s">
        <v>153</v>
      </c>
      <c r="BD880" s="65" t="s">
        <v>216</v>
      </c>
      <c r="BE880" s="66" t="s">
        <v>217</v>
      </c>
      <c r="BF880" s="67" t="s">
        <v>17419</v>
      </c>
      <c r="BG880" s="68" t="s">
        <v>17420</v>
      </c>
      <c r="BH880" s="69">
        <v>1</v>
      </c>
      <c r="BI880" s="70" t="s">
        <v>153</v>
      </c>
      <c r="BJ880" s="71" t="s">
        <v>153</v>
      </c>
      <c r="BK880" s="72" t="s">
        <v>17421</v>
      </c>
      <c r="BL880" s="73" t="s">
        <v>17422</v>
      </c>
      <c r="BM880" s="74" t="s">
        <v>153</v>
      </c>
      <c r="BN880" s="75" t="s">
        <v>17423</v>
      </c>
      <c r="BO880" s="76" t="s">
        <v>153</v>
      </c>
      <c r="BP880" s="77" t="s">
        <v>153</v>
      </c>
      <c r="BQ880" s="78">
        <v>44398</v>
      </c>
      <c r="BR880" s="79">
        <v>5650</v>
      </c>
      <c r="BS880" s="80" t="s">
        <v>187</v>
      </c>
      <c r="BT880" s="81">
        <v>5650</v>
      </c>
      <c r="BU880" s="82" t="s">
        <v>187</v>
      </c>
      <c r="BV880" s="83" t="s">
        <v>226</v>
      </c>
      <c r="BW880" s="84" t="s">
        <v>729</v>
      </c>
      <c r="BX880" s="85" t="s">
        <v>153</v>
      </c>
      <c r="BY880" s="86" t="s">
        <v>225</v>
      </c>
      <c r="BZ880" s="87" t="s">
        <v>153</v>
      </c>
      <c r="CA880" s="88" t="s">
        <v>1278</v>
      </c>
      <c r="CB880" s="89">
        <v>44398</v>
      </c>
      <c r="CC880" s="90">
        <v>5650</v>
      </c>
      <c r="CD880" s="91" t="s">
        <v>187</v>
      </c>
      <c r="CE880" s="92">
        <v>5650</v>
      </c>
      <c r="CF880" s="93" t="s">
        <v>187</v>
      </c>
      <c r="CG880" s="94" t="s">
        <v>226</v>
      </c>
      <c r="CH880" s="95" t="s">
        <v>729</v>
      </c>
      <c r="CI880" s="96" t="s">
        <v>153</v>
      </c>
      <c r="CJ880" s="97" t="s">
        <v>225</v>
      </c>
      <c r="CK880" s="98">
        <v>44398</v>
      </c>
      <c r="CL880" s="99" t="s">
        <v>153</v>
      </c>
      <c r="CM880" s="100" t="s">
        <v>153</v>
      </c>
      <c r="CN880" s="101" t="s">
        <v>1278</v>
      </c>
      <c r="CO880" s="102" t="s">
        <v>153</v>
      </c>
      <c r="CP880" s="103" t="s">
        <v>153</v>
      </c>
      <c r="CQ880" s="104" t="s">
        <v>153</v>
      </c>
      <c r="CR880" s="105" t="s">
        <v>153</v>
      </c>
      <c r="CS880" s="106" t="s">
        <v>153</v>
      </c>
      <c r="CT880" s="107" t="s">
        <v>153</v>
      </c>
      <c r="CU880" s="108" t="s">
        <v>153</v>
      </c>
      <c r="CV880" s="109" t="s">
        <v>153</v>
      </c>
      <c r="CW880" s="110" t="s">
        <v>153</v>
      </c>
      <c r="CX880" s="111" t="s">
        <v>153</v>
      </c>
      <c r="CY880" s="112" t="s">
        <v>153</v>
      </c>
      <c r="CZ880" s="113" t="s">
        <v>153</v>
      </c>
      <c r="DA880" s="114" t="s">
        <v>153</v>
      </c>
      <c r="DB880" s="115" t="s">
        <v>153</v>
      </c>
      <c r="DC880" s="116" t="s">
        <v>153</v>
      </c>
      <c r="DD880" s="117" t="s">
        <v>153</v>
      </c>
      <c r="DE880" s="118" t="s">
        <v>153</v>
      </c>
      <c r="DF880" s="119" t="s">
        <v>153</v>
      </c>
      <c r="DG880" s="120" t="s">
        <v>153</v>
      </c>
      <c r="DH880" s="121" t="s">
        <v>153</v>
      </c>
      <c r="DI880" s="122" t="s">
        <v>153</v>
      </c>
      <c r="DJ880" s="123" t="s">
        <v>153</v>
      </c>
      <c r="DK880" s="124" t="s">
        <v>153</v>
      </c>
      <c r="DL880" s="125" t="s">
        <v>153</v>
      </c>
      <c r="DM880" s="126" t="s">
        <v>153</v>
      </c>
      <c r="DN880" s="127" t="s">
        <v>153</v>
      </c>
      <c r="DO880" s="128" t="s">
        <v>153</v>
      </c>
      <c r="DP880" s="129" t="s">
        <v>153</v>
      </c>
      <c r="DQ880" s="130" t="s">
        <v>153</v>
      </c>
      <c r="DR880" s="131" t="s">
        <v>153</v>
      </c>
      <c r="DS880" s="132" t="s">
        <v>153</v>
      </c>
      <c r="DT880" s="133" t="s">
        <v>153</v>
      </c>
      <c r="DU880" s="134" t="s">
        <v>153</v>
      </c>
      <c r="DV880" s="135" t="s">
        <v>153</v>
      </c>
      <c r="DW880" s="136" t="s">
        <v>153</v>
      </c>
      <c r="DX880" s="137" t="s">
        <v>153</v>
      </c>
      <c r="DY880" s="138" t="s">
        <v>153</v>
      </c>
      <c r="DZ880" s="139" t="s">
        <v>191</v>
      </c>
      <c r="EA880" s="140">
        <v>44398</v>
      </c>
      <c r="EB880" s="141">
        <v>5650</v>
      </c>
      <c r="EC880" s="142">
        <v>44398</v>
      </c>
      <c r="ED880" s="143" t="s">
        <v>226</v>
      </c>
      <c r="EE880" s="278" t="str">
        <f>HYPERLINK("https://my.pitchbook.com?c=470572-48", "View company online")</f>
        <v>View company online</v>
      </c>
    </row>
    <row r="881" spans="1:135" x14ac:dyDescent="0.45">
      <c r="A881" s="144" t="s">
        <v>17424</v>
      </c>
      <c r="B881" s="145" t="s">
        <v>17425</v>
      </c>
      <c r="C881" s="146" t="s">
        <v>153</v>
      </c>
      <c r="D881" s="147" t="s">
        <v>153</v>
      </c>
      <c r="E881" s="148" t="s">
        <v>153</v>
      </c>
      <c r="F881" s="149" t="s">
        <v>153</v>
      </c>
      <c r="G881" s="150" t="s">
        <v>153</v>
      </c>
      <c r="H881" s="151" t="s">
        <v>153</v>
      </c>
      <c r="I881" s="152" t="s">
        <v>17424</v>
      </c>
      <c r="J881" s="153" t="s">
        <v>17426</v>
      </c>
      <c r="K881" s="154" t="s">
        <v>257</v>
      </c>
      <c r="L881" s="155" t="s">
        <v>530</v>
      </c>
      <c r="M881" s="156" t="s">
        <v>9393</v>
      </c>
      <c r="N881" s="157" t="s">
        <v>9394</v>
      </c>
      <c r="O881" s="158" t="s">
        <v>153</v>
      </c>
      <c r="P881" s="159" t="s">
        <v>17427</v>
      </c>
      <c r="Q881" s="160" t="s">
        <v>204</v>
      </c>
      <c r="R881" s="161" t="s">
        <v>153</v>
      </c>
      <c r="S881" s="162" t="s">
        <v>290</v>
      </c>
      <c r="T881" s="163" t="s">
        <v>205</v>
      </c>
      <c r="U881" s="164" t="s">
        <v>206</v>
      </c>
      <c r="V881" s="165" t="s">
        <v>153</v>
      </c>
      <c r="W881" s="166" t="s">
        <v>153</v>
      </c>
      <c r="X881" s="167" t="s">
        <v>153</v>
      </c>
      <c r="Y881" s="168" t="s">
        <v>153</v>
      </c>
      <c r="Z881" s="169" t="s">
        <v>153</v>
      </c>
      <c r="AA881" s="170" t="s">
        <v>153</v>
      </c>
      <c r="AB881" s="171" t="s">
        <v>153</v>
      </c>
      <c r="AC881" s="172" t="s">
        <v>153</v>
      </c>
      <c r="AD881" s="173" t="s">
        <v>153</v>
      </c>
      <c r="AE881" s="174" t="s">
        <v>153</v>
      </c>
      <c r="AF881" s="175" t="s">
        <v>153</v>
      </c>
      <c r="AG881" s="176" t="s">
        <v>153</v>
      </c>
      <c r="AH881" s="177" t="s">
        <v>153</v>
      </c>
      <c r="AI881" s="178" t="s">
        <v>153</v>
      </c>
      <c r="AJ881" s="179" t="s">
        <v>153</v>
      </c>
      <c r="AK881" s="180" t="s">
        <v>153</v>
      </c>
      <c r="AL881" s="181" t="s">
        <v>153</v>
      </c>
      <c r="AM881" s="182" t="s">
        <v>153</v>
      </c>
      <c r="AN881" s="183" t="s">
        <v>2064</v>
      </c>
      <c r="AO881" s="184" t="s">
        <v>153</v>
      </c>
      <c r="AP881" s="185" t="s">
        <v>153</v>
      </c>
      <c r="AQ881" s="186" t="s">
        <v>153</v>
      </c>
      <c r="AR881" s="187" t="s">
        <v>153</v>
      </c>
      <c r="AS881" s="188" t="s">
        <v>153</v>
      </c>
      <c r="AT881" s="189" t="s">
        <v>1358</v>
      </c>
      <c r="AU881" s="190" t="s">
        <v>153</v>
      </c>
      <c r="AV881" s="191" t="s">
        <v>153</v>
      </c>
      <c r="AW881" s="192" t="s">
        <v>153</v>
      </c>
      <c r="AX881" s="193" t="s">
        <v>153</v>
      </c>
      <c r="AY881" s="194" t="s">
        <v>153</v>
      </c>
      <c r="AZ881" s="195" t="s">
        <v>1358</v>
      </c>
      <c r="BA881" s="196" t="s">
        <v>153</v>
      </c>
      <c r="BB881" s="197" t="s">
        <v>153</v>
      </c>
      <c r="BC881" s="198" t="s">
        <v>153</v>
      </c>
      <c r="BD881" s="199" t="s">
        <v>216</v>
      </c>
      <c r="BE881" s="200" t="s">
        <v>217</v>
      </c>
      <c r="BF881" s="201" t="s">
        <v>17428</v>
      </c>
      <c r="BG881" s="202" t="s">
        <v>153</v>
      </c>
      <c r="BH881" s="203" t="s">
        <v>153</v>
      </c>
      <c r="BI881" s="204" t="s">
        <v>17429</v>
      </c>
      <c r="BJ881" s="205" t="s">
        <v>655</v>
      </c>
      <c r="BK881" s="206" t="s">
        <v>153</v>
      </c>
      <c r="BL881" s="207" t="s">
        <v>153</v>
      </c>
      <c r="BM881" s="208" t="s">
        <v>9258</v>
      </c>
      <c r="BN881" s="209" t="s">
        <v>153</v>
      </c>
      <c r="BO881" s="210" t="s">
        <v>153</v>
      </c>
      <c r="BP881" s="211" t="s">
        <v>153</v>
      </c>
      <c r="BQ881" s="212">
        <v>39266</v>
      </c>
      <c r="BR881" s="213">
        <v>5645.41</v>
      </c>
      <c r="BS881" s="214" t="s">
        <v>187</v>
      </c>
      <c r="BT881" s="215">
        <v>5645.41</v>
      </c>
      <c r="BU881" s="216" t="s">
        <v>187</v>
      </c>
      <c r="BV881" s="217" t="s">
        <v>226</v>
      </c>
      <c r="BW881" s="218" t="s">
        <v>729</v>
      </c>
      <c r="BX881" s="219" t="s">
        <v>153</v>
      </c>
      <c r="BY881" s="220" t="s">
        <v>225</v>
      </c>
      <c r="BZ881" s="221" t="s">
        <v>153</v>
      </c>
      <c r="CA881" s="222" t="s">
        <v>190</v>
      </c>
      <c r="CB881" s="223">
        <v>39266</v>
      </c>
      <c r="CC881" s="224">
        <v>5645.41</v>
      </c>
      <c r="CD881" s="225" t="s">
        <v>187</v>
      </c>
      <c r="CE881" s="226">
        <v>5645.41</v>
      </c>
      <c r="CF881" s="227" t="s">
        <v>187</v>
      </c>
      <c r="CG881" s="228" t="s">
        <v>226</v>
      </c>
      <c r="CH881" s="229" t="s">
        <v>729</v>
      </c>
      <c r="CI881" s="230" t="s">
        <v>153</v>
      </c>
      <c r="CJ881" s="231" t="s">
        <v>225</v>
      </c>
      <c r="CK881" s="232">
        <v>39266</v>
      </c>
      <c r="CL881" s="233" t="s">
        <v>153</v>
      </c>
      <c r="CM881" s="234" t="s">
        <v>153</v>
      </c>
      <c r="CN881" s="235" t="s">
        <v>190</v>
      </c>
      <c r="CO881" s="236" t="s">
        <v>153</v>
      </c>
      <c r="CP881" s="237" t="s">
        <v>153</v>
      </c>
      <c r="CQ881" s="238" t="s">
        <v>153</v>
      </c>
      <c r="CR881" s="239" t="s">
        <v>153</v>
      </c>
      <c r="CS881" s="240" t="s">
        <v>153</v>
      </c>
      <c r="CT881" s="241" t="s">
        <v>153</v>
      </c>
      <c r="CU881" s="242" t="s">
        <v>153</v>
      </c>
      <c r="CV881" s="243" t="s">
        <v>153</v>
      </c>
      <c r="CW881" s="244" t="s">
        <v>153</v>
      </c>
      <c r="CX881" s="245" t="s">
        <v>153</v>
      </c>
      <c r="CY881" s="246" t="s">
        <v>153</v>
      </c>
      <c r="CZ881" s="247" t="s">
        <v>153</v>
      </c>
      <c r="DA881" s="248" t="s">
        <v>153</v>
      </c>
      <c r="DB881" s="249" t="s">
        <v>153</v>
      </c>
      <c r="DC881" s="250" t="s">
        <v>153</v>
      </c>
      <c r="DD881" s="251" t="s">
        <v>153</v>
      </c>
      <c r="DE881" s="252" t="s">
        <v>153</v>
      </c>
      <c r="DF881" s="253" t="s">
        <v>153</v>
      </c>
      <c r="DG881" s="254" t="s">
        <v>153</v>
      </c>
      <c r="DH881" s="255" t="s">
        <v>153</v>
      </c>
      <c r="DI881" s="256" t="s">
        <v>153</v>
      </c>
      <c r="DJ881" s="257" t="s">
        <v>153</v>
      </c>
      <c r="DK881" s="258" t="s">
        <v>153</v>
      </c>
      <c r="DL881" s="259" t="s">
        <v>153</v>
      </c>
      <c r="DM881" s="260" t="s">
        <v>153</v>
      </c>
      <c r="DN881" s="261" t="s">
        <v>153</v>
      </c>
      <c r="DO881" s="262" t="s">
        <v>153</v>
      </c>
      <c r="DP881" s="263" t="s">
        <v>153</v>
      </c>
      <c r="DQ881" s="264" t="s">
        <v>153</v>
      </c>
      <c r="DR881" s="265" t="s">
        <v>153</v>
      </c>
      <c r="DS881" s="266" t="s">
        <v>153</v>
      </c>
      <c r="DT881" s="267" t="s">
        <v>153</v>
      </c>
      <c r="DU881" s="268" t="s">
        <v>153</v>
      </c>
      <c r="DV881" s="269" t="s">
        <v>153</v>
      </c>
      <c r="DW881" s="270" t="s">
        <v>153</v>
      </c>
      <c r="DX881" s="271" t="s">
        <v>153</v>
      </c>
      <c r="DY881" s="272" t="s">
        <v>153</v>
      </c>
      <c r="DZ881" s="273" t="s">
        <v>191</v>
      </c>
      <c r="EA881" s="274">
        <v>44147</v>
      </c>
      <c r="EB881" s="275">
        <v>5645.41</v>
      </c>
      <c r="EC881" s="276">
        <v>39266</v>
      </c>
      <c r="ED881" s="277" t="s">
        <v>226</v>
      </c>
      <c r="EE881" s="279" t="str">
        <f>HYPERLINK("https://my.pitchbook.com?c=128129-23", "View company online")</f>
        <v>View company online</v>
      </c>
    </row>
    <row r="882" spans="1:135" x14ac:dyDescent="0.45">
      <c r="A882" s="10" t="s">
        <v>17430</v>
      </c>
      <c r="B882" s="11" t="s">
        <v>17431</v>
      </c>
      <c r="C882" s="12" t="s">
        <v>153</v>
      </c>
      <c r="D882" s="13" t="s">
        <v>153</v>
      </c>
      <c r="E882" s="14" t="s">
        <v>17432</v>
      </c>
      <c r="F882" s="15" t="s">
        <v>17433</v>
      </c>
      <c r="G882" s="16" t="s">
        <v>17434</v>
      </c>
      <c r="H882" s="17" t="s">
        <v>153</v>
      </c>
      <c r="I882" s="18" t="s">
        <v>17430</v>
      </c>
      <c r="J882" s="19" t="s">
        <v>17435</v>
      </c>
      <c r="K882" s="20" t="s">
        <v>232</v>
      </c>
      <c r="L882" s="21" t="s">
        <v>1016</v>
      </c>
      <c r="M882" s="22" t="s">
        <v>2416</v>
      </c>
      <c r="N882" s="23" t="s">
        <v>17436</v>
      </c>
      <c r="O882" s="24" t="s">
        <v>153</v>
      </c>
      <c r="P882" s="25" t="s">
        <v>17437</v>
      </c>
      <c r="Q882" s="26" t="s">
        <v>162</v>
      </c>
      <c r="R882" s="27">
        <v>2548.69</v>
      </c>
      <c r="S882" s="28" t="s">
        <v>368</v>
      </c>
      <c r="T882" s="29" t="s">
        <v>1392</v>
      </c>
      <c r="U882" s="30" t="s">
        <v>1791</v>
      </c>
      <c r="V882" s="31" t="s">
        <v>17438</v>
      </c>
      <c r="W882" s="32">
        <v>551</v>
      </c>
      <c r="X882" s="33" t="s">
        <v>17439</v>
      </c>
      <c r="Y882" s="34" t="s">
        <v>153</v>
      </c>
      <c r="Z882" s="35" t="s">
        <v>153</v>
      </c>
      <c r="AA882" s="36">
        <v>1916</v>
      </c>
      <c r="AB882" s="37" t="s">
        <v>153</v>
      </c>
      <c r="AC882" s="38" t="s">
        <v>153</v>
      </c>
      <c r="AD882" s="39" t="s">
        <v>153</v>
      </c>
      <c r="AE882" s="40" t="s">
        <v>153</v>
      </c>
      <c r="AF882" s="41" t="s">
        <v>153</v>
      </c>
      <c r="AG882" s="42" t="s">
        <v>153</v>
      </c>
      <c r="AH882" s="43" t="s">
        <v>153</v>
      </c>
      <c r="AI882" s="44" t="s">
        <v>153</v>
      </c>
      <c r="AJ882" s="45" t="s">
        <v>153</v>
      </c>
      <c r="AK882" s="46" t="s">
        <v>153</v>
      </c>
      <c r="AL882" s="47" t="s">
        <v>153</v>
      </c>
      <c r="AM882" s="48" t="s">
        <v>153</v>
      </c>
      <c r="AN882" s="49" t="s">
        <v>918</v>
      </c>
      <c r="AO882" s="50" t="s">
        <v>17440</v>
      </c>
      <c r="AP882" s="51" t="s">
        <v>17441</v>
      </c>
      <c r="AQ882" s="52" t="s">
        <v>171</v>
      </c>
      <c r="AR882" s="53" t="s">
        <v>17442</v>
      </c>
      <c r="AS882" s="54" t="s">
        <v>17443</v>
      </c>
      <c r="AT882" s="55" t="s">
        <v>17444</v>
      </c>
      <c r="AU882" s="56" t="s">
        <v>17445</v>
      </c>
      <c r="AV882" s="57" t="s">
        <v>17446</v>
      </c>
      <c r="AW882" s="58" t="s">
        <v>17447</v>
      </c>
      <c r="AX882" s="59" t="s">
        <v>153</v>
      </c>
      <c r="AY882" s="60" t="s">
        <v>17448</v>
      </c>
      <c r="AZ882" s="61" t="s">
        <v>352</v>
      </c>
      <c r="BA882" s="62" t="s">
        <v>17443</v>
      </c>
      <c r="BB882" s="63" t="s">
        <v>17449</v>
      </c>
      <c r="BC882" s="64" t="s">
        <v>17450</v>
      </c>
      <c r="BD882" s="65" t="s">
        <v>180</v>
      </c>
      <c r="BE882" s="66" t="s">
        <v>181</v>
      </c>
      <c r="BF882" s="67" t="s">
        <v>17451</v>
      </c>
      <c r="BG882" s="68" t="s">
        <v>17452</v>
      </c>
      <c r="BH882" s="69">
        <v>6</v>
      </c>
      <c r="BI882" s="70" t="s">
        <v>153</v>
      </c>
      <c r="BJ882" s="71" t="s">
        <v>17453</v>
      </c>
      <c r="BK882" s="72" t="s">
        <v>153</v>
      </c>
      <c r="BL882" s="73" t="s">
        <v>17454</v>
      </c>
      <c r="BM882" s="74" t="s">
        <v>17455</v>
      </c>
      <c r="BN882" s="75" t="s">
        <v>153</v>
      </c>
      <c r="BO882" s="76" t="s">
        <v>17456</v>
      </c>
      <c r="BP882" s="77" t="s">
        <v>17457</v>
      </c>
      <c r="BQ882" s="78">
        <v>31422</v>
      </c>
      <c r="BR882" s="79" t="s">
        <v>153</v>
      </c>
      <c r="BS882" s="80" t="s">
        <v>153</v>
      </c>
      <c r="BT882" s="81" t="s">
        <v>153</v>
      </c>
      <c r="BU882" s="82" t="s">
        <v>153</v>
      </c>
      <c r="BV882" s="83" t="s">
        <v>251</v>
      </c>
      <c r="BW882" s="84" t="s">
        <v>153</v>
      </c>
      <c r="BX882" s="85" t="s">
        <v>153</v>
      </c>
      <c r="BY882" s="86" t="s">
        <v>252</v>
      </c>
      <c r="BZ882" s="87" t="s">
        <v>153</v>
      </c>
      <c r="CA882" s="88" t="s">
        <v>190</v>
      </c>
      <c r="CB882" s="89">
        <v>41897</v>
      </c>
      <c r="CC882" s="90">
        <v>5632.74</v>
      </c>
      <c r="CD882" s="91" t="s">
        <v>153</v>
      </c>
      <c r="CE882" s="92">
        <v>5632.74</v>
      </c>
      <c r="CF882" s="93" t="s">
        <v>186</v>
      </c>
      <c r="CG882" s="94" t="s">
        <v>188</v>
      </c>
      <c r="CH882" s="95" t="s">
        <v>17458</v>
      </c>
      <c r="CI882" s="96" t="s">
        <v>153</v>
      </c>
      <c r="CJ882" s="97" t="s">
        <v>165</v>
      </c>
      <c r="CK882" s="98">
        <v>41897</v>
      </c>
      <c r="CL882" s="99" t="s">
        <v>153</v>
      </c>
      <c r="CM882" s="100" t="s">
        <v>153</v>
      </c>
      <c r="CN882" s="101" t="s">
        <v>190</v>
      </c>
      <c r="CO882" s="102">
        <v>-0.08</v>
      </c>
      <c r="CP882" s="103">
        <v>8</v>
      </c>
      <c r="CQ882" s="104">
        <v>0.04</v>
      </c>
      <c r="CR882" s="105">
        <v>37.090000000000003</v>
      </c>
      <c r="CS882" s="106">
        <v>-0.04</v>
      </c>
      <c r="CT882" s="107">
        <v>8</v>
      </c>
      <c r="CU882" s="108">
        <v>-0.11</v>
      </c>
      <c r="CV882" s="109">
        <v>17</v>
      </c>
      <c r="CW882" s="110" t="s">
        <v>153</v>
      </c>
      <c r="CX882" s="111" t="s">
        <v>153</v>
      </c>
      <c r="CY882" s="112">
        <v>-0.04</v>
      </c>
      <c r="CZ882" s="113">
        <v>5</v>
      </c>
      <c r="DA882" s="114">
        <v>-0.11</v>
      </c>
      <c r="DB882" s="115">
        <v>17</v>
      </c>
      <c r="DC882" s="116">
        <v>10.039999999999999</v>
      </c>
      <c r="DD882" s="117">
        <v>92</v>
      </c>
      <c r="DE882" s="118">
        <v>-0.11</v>
      </c>
      <c r="DF882" s="119">
        <v>-1.1200000000000001</v>
      </c>
      <c r="DG882" s="120">
        <v>16.5</v>
      </c>
      <c r="DH882" s="121">
        <v>95</v>
      </c>
      <c r="DI882" s="122">
        <v>3.59</v>
      </c>
      <c r="DJ882" s="123">
        <v>73</v>
      </c>
      <c r="DK882" s="124" t="s">
        <v>153</v>
      </c>
      <c r="DL882" s="125" t="s">
        <v>153</v>
      </c>
      <c r="DM882" s="126">
        <v>16.5</v>
      </c>
      <c r="DN882" s="127">
        <v>94</v>
      </c>
      <c r="DO882" s="128">
        <v>3.59</v>
      </c>
      <c r="DP882" s="129">
        <v>73</v>
      </c>
      <c r="DQ882" s="130" t="s">
        <v>153</v>
      </c>
      <c r="DR882" s="131" t="s">
        <v>153</v>
      </c>
      <c r="DS882" s="132" t="s">
        <v>153</v>
      </c>
      <c r="DT882" s="133">
        <v>265</v>
      </c>
      <c r="DU882" s="134">
        <v>-4</v>
      </c>
      <c r="DV882" s="135">
        <v>-1.49</v>
      </c>
      <c r="DW882" s="136">
        <v>1127</v>
      </c>
      <c r="DX882" s="137">
        <v>1</v>
      </c>
      <c r="DY882" s="138">
        <v>0.09</v>
      </c>
      <c r="DZ882" s="139" t="s">
        <v>191</v>
      </c>
      <c r="EA882" s="140">
        <v>44312</v>
      </c>
      <c r="EB882" s="141">
        <v>5632.74</v>
      </c>
      <c r="EC882" s="142">
        <v>41897</v>
      </c>
      <c r="ED882" s="143" t="s">
        <v>188</v>
      </c>
      <c r="EE882" s="278" t="str">
        <f>HYPERLINK("https://my.pitchbook.com?c=58332-70", "View company online")</f>
        <v>View company online</v>
      </c>
    </row>
    <row r="883" spans="1:135" x14ac:dyDescent="0.45">
      <c r="A883" s="144" t="s">
        <v>17459</v>
      </c>
      <c r="B883" s="145" t="s">
        <v>17460</v>
      </c>
      <c r="C883" s="146" t="s">
        <v>153</v>
      </c>
      <c r="D883" s="147" t="s">
        <v>153</v>
      </c>
      <c r="E883" s="148" t="s">
        <v>153</v>
      </c>
      <c r="F883" s="149" t="s">
        <v>153</v>
      </c>
      <c r="G883" s="150" t="s">
        <v>153</v>
      </c>
      <c r="H883" s="151" t="s">
        <v>153</v>
      </c>
      <c r="I883" s="152" t="s">
        <v>17459</v>
      </c>
      <c r="J883" s="153" t="s">
        <v>17461</v>
      </c>
      <c r="K883" s="154" t="s">
        <v>257</v>
      </c>
      <c r="L883" s="155" t="s">
        <v>258</v>
      </c>
      <c r="M883" s="156" t="s">
        <v>259</v>
      </c>
      <c r="N883" s="157" t="s">
        <v>260</v>
      </c>
      <c r="O883" s="158" t="s">
        <v>261</v>
      </c>
      <c r="P883" s="159" t="s">
        <v>17462</v>
      </c>
      <c r="Q883" s="160" t="s">
        <v>204</v>
      </c>
      <c r="R883" s="161" t="s">
        <v>153</v>
      </c>
      <c r="S883" s="162" t="s">
        <v>290</v>
      </c>
      <c r="T883" s="163" t="s">
        <v>205</v>
      </c>
      <c r="U883" s="164" t="s">
        <v>206</v>
      </c>
      <c r="V883" s="165" t="s">
        <v>153</v>
      </c>
      <c r="W883" s="166">
        <v>3800</v>
      </c>
      <c r="X883" s="167" t="s">
        <v>17463</v>
      </c>
      <c r="Y883" s="168" t="s">
        <v>153</v>
      </c>
      <c r="Z883" s="169" t="s">
        <v>153</v>
      </c>
      <c r="AA883" s="170" t="s">
        <v>153</v>
      </c>
      <c r="AB883" s="171" t="s">
        <v>153</v>
      </c>
      <c r="AC883" s="172" t="s">
        <v>153</v>
      </c>
      <c r="AD883" s="173" t="s">
        <v>153</v>
      </c>
      <c r="AE883" s="174" t="s">
        <v>153</v>
      </c>
      <c r="AF883" s="175" t="s">
        <v>153</v>
      </c>
      <c r="AG883" s="176" t="s">
        <v>153</v>
      </c>
      <c r="AH883" s="177" t="s">
        <v>153</v>
      </c>
      <c r="AI883" s="178" t="s">
        <v>153</v>
      </c>
      <c r="AJ883" s="179" t="s">
        <v>153</v>
      </c>
      <c r="AK883" s="180" t="s">
        <v>153</v>
      </c>
      <c r="AL883" s="181" t="s">
        <v>153</v>
      </c>
      <c r="AM883" s="182" t="s">
        <v>153</v>
      </c>
      <c r="AN883" s="183" t="s">
        <v>153</v>
      </c>
      <c r="AO883" s="184" t="s">
        <v>153</v>
      </c>
      <c r="AP883" s="185" t="s">
        <v>153</v>
      </c>
      <c r="AQ883" s="186" t="s">
        <v>153</v>
      </c>
      <c r="AR883" s="187" t="s">
        <v>153</v>
      </c>
      <c r="AS883" s="188" t="s">
        <v>153</v>
      </c>
      <c r="AT883" s="189" t="s">
        <v>1984</v>
      </c>
      <c r="AU883" s="190" t="s">
        <v>153</v>
      </c>
      <c r="AV883" s="191" t="s">
        <v>153</v>
      </c>
      <c r="AW883" s="192" t="s">
        <v>1986</v>
      </c>
      <c r="AX883" s="193" t="s">
        <v>1128</v>
      </c>
      <c r="AY883" s="194" t="s">
        <v>16426</v>
      </c>
      <c r="AZ883" s="195" t="s">
        <v>215</v>
      </c>
      <c r="BA883" s="196" t="s">
        <v>153</v>
      </c>
      <c r="BB883" s="197" t="s">
        <v>153</v>
      </c>
      <c r="BC883" s="198" t="s">
        <v>153</v>
      </c>
      <c r="BD883" s="199" t="s">
        <v>216</v>
      </c>
      <c r="BE883" s="200" t="s">
        <v>217</v>
      </c>
      <c r="BF883" s="201" t="s">
        <v>17464</v>
      </c>
      <c r="BG883" s="202" t="s">
        <v>153</v>
      </c>
      <c r="BH883" s="203" t="s">
        <v>153</v>
      </c>
      <c r="BI883" s="204" t="s">
        <v>6916</v>
      </c>
      <c r="BJ883" s="205" t="s">
        <v>593</v>
      </c>
      <c r="BK883" s="206" t="s">
        <v>153</v>
      </c>
      <c r="BL883" s="207" t="s">
        <v>153</v>
      </c>
      <c r="BM883" s="208" t="s">
        <v>6658</v>
      </c>
      <c r="BN883" s="209" t="s">
        <v>153</v>
      </c>
      <c r="BO883" s="210" t="s">
        <v>153</v>
      </c>
      <c r="BP883" s="211" t="s">
        <v>4160</v>
      </c>
      <c r="BQ883" s="212">
        <v>42062</v>
      </c>
      <c r="BR883" s="213">
        <v>5600</v>
      </c>
      <c r="BS883" s="214" t="s">
        <v>186</v>
      </c>
      <c r="BT883" s="215">
        <v>5600</v>
      </c>
      <c r="BU883" s="216" t="s">
        <v>186</v>
      </c>
      <c r="BV883" s="217" t="s">
        <v>226</v>
      </c>
      <c r="BW883" s="218" t="s">
        <v>729</v>
      </c>
      <c r="BX883" s="219" t="s">
        <v>153</v>
      </c>
      <c r="BY883" s="220" t="s">
        <v>225</v>
      </c>
      <c r="BZ883" s="221" t="s">
        <v>153</v>
      </c>
      <c r="CA883" s="222" t="s">
        <v>190</v>
      </c>
      <c r="CB883" s="223">
        <v>42062</v>
      </c>
      <c r="CC883" s="224">
        <v>5600</v>
      </c>
      <c r="CD883" s="225" t="s">
        <v>186</v>
      </c>
      <c r="CE883" s="226">
        <v>5600</v>
      </c>
      <c r="CF883" s="227" t="s">
        <v>186</v>
      </c>
      <c r="CG883" s="228" t="s">
        <v>226</v>
      </c>
      <c r="CH883" s="229" t="s">
        <v>729</v>
      </c>
      <c r="CI883" s="230" t="s">
        <v>153</v>
      </c>
      <c r="CJ883" s="231" t="s">
        <v>225</v>
      </c>
      <c r="CK883" s="232">
        <v>42062</v>
      </c>
      <c r="CL883" s="233" t="s">
        <v>153</v>
      </c>
      <c r="CM883" s="234" t="s">
        <v>153</v>
      </c>
      <c r="CN883" s="235" t="s">
        <v>190</v>
      </c>
      <c r="CO883" s="236" t="s">
        <v>153</v>
      </c>
      <c r="CP883" s="237" t="s">
        <v>153</v>
      </c>
      <c r="CQ883" s="238" t="s">
        <v>153</v>
      </c>
      <c r="CR883" s="239" t="s">
        <v>153</v>
      </c>
      <c r="CS883" s="240" t="s">
        <v>153</v>
      </c>
      <c r="CT883" s="241" t="s">
        <v>153</v>
      </c>
      <c r="CU883" s="242" t="s">
        <v>153</v>
      </c>
      <c r="CV883" s="243" t="s">
        <v>153</v>
      </c>
      <c r="CW883" s="244" t="s">
        <v>153</v>
      </c>
      <c r="CX883" s="245" t="s">
        <v>153</v>
      </c>
      <c r="CY883" s="246" t="s">
        <v>153</v>
      </c>
      <c r="CZ883" s="247" t="s">
        <v>153</v>
      </c>
      <c r="DA883" s="248" t="s">
        <v>153</v>
      </c>
      <c r="DB883" s="249" t="s">
        <v>153</v>
      </c>
      <c r="DC883" s="250" t="s">
        <v>153</v>
      </c>
      <c r="DD883" s="251" t="s">
        <v>153</v>
      </c>
      <c r="DE883" s="252" t="s">
        <v>153</v>
      </c>
      <c r="DF883" s="253" t="s">
        <v>153</v>
      </c>
      <c r="DG883" s="254" t="s">
        <v>153</v>
      </c>
      <c r="DH883" s="255" t="s">
        <v>153</v>
      </c>
      <c r="DI883" s="256" t="s">
        <v>153</v>
      </c>
      <c r="DJ883" s="257" t="s">
        <v>153</v>
      </c>
      <c r="DK883" s="258" t="s">
        <v>153</v>
      </c>
      <c r="DL883" s="259" t="s">
        <v>153</v>
      </c>
      <c r="DM883" s="260" t="s">
        <v>153</v>
      </c>
      <c r="DN883" s="261" t="s">
        <v>153</v>
      </c>
      <c r="DO883" s="262" t="s">
        <v>153</v>
      </c>
      <c r="DP883" s="263" t="s">
        <v>153</v>
      </c>
      <c r="DQ883" s="264" t="s">
        <v>153</v>
      </c>
      <c r="DR883" s="265" t="s">
        <v>153</v>
      </c>
      <c r="DS883" s="266" t="s">
        <v>153</v>
      </c>
      <c r="DT883" s="267" t="s">
        <v>153</v>
      </c>
      <c r="DU883" s="268" t="s">
        <v>153</v>
      </c>
      <c r="DV883" s="269" t="s">
        <v>153</v>
      </c>
      <c r="DW883" s="270" t="s">
        <v>153</v>
      </c>
      <c r="DX883" s="271" t="s">
        <v>153</v>
      </c>
      <c r="DY883" s="272" t="s">
        <v>153</v>
      </c>
      <c r="DZ883" s="273" t="s">
        <v>191</v>
      </c>
      <c r="EA883" s="274">
        <v>44301</v>
      </c>
      <c r="EB883" s="275">
        <v>5600</v>
      </c>
      <c r="EC883" s="276">
        <v>42062</v>
      </c>
      <c r="ED883" s="277" t="s">
        <v>226</v>
      </c>
      <c r="EE883" s="279" t="str">
        <f>HYPERLINK("https://my.pitchbook.com?c=109553-05", "View company online")</f>
        <v>View company online</v>
      </c>
    </row>
    <row r="884" spans="1:135" x14ac:dyDescent="0.45">
      <c r="A884" s="10" t="s">
        <v>17465</v>
      </c>
      <c r="B884" s="11" t="s">
        <v>17466</v>
      </c>
      <c r="C884" s="12" t="s">
        <v>153</v>
      </c>
      <c r="D884" s="13" t="s">
        <v>153</v>
      </c>
      <c r="E884" s="14" t="s">
        <v>153</v>
      </c>
      <c r="F884" s="15" t="s">
        <v>153</v>
      </c>
      <c r="G884" s="16" t="s">
        <v>17467</v>
      </c>
      <c r="H884" s="17" t="s">
        <v>153</v>
      </c>
      <c r="I884" s="18" t="s">
        <v>17465</v>
      </c>
      <c r="J884" s="19" t="s">
        <v>17468</v>
      </c>
      <c r="K884" s="20" t="s">
        <v>257</v>
      </c>
      <c r="L884" s="21" t="s">
        <v>478</v>
      </c>
      <c r="M884" s="22" t="s">
        <v>479</v>
      </c>
      <c r="N884" s="23" t="s">
        <v>17469</v>
      </c>
      <c r="O884" s="24" t="s">
        <v>261</v>
      </c>
      <c r="P884" s="25" t="s">
        <v>17470</v>
      </c>
      <c r="Q884" s="26" t="s">
        <v>204</v>
      </c>
      <c r="R884" s="27" t="s">
        <v>153</v>
      </c>
      <c r="S884" s="28" t="s">
        <v>163</v>
      </c>
      <c r="T884" s="29" t="s">
        <v>205</v>
      </c>
      <c r="U884" s="30" t="s">
        <v>237</v>
      </c>
      <c r="V884" s="31" t="s">
        <v>17471</v>
      </c>
      <c r="W884" s="32" t="s">
        <v>153</v>
      </c>
      <c r="X884" s="33" t="s">
        <v>153</v>
      </c>
      <c r="Y884" s="34" t="s">
        <v>153</v>
      </c>
      <c r="Z884" s="35" t="s">
        <v>153</v>
      </c>
      <c r="AA884" s="36">
        <v>1922</v>
      </c>
      <c r="AB884" s="37" t="s">
        <v>153</v>
      </c>
      <c r="AC884" s="38" t="s">
        <v>153</v>
      </c>
      <c r="AD884" s="39" t="s">
        <v>153</v>
      </c>
      <c r="AE884" s="40" t="s">
        <v>153</v>
      </c>
      <c r="AF884" s="41" t="s">
        <v>153</v>
      </c>
      <c r="AG884" s="42" t="s">
        <v>153</v>
      </c>
      <c r="AH884" s="43" t="s">
        <v>153</v>
      </c>
      <c r="AI884" s="44" t="s">
        <v>153</v>
      </c>
      <c r="AJ884" s="45" t="s">
        <v>153</v>
      </c>
      <c r="AK884" s="46" t="s">
        <v>153</v>
      </c>
      <c r="AL884" s="47" t="s">
        <v>153</v>
      </c>
      <c r="AM884" s="48" t="s">
        <v>153</v>
      </c>
      <c r="AN884" s="49" t="s">
        <v>6038</v>
      </c>
      <c r="AO884" s="50" t="s">
        <v>17472</v>
      </c>
      <c r="AP884" s="51" t="s">
        <v>17473</v>
      </c>
      <c r="AQ884" s="52" t="s">
        <v>17474</v>
      </c>
      <c r="AR884" s="53" t="s">
        <v>17475</v>
      </c>
      <c r="AS884" s="54" t="s">
        <v>153</v>
      </c>
      <c r="AT884" s="55" t="s">
        <v>17476</v>
      </c>
      <c r="AU884" s="56" t="s">
        <v>17477</v>
      </c>
      <c r="AV884" s="57" t="s">
        <v>153</v>
      </c>
      <c r="AW884" s="58" t="s">
        <v>17478</v>
      </c>
      <c r="AX884" s="59" t="s">
        <v>783</v>
      </c>
      <c r="AY884" s="60" t="s">
        <v>17479</v>
      </c>
      <c r="AZ884" s="61" t="s">
        <v>215</v>
      </c>
      <c r="BA884" s="62" t="s">
        <v>153</v>
      </c>
      <c r="BB884" s="63" t="s">
        <v>153</v>
      </c>
      <c r="BC884" s="64" t="s">
        <v>153</v>
      </c>
      <c r="BD884" s="65" t="s">
        <v>216</v>
      </c>
      <c r="BE884" s="66" t="s">
        <v>217</v>
      </c>
      <c r="BF884" s="67" t="s">
        <v>17480</v>
      </c>
      <c r="BG884" s="68" t="s">
        <v>153</v>
      </c>
      <c r="BH884" s="69" t="s">
        <v>153</v>
      </c>
      <c r="BI884" s="70" t="s">
        <v>15815</v>
      </c>
      <c r="BJ884" s="71" t="s">
        <v>17481</v>
      </c>
      <c r="BK884" s="72" t="s">
        <v>153</v>
      </c>
      <c r="BL884" s="73" t="s">
        <v>153</v>
      </c>
      <c r="BM884" s="74" t="s">
        <v>17482</v>
      </c>
      <c r="BN884" s="75" t="s">
        <v>153</v>
      </c>
      <c r="BO884" s="76" t="s">
        <v>17483</v>
      </c>
      <c r="BP884" s="77" t="s">
        <v>17484</v>
      </c>
      <c r="BQ884" s="78">
        <v>34700</v>
      </c>
      <c r="BR884" s="79" t="s">
        <v>153</v>
      </c>
      <c r="BS884" s="80" t="s">
        <v>153</v>
      </c>
      <c r="BT884" s="81" t="s">
        <v>153</v>
      </c>
      <c r="BU884" s="82" t="s">
        <v>153</v>
      </c>
      <c r="BV884" s="83" t="s">
        <v>251</v>
      </c>
      <c r="BW884" s="84" t="s">
        <v>524</v>
      </c>
      <c r="BX884" s="85" t="s">
        <v>153</v>
      </c>
      <c r="BY884" s="86" t="s">
        <v>252</v>
      </c>
      <c r="BZ884" s="87" t="s">
        <v>153</v>
      </c>
      <c r="CA884" s="88" t="s">
        <v>190</v>
      </c>
      <c r="CB884" s="89">
        <v>36194</v>
      </c>
      <c r="CC884" s="90">
        <v>5600</v>
      </c>
      <c r="CD884" s="91" t="s">
        <v>186</v>
      </c>
      <c r="CE884" s="92">
        <v>5600</v>
      </c>
      <c r="CF884" s="93" t="s">
        <v>186</v>
      </c>
      <c r="CG884" s="94" t="s">
        <v>226</v>
      </c>
      <c r="CH884" s="95" t="s">
        <v>153</v>
      </c>
      <c r="CI884" s="96" t="s">
        <v>153</v>
      </c>
      <c r="CJ884" s="97" t="s">
        <v>225</v>
      </c>
      <c r="CK884" s="98">
        <v>36194</v>
      </c>
      <c r="CL884" s="99" t="s">
        <v>153</v>
      </c>
      <c r="CM884" s="100" t="s">
        <v>153</v>
      </c>
      <c r="CN884" s="101" t="s">
        <v>190</v>
      </c>
      <c r="CO884" s="102" t="s">
        <v>153</v>
      </c>
      <c r="CP884" s="103" t="s">
        <v>153</v>
      </c>
      <c r="CQ884" s="104" t="s">
        <v>153</v>
      </c>
      <c r="CR884" s="105" t="s">
        <v>153</v>
      </c>
      <c r="CS884" s="106" t="s">
        <v>153</v>
      </c>
      <c r="CT884" s="107" t="s">
        <v>153</v>
      </c>
      <c r="CU884" s="108" t="s">
        <v>153</v>
      </c>
      <c r="CV884" s="109" t="s">
        <v>153</v>
      </c>
      <c r="CW884" s="110" t="s">
        <v>153</v>
      </c>
      <c r="CX884" s="111" t="s">
        <v>153</v>
      </c>
      <c r="CY884" s="112" t="s">
        <v>153</v>
      </c>
      <c r="CZ884" s="113" t="s">
        <v>153</v>
      </c>
      <c r="DA884" s="114" t="s">
        <v>153</v>
      </c>
      <c r="DB884" s="115" t="s">
        <v>153</v>
      </c>
      <c r="DC884" s="116" t="s">
        <v>153</v>
      </c>
      <c r="DD884" s="117" t="s">
        <v>153</v>
      </c>
      <c r="DE884" s="118" t="s">
        <v>153</v>
      </c>
      <c r="DF884" s="119" t="s">
        <v>153</v>
      </c>
      <c r="DG884" s="120" t="s">
        <v>153</v>
      </c>
      <c r="DH884" s="121" t="s">
        <v>153</v>
      </c>
      <c r="DI884" s="122" t="s">
        <v>153</v>
      </c>
      <c r="DJ884" s="123" t="s">
        <v>153</v>
      </c>
      <c r="DK884" s="124" t="s">
        <v>153</v>
      </c>
      <c r="DL884" s="125" t="s">
        <v>153</v>
      </c>
      <c r="DM884" s="126" t="s">
        <v>153</v>
      </c>
      <c r="DN884" s="127" t="s">
        <v>153</v>
      </c>
      <c r="DO884" s="128" t="s">
        <v>153</v>
      </c>
      <c r="DP884" s="129" t="s">
        <v>153</v>
      </c>
      <c r="DQ884" s="130" t="s">
        <v>153</v>
      </c>
      <c r="DR884" s="131" t="s">
        <v>153</v>
      </c>
      <c r="DS884" s="132" t="s">
        <v>153</v>
      </c>
      <c r="DT884" s="133" t="s">
        <v>153</v>
      </c>
      <c r="DU884" s="134" t="s">
        <v>153</v>
      </c>
      <c r="DV884" s="135" t="s">
        <v>153</v>
      </c>
      <c r="DW884" s="136" t="s">
        <v>153</v>
      </c>
      <c r="DX884" s="137" t="s">
        <v>153</v>
      </c>
      <c r="DY884" s="138" t="s">
        <v>153</v>
      </c>
      <c r="DZ884" s="139" t="s">
        <v>191</v>
      </c>
      <c r="EA884" s="140">
        <v>44147</v>
      </c>
      <c r="EB884" s="141">
        <v>5600</v>
      </c>
      <c r="EC884" s="142">
        <v>36194</v>
      </c>
      <c r="ED884" s="143" t="s">
        <v>226</v>
      </c>
      <c r="EE884" s="278" t="str">
        <f>HYPERLINK("https://my.pitchbook.com?c=119057-05", "View company online")</f>
        <v>View company online</v>
      </c>
    </row>
    <row r="885" spans="1:135" x14ac:dyDescent="0.45">
      <c r="A885" s="144" t="s">
        <v>17485</v>
      </c>
      <c r="B885" s="145" t="s">
        <v>17486</v>
      </c>
      <c r="C885" s="146" t="s">
        <v>153</v>
      </c>
      <c r="D885" s="147" t="s">
        <v>153</v>
      </c>
      <c r="E885" s="148" t="s">
        <v>153</v>
      </c>
      <c r="F885" s="149" t="s">
        <v>153</v>
      </c>
      <c r="G885" s="150" t="s">
        <v>153</v>
      </c>
      <c r="H885" s="151" t="s">
        <v>153</v>
      </c>
      <c r="I885" s="152" t="s">
        <v>17485</v>
      </c>
      <c r="J885" s="153" t="s">
        <v>17487</v>
      </c>
      <c r="K885" s="154" t="s">
        <v>792</v>
      </c>
      <c r="L885" s="155" t="s">
        <v>1516</v>
      </c>
      <c r="M885" s="156" t="s">
        <v>1516</v>
      </c>
      <c r="N885" s="157" t="s">
        <v>17488</v>
      </c>
      <c r="O885" s="158" t="s">
        <v>153</v>
      </c>
      <c r="P885" s="159" t="s">
        <v>17489</v>
      </c>
      <c r="Q885" s="160" t="s">
        <v>162</v>
      </c>
      <c r="R885" s="161" t="s">
        <v>153</v>
      </c>
      <c r="S885" s="162" t="s">
        <v>163</v>
      </c>
      <c r="T885" s="163" t="s">
        <v>1392</v>
      </c>
      <c r="U885" s="164" t="s">
        <v>165</v>
      </c>
      <c r="V885" s="165" t="s">
        <v>153</v>
      </c>
      <c r="W885" s="166">
        <v>1600</v>
      </c>
      <c r="X885" s="167" t="s">
        <v>17490</v>
      </c>
      <c r="Y885" s="168" t="s">
        <v>153</v>
      </c>
      <c r="Z885" s="169" t="s">
        <v>153</v>
      </c>
      <c r="AA885" s="170">
        <v>1959</v>
      </c>
      <c r="AB885" s="171" t="s">
        <v>153</v>
      </c>
      <c r="AC885" s="172" t="s">
        <v>153</v>
      </c>
      <c r="AD885" s="173" t="s">
        <v>428</v>
      </c>
      <c r="AE885" s="174" t="s">
        <v>153</v>
      </c>
      <c r="AF885" s="175" t="s">
        <v>153</v>
      </c>
      <c r="AG885" s="176" t="s">
        <v>153</v>
      </c>
      <c r="AH885" s="177" t="s">
        <v>153</v>
      </c>
      <c r="AI885" s="178" t="s">
        <v>153</v>
      </c>
      <c r="AJ885" s="179" t="s">
        <v>153</v>
      </c>
      <c r="AK885" s="180" t="s">
        <v>153</v>
      </c>
      <c r="AL885" s="181" t="s">
        <v>153</v>
      </c>
      <c r="AM885" s="182" t="s">
        <v>153</v>
      </c>
      <c r="AN885" s="183" t="s">
        <v>153</v>
      </c>
      <c r="AO885" s="184" t="s">
        <v>153</v>
      </c>
      <c r="AP885" s="185" t="s">
        <v>153</v>
      </c>
      <c r="AQ885" s="186" t="s">
        <v>153</v>
      </c>
      <c r="AR885" s="187" t="s">
        <v>153</v>
      </c>
      <c r="AS885" s="188" t="s">
        <v>153</v>
      </c>
      <c r="AT885" s="189" t="s">
        <v>17491</v>
      </c>
      <c r="AU885" s="190" t="s">
        <v>153</v>
      </c>
      <c r="AV885" s="191" t="s">
        <v>153</v>
      </c>
      <c r="AW885" s="192" t="s">
        <v>153</v>
      </c>
      <c r="AX885" s="193" t="s">
        <v>13393</v>
      </c>
      <c r="AY885" s="194" t="s">
        <v>153</v>
      </c>
      <c r="AZ885" s="195" t="s">
        <v>215</v>
      </c>
      <c r="BA885" s="196" t="s">
        <v>153</v>
      </c>
      <c r="BB885" s="197" t="s">
        <v>153</v>
      </c>
      <c r="BC885" s="198" t="s">
        <v>153</v>
      </c>
      <c r="BD885" s="199" t="s">
        <v>216</v>
      </c>
      <c r="BE885" s="200" t="s">
        <v>217</v>
      </c>
      <c r="BF885" s="201" t="s">
        <v>17492</v>
      </c>
      <c r="BG885" s="202" t="s">
        <v>153</v>
      </c>
      <c r="BH885" s="203" t="s">
        <v>153</v>
      </c>
      <c r="BI885" s="204" t="s">
        <v>17493</v>
      </c>
      <c r="BJ885" s="205" t="s">
        <v>1095</v>
      </c>
      <c r="BK885" s="206" t="s">
        <v>17494</v>
      </c>
      <c r="BL885" s="207" t="s">
        <v>153</v>
      </c>
      <c r="BM885" s="208" t="s">
        <v>9641</v>
      </c>
      <c r="BN885" s="209" t="s">
        <v>17495</v>
      </c>
      <c r="BO885" s="210" t="s">
        <v>153</v>
      </c>
      <c r="BP885" s="211" t="s">
        <v>153</v>
      </c>
      <c r="BQ885" s="212">
        <v>44012</v>
      </c>
      <c r="BR885" s="213">
        <v>5600</v>
      </c>
      <c r="BS885" s="214" t="s">
        <v>186</v>
      </c>
      <c r="BT885" s="215">
        <v>5600</v>
      </c>
      <c r="BU885" s="216" t="s">
        <v>153</v>
      </c>
      <c r="BV885" s="217" t="s">
        <v>188</v>
      </c>
      <c r="BW885" s="218" t="s">
        <v>189</v>
      </c>
      <c r="BX885" s="219" t="s">
        <v>729</v>
      </c>
      <c r="BY885" s="220" t="s">
        <v>165</v>
      </c>
      <c r="BZ885" s="221" t="s">
        <v>153</v>
      </c>
      <c r="CA885" s="222" t="s">
        <v>190</v>
      </c>
      <c r="CB885" s="223">
        <v>44012</v>
      </c>
      <c r="CC885" s="224">
        <v>5600</v>
      </c>
      <c r="CD885" s="225" t="s">
        <v>186</v>
      </c>
      <c r="CE885" s="226">
        <v>5600</v>
      </c>
      <c r="CF885" s="227" t="s">
        <v>153</v>
      </c>
      <c r="CG885" s="228" t="s">
        <v>188</v>
      </c>
      <c r="CH885" s="229" t="s">
        <v>189</v>
      </c>
      <c r="CI885" s="230" t="s">
        <v>729</v>
      </c>
      <c r="CJ885" s="231" t="s">
        <v>165</v>
      </c>
      <c r="CK885" s="232">
        <v>44012</v>
      </c>
      <c r="CL885" s="233" t="s">
        <v>153</v>
      </c>
      <c r="CM885" s="234" t="s">
        <v>153</v>
      </c>
      <c r="CN885" s="235" t="s">
        <v>190</v>
      </c>
      <c r="CO885" s="236" t="s">
        <v>153</v>
      </c>
      <c r="CP885" s="237" t="s">
        <v>153</v>
      </c>
      <c r="CQ885" s="238" t="s">
        <v>153</v>
      </c>
      <c r="CR885" s="239" t="s">
        <v>153</v>
      </c>
      <c r="CS885" s="240" t="s">
        <v>153</v>
      </c>
      <c r="CT885" s="241" t="s">
        <v>153</v>
      </c>
      <c r="CU885" s="242" t="s">
        <v>153</v>
      </c>
      <c r="CV885" s="243" t="s">
        <v>153</v>
      </c>
      <c r="CW885" s="244" t="s">
        <v>153</v>
      </c>
      <c r="CX885" s="245" t="s">
        <v>153</v>
      </c>
      <c r="CY885" s="246" t="s">
        <v>153</v>
      </c>
      <c r="CZ885" s="247" t="s">
        <v>153</v>
      </c>
      <c r="DA885" s="248" t="s">
        <v>153</v>
      </c>
      <c r="DB885" s="249" t="s">
        <v>153</v>
      </c>
      <c r="DC885" s="250" t="s">
        <v>153</v>
      </c>
      <c r="DD885" s="251" t="s">
        <v>153</v>
      </c>
      <c r="DE885" s="252" t="s">
        <v>153</v>
      </c>
      <c r="DF885" s="253" t="s">
        <v>153</v>
      </c>
      <c r="DG885" s="254" t="s">
        <v>153</v>
      </c>
      <c r="DH885" s="255" t="s">
        <v>153</v>
      </c>
      <c r="DI885" s="256" t="s">
        <v>153</v>
      </c>
      <c r="DJ885" s="257" t="s">
        <v>153</v>
      </c>
      <c r="DK885" s="258" t="s">
        <v>153</v>
      </c>
      <c r="DL885" s="259" t="s">
        <v>153</v>
      </c>
      <c r="DM885" s="260" t="s">
        <v>153</v>
      </c>
      <c r="DN885" s="261" t="s">
        <v>153</v>
      </c>
      <c r="DO885" s="262" t="s">
        <v>153</v>
      </c>
      <c r="DP885" s="263" t="s">
        <v>153</v>
      </c>
      <c r="DQ885" s="264" t="s">
        <v>153</v>
      </c>
      <c r="DR885" s="265" t="s">
        <v>153</v>
      </c>
      <c r="DS885" s="266" t="s">
        <v>153</v>
      </c>
      <c r="DT885" s="267" t="s">
        <v>153</v>
      </c>
      <c r="DU885" s="268" t="s">
        <v>153</v>
      </c>
      <c r="DV885" s="269" t="s">
        <v>153</v>
      </c>
      <c r="DW885" s="270" t="s">
        <v>153</v>
      </c>
      <c r="DX885" s="271" t="s">
        <v>153</v>
      </c>
      <c r="DY885" s="272" t="s">
        <v>153</v>
      </c>
      <c r="DZ885" s="273" t="s">
        <v>191</v>
      </c>
      <c r="EA885" s="274">
        <v>44309</v>
      </c>
      <c r="EB885" s="275">
        <v>5600</v>
      </c>
      <c r="EC885" s="276">
        <v>44012</v>
      </c>
      <c r="ED885" s="277" t="s">
        <v>188</v>
      </c>
      <c r="EE885" s="279" t="str">
        <f>HYPERLINK("https://my.pitchbook.com?c=279775-18", "View company online")</f>
        <v>View company online</v>
      </c>
    </row>
    <row r="886" spans="1:135" x14ac:dyDescent="0.45">
      <c r="A886" s="10" t="s">
        <v>17496</v>
      </c>
      <c r="B886" s="11" t="s">
        <v>17497</v>
      </c>
      <c r="C886" s="12" t="s">
        <v>153</v>
      </c>
      <c r="D886" s="13" t="s">
        <v>153</v>
      </c>
      <c r="E886" s="14" t="s">
        <v>153</v>
      </c>
      <c r="F886" s="15" t="s">
        <v>153</v>
      </c>
      <c r="G886" s="16" t="s">
        <v>17498</v>
      </c>
      <c r="H886" s="17" t="s">
        <v>153</v>
      </c>
      <c r="I886" s="18" t="s">
        <v>17496</v>
      </c>
      <c r="J886" s="19" t="s">
        <v>17499</v>
      </c>
      <c r="K886" s="20" t="s">
        <v>559</v>
      </c>
      <c r="L886" s="21" t="s">
        <v>560</v>
      </c>
      <c r="M886" s="22" t="s">
        <v>4572</v>
      </c>
      <c r="N886" s="23" t="s">
        <v>9716</v>
      </c>
      <c r="O886" s="24" t="s">
        <v>261</v>
      </c>
      <c r="P886" s="25" t="s">
        <v>17500</v>
      </c>
      <c r="Q886" s="26" t="s">
        <v>204</v>
      </c>
      <c r="R886" s="27" t="s">
        <v>153</v>
      </c>
      <c r="S886" s="28" t="s">
        <v>290</v>
      </c>
      <c r="T886" s="29" t="s">
        <v>205</v>
      </c>
      <c r="U886" s="30" t="s">
        <v>237</v>
      </c>
      <c r="V886" s="31" t="s">
        <v>17501</v>
      </c>
      <c r="W886" s="32">
        <v>2000</v>
      </c>
      <c r="X886" s="33" t="s">
        <v>17502</v>
      </c>
      <c r="Y886" s="34" t="s">
        <v>153</v>
      </c>
      <c r="Z886" s="35" t="s">
        <v>153</v>
      </c>
      <c r="AA886" s="36" t="s">
        <v>153</v>
      </c>
      <c r="AB886" s="37" t="s">
        <v>153</v>
      </c>
      <c r="AC886" s="38" t="s">
        <v>153</v>
      </c>
      <c r="AD886" s="39" t="s">
        <v>153</v>
      </c>
      <c r="AE886" s="40" t="s">
        <v>153</v>
      </c>
      <c r="AF886" s="41" t="s">
        <v>153</v>
      </c>
      <c r="AG886" s="42" t="s">
        <v>153</v>
      </c>
      <c r="AH886" s="43" t="s">
        <v>153</v>
      </c>
      <c r="AI886" s="44" t="s">
        <v>153</v>
      </c>
      <c r="AJ886" s="45" t="s">
        <v>153</v>
      </c>
      <c r="AK886" s="46" t="s">
        <v>153</v>
      </c>
      <c r="AL886" s="47" t="s">
        <v>153</v>
      </c>
      <c r="AM886" s="48" t="s">
        <v>153</v>
      </c>
      <c r="AN886" s="49" t="s">
        <v>17503</v>
      </c>
      <c r="AO886" s="50" t="s">
        <v>17504</v>
      </c>
      <c r="AP886" s="51" t="s">
        <v>17505</v>
      </c>
      <c r="AQ886" s="52" t="s">
        <v>17005</v>
      </c>
      <c r="AR886" s="53" t="s">
        <v>17506</v>
      </c>
      <c r="AS886" s="54" t="s">
        <v>153</v>
      </c>
      <c r="AT886" s="55" t="s">
        <v>17507</v>
      </c>
      <c r="AU886" s="56" t="s">
        <v>17508</v>
      </c>
      <c r="AV886" s="57" t="s">
        <v>153</v>
      </c>
      <c r="AW886" s="58" t="s">
        <v>17509</v>
      </c>
      <c r="AX886" s="59" t="s">
        <v>273</v>
      </c>
      <c r="AY886" s="60" t="s">
        <v>17510</v>
      </c>
      <c r="AZ886" s="61" t="s">
        <v>215</v>
      </c>
      <c r="BA886" s="62" t="s">
        <v>153</v>
      </c>
      <c r="BB886" s="63" t="s">
        <v>153</v>
      </c>
      <c r="BC886" s="64" t="s">
        <v>153</v>
      </c>
      <c r="BD886" s="65" t="s">
        <v>216</v>
      </c>
      <c r="BE886" s="66" t="s">
        <v>217</v>
      </c>
      <c r="BF886" s="67" t="s">
        <v>17511</v>
      </c>
      <c r="BG886" s="68" t="s">
        <v>153</v>
      </c>
      <c r="BH886" s="69" t="s">
        <v>153</v>
      </c>
      <c r="BI886" s="70" t="s">
        <v>9257</v>
      </c>
      <c r="BJ886" s="71" t="s">
        <v>153</v>
      </c>
      <c r="BK886" s="72" t="s">
        <v>153</v>
      </c>
      <c r="BL886" s="73" t="s">
        <v>153</v>
      </c>
      <c r="BM886" s="74" t="s">
        <v>153</v>
      </c>
      <c r="BN886" s="75" t="s">
        <v>153</v>
      </c>
      <c r="BO886" s="76" t="s">
        <v>17512</v>
      </c>
      <c r="BP886" s="77" t="s">
        <v>17513</v>
      </c>
      <c r="BQ886" s="78">
        <v>34906</v>
      </c>
      <c r="BR886" s="79" t="s">
        <v>153</v>
      </c>
      <c r="BS886" s="80" t="s">
        <v>153</v>
      </c>
      <c r="BT886" s="81" t="s">
        <v>153</v>
      </c>
      <c r="BU886" s="82" t="s">
        <v>153</v>
      </c>
      <c r="BV886" s="83" t="s">
        <v>251</v>
      </c>
      <c r="BW886" s="84" t="s">
        <v>153</v>
      </c>
      <c r="BX886" s="85" t="s">
        <v>153</v>
      </c>
      <c r="BY886" s="86" t="s">
        <v>252</v>
      </c>
      <c r="BZ886" s="87" t="s">
        <v>153</v>
      </c>
      <c r="CA886" s="88" t="s">
        <v>190</v>
      </c>
      <c r="CB886" s="89">
        <v>38868</v>
      </c>
      <c r="CC886" s="90">
        <v>5600</v>
      </c>
      <c r="CD886" s="91" t="s">
        <v>186</v>
      </c>
      <c r="CE886" s="92">
        <v>5600</v>
      </c>
      <c r="CF886" s="93" t="s">
        <v>186</v>
      </c>
      <c r="CG886" s="94" t="s">
        <v>226</v>
      </c>
      <c r="CH886" s="95" t="s">
        <v>930</v>
      </c>
      <c r="CI886" s="96" t="s">
        <v>153</v>
      </c>
      <c r="CJ886" s="97" t="s">
        <v>225</v>
      </c>
      <c r="CK886" s="98">
        <v>38868</v>
      </c>
      <c r="CL886" s="99" t="s">
        <v>153</v>
      </c>
      <c r="CM886" s="100" t="s">
        <v>153</v>
      </c>
      <c r="CN886" s="101" t="s">
        <v>190</v>
      </c>
      <c r="CO886" s="102" t="s">
        <v>153</v>
      </c>
      <c r="CP886" s="103" t="s">
        <v>153</v>
      </c>
      <c r="CQ886" s="104" t="s">
        <v>153</v>
      </c>
      <c r="CR886" s="105" t="s">
        <v>153</v>
      </c>
      <c r="CS886" s="106" t="s">
        <v>153</v>
      </c>
      <c r="CT886" s="107" t="s">
        <v>153</v>
      </c>
      <c r="CU886" s="108" t="s">
        <v>153</v>
      </c>
      <c r="CV886" s="109" t="s">
        <v>153</v>
      </c>
      <c r="CW886" s="110" t="s">
        <v>153</v>
      </c>
      <c r="CX886" s="111" t="s">
        <v>153</v>
      </c>
      <c r="CY886" s="112" t="s">
        <v>153</v>
      </c>
      <c r="CZ886" s="113" t="s">
        <v>153</v>
      </c>
      <c r="DA886" s="114" t="s">
        <v>153</v>
      </c>
      <c r="DB886" s="115" t="s">
        <v>153</v>
      </c>
      <c r="DC886" s="116" t="s">
        <v>153</v>
      </c>
      <c r="DD886" s="117" t="s">
        <v>153</v>
      </c>
      <c r="DE886" s="118" t="s">
        <v>153</v>
      </c>
      <c r="DF886" s="119" t="s">
        <v>153</v>
      </c>
      <c r="DG886" s="120" t="s">
        <v>153</v>
      </c>
      <c r="DH886" s="121" t="s">
        <v>153</v>
      </c>
      <c r="DI886" s="122" t="s">
        <v>153</v>
      </c>
      <c r="DJ886" s="123" t="s">
        <v>153</v>
      </c>
      <c r="DK886" s="124" t="s">
        <v>153</v>
      </c>
      <c r="DL886" s="125" t="s">
        <v>153</v>
      </c>
      <c r="DM886" s="126" t="s">
        <v>153</v>
      </c>
      <c r="DN886" s="127" t="s">
        <v>153</v>
      </c>
      <c r="DO886" s="128" t="s">
        <v>153</v>
      </c>
      <c r="DP886" s="129" t="s">
        <v>153</v>
      </c>
      <c r="DQ886" s="130" t="s">
        <v>153</v>
      </c>
      <c r="DR886" s="131" t="s">
        <v>153</v>
      </c>
      <c r="DS886" s="132" t="s">
        <v>153</v>
      </c>
      <c r="DT886" s="133" t="s">
        <v>153</v>
      </c>
      <c r="DU886" s="134" t="s">
        <v>153</v>
      </c>
      <c r="DV886" s="135" t="s">
        <v>153</v>
      </c>
      <c r="DW886" s="136" t="s">
        <v>153</v>
      </c>
      <c r="DX886" s="137" t="s">
        <v>153</v>
      </c>
      <c r="DY886" s="138" t="s">
        <v>153</v>
      </c>
      <c r="DZ886" s="139" t="s">
        <v>191</v>
      </c>
      <c r="EA886" s="140">
        <v>44217</v>
      </c>
      <c r="EB886" s="141">
        <v>5600</v>
      </c>
      <c r="EC886" s="142">
        <v>38868</v>
      </c>
      <c r="ED886" s="143" t="s">
        <v>226</v>
      </c>
      <c r="EE886" s="278" t="str">
        <f>HYPERLINK("https://my.pitchbook.com?c=41271-04", "View company online")</f>
        <v>View company online</v>
      </c>
    </row>
    <row r="887" spans="1:135" x14ac:dyDescent="0.45">
      <c r="A887" s="144" t="s">
        <v>17514</v>
      </c>
      <c r="B887" s="145" t="s">
        <v>17515</v>
      </c>
      <c r="C887" s="146" t="s">
        <v>153</v>
      </c>
      <c r="D887" s="147" t="s">
        <v>153</v>
      </c>
      <c r="E887" s="148" t="s">
        <v>153</v>
      </c>
      <c r="F887" s="149" t="s">
        <v>153</v>
      </c>
      <c r="G887" s="150" t="s">
        <v>153</v>
      </c>
      <c r="H887" s="151" t="s">
        <v>17516</v>
      </c>
      <c r="I887" s="152" t="s">
        <v>17514</v>
      </c>
      <c r="J887" s="153" t="s">
        <v>17517</v>
      </c>
      <c r="K887" s="154" t="s">
        <v>157</v>
      </c>
      <c r="L887" s="155" t="s">
        <v>937</v>
      </c>
      <c r="M887" s="156" t="s">
        <v>12308</v>
      </c>
      <c r="N887" s="157" t="s">
        <v>12309</v>
      </c>
      <c r="O887" s="158" t="s">
        <v>1592</v>
      </c>
      <c r="P887" s="159" t="s">
        <v>17518</v>
      </c>
      <c r="Q887" s="160" t="s">
        <v>204</v>
      </c>
      <c r="R887" s="161" t="s">
        <v>153</v>
      </c>
      <c r="S887" s="162" t="s">
        <v>290</v>
      </c>
      <c r="T887" s="163" t="s">
        <v>164</v>
      </c>
      <c r="U887" s="164" t="s">
        <v>2000</v>
      </c>
      <c r="V887" s="165" t="s">
        <v>17519</v>
      </c>
      <c r="W887" s="166">
        <v>14000</v>
      </c>
      <c r="X887" s="167" t="s">
        <v>17520</v>
      </c>
      <c r="Y887" s="168" t="s">
        <v>153</v>
      </c>
      <c r="Z887" s="169" t="s">
        <v>153</v>
      </c>
      <c r="AA887" s="170" t="s">
        <v>153</v>
      </c>
      <c r="AB887" s="171" t="s">
        <v>17521</v>
      </c>
      <c r="AC887" s="172" t="s">
        <v>428</v>
      </c>
      <c r="AD887" s="173" t="s">
        <v>1794</v>
      </c>
      <c r="AE887" s="174" t="s">
        <v>153</v>
      </c>
      <c r="AF887" s="175" t="s">
        <v>153</v>
      </c>
      <c r="AG887" s="176" t="s">
        <v>153</v>
      </c>
      <c r="AH887" s="177" t="s">
        <v>153</v>
      </c>
      <c r="AI887" s="178" t="s">
        <v>153</v>
      </c>
      <c r="AJ887" s="179" t="s">
        <v>153</v>
      </c>
      <c r="AK887" s="180" t="s">
        <v>153</v>
      </c>
      <c r="AL887" s="181" t="s">
        <v>153</v>
      </c>
      <c r="AM887" s="182" t="s">
        <v>153</v>
      </c>
      <c r="AN887" s="183" t="s">
        <v>484</v>
      </c>
      <c r="AO887" s="184" t="s">
        <v>17522</v>
      </c>
      <c r="AP887" s="185" t="s">
        <v>17523</v>
      </c>
      <c r="AQ887" s="186" t="s">
        <v>3351</v>
      </c>
      <c r="AR887" s="187" t="s">
        <v>17524</v>
      </c>
      <c r="AS887" s="188" t="s">
        <v>153</v>
      </c>
      <c r="AT887" s="189" t="s">
        <v>17525</v>
      </c>
      <c r="AU887" s="190" t="s">
        <v>153</v>
      </c>
      <c r="AV887" s="191" t="s">
        <v>153</v>
      </c>
      <c r="AW887" s="192" t="s">
        <v>17526</v>
      </c>
      <c r="AX887" s="193" t="s">
        <v>17527</v>
      </c>
      <c r="AY887" s="194" t="s">
        <v>153</v>
      </c>
      <c r="AZ887" s="195" t="s">
        <v>215</v>
      </c>
      <c r="BA887" s="196" t="s">
        <v>153</v>
      </c>
      <c r="BB887" s="197" t="s">
        <v>153</v>
      </c>
      <c r="BC887" s="198" t="s">
        <v>153</v>
      </c>
      <c r="BD887" s="199" t="s">
        <v>216</v>
      </c>
      <c r="BE887" s="200" t="s">
        <v>217</v>
      </c>
      <c r="BF887" s="201" t="s">
        <v>17528</v>
      </c>
      <c r="BG887" s="202" t="s">
        <v>153</v>
      </c>
      <c r="BH887" s="203" t="s">
        <v>153</v>
      </c>
      <c r="BI887" s="204" t="s">
        <v>17521</v>
      </c>
      <c r="BJ887" s="205" t="s">
        <v>1971</v>
      </c>
      <c r="BK887" s="206" t="s">
        <v>17529</v>
      </c>
      <c r="BL887" s="207" t="s">
        <v>153</v>
      </c>
      <c r="BM887" s="208" t="s">
        <v>1972</v>
      </c>
      <c r="BN887" s="209" t="s">
        <v>17530</v>
      </c>
      <c r="BO887" s="210" t="s">
        <v>153</v>
      </c>
      <c r="BP887" s="211" t="s">
        <v>17531</v>
      </c>
      <c r="BQ887" s="212">
        <v>39674</v>
      </c>
      <c r="BR887" s="213">
        <v>7000</v>
      </c>
      <c r="BS887" s="214" t="s">
        <v>186</v>
      </c>
      <c r="BT887" s="215">
        <v>7000</v>
      </c>
      <c r="BU887" s="216" t="s">
        <v>186</v>
      </c>
      <c r="BV887" s="217" t="s">
        <v>188</v>
      </c>
      <c r="BW887" s="218" t="s">
        <v>729</v>
      </c>
      <c r="BX887" s="219" t="s">
        <v>153</v>
      </c>
      <c r="BY887" s="220" t="s">
        <v>165</v>
      </c>
      <c r="BZ887" s="221" t="s">
        <v>1607</v>
      </c>
      <c r="CA887" s="222" t="s">
        <v>394</v>
      </c>
      <c r="CB887" s="223">
        <v>42527</v>
      </c>
      <c r="CC887" s="224">
        <v>5600</v>
      </c>
      <c r="CD887" s="225" t="s">
        <v>186</v>
      </c>
      <c r="CE887" s="226">
        <v>5600</v>
      </c>
      <c r="CF887" s="227" t="s">
        <v>186</v>
      </c>
      <c r="CG887" s="228" t="s">
        <v>226</v>
      </c>
      <c r="CH887" s="229" t="s">
        <v>729</v>
      </c>
      <c r="CI887" s="230" t="s">
        <v>153</v>
      </c>
      <c r="CJ887" s="231" t="s">
        <v>225</v>
      </c>
      <c r="CK887" s="232">
        <v>42527</v>
      </c>
      <c r="CL887" s="233" t="s">
        <v>153</v>
      </c>
      <c r="CM887" s="234" t="s">
        <v>1607</v>
      </c>
      <c r="CN887" s="235" t="s">
        <v>190</v>
      </c>
      <c r="CO887" s="236">
        <v>0.72</v>
      </c>
      <c r="CP887" s="237">
        <v>95</v>
      </c>
      <c r="CQ887" s="238">
        <v>-0.01</v>
      </c>
      <c r="CR887" s="239">
        <v>-1.87</v>
      </c>
      <c r="CS887" s="240">
        <v>1.53</v>
      </c>
      <c r="CT887" s="241">
        <v>97</v>
      </c>
      <c r="CU887" s="242">
        <v>-0.01</v>
      </c>
      <c r="CV887" s="243">
        <v>40</v>
      </c>
      <c r="CW887" s="244">
        <v>2.83</v>
      </c>
      <c r="CX887" s="245">
        <v>89</v>
      </c>
      <c r="CY887" s="246">
        <v>0.24</v>
      </c>
      <c r="CZ887" s="247">
        <v>92</v>
      </c>
      <c r="DA887" s="248">
        <v>-0.01</v>
      </c>
      <c r="DB887" s="249">
        <v>40</v>
      </c>
      <c r="DC887" s="250">
        <v>463.29</v>
      </c>
      <c r="DD887" s="251">
        <v>100</v>
      </c>
      <c r="DE887" s="252">
        <v>0.09</v>
      </c>
      <c r="DF887" s="253">
        <v>0.02</v>
      </c>
      <c r="DG887" s="254">
        <v>928.82</v>
      </c>
      <c r="DH887" s="255">
        <v>100</v>
      </c>
      <c r="DI887" s="256">
        <v>82.66</v>
      </c>
      <c r="DJ887" s="257">
        <v>97</v>
      </c>
      <c r="DK887" s="258">
        <v>1401.27</v>
      </c>
      <c r="DL887" s="259">
        <v>100</v>
      </c>
      <c r="DM887" s="260">
        <v>456.38</v>
      </c>
      <c r="DN887" s="261">
        <v>100</v>
      </c>
      <c r="DO887" s="262">
        <v>82.66</v>
      </c>
      <c r="DP887" s="263">
        <v>97</v>
      </c>
      <c r="DQ887" s="264">
        <v>828194</v>
      </c>
      <c r="DR887" s="265">
        <v>10125</v>
      </c>
      <c r="DS887" s="266">
        <v>1.24</v>
      </c>
      <c r="DT887" s="267">
        <v>7305</v>
      </c>
      <c r="DU887" s="268">
        <v>-9</v>
      </c>
      <c r="DV887" s="269">
        <v>-0.12</v>
      </c>
      <c r="DW887" s="270">
        <v>25955</v>
      </c>
      <c r="DX887" s="271">
        <v>10</v>
      </c>
      <c r="DY887" s="272">
        <v>0.04</v>
      </c>
      <c r="DZ887" s="273" t="s">
        <v>191</v>
      </c>
      <c r="EA887" s="274">
        <v>44362</v>
      </c>
      <c r="EB887" s="275">
        <v>5600</v>
      </c>
      <c r="EC887" s="276">
        <v>42527</v>
      </c>
      <c r="ED887" s="277" t="s">
        <v>226</v>
      </c>
      <c r="EE887" s="279" t="str">
        <f>HYPERLINK("https://my.pitchbook.com?c=13474-99", "View company online")</f>
        <v>View company online</v>
      </c>
    </row>
    <row r="888" spans="1:135" x14ac:dyDescent="0.45">
      <c r="A888" s="10" t="s">
        <v>17532</v>
      </c>
      <c r="B888" s="11" t="s">
        <v>17533</v>
      </c>
      <c r="C888" s="12" t="s">
        <v>153</v>
      </c>
      <c r="D888" s="13" t="s">
        <v>153</v>
      </c>
      <c r="E888" s="14" t="s">
        <v>17534</v>
      </c>
      <c r="F888" s="15" t="s">
        <v>17535</v>
      </c>
      <c r="G888" s="16" t="s">
        <v>17536</v>
      </c>
      <c r="H888" s="17" t="s">
        <v>17537</v>
      </c>
      <c r="I888" s="18" t="s">
        <v>17532</v>
      </c>
      <c r="J888" s="19" t="s">
        <v>17538</v>
      </c>
      <c r="K888" s="20" t="s">
        <v>232</v>
      </c>
      <c r="L888" s="21" t="s">
        <v>2162</v>
      </c>
      <c r="M888" s="22" t="s">
        <v>12337</v>
      </c>
      <c r="N888" s="23" t="s">
        <v>17539</v>
      </c>
      <c r="O888" s="24" t="s">
        <v>153</v>
      </c>
      <c r="P888" s="25" t="s">
        <v>17540</v>
      </c>
      <c r="Q888" s="26" t="s">
        <v>204</v>
      </c>
      <c r="R888" s="27">
        <v>264.42</v>
      </c>
      <c r="S888" s="28" t="s">
        <v>290</v>
      </c>
      <c r="T888" s="29" t="s">
        <v>164</v>
      </c>
      <c r="U888" s="30" t="s">
        <v>237</v>
      </c>
      <c r="V888" s="31" t="s">
        <v>17541</v>
      </c>
      <c r="W888" s="32">
        <v>10600</v>
      </c>
      <c r="X888" s="33" t="s">
        <v>17542</v>
      </c>
      <c r="Y888" s="34" t="s">
        <v>153</v>
      </c>
      <c r="Z888" s="35" t="s">
        <v>153</v>
      </c>
      <c r="AA888" s="36" t="s">
        <v>153</v>
      </c>
      <c r="AB888" s="37" t="s">
        <v>17543</v>
      </c>
      <c r="AC888" s="38" t="s">
        <v>153</v>
      </c>
      <c r="AD888" s="39" t="s">
        <v>428</v>
      </c>
      <c r="AE888" s="40" t="s">
        <v>153</v>
      </c>
      <c r="AF888" s="41" t="s">
        <v>153</v>
      </c>
      <c r="AG888" s="42" t="s">
        <v>153</v>
      </c>
      <c r="AH888" s="43" t="s">
        <v>153</v>
      </c>
      <c r="AI888" s="44" t="s">
        <v>153</v>
      </c>
      <c r="AJ888" s="45" t="s">
        <v>153</v>
      </c>
      <c r="AK888" s="46" t="s">
        <v>153</v>
      </c>
      <c r="AL888" s="47" t="s">
        <v>153</v>
      </c>
      <c r="AM888" s="48" t="s">
        <v>153</v>
      </c>
      <c r="AN888" s="49" t="s">
        <v>1442</v>
      </c>
      <c r="AO888" s="50" t="s">
        <v>17544</v>
      </c>
      <c r="AP888" s="51" t="s">
        <v>17545</v>
      </c>
      <c r="AQ888" s="52" t="s">
        <v>17546</v>
      </c>
      <c r="AR888" s="53" t="s">
        <v>17547</v>
      </c>
      <c r="AS888" s="54" t="s">
        <v>153</v>
      </c>
      <c r="AT888" s="55" t="s">
        <v>1071</v>
      </c>
      <c r="AU888" s="56" t="s">
        <v>17548</v>
      </c>
      <c r="AV888" s="57" t="s">
        <v>17549</v>
      </c>
      <c r="AW888" s="58" t="s">
        <v>1074</v>
      </c>
      <c r="AX888" s="59" t="s">
        <v>177</v>
      </c>
      <c r="AY888" s="60" t="s">
        <v>17550</v>
      </c>
      <c r="AZ888" s="61" t="s">
        <v>179</v>
      </c>
      <c r="BA888" s="62" t="s">
        <v>153</v>
      </c>
      <c r="BB888" s="63" t="s">
        <v>153</v>
      </c>
      <c r="BC888" s="64" t="s">
        <v>153</v>
      </c>
      <c r="BD888" s="65" t="s">
        <v>180</v>
      </c>
      <c r="BE888" s="66" t="s">
        <v>181</v>
      </c>
      <c r="BF888" s="67" t="s">
        <v>17551</v>
      </c>
      <c r="BG888" s="68" t="s">
        <v>153</v>
      </c>
      <c r="BH888" s="69" t="s">
        <v>153</v>
      </c>
      <c r="BI888" s="70" t="s">
        <v>17543</v>
      </c>
      <c r="BJ888" s="71" t="s">
        <v>17552</v>
      </c>
      <c r="BK888" s="72" t="s">
        <v>153</v>
      </c>
      <c r="BL888" s="73" t="s">
        <v>153</v>
      </c>
      <c r="BM888" s="74" t="s">
        <v>17553</v>
      </c>
      <c r="BN888" s="75" t="s">
        <v>153</v>
      </c>
      <c r="BO888" s="76" t="s">
        <v>153</v>
      </c>
      <c r="BP888" s="77" t="s">
        <v>17554</v>
      </c>
      <c r="BQ888" s="78">
        <v>33239</v>
      </c>
      <c r="BR888" s="79" t="s">
        <v>153</v>
      </c>
      <c r="BS888" s="80" t="s">
        <v>153</v>
      </c>
      <c r="BT888" s="81" t="s">
        <v>153</v>
      </c>
      <c r="BU888" s="82" t="s">
        <v>153</v>
      </c>
      <c r="BV888" s="83" t="s">
        <v>251</v>
      </c>
      <c r="BW888" s="84" t="s">
        <v>153</v>
      </c>
      <c r="BX888" s="85" t="s">
        <v>153</v>
      </c>
      <c r="BY888" s="86" t="s">
        <v>252</v>
      </c>
      <c r="BZ888" s="87" t="s">
        <v>153</v>
      </c>
      <c r="CA888" s="88" t="s">
        <v>190</v>
      </c>
      <c r="CB888" s="89">
        <v>43556</v>
      </c>
      <c r="CC888" s="90">
        <v>5600</v>
      </c>
      <c r="CD888" s="91" t="s">
        <v>186</v>
      </c>
      <c r="CE888" s="92">
        <v>5600</v>
      </c>
      <c r="CF888" s="93" t="s">
        <v>187</v>
      </c>
      <c r="CG888" s="94" t="s">
        <v>226</v>
      </c>
      <c r="CH888" s="95" t="s">
        <v>153</v>
      </c>
      <c r="CI888" s="96" t="s">
        <v>153</v>
      </c>
      <c r="CJ888" s="97" t="s">
        <v>225</v>
      </c>
      <c r="CK888" s="98">
        <v>43556</v>
      </c>
      <c r="CL888" s="99" t="s">
        <v>153</v>
      </c>
      <c r="CM888" s="100" t="s">
        <v>153</v>
      </c>
      <c r="CN888" s="101" t="s">
        <v>190</v>
      </c>
      <c r="CO888" s="102">
        <v>2.81</v>
      </c>
      <c r="CP888" s="103">
        <v>99</v>
      </c>
      <c r="CQ888" s="104">
        <v>-3.77</v>
      </c>
      <c r="CR888" s="105">
        <v>-57.24</v>
      </c>
      <c r="CS888" s="106">
        <v>2.81</v>
      </c>
      <c r="CT888" s="107">
        <v>99</v>
      </c>
      <c r="CU888" s="108" t="s">
        <v>153</v>
      </c>
      <c r="CV888" s="109" t="s">
        <v>153</v>
      </c>
      <c r="CW888" s="110" t="s">
        <v>153</v>
      </c>
      <c r="CX888" s="111" t="s">
        <v>153</v>
      </c>
      <c r="CY888" s="112">
        <v>2.81</v>
      </c>
      <c r="CZ888" s="113">
        <v>100</v>
      </c>
      <c r="DA888" s="114" t="s">
        <v>153</v>
      </c>
      <c r="DB888" s="115" t="s">
        <v>153</v>
      </c>
      <c r="DC888" s="116">
        <v>49.88</v>
      </c>
      <c r="DD888" s="117">
        <v>98</v>
      </c>
      <c r="DE888" s="118">
        <v>-0.88</v>
      </c>
      <c r="DF888" s="119">
        <v>-1.72</v>
      </c>
      <c r="DG888" s="120">
        <v>49.88</v>
      </c>
      <c r="DH888" s="121">
        <v>98</v>
      </c>
      <c r="DI888" s="122" t="s">
        <v>153</v>
      </c>
      <c r="DJ888" s="123" t="s">
        <v>153</v>
      </c>
      <c r="DK888" s="124" t="s">
        <v>153</v>
      </c>
      <c r="DL888" s="125" t="s">
        <v>153</v>
      </c>
      <c r="DM888" s="126">
        <v>49.88</v>
      </c>
      <c r="DN888" s="127">
        <v>98</v>
      </c>
      <c r="DO888" s="128" t="s">
        <v>153</v>
      </c>
      <c r="DP888" s="129" t="s">
        <v>153</v>
      </c>
      <c r="DQ888" s="130" t="s">
        <v>153</v>
      </c>
      <c r="DR888" s="131" t="s">
        <v>153</v>
      </c>
      <c r="DS888" s="132" t="s">
        <v>153</v>
      </c>
      <c r="DT888" s="133">
        <v>803</v>
      </c>
      <c r="DU888" s="134">
        <v>-8</v>
      </c>
      <c r="DV888" s="135">
        <v>-0.99</v>
      </c>
      <c r="DW888" s="136" t="s">
        <v>153</v>
      </c>
      <c r="DX888" s="137" t="s">
        <v>153</v>
      </c>
      <c r="DY888" s="138" t="s">
        <v>153</v>
      </c>
      <c r="DZ888" s="139" t="s">
        <v>191</v>
      </c>
      <c r="EA888" s="140">
        <v>44368</v>
      </c>
      <c r="EB888" s="141">
        <v>5600</v>
      </c>
      <c r="EC888" s="142">
        <v>43556</v>
      </c>
      <c r="ED888" s="143" t="s">
        <v>226</v>
      </c>
      <c r="EE888" s="278" t="str">
        <f>HYPERLINK("https://my.pitchbook.com?c=60513-04", "View company online")</f>
        <v>View company online</v>
      </c>
    </row>
    <row r="889" spans="1:135" x14ac:dyDescent="0.45">
      <c r="A889" s="144" t="s">
        <v>17555</v>
      </c>
      <c r="B889" s="145" t="s">
        <v>17556</v>
      </c>
      <c r="C889" s="146" t="s">
        <v>153</v>
      </c>
      <c r="D889" s="147" t="s">
        <v>153</v>
      </c>
      <c r="E889" s="148" t="s">
        <v>153</v>
      </c>
      <c r="F889" s="149" t="s">
        <v>17557</v>
      </c>
      <c r="G889" s="150" t="s">
        <v>17558</v>
      </c>
      <c r="H889" s="151" t="s">
        <v>17559</v>
      </c>
      <c r="I889" s="152" t="s">
        <v>17555</v>
      </c>
      <c r="J889" s="153" t="s">
        <v>17560</v>
      </c>
      <c r="K889" s="154" t="s">
        <v>792</v>
      </c>
      <c r="L889" s="155" t="s">
        <v>3864</v>
      </c>
      <c r="M889" s="156" t="s">
        <v>3865</v>
      </c>
      <c r="N889" s="157" t="s">
        <v>17561</v>
      </c>
      <c r="O889" s="158" t="s">
        <v>796</v>
      </c>
      <c r="P889" s="159" t="s">
        <v>17562</v>
      </c>
      <c r="Q889" s="160" t="s">
        <v>204</v>
      </c>
      <c r="R889" s="161" t="s">
        <v>153</v>
      </c>
      <c r="S889" s="162" t="s">
        <v>290</v>
      </c>
      <c r="T889" s="163" t="s">
        <v>205</v>
      </c>
      <c r="U889" s="164" t="s">
        <v>237</v>
      </c>
      <c r="V889" s="165" t="s">
        <v>17563</v>
      </c>
      <c r="W889" s="166">
        <v>2699</v>
      </c>
      <c r="X889" s="167" t="s">
        <v>17564</v>
      </c>
      <c r="Y889" s="168" t="s">
        <v>153</v>
      </c>
      <c r="Z889" s="169" t="s">
        <v>153</v>
      </c>
      <c r="AA889" s="170">
        <v>1906</v>
      </c>
      <c r="AB889" s="171" t="s">
        <v>153</v>
      </c>
      <c r="AC889" s="172" t="s">
        <v>153</v>
      </c>
      <c r="AD889" s="173" t="s">
        <v>153</v>
      </c>
      <c r="AE889" s="174" t="s">
        <v>153</v>
      </c>
      <c r="AF889" s="175" t="s">
        <v>153</v>
      </c>
      <c r="AG889" s="176" t="s">
        <v>153</v>
      </c>
      <c r="AH889" s="177" t="s">
        <v>153</v>
      </c>
      <c r="AI889" s="178" t="s">
        <v>153</v>
      </c>
      <c r="AJ889" s="179" t="s">
        <v>153</v>
      </c>
      <c r="AK889" s="180" t="s">
        <v>153</v>
      </c>
      <c r="AL889" s="181" t="s">
        <v>153</v>
      </c>
      <c r="AM889" s="182" t="s">
        <v>153</v>
      </c>
      <c r="AN889" s="183" t="s">
        <v>5087</v>
      </c>
      <c r="AO889" s="184" t="s">
        <v>153</v>
      </c>
      <c r="AP889" s="185" t="s">
        <v>153</v>
      </c>
      <c r="AQ889" s="186" t="s">
        <v>153</v>
      </c>
      <c r="AR889" s="187" t="s">
        <v>153</v>
      </c>
      <c r="AS889" s="188" t="s">
        <v>153</v>
      </c>
      <c r="AT889" s="189" t="s">
        <v>10408</v>
      </c>
      <c r="AU889" s="190" t="s">
        <v>17565</v>
      </c>
      <c r="AV889" s="191" t="s">
        <v>153</v>
      </c>
      <c r="AW889" s="192" t="s">
        <v>10410</v>
      </c>
      <c r="AX889" s="193" t="s">
        <v>10319</v>
      </c>
      <c r="AY889" s="194" t="s">
        <v>17566</v>
      </c>
      <c r="AZ889" s="195" t="s">
        <v>215</v>
      </c>
      <c r="BA889" s="196" t="s">
        <v>153</v>
      </c>
      <c r="BB889" s="197" t="s">
        <v>153</v>
      </c>
      <c r="BC889" s="198" t="s">
        <v>153</v>
      </c>
      <c r="BD889" s="199" t="s">
        <v>216</v>
      </c>
      <c r="BE889" s="200" t="s">
        <v>217</v>
      </c>
      <c r="BF889" s="201" t="s">
        <v>17567</v>
      </c>
      <c r="BG889" s="202" t="s">
        <v>153</v>
      </c>
      <c r="BH889" s="203" t="s">
        <v>153</v>
      </c>
      <c r="BI889" s="204" t="s">
        <v>17568</v>
      </c>
      <c r="BJ889" s="205" t="s">
        <v>153</v>
      </c>
      <c r="BK889" s="206" t="s">
        <v>153</v>
      </c>
      <c r="BL889" s="207" t="s">
        <v>153</v>
      </c>
      <c r="BM889" s="208" t="s">
        <v>153</v>
      </c>
      <c r="BN889" s="209" t="s">
        <v>153</v>
      </c>
      <c r="BO889" s="210" t="s">
        <v>17569</v>
      </c>
      <c r="BP889" s="211" t="s">
        <v>17570</v>
      </c>
      <c r="BQ889" s="212">
        <v>31218</v>
      </c>
      <c r="BR889" s="213" t="s">
        <v>153</v>
      </c>
      <c r="BS889" s="214" t="s">
        <v>153</v>
      </c>
      <c r="BT889" s="215" t="s">
        <v>153</v>
      </c>
      <c r="BU889" s="216" t="s">
        <v>153</v>
      </c>
      <c r="BV889" s="217" t="s">
        <v>251</v>
      </c>
      <c r="BW889" s="218" t="s">
        <v>153</v>
      </c>
      <c r="BX889" s="219" t="s">
        <v>153</v>
      </c>
      <c r="BY889" s="220" t="s">
        <v>252</v>
      </c>
      <c r="BZ889" s="221" t="s">
        <v>153</v>
      </c>
      <c r="CA889" s="222" t="s">
        <v>190</v>
      </c>
      <c r="CB889" s="223">
        <v>41627</v>
      </c>
      <c r="CC889" s="224">
        <v>5600</v>
      </c>
      <c r="CD889" s="225" t="s">
        <v>187</v>
      </c>
      <c r="CE889" s="226">
        <v>5600</v>
      </c>
      <c r="CF889" s="227" t="s">
        <v>186</v>
      </c>
      <c r="CG889" s="228" t="s">
        <v>226</v>
      </c>
      <c r="CH889" s="229" t="s">
        <v>153</v>
      </c>
      <c r="CI889" s="230" t="s">
        <v>153</v>
      </c>
      <c r="CJ889" s="231" t="s">
        <v>225</v>
      </c>
      <c r="CK889" s="232">
        <v>41627</v>
      </c>
      <c r="CL889" s="233">
        <v>4400</v>
      </c>
      <c r="CM889" s="234" t="s">
        <v>17571</v>
      </c>
      <c r="CN889" s="235" t="s">
        <v>190</v>
      </c>
      <c r="CO889" s="236" t="s">
        <v>153</v>
      </c>
      <c r="CP889" s="237" t="s">
        <v>153</v>
      </c>
      <c r="CQ889" s="238" t="s">
        <v>153</v>
      </c>
      <c r="CR889" s="239" t="s">
        <v>153</v>
      </c>
      <c r="CS889" s="240" t="s">
        <v>153</v>
      </c>
      <c r="CT889" s="241" t="s">
        <v>153</v>
      </c>
      <c r="CU889" s="242" t="s">
        <v>153</v>
      </c>
      <c r="CV889" s="243" t="s">
        <v>153</v>
      </c>
      <c r="CW889" s="244" t="s">
        <v>153</v>
      </c>
      <c r="CX889" s="245" t="s">
        <v>153</v>
      </c>
      <c r="CY889" s="246" t="s">
        <v>153</v>
      </c>
      <c r="CZ889" s="247" t="s">
        <v>153</v>
      </c>
      <c r="DA889" s="248" t="s">
        <v>153</v>
      </c>
      <c r="DB889" s="249" t="s">
        <v>153</v>
      </c>
      <c r="DC889" s="250" t="s">
        <v>153</v>
      </c>
      <c r="DD889" s="251" t="s">
        <v>153</v>
      </c>
      <c r="DE889" s="252" t="s">
        <v>153</v>
      </c>
      <c r="DF889" s="253" t="s">
        <v>153</v>
      </c>
      <c r="DG889" s="254" t="s">
        <v>153</v>
      </c>
      <c r="DH889" s="255" t="s">
        <v>153</v>
      </c>
      <c r="DI889" s="256" t="s">
        <v>153</v>
      </c>
      <c r="DJ889" s="257" t="s">
        <v>153</v>
      </c>
      <c r="DK889" s="258" t="s">
        <v>153</v>
      </c>
      <c r="DL889" s="259" t="s">
        <v>153</v>
      </c>
      <c r="DM889" s="260" t="s">
        <v>153</v>
      </c>
      <c r="DN889" s="261" t="s">
        <v>153</v>
      </c>
      <c r="DO889" s="262" t="s">
        <v>153</v>
      </c>
      <c r="DP889" s="263" t="s">
        <v>153</v>
      </c>
      <c r="DQ889" s="264" t="s">
        <v>153</v>
      </c>
      <c r="DR889" s="265" t="s">
        <v>153</v>
      </c>
      <c r="DS889" s="266" t="s">
        <v>153</v>
      </c>
      <c r="DT889" s="267" t="s">
        <v>153</v>
      </c>
      <c r="DU889" s="268" t="s">
        <v>153</v>
      </c>
      <c r="DV889" s="269" t="s">
        <v>153</v>
      </c>
      <c r="DW889" s="270" t="s">
        <v>153</v>
      </c>
      <c r="DX889" s="271" t="s">
        <v>153</v>
      </c>
      <c r="DY889" s="272" t="s">
        <v>153</v>
      </c>
      <c r="DZ889" s="273" t="s">
        <v>191</v>
      </c>
      <c r="EA889" s="274">
        <v>44358</v>
      </c>
      <c r="EB889" s="275">
        <v>5600</v>
      </c>
      <c r="EC889" s="276">
        <v>41627</v>
      </c>
      <c r="ED889" s="277" t="s">
        <v>226</v>
      </c>
      <c r="EE889" s="279" t="str">
        <f>HYPERLINK("https://my.pitchbook.com?c=41936-41", "View company online")</f>
        <v>View company online</v>
      </c>
    </row>
    <row r="890" spans="1:135" x14ac:dyDescent="0.45">
      <c r="A890" s="10" t="s">
        <v>17572</v>
      </c>
      <c r="B890" s="11" t="s">
        <v>17573</v>
      </c>
      <c r="C890" s="12" t="s">
        <v>153</v>
      </c>
      <c r="D890" s="13" t="s">
        <v>153</v>
      </c>
      <c r="E890" s="14" t="s">
        <v>17574</v>
      </c>
      <c r="F890" s="15" t="s">
        <v>153</v>
      </c>
      <c r="G890" s="16" t="s">
        <v>17575</v>
      </c>
      <c r="H890" s="17" t="s">
        <v>153</v>
      </c>
      <c r="I890" s="18" t="s">
        <v>17572</v>
      </c>
      <c r="J890" s="19" t="s">
        <v>17576</v>
      </c>
      <c r="K890" s="20" t="s">
        <v>559</v>
      </c>
      <c r="L890" s="21" t="s">
        <v>1345</v>
      </c>
      <c r="M890" s="22" t="s">
        <v>3286</v>
      </c>
      <c r="N890" s="23" t="s">
        <v>17577</v>
      </c>
      <c r="O890" s="24" t="s">
        <v>796</v>
      </c>
      <c r="P890" s="25" t="s">
        <v>17578</v>
      </c>
      <c r="Q890" s="26" t="s">
        <v>564</v>
      </c>
      <c r="R890" s="27">
        <v>580</v>
      </c>
      <c r="S890" s="28" t="s">
        <v>290</v>
      </c>
      <c r="T890" s="29" t="s">
        <v>205</v>
      </c>
      <c r="U890" s="30" t="s">
        <v>565</v>
      </c>
      <c r="V890" s="31" t="s">
        <v>153</v>
      </c>
      <c r="W890" s="32">
        <v>305</v>
      </c>
      <c r="X890" s="33" t="s">
        <v>17579</v>
      </c>
      <c r="Y890" s="34" t="s">
        <v>153</v>
      </c>
      <c r="Z890" s="35" t="s">
        <v>153</v>
      </c>
      <c r="AA890" s="36">
        <v>1882</v>
      </c>
      <c r="AB890" s="37" t="s">
        <v>153</v>
      </c>
      <c r="AC890" s="38" t="s">
        <v>153</v>
      </c>
      <c r="AD890" s="39" t="s">
        <v>153</v>
      </c>
      <c r="AE890" s="40" t="s">
        <v>153</v>
      </c>
      <c r="AF890" s="41" t="s">
        <v>153</v>
      </c>
      <c r="AG890" s="42" t="s">
        <v>153</v>
      </c>
      <c r="AH890" s="43" t="s">
        <v>153</v>
      </c>
      <c r="AI890" s="44" t="s">
        <v>153</v>
      </c>
      <c r="AJ890" s="45" t="s">
        <v>153</v>
      </c>
      <c r="AK890" s="46" t="s">
        <v>153</v>
      </c>
      <c r="AL890" s="47" t="s">
        <v>153</v>
      </c>
      <c r="AM890" s="48" t="s">
        <v>153</v>
      </c>
      <c r="AN890" s="49" t="s">
        <v>209</v>
      </c>
      <c r="AO890" s="50" t="s">
        <v>17580</v>
      </c>
      <c r="AP890" s="51" t="s">
        <v>17581</v>
      </c>
      <c r="AQ890" s="52" t="s">
        <v>14076</v>
      </c>
      <c r="AR890" s="53" t="s">
        <v>153</v>
      </c>
      <c r="AS890" s="54" t="s">
        <v>17582</v>
      </c>
      <c r="AT890" s="55" t="s">
        <v>14447</v>
      </c>
      <c r="AU890" s="56" t="s">
        <v>17583</v>
      </c>
      <c r="AV890" s="57" t="s">
        <v>17584</v>
      </c>
      <c r="AW890" s="58" t="s">
        <v>14450</v>
      </c>
      <c r="AX890" s="59" t="s">
        <v>2727</v>
      </c>
      <c r="AY890" s="60" t="s">
        <v>6062</v>
      </c>
      <c r="AZ890" s="61" t="s">
        <v>215</v>
      </c>
      <c r="BA890" s="62" t="s">
        <v>17582</v>
      </c>
      <c r="BB890" s="63" t="s">
        <v>153</v>
      </c>
      <c r="BC890" s="64" t="s">
        <v>153</v>
      </c>
      <c r="BD890" s="65" t="s">
        <v>216</v>
      </c>
      <c r="BE890" s="66" t="s">
        <v>217</v>
      </c>
      <c r="BF890" s="67" t="s">
        <v>17585</v>
      </c>
      <c r="BG890" s="68" t="s">
        <v>153</v>
      </c>
      <c r="BH890" s="69" t="s">
        <v>153</v>
      </c>
      <c r="BI890" s="70" t="s">
        <v>3940</v>
      </c>
      <c r="BJ890" s="71" t="s">
        <v>17586</v>
      </c>
      <c r="BK890" s="72" t="s">
        <v>153</v>
      </c>
      <c r="BL890" s="73" t="s">
        <v>153</v>
      </c>
      <c r="BM890" s="74" t="s">
        <v>17587</v>
      </c>
      <c r="BN890" s="75" t="s">
        <v>153</v>
      </c>
      <c r="BO890" s="76" t="s">
        <v>17588</v>
      </c>
      <c r="BP890" s="77" t="s">
        <v>17589</v>
      </c>
      <c r="BQ890" s="78">
        <v>41009</v>
      </c>
      <c r="BR890" s="79">
        <v>580</v>
      </c>
      <c r="BS890" s="80" t="s">
        <v>186</v>
      </c>
      <c r="BT890" s="81" t="s">
        <v>153</v>
      </c>
      <c r="BU890" s="82" t="s">
        <v>153</v>
      </c>
      <c r="BV890" s="83" t="s">
        <v>393</v>
      </c>
      <c r="BW890" s="84" t="s">
        <v>3593</v>
      </c>
      <c r="BX890" s="85" t="s">
        <v>153</v>
      </c>
      <c r="BY890" s="86" t="s">
        <v>165</v>
      </c>
      <c r="BZ890" s="87" t="s">
        <v>17590</v>
      </c>
      <c r="CA890" s="88" t="s">
        <v>190</v>
      </c>
      <c r="CB890" s="89">
        <v>41719</v>
      </c>
      <c r="CC890" s="90">
        <v>5600</v>
      </c>
      <c r="CD890" s="91" t="s">
        <v>186</v>
      </c>
      <c r="CE890" s="92">
        <v>5600</v>
      </c>
      <c r="CF890" s="93" t="s">
        <v>187</v>
      </c>
      <c r="CG890" s="94" t="s">
        <v>226</v>
      </c>
      <c r="CH890" s="95" t="s">
        <v>153</v>
      </c>
      <c r="CI890" s="96" t="s">
        <v>153</v>
      </c>
      <c r="CJ890" s="97" t="s">
        <v>225</v>
      </c>
      <c r="CK890" s="98">
        <v>41719</v>
      </c>
      <c r="CL890" s="99" t="s">
        <v>153</v>
      </c>
      <c r="CM890" s="100" t="s">
        <v>153</v>
      </c>
      <c r="CN890" s="101" t="s">
        <v>190</v>
      </c>
      <c r="CO890" s="102" t="s">
        <v>153</v>
      </c>
      <c r="CP890" s="103" t="s">
        <v>153</v>
      </c>
      <c r="CQ890" s="104" t="s">
        <v>153</v>
      </c>
      <c r="CR890" s="105" t="s">
        <v>153</v>
      </c>
      <c r="CS890" s="106" t="s">
        <v>153</v>
      </c>
      <c r="CT890" s="107" t="s">
        <v>153</v>
      </c>
      <c r="CU890" s="108" t="s">
        <v>153</v>
      </c>
      <c r="CV890" s="109" t="s">
        <v>153</v>
      </c>
      <c r="CW890" s="110" t="s">
        <v>153</v>
      </c>
      <c r="CX890" s="111" t="s">
        <v>153</v>
      </c>
      <c r="CY890" s="112" t="s">
        <v>153</v>
      </c>
      <c r="CZ890" s="113" t="s">
        <v>153</v>
      </c>
      <c r="DA890" s="114" t="s">
        <v>153</v>
      </c>
      <c r="DB890" s="115" t="s">
        <v>153</v>
      </c>
      <c r="DC890" s="116" t="s">
        <v>153</v>
      </c>
      <c r="DD890" s="117" t="s">
        <v>153</v>
      </c>
      <c r="DE890" s="118" t="s">
        <v>153</v>
      </c>
      <c r="DF890" s="119" t="s">
        <v>153</v>
      </c>
      <c r="DG890" s="120" t="s">
        <v>153</v>
      </c>
      <c r="DH890" s="121" t="s">
        <v>153</v>
      </c>
      <c r="DI890" s="122" t="s">
        <v>153</v>
      </c>
      <c r="DJ890" s="123" t="s">
        <v>153</v>
      </c>
      <c r="DK890" s="124" t="s">
        <v>153</v>
      </c>
      <c r="DL890" s="125" t="s">
        <v>153</v>
      </c>
      <c r="DM890" s="126" t="s">
        <v>153</v>
      </c>
      <c r="DN890" s="127" t="s">
        <v>153</v>
      </c>
      <c r="DO890" s="128" t="s">
        <v>153</v>
      </c>
      <c r="DP890" s="129" t="s">
        <v>153</v>
      </c>
      <c r="DQ890" s="130" t="s">
        <v>153</v>
      </c>
      <c r="DR890" s="131" t="s">
        <v>153</v>
      </c>
      <c r="DS890" s="132" t="s">
        <v>153</v>
      </c>
      <c r="DT890" s="133" t="s">
        <v>153</v>
      </c>
      <c r="DU890" s="134" t="s">
        <v>153</v>
      </c>
      <c r="DV890" s="135" t="s">
        <v>153</v>
      </c>
      <c r="DW890" s="136" t="s">
        <v>153</v>
      </c>
      <c r="DX890" s="137" t="s">
        <v>153</v>
      </c>
      <c r="DY890" s="138" t="s">
        <v>153</v>
      </c>
      <c r="DZ890" s="139" t="s">
        <v>191</v>
      </c>
      <c r="EA890" s="140">
        <v>44224</v>
      </c>
      <c r="EB890" s="141">
        <v>5600</v>
      </c>
      <c r="EC890" s="142">
        <v>41719</v>
      </c>
      <c r="ED890" s="143" t="s">
        <v>226</v>
      </c>
      <c r="EE890" s="278" t="str">
        <f>HYPERLINK("https://my.pitchbook.com?c=42004-81", "View company online")</f>
        <v>View company online</v>
      </c>
    </row>
    <row r="891" spans="1:135" x14ac:dyDescent="0.45">
      <c r="A891" s="144" t="s">
        <v>17591</v>
      </c>
      <c r="B891" s="145" t="s">
        <v>17592</v>
      </c>
      <c r="C891" s="146" t="s">
        <v>153</v>
      </c>
      <c r="D891" s="147" t="s">
        <v>153</v>
      </c>
      <c r="E891" s="148" t="s">
        <v>153</v>
      </c>
      <c r="F891" s="149" t="s">
        <v>17593</v>
      </c>
      <c r="G891" s="150" t="s">
        <v>17594</v>
      </c>
      <c r="H891" s="151" t="s">
        <v>153</v>
      </c>
      <c r="I891" s="152" t="s">
        <v>17591</v>
      </c>
      <c r="J891" s="153" t="s">
        <v>17595</v>
      </c>
      <c r="K891" s="154" t="s">
        <v>559</v>
      </c>
      <c r="L891" s="155" t="s">
        <v>560</v>
      </c>
      <c r="M891" s="156" t="s">
        <v>3573</v>
      </c>
      <c r="N891" s="157" t="s">
        <v>17596</v>
      </c>
      <c r="O891" s="158" t="s">
        <v>261</v>
      </c>
      <c r="P891" s="159" t="s">
        <v>17597</v>
      </c>
      <c r="Q891" s="160" t="s">
        <v>564</v>
      </c>
      <c r="R891" s="161">
        <v>867.34</v>
      </c>
      <c r="S891" s="162" t="s">
        <v>163</v>
      </c>
      <c r="T891" s="163" t="s">
        <v>205</v>
      </c>
      <c r="U891" s="164" t="s">
        <v>1063</v>
      </c>
      <c r="V891" s="165" t="s">
        <v>153</v>
      </c>
      <c r="W891" s="166">
        <v>5001</v>
      </c>
      <c r="X891" s="167" t="s">
        <v>17598</v>
      </c>
      <c r="Y891" s="168" t="s">
        <v>153</v>
      </c>
      <c r="Z891" s="169" t="s">
        <v>153</v>
      </c>
      <c r="AA891" s="170">
        <v>2000</v>
      </c>
      <c r="AB891" s="171" t="s">
        <v>153</v>
      </c>
      <c r="AC891" s="172" t="s">
        <v>153</v>
      </c>
      <c r="AD891" s="173" t="s">
        <v>153</v>
      </c>
      <c r="AE891" s="174" t="s">
        <v>153</v>
      </c>
      <c r="AF891" s="175" t="s">
        <v>153</v>
      </c>
      <c r="AG891" s="176" t="s">
        <v>153</v>
      </c>
      <c r="AH891" s="177" t="s">
        <v>153</v>
      </c>
      <c r="AI891" s="178" t="s">
        <v>153</v>
      </c>
      <c r="AJ891" s="179" t="s">
        <v>153</v>
      </c>
      <c r="AK891" s="180" t="s">
        <v>153</v>
      </c>
      <c r="AL891" s="181" t="s">
        <v>153</v>
      </c>
      <c r="AM891" s="182" t="s">
        <v>153</v>
      </c>
      <c r="AN891" s="183" t="s">
        <v>1123</v>
      </c>
      <c r="AO891" s="184" t="s">
        <v>153</v>
      </c>
      <c r="AP891" s="185" t="s">
        <v>153</v>
      </c>
      <c r="AQ891" s="186" t="s">
        <v>153</v>
      </c>
      <c r="AR891" s="187" t="s">
        <v>153</v>
      </c>
      <c r="AS891" s="188" t="s">
        <v>153</v>
      </c>
      <c r="AT891" s="189" t="s">
        <v>2248</v>
      </c>
      <c r="AU891" s="190" t="s">
        <v>17599</v>
      </c>
      <c r="AV891" s="191" t="s">
        <v>153</v>
      </c>
      <c r="AW891" s="192" t="s">
        <v>2250</v>
      </c>
      <c r="AX891" s="193" t="s">
        <v>273</v>
      </c>
      <c r="AY891" s="194" t="s">
        <v>2251</v>
      </c>
      <c r="AZ891" s="195" t="s">
        <v>215</v>
      </c>
      <c r="BA891" s="196" t="s">
        <v>153</v>
      </c>
      <c r="BB891" s="197" t="s">
        <v>153</v>
      </c>
      <c r="BC891" s="198" t="s">
        <v>153</v>
      </c>
      <c r="BD891" s="199" t="s">
        <v>216</v>
      </c>
      <c r="BE891" s="200" t="s">
        <v>217</v>
      </c>
      <c r="BF891" s="201" t="s">
        <v>17600</v>
      </c>
      <c r="BG891" s="202" t="s">
        <v>153</v>
      </c>
      <c r="BH891" s="203" t="s">
        <v>153</v>
      </c>
      <c r="BI891" s="204" t="s">
        <v>17601</v>
      </c>
      <c r="BJ891" s="205" t="s">
        <v>17602</v>
      </c>
      <c r="BK891" s="206" t="s">
        <v>153</v>
      </c>
      <c r="BL891" s="207" t="s">
        <v>153</v>
      </c>
      <c r="BM891" s="208" t="s">
        <v>17603</v>
      </c>
      <c r="BN891" s="209" t="s">
        <v>153</v>
      </c>
      <c r="BO891" s="210" t="s">
        <v>153</v>
      </c>
      <c r="BP891" s="211" t="s">
        <v>17604</v>
      </c>
      <c r="BQ891" s="212">
        <v>36851</v>
      </c>
      <c r="BR891" s="213">
        <v>1182</v>
      </c>
      <c r="BS891" s="214" t="s">
        <v>186</v>
      </c>
      <c r="BT891" s="215">
        <v>1182</v>
      </c>
      <c r="BU891" s="216" t="s">
        <v>153</v>
      </c>
      <c r="BV891" s="217" t="s">
        <v>188</v>
      </c>
      <c r="BW891" s="218" t="s">
        <v>153</v>
      </c>
      <c r="BX891" s="219" t="s">
        <v>153</v>
      </c>
      <c r="BY891" s="220" t="s">
        <v>165</v>
      </c>
      <c r="BZ891" s="221" t="s">
        <v>321</v>
      </c>
      <c r="CA891" s="222" t="s">
        <v>190</v>
      </c>
      <c r="CB891" s="223">
        <v>42016</v>
      </c>
      <c r="CC891" s="224">
        <v>5600</v>
      </c>
      <c r="CD891" s="225" t="s">
        <v>186</v>
      </c>
      <c r="CE891" s="226">
        <v>5600</v>
      </c>
      <c r="CF891" s="227" t="s">
        <v>186</v>
      </c>
      <c r="CG891" s="228" t="s">
        <v>226</v>
      </c>
      <c r="CH891" s="229" t="s">
        <v>729</v>
      </c>
      <c r="CI891" s="230" t="s">
        <v>153</v>
      </c>
      <c r="CJ891" s="231" t="s">
        <v>225</v>
      </c>
      <c r="CK891" s="232">
        <v>42016</v>
      </c>
      <c r="CL891" s="233" t="s">
        <v>153</v>
      </c>
      <c r="CM891" s="234" t="s">
        <v>1607</v>
      </c>
      <c r="CN891" s="235" t="s">
        <v>190</v>
      </c>
      <c r="CO891" s="236" t="s">
        <v>153</v>
      </c>
      <c r="CP891" s="237" t="s">
        <v>153</v>
      </c>
      <c r="CQ891" s="238" t="s">
        <v>153</v>
      </c>
      <c r="CR891" s="239" t="s">
        <v>153</v>
      </c>
      <c r="CS891" s="240" t="s">
        <v>153</v>
      </c>
      <c r="CT891" s="241" t="s">
        <v>153</v>
      </c>
      <c r="CU891" s="242" t="s">
        <v>153</v>
      </c>
      <c r="CV891" s="243" t="s">
        <v>153</v>
      </c>
      <c r="CW891" s="244" t="s">
        <v>153</v>
      </c>
      <c r="CX891" s="245" t="s">
        <v>153</v>
      </c>
      <c r="CY891" s="246" t="s">
        <v>153</v>
      </c>
      <c r="CZ891" s="247" t="s">
        <v>153</v>
      </c>
      <c r="DA891" s="248" t="s">
        <v>153</v>
      </c>
      <c r="DB891" s="249" t="s">
        <v>153</v>
      </c>
      <c r="DC891" s="250" t="s">
        <v>153</v>
      </c>
      <c r="DD891" s="251" t="s">
        <v>153</v>
      </c>
      <c r="DE891" s="252" t="s">
        <v>153</v>
      </c>
      <c r="DF891" s="253" t="s">
        <v>153</v>
      </c>
      <c r="DG891" s="254" t="s">
        <v>153</v>
      </c>
      <c r="DH891" s="255" t="s">
        <v>153</v>
      </c>
      <c r="DI891" s="256" t="s">
        <v>153</v>
      </c>
      <c r="DJ891" s="257" t="s">
        <v>153</v>
      </c>
      <c r="DK891" s="258" t="s">
        <v>153</v>
      </c>
      <c r="DL891" s="259" t="s">
        <v>153</v>
      </c>
      <c r="DM891" s="260" t="s">
        <v>153</v>
      </c>
      <c r="DN891" s="261" t="s">
        <v>153</v>
      </c>
      <c r="DO891" s="262" t="s">
        <v>153</v>
      </c>
      <c r="DP891" s="263" t="s">
        <v>153</v>
      </c>
      <c r="DQ891" s="264" t="s">
        <v>153</v>
      </c>
      <c r="DR891" s="265" t="s">
        <v>153</v>
      </c>
      <c r="DS891" s="266" t="s">
        <v>153</v>
      </c>
      <c r="DT891" s="267" t="s">
        <v>153</v>
      </c>
      <c r="DU891" s="268" t="s">
        <v>153</v>
      </c>
      <c r="DV891" s="269" t="s">
        <v>153</v>
      </c>
      <c r="DW891" s="270" t="s">
        <v>153</v>
      </c>
      <c r="DX891" s="271" t="s">
        <v>153</v>
      </c>
      <c r="DY891" s="272" t="s">
        <v>153</v>
      </c>
      <c r="DZ891" s="273" t="s">
        <v>191</v>
      </c>
      <c r="EA891" s="274">
        <v>44217</v>
      </c>
      <c r="EB891" s="275">
        <v>5600</v>
      </c>
      <c r="EC891" s="276">
        <v>42016</v>
      </c>
      <c r="ED891" s="277" t="s">
        <v>226</v>
      </c>
      <c r="EE891" s="279" t="str">
        <f>HYPERLINK("https://my.pitchbook.com?c=10224-55", "View company online")</f>
        <v>View company online</v>
      </c>
    </row>
    <row r="892" spans="1:135" x14ac:dyDescent="0.45">
      <c r="A892" s="10" t="s">
        <v>17605</v>
      </c>
      <c r="B892" s="11" t="s">
        <v>17606</v>
      </c>
      <c r="C892" s="12" t="s">
        <v>153</v>
      </c>
      <c r="D892" s="13" t="s">
        <v>153</v>
      </c>
      <c r="E892" s="14" t="s">
        <v>153</v>
      </c>
      <c r="F892" s="15" t="s">
        <v>17607</v>
      </c>
      <c r="G892" s="16" t="s">
        <v>17608</v>
      </c>
      <c r="H892" s="17" t="s">
        <v>153</v>
      </c>
      <c r="I892" s="18" t="s">
        <v>17605</v>
      </c>
      <c r="J892" s="19" t="s">
        <v>17609</v>
      </c>
      <c r="K892" s="20" t="s">
        <v>157</v>
      </c>
      <c r="L892" s="21" t="s">
        <v>2713</v>
      </c>
      <c r="M892" s="22" t="s">
        <v>2714</v>
      </c>
      <c r="N892" s="23" t="s">
        <v>14367</v>
      </c>
      <c r="O892" s="24" t="s">
        <v>153</v>
      </c>
      <c r="P892" s="25" t="s">
        <v>17610</v>
      </c>
      <c r="Q892" s="26" t="s">
        <v>204</v>
      </c>
      <c r="R892" s="27" t="s">
        <v>153</v>
      </c>
      <c r="S892" s="28" t="s">
        <v>290</v>
      </c>
      <c r="T892" s="29" t="s">
        <v>164</v>
      </c>
      <c r="U892" s="30" t="s">
        <v>206</v>
      </c>
      <c r="V892" s="31" t="s">
        <v>17611</v>
      </c>
      <c r="W892" s="32">
        <v>1283</v>
      </c>
      <c r="X892" s="33" t="s">
        <v>17612</v>
      </c>
      <c r="Y892" s="34" t="s">
        <v>153</v>
      </c>
      <c r="Z892" s="35" t="s">
        <v>153</v>
      </c>
      <c r="AA892" s="36">
        <v>1929</v>
      </c>
      <c r="AB892" s="37" t="s">
        <v>17613</v>
      </c>
      <c r="AC892" s="38" t="s">
        <v>153</v>
      </c>
      <c r="AD892" s="39" t="s">
        <v>153</v>
      </c>
      <c r="AE892" s="40" t="s">
        <v>153</v>
      </c>
      <c r="AF892" s="41" t="s">
        <v>153</v>
      </c>
      <c r="AG892" s="42" t="s">
        <v>153</v>
      </c>
      <c r="AH892" s="43" t="s">
        <v>153</v>
      </c>
      <c r="AI892" s="44" t="s">
        <v>153</v>
      </c>
      <c r="AJ892" s="45" t="s">
        <v>153</v>
      </c>
      <c r="AK892" s="46" t="s">
        <v>153</v>
      </c>
      <c r="AL892" s="47" t="s">
        <v>153</v>
      </c>
      <c r="AM892" s="48" t="s">
        <v>153</v>
      </c>
      <c r="AN892" s="49" t="s">
        <v>209</v>
      </c>
      <c r="AO892" s="50" t="s">
        <v>17614</v>
      </c>
      <c r="AP892" s="51" t="s">
        <v>17615</v>
      </c>
      <c r="AQ892" s="52" t="s">
        <v>17616</v>
      </c>
      <c r="AR892" s="53" t="s">
        <v>17617</v>
      </c>
      <c r="AS892" s="54" t="s">
        <v>17618</v>
      </c>
      <c r="AT892" s="55" t="s">
        <v>3419</v>
      </c>
      <c r="AU892" s="56" t="s">
        <v>17619</v>
      </c>
      <c r="AV892" s="57" t="s">
        <v>17620</v>
      </c>
      <c r="AW892" s="58" t="s">
        <v>3422</v>
      </c>
      <c r="AX892" s="59" t="s">
        <v>3423</v>
      </c>
      <c r="AY892" s="60" t="s">
        <v>17621</v>
      </c>
      <c r="AZ892" s="61" t="s">
        <v>1358</v>
      </c>
      <c r="BA892" s="62" t="s">
        <v>17618</v>
      </c>
      <c r="BB892" s="63" t="s">
        <v>17622</v>
      </c>
      <c r="BC892" s="64" t="s">
        <v>153</v>
      </c>
      <c r="BD892" s="65" t="s">
        <v>216</v>
      </c>
      <c r="BE892" s="66" t="s">
        <v>217</v>
      </c>
      <c r="BF892" s="67" t="s">
        <v>17623</v>
      </c>
      <c r="BG892" s="68" t="s">
        <v>153</v>
      </c>
      <c r="BH892" s="69" t="s">
        <v>153</v>
      </c>
      <c r="BI892" s="70" t="s">
        <v>17613</v>
      </c>
      <c r="BJ892" s="71" t="s">
        <v>17624</v>
      </c>
      <c r="BK892" s="72" t="s">
        <v>153</v>
      </c>
      <c r="BL892" s="73" t="s">
        <v>153</v>
      </c>
      <c r="BM892" s="74" t="s">
        <v>17625</v>
      </c>
      <c r="BN892" s="75" t="s">
        <v>153</v>
      </c>
      <c r="BO892" s="76" t="s">
        <v>153</v>
      </c>
      <c r="BP892" s="77" t="s">
        <v>17626</v>
      </c>
      <c r="BQ892" s="78">
        <v>41582</v>
      </c>
      <c r="BR892" s="79">
        <v>5587.87</v>
      </c>
      <c r="BS892" s="80" t="s">
        <v>186</v>
      </c>
      <c r="BT892" s="81">
        <v>5587.87</v>
      </c>
      <c r="BU892" s="82" t="s">
        <v>186</v>
      </c>
      <c r="BV892" s="83" t="s">
        <v>226</v>
      </c>
      <c r="BW892" s="84" t="s">
        <v>729</v>
      </c>
      <c r="BX892" s="85" t="s">
        <v>153</v>
      </c>
      <c r="BY892" s="86" t="s">
        <v>225</v>
      </c>
      <c r="BZ892" s="87" t="s">
        <v>153</v>
      </c>
      <c r="CA892" s="88" t="s">
        <v>190</v>
      </c>
      <c r="CB892" s="89">
        <v>41582</v>
      </c>
      <c r="CC892" s="90">
        <v>5587.87</v>
      </c>
      <c r="CD892" s="91" t="s">
        <v>186</v>
      </c>
      <c r="CE892" s="92">
        <v>5587.87</v>
      </c>
      <c r="CF892" s="93" t="s">
        <v>186</v>
      </c>
      <c r="CG892" s="94" t="s">
        <v>226</v>
      </c>
      <c r="CH892" s="95" t="s">
        <v>729</v>
      </c>
      <c r="CI892" s="96" t="s">
        <v>153</v>
      </c>
      <c r="CJ892" s="97" t="s">
        <v>225</v>
      </c>
      <c r="CK892" s="98">
        <v>41582</v>
      </c>
      <c r="CL892" s="99" t="s">
        <v>153</v>
      </c>
      <c r="CM892" s="100" t="s">
        <v>153</v>
      </c>
      <c r="CN892" s="101" t="s">
        <v>190</v>
      </c>
      <c r="CO892" s="102">
        <v>-0.18</v>
      </c>
      <c r="CP892" s="103">
        <v>7</v>
      </c>
      <c r="CQ892" s="104">
        <v>-0.04</v>
      </c>
      <c r="CR892" s="105">
        <v>-33.700000000000003</v>
      </c>
      <c r="CS892" s="106">
        <v>-0.15</v>
      </c>
      <c r="CT892" s="107">
        <v>7</v>
      </c>
      <c r="CU892" s="108">
        <v>-0.2</v>
      </c>
      <c r="CV892" s="109">
        <v>5</v>
      </c>
      <c r="CW892" s="110">
        <v>-0.81</v>
      </c>
      <c r="CX892" s="111">
        <v>17</v>
      </c>
      <c r="CY892" s="112">
        <v>0.5</v>
      </c>
      <c r="CZ892" s="113">
        <v>94</v>
      </c>
      <c r="DA892" s="114">
        <v>-0.2</v>
      </c>
      <c r="DB892" s="115">
        <v>5</v>
      </c>
      <c r="DC892" s="116">
        <v>98.39</v>
      </c>
      <c r="DD892" s="117">
        <v>99</v>
      </c>
      <c r="DE892" s="118">
        <v>0.05</v>
      </c>
      <c r="DF892" s="119">
        <v>0.05</v>
      </c>
      <c r="DG892" s="120">
        <v>196.38</v>
      </c>
      <c r="DH892" s="121">
        <v>100</v>
      </c>
      <c r="DI892" s="122">
        <v>0.4</v>
      </c>
      <c r="DJ892" s="123">
        <v>35</v>
      </c>
      <c r="DK892" s="124">
        <v>269.31</v>
      </c>
      <c r="DL892" s="125">
        <v>99</v>
      </c>
      <c r="DM892" s="126">
        <v>123.44</v>
      </c>
      <c r="DN892" s="127">
        <v>100</v>
      </c>
      <c r="DO892" s="128">
        <v>0.4</v>
      </c>
      <c r="DP892" s="129">
        <v>35</v>
      </c>
      <c r="DQ892" s="130">
        <v>161051</v>
      </c>
      <c r="DR892" s="131">
        <v>-4943</v>
      </c>
      <c r="DS892" s="132">
        <v>-2.98</v>
      </c>
      <c r="DT892" s="133">
        <v>1974</v>
      </c>
      <c r="DU892" s="134">
        <v>7</v>
      </c>
      <c r="DV892" s="135">
        <v>0.36</v>
      </c>
      <c r="DW892" s="136">
        <v>125</v>
      </c>
      <c r="DX892" s="137">
        <v>0</v>
      </c>
      <c r="DY892" s="138">
        <v>0</v>
      </c>
      <c r="DZ892" s="139" t="s">
        <v>191</v>
      </c>
      <c r="EA892" s="140">
        <v>43940</v>
      </c>
      <c r="EB892" s="141">
        <v>5587.87</v>
      </c>
      <c r="EC892" s="142">
        <v>41582</v>
      </c>
      <c r="ED892" s="143" t="s">
        <v>226</v>
      </c>
      <c r="EE892" s="278" t="str">
        <f>HYPERLINK("https://my.pitchbook.com?c=60939-91", "View company online")</f>
        <v>View company online</v>
      </c>
    </row>
    <row r="893" spans="1:135" x14ac:dyDescent="0.45">
      <c r="A893" s="144" t="s">
        <v>17627</v>
      </c>
      <c r="B893" s="145" t="s">
        <v>17628</v>
      </c>
      <c r="C893" s="146" t="s">
        <v>153</v>
      </c>
      <c r="D893" s="147" t="s">
        <v>153</v>
      </c>
      <c r="E893" s="148" t="s">
        <v>17629</v>
      </c>
      <c r="F893" s="149" t="s">
        <v>153</v>
      </c>
      <c r="G893" s="150" t="s">
        <v>17630</v>
      </c>
      <c r="H893" s="151" t="s">
        <v>153</v>
      </c>
      <c r="I893" s="152" t="s">
        <v>17627</v>
      </c>
      <c r="J893" s="153" t="s">
        <v>17631</v>
      </c>
      <c r="K893" s="154" t="s">
        <v>882</v>
      </c>
      <c r="L893" s="155" t="s">
        <v>883</v>
      </c>
      <c r="M893" s="156" t="s">
        <v>1369</v>
      </c>
      <c r="N893" s="157" t="s">
        <v>17632</v>
      </c>
      <c r="O893" s="158" t="s">
        <v>17633</v>
      </c>
      <c r="P893" s="159" t="s">
        <v>17634</v>
      </c>
      <c r="Q893" s="160" t="s">
        <v>204</v>
      </c>
      <c r="R893" s="161" t="s">
        <v>153</v>
      </c>
      <c r="S893" s="162" t="s">
        <v>290</v>
      </c>
      <c r="T893" s="163" t="s">
        <v>205</v>
      </c>
      <c r="U893" s="164" t="s">
        <v>237</v>
      </c>
      <c r="V893" s="165" t="s">
        <v>153</v>
      </c>
      <c r="W893" s="166">
        <v>20807</v>
      </c>
      <c r="X893" s="167" t="s">
        <v>17635</v>
      </c>
      <c r="Y893" s="168" t="s">
        <v>153</v>
      </c>
      <c r="Z893" s="169" t="s">
        <v>153</v>
      </c>
      <c r="AA893" s="170">
        <v>1819</v>
      </c>
      <c r="AB893" s="171" t="s">
        <v>153</v>
      </c>
      <c r="AC893" s="172" t="s">
        <v>153</v>
      </c>
      <c r="AD893" s="173" t="s">
        <v>153</v>
      </c>
      <c r="AE893" s="174" t="s">
        <v>153</v>
      </c>
      <c r="AF893" s="175" t="s">
        <v>153</v>
      </c>
      <c r="AG893" s="176" t="s">
        <v>153</v>
      </c>
      <c r="AH893" s="177" t="s">
        <v>153</v>
      </c>
      <c r="AI893" s="178" t="s">
        <v>153</v>
      </c>
      <c r="AJ893" s="179" t="s">
        <v>153</v>
      </c>
      <c r="AK893" s="180" t="s">
        <v>153</v>
      </c>
      <c r="AL893" s="181" t="s">
        <v>153</v>
      </c>
      <c r="AM893" s="182" t="s">
        <v>153</v>
      </c>
      <c r="AN893" s="183" t="s">
        <v>5377</v>
      </c>
      <c r="AO893" s="184" t="s">
        <v>17636</v>
      </c>
      <c r="AP893" s="185" t="s">
        <v>17637</v>
      </c>
      <c r="AQ893" s="186" t="s">
        <v>17638</v>
      </c>
      <c r="AR893" s="187" t="s">
        <v>153</v>
      </c>
      <c r="AS893" s="188" t="s">
        <v>153</v>
      </c>
      <c r="AT893" s="189" t="s">
        <v>1071</v>
      </c>
      <c r="AU893" s="190" t="s">
        <v>5738</v>
      </c>
      <c r="AV893" s="191" t="s">
        <v>17639</v>
      </c>
      <c r="AW893" s="192" t="s">
        <v>1074</v>
      </c>
      <c r="AX893" s="193" t="s">
        <v>177</v>
      </c>
      <c r="AY893" s="194" t="s">
        <v>17640</v>
      </c>
      <c r="AZ893" s="195" t="s">
        <v>179</v>
      </c>
      <c r="BA893" s="196" t="s">
        <v>153</v>
      </c>
      <c r="BB893" s="197" t="s">
        <v>153</v>
      </c>
      <c r="BC893" s="198" t="s">
        <v>153</v>
      </c>
      <c r="BD893" s="199" t="s">
        <v>180</v>
      </c>
      <c r="BE893" s="200" t="s">
        <v>181</v>
      </c>
      <c r="BF893" s="201" t="s">
        <v>17641</v>
      </c>
      <c r="BG893" s="202" t="s">
        <v>153</v>
      </c>
      <c r="BH893" s="203" t="s">
        <v>153</v>
      </c>
      <c r="BI893" s="204" t="s">
        <v>15774</v>
      </c>
      <c r="BJ893" s="205" t="s">
        <v>153</v>
      </c>
      <c r="BK893" s="206" t="s">
        <v>153</v>
      </c>
      <c r="BL893" s="207" t="s">
        <v>153</v>
      </c>
      <c r="BM893" s="208" t="s">
        <v>153</v>
      </c>
      <c r="BN893" s="209" t="s">
        <v>153</v>
      </c>
      <c r="BO893" s="210" t="s">
        <v>17642</v>
      </c>
      <c r="BP893" s="211" t="s">
        <v>17643</v>
      </c>
      <c r="BQ893" s="212">
        <v>36412</v>
      </c>
      <c r="BR893" s="213" t="s">
        <v>153</v>
      </c>
      <c r="BS893" s="214" t="s">
        <v>153</v>
      </c>
      <c r="BT893" s="215" t="s">
        <v>153</v>
      </c>
      <c r="BU893" s="216" t="s">
        <v>153</v>
      </c>
      <c r="BV893" s="217" t="s">
        <v>251</v>
      </c>
      <c r="BW893" s="218" t="s">
        <v>153</v>
      </c>
      <c r="BX893" s="219" t="s">
        <v>153</v>
      </c>
      <c r="BY893" s="220" t="s">
        <v>252</v>
      </c>
      <c r="BZ893" s="221" t="s">
        <v>153</v>
      </c>
      <c r="CA893" s="222" t="s">
        <v>190</v>
      </c>
      <c r="CB893" s="223">
        <v>41656</v>
      </c>
      <c r="CC893" s="224">
        <v>5583.77</v>
      </c>
      <c r="CD893" s="225" t="s">
        <v>186</v>
      </c>
      <c r="CE893" s="226">
        <v>5583.77</v>
      </c>
      <c r="CF893" s="227" t="s">
        <v>187</v>
      </c>
      <c r="CG893" s="228" t="s">
        <v>226</v>
      </c>
      <c r="CH893" s="229" t="s">
        <v>153</v>
      </c>
      <c r="CI893" s="230" t="s">
        <v>153</v>
      </c>
      <c r="CJ893" s="231" t="s">
        <v>225</v>
      </c>
      <c r="CK893" s="232">
        <v>41656</v>
      </c>
      <c r="CL893" s="233" t="s">
        <v>153</v>
      </c>
      <c r="CM893" s="234" t="s">
        <v>153</v>
      </c>
      <c r="CN893" s="235" t="s">
        <v>190</v>
      </c>
      <c r="CO893" s="236" t="s">
        <v>153</v>
      </c>
      <c r="CP893" s="237" t="s">
        <v>153</v>
      </c>
      <c r="CQ893" s="238" t="s">
        <v>153</v>
      </c>
      <c r="CR893" s="239" t="s">
        <v>153</v>
      </c>
      <c r="CS893" s="240" t="s">
        <v>153</v>
      </c>
      <c r="CT893" s="241" t="s">
        <v>153</v>
      </c>
      <c r="CU893" s="242" t="s">
        <v>153</v>
      </c>
      <c r="CV893" s="243" t="s">
        <v>153</v>
      </c>
      <c r="CW893" s="244" t="s">
        <v>153</v>
      </c>
      <c r="CX893" s="245" t="s">
        <v>153</v>
      </c>
      <c r="CY893" s="246" t="s">
        <v>153</v>
      </c>
      <c r="CZ893" s="247" t="s">
        <v>153</v>
      </c>
      <c r="DA893" s="248" t="s">
        <v>153</v>
      </c>
      <c r="DB893" s="249" t="s">
        <v>153</v>
      </c>
      <c r="DC893" s="250" t="s">
        <v>153</v>
      </c>
      <c r="DD893" s="251" t="s">
        <v>153</v>
      </c>
      <c r="DE893" s="252" t="s">
        <v>153</v>
      </c>
      <c r="DF893" s="253" t="s">
        <v>153</v>
      </c>
      <c r="DG893" s="254" t="s">
        <v>153</v>
      </c>
      <c r="DH893" s="255" t="s">
        <v>153</v>
      </c>
      <c r="DI893" s="256" t="s">
        <v>153</v>
      </c>
      <c r="DJ893" s="257" t="s">
        <v>153</v>
      </c>
      <c r="DK893" s="258" t="s">
        <v>153</v>
      </c>
      <c r="DL893" s="259" t="s">
        <v>153</v>
      </c>
      <c r="DM893" s="260" t="s">
        <v>153</v>
      </c>
      <c r="DN893" s="261" t="s">
        <v>153</v>
      </c>
      <c r="DO893" s="262" t="s">
        <v>153</v>
      </c>
      <c r="DP893" s="263" t="s">
        <v>153</v>
      </c>
      <c r="DQ893" s="264" t="s">
        <v>153</v>
      </c>
      <c r="DR893" s="265" t="s">
        <v>153</v>
      </c>
      <c r="DS893" s="266" t="s">
        <v>153</v>
      </c>
      <c r="DT893" s="267" t="s">
        <v>153</v>
      </c>
      <c r="DU893" s="268" t="s">
        <v>153</v>
      </c>
      <c r="DV893" s="269" t="s">
        <v>153</v>
      </c>
      <c r="DW893" s="270" t="s">
        <v>153</v>
      </c>
      <c r="DX893" s="271" t="s">
        <v>153</v>
      </c>
      <c r="DY893" s="272" t="s">
        <v>153</v>
      </c>
      <c r="DZ893" s="273" t="s">
        <v>191</v>
      </c>
      <c r="EA893" s="274">
        <v>44330</v>
      </c>
      <c r="EB893" s="275">
        <v>5583.77</v>
      </c>
      <c r="EC893" s="276">
        <v>41656</v>
      </c>
      <c r="ED893" s="277" t="s">
        <v>226</v>
      </c>
      <c r="EE893" s="279" t="str">
        <f>HYPERLINK("https://my.pitchbook.com?c=14531-59", "View company online")</f>
        <v>View company online</v>
      </c>
    </row>
    <row r="894" spans="1:135" x14ac:dyDescent="0.45">
      <c r="A894" s="10" t="s">
        <v>17644</v>
      </c>
      <c r="B894" s="11" t="s">
        <v>17645</v>
      </c>
      <c r="C894" s="12" t="s">
        <v>153</v>
      </c>
      <c r="D894" s="13" t="s">
        <v>153</v>
      </c>
      <c r="E894" s="14" t="s">
        <v>153</v>
      </c>
      <c r="F894" s="15" t="s">
        <v>17646</v>
      </c>
      <c r="G894" s="16" t="s">
        <v>17647</v>
      </c>
      <c r="H894" s="17" t="s">
        <v>17648</v>
      </c>
      <c r="I894" s="18" t="s">
        <v>17644</v>
      </c>
      <c r="J894" s="19" t="s">
        <v>17649</v>
      </c>
      <c r="K894" s="20" t="s">
        <v>257</v>
      </c>
      <c r="L894" s="21" t="s">
        <v>258</v>
      </c>
      <c r="M894" s="22" t="s">
        <v>448</v>
      </c>
      <c r="N894" s="23" t="s">
        <v>17650</v>
      </c>
      <c r="O894" s="24" t="s">
        <v>17651</v>
      </c>
      <c r="P894" s="25" t="s">
        <v>17652</v>
      </c>
      <c r="Q894" s="26" t="s">
        <v>289</v>
      </c>
      <c r="R894" s="27">
        <v>104.11</v>
      </c>
      <c r="S894" s="28" t="s">
        <v>290</v>
      </c>
      <c r="T894" s="29" t="s">
        <v>205</v>
      </c>
      <c r="U894" s="30" t="s">
        <v>482</v>
      </c>
      <c r="V894" s="31" t="s">
        <v>17653</v>
      </c>
      <c r="W894" s="32">
        <v>2200</v>
      </c>
      <c r="X894" s="33" t="s">
        <v>17654</v>
      </c>
      <c r="Y894" s="34" t="s">
        <v>153</v>
      </c>
      <c r="Z894" s="35" t="s">
        <v>153</v>
      </c>
      <c r="AA894" s="36">
        <v>1999</v>
      </c>
      <c r="AB894" s="37" t="s">
        <v>17655</v>
      </c>
      <c r="AC894" s="38" t="s">
        <v>428</v>
      </c>
      <c r="AD894" s="39" t="s">
        <v>428</v>
      </c>
      <c r="AE894" s="40" t="s">
        <v>153</v>
      </c>
      <c r="AF894" s="41" t="s">
        <v>153</v>
      </c>
      <c r="AG894" s="42" t="s">
        <v>153</v>
      </c>
      <c r="AH894" s="43" t="s">
        <v>153</v>
      </c>
      <c r="AI894" s="44" t="s">
        <v>153</v>
      </c>
      <c r="AJ894" s="45" t="s">
        <v>153</v>
      </c>
      <c r="AK894" s="46" t="s">
        <v>153</v>
      </c>
      <c r="AL894" s="47" t="s">
        <v>153</v>
      </c>
      <c r="AM894" s="48" t="s">
        <v>153</v>
      </c>
      <c r="AN894" s="49" t="s">
        <v>509</v>
      </c>
      <c r="AO894" s="50" t="s">
        <v>17656</v>
      </c>
      <c r="AP894" s="51" t="s">
        <v>17657</v>
      </c>
      <c r="AQ894" s="52" t="s">
        <v>17658</v>
      </c>
      <c r="AR894" s="53" t="s">
        <v>153</v>
      </c>
      <c r="AS894" s="54" t="s">
        <v>17659</v>
      </c>
      <c r="AT894" s="55" t="s">
        <v>433</v>
      </c>
      <c r="AU894" s="56" t="s">
        <v>17660</v>
      </c>
      <c r="AV894" s="57" t="s">
        <v>153</v>
      </c>
      <c r="AW894" s="58" t="s">
        <v>436</v>
      </c>
      <c r="AX894" s="59" t="s">
        <v>436</v>
      </c>
      <c r="AY894" s="60" t="s">
        <v>16366</v>
      </c>
      <c r="AZ894" s="61" t="s">
        <v>215</v>
      </c>
      <c r="BA894" s="62" t="s">
        <v>17659</v>
      </c>
      <c r="BB894" s="63" t="s">
        <v>153</v>
      </c>
      <c r="BC894" s="64" t="s">
        <v>153</v>
      </c>
      <c r="BD894" s="65" t="s">
        <v>216</v>
      </c>
      <c r="BE894" s="66" t="s">
        <v>217</v>
      </c>
      <c r="BF894" s="67" t="s">
        <v>17661</v>
      </c>
      <c r="BG894" s="68" t="s">
        <v>153</v>
      </c>
      <c r="BH894" s="69" t="s">
        <v>153</v>
      </c>
      <c r="BI894" s="70" t="s">
        <v>17655</v>
      </c>
      <c r="BJ894" s="71" t="s">
        <v>17662</v>
      </c>
      <c r="BK894" s="72" t="s">
        <v>153</v>
      </c>
      <c r="BL894" s="73" t="s">
        <v>153</v>
      </c>
      <c r="BM894" s="74" t="s">
        <v>17663</v>
      </c>
      <c r="BN894" s="75" t="s">
        <v>153</v>
      </c>
      <c r="BO894" s="76" t="s">
        <v>17664</v>
      </c>
      <c r="BP894" s="77" t="s">
        <v>17665</v>
      </c>
      <c r="BQ894" s="78">
        <v>37318</v>
      </c>
      <c r="BR894" s="79">
        <v>1</v>
      </c>
      <c r="BS894" s="80" t="s">
        <v>186</v>
      </c>
      <c r="BT894" s="81">
        <v>3.64</v>
      </c>
      <c r="BU894" s="82" t="s">
        <v>186</v>
      </c>
      <c r="BV894" s="83" t="s">
        <v>471</v>
      </c>
      <c r="BW894" s="84" t="s">
        <v>1811</v>
      </c>
      <c r="BX894" s="85" t="s">
        <v>153</v>
      </c>
      <c r="BY894" s="86" t="s">
        <v>472</v>
      </c>
      <c r="BZ894" s="87" t="s">
        <v>153</v>
      </c>
      <c r="CA894" s="88" t="s">
        <v>190</v>
      </c>
      <c r="CB894" s="89">
        <v>43766</v>
      </c>
      <c r="CC894" s="90">
        <v>5582.59</v>
      </c>
      <c r="CD894" s="91" t="s">
        <v>186</v>
      </c>
      <c r="CE894" s="92">
        <v>5582.59</v>
      </c>
      <c r="CF894" s="93" t="s">
        <v>187</v>
      </c>
      <c r="CG894" s="94" t="s">
        <v>226</v>
      </c>
      <c r="CH894" s="95" t="s">
        <v>153</v>
      </c>
      <c r="CI894" s="96" t="s">
        <v>153</v>
      </c>
      <c r="CJ894" s="97" t="s">
        <v>225</v>
      </c>
      <c r="CK894" s="98">
        <v>43766</v>
      </c>
      <c r="CL894" s="99" t="s">
        <v>153</v>
      </c>
      <c r="CM894" s="100" t="s">
        <v>153</v>
      </c>
      <c r="CN894" s="101" t="s">
        <v>190</v>
      </c>
      <c r="CO894" s="102" t="s">
        <v>153</v>
      </c>
      <c r="CP894" s="103" t="s">
        <v>153</v>
      </c>
      <c r="CQ894" s="104" t="s">
        <v>153</v>
      </c>
      <c r="CR894" s="105" t="s">
        <v>153</v>
      </c>
      <c r="CS894" s="106" t="s">
        <v>153</v>
      </c>
      <c r="CT894" s="107" t="s">
        <v>153</v>
      </c>
      <c r="CU894" s="108" t="s">
        <v>153</v>
      </c>
      <c r="CV894" s="109" t="s">
        <v>153</v>
      </c>
      <c r="CW894" s="110" t="s">
        <v>153</v>
      </c>
      <c r="CX894" s="111" t="s">
        <v>153</v>
      </c>
      <c r="CY894" s="112" t="s">
        <v>153</v>
      </c>
      <c r="CZ894" s="113" t="s">
        <v>153</v>
      </c>
      <c r="DA894" s="114" t="s">
        <v>153</v>
      </c>
      <c r="DB894" s="115" t="s">
        <v>153</v>
      </c>
      <c r="DC894" s="116" t="s">
        <v>153</v>
      </c>
      <c r="DD894" s="117" t="s">
        <v>153</v>
      </c>
      <c r="DE894" s="118" t="s">
        <v>153</v>
      </c>
      <c r="DF894" s="119" t="s">
        <v>153</v>
      </c>
      <c r="DG894" s="120" t="s">
        <v>153</v>
      </c>
      <c r="DH894" s="121" t="s">
        <v>153</v>
      </c>
      <c r="DI894" s="122" t="s">
        <v>153</v>
      </c>
      <c r="DJ894" s="123" t="s">
        <v>153</v>
      </c>
      <c r="DK894" s="124" t="s">
        <v>153</v>
      </c>
      <c r="DL894" s="125" t="s">
        <v>153</v>
      </c>
      <c r="DM894" s="126" t="s">
        <v>153</v>
      </c>
      <c r="DN894" s="127" t="s">
        <v>153</v>
      </c>
      <c r="DO894" s="128" t="s">
        <v>153</v>
      </c>
      <c r="DP894" s="129" t="s">
        <v>153</v>
      </c>
      <c r="DQ894" s="130" t="s">
        <v>153</v>
      </c>
      <c r="DR894" s="131" t="s">
        <v>153</v>
      </c>
      <c r="DS894" s="132" t="s">
        <v>153</v>
      </c>
      <c r="DT894" s="133" t="s">
        <v>153</v>
      </c>
      <c r="DU894" s="134" t="s">
        <v>153</v>
      </c>
      <c r="DV894" s="135" t="s">
        <v>153</v>
      </c>
      <c r="DW894" s="136" t="s">
        <v>153</v>
      </c>
      <c r="DX894" s="137" t="s">
        <v>153</v>
      </c>
      <c r="DY894" s="138" t="s">
        <v>153</v>
      </c>
      <c r="DZ894" s="139" t="s">
        <v>191</v>
      </c>
      <c r="EA894" s="140">
        <v>44363</v>
      </c>
      <c r="EB894" s="141">
        <v>5582.59</v>
      </c>
      <c r="EC894" s="142">
        <v>43766</v>
      </c>
      <c r="ED894" s="143" t="s">
        <v>226</v>
      </c>
      <c r="EE894" s="278" t="str">
        <f>HYPERLINK("https://my.pitchbook.com?c=13357-09", "View company online")</f>
        <v>View company online</v>
      </c>
    </row>
    <row r="895" spans="1:135" x14ac:dyDescent="0.45">
      <c r="A895" s="144" t="s">
        <v>17666</v>
      </c>
      <c r="B895" s="145" t="s">
        <v>17667</v>
      </c>
      <c r="C895" s="146" t="s">
        <v>153</v>
      </c>
      <c r="D895" s="147" t="s">
        <v>153</v>
      </c>
      <c r="E895" s="148" t="s">
        <v>153</v>
      </c>
      <c r="F895" s="149" t="s">
        <v>17668</v>
      </c>
      <c r="G895" s="150" t="s">
        <v>17669</v>
      </c>
      <c r="H895" s="151" t="s">
        <v>153</v>
      </c>
      <c r="I895" s="152" t="s">
        <v>17666</v>
      </c>
      <c r="J895" s="153" t="s">
        <v>17670</v>
      </c>
      <c r="K895" s="154" t="s">
        <v>257</v>
      </c>
      <c r="L895" s="155" t="s">
        <v>258</v>
      </c>
      <c r="M895" s="156" t="s">
        <v>259</v>
      </c>
      <c r="N895" s="157" t="s">
        <v>14488</v>
      </c>
      <c r="O895" s="158" t="s">
        <v>153</v>
      </c>
      <c r="P895" s="159" t="s">
        <v>17671</v>
      </c>
      <c r="Q895" s="160" t="s">
        <v>564</v>
      </c>
      <c r="R895" s="161" t="s">
        <v>153</v>
      </c>
      <c r="S895" s="162" t="s">
        <v>290</v>
      </c>
      <c r="T895" s="163" t="s">
        <v>205</v>
      </c>
      <c r="U895" s="164" t="s">
        <v>165</v>
      </c>
      <c r="V895" s="165" t="s">
        <v>153</v>
      </c>
      <c r="W895" s="166">
        <v>9000</v>
      </c>
      <c r="X895" s="167" t="s">
        <v>17672</v>
      </c>
      <c r="Y895" s="168" t="s">
        <v>153</v>
      </c>
      <c r="Z895" s="169" t="s">
        <v>153</v>
      </c>
      <c r="AA895" s="170">
        <v>2002</v>
      </c>
      <c r="AB895" s="171" t="s">
        <v>6122</v>
      </c>
      <c r="AC895" s="172" t="s">
        <v>153</v>
      </c>
      <c r="AD895" s="173" t="s">
        <v>153</v>
      </c>
      <c r="AE895" s="174" t="s">
        <v>153</v>
      </c>
      <c r="AF895" s="175" t="s">
        <v>153</v>
      </c>
      <c r="AG895" s="176" t="s">
        <v>153</v>
      </c>
      <c r="AH895" s="177" t="s">
        <v>153</v>
      </c>
      <c r="AI895" s="178" t="s">
        <v>153</v>
      </c>
      <c r="AJ895" s="179" t="s">
        <v>153</v>
      </c>
      <c r="AK895" s="180" t="s">
        <v>153</v>
      </c>
      <c r="AL895" s="181" t="s">
        <v>153</v>
      </c>
      <c r="AM895" s="182" t="s">
        <v>153</v>
      </c>
      <c r="AN895" s="183" t="s">
        <v>1442</v>
      </c>
      <c r="AO895" s="184" t="s">
        <v>153</v>
      </c>
      <c r="AP895" s="185" t="s">
        <v>153</v>
      </c>
      <c r="AQ895" s="186" t="s">
        <v>153</v>
      </c>
      <c r="AR895" s="187" t="s">
        <v>153</v>
      </c>
      <c r="AS895" s="188" t="s">
        <v>153</v>
      </c>
      <c r="AT895" s="189" t="s">
        <v>17673</v>
      </c>
      <c r="AU895" s="190" t="s">
        <v>17674</v>
      </c>
      <c r="AV895" s="191" t="s">
        <v>153</v>
      </c>
      <c r="AW895" s="192" t="s">
        <v>17675</v>
      </c>
      <c r="AX895" s="193" t="s">
        <v>17676</v>
      </c>
      <c r="AY895" s="194" t="s">
        <v>17677</v>
      </c>
      <c r="AZ895" s="195" t="s">
        <v>352</v>
      </c>
      <c r="BA895" s="196" t="s">
        <v>17678</v>
      </c>
      <c r="BB895" s="197" t="s">
        <v>17679</v>
      </c>
      <c r="BC895" s="198" t="s">
        <v>153</v>
      </c>
      <c r="BD895" s="199" t="s">
        <v>180</v>
      </c>
      <c r="BE895" s="200" t="s">
        <v>181</v>
      </c>
      <c r="BF895" s="201" t="s">
        <v>17680</v>
      </c>
      <c r="BG895" s="202" t="s">
        <v>153</v>
      </c>
      <c r="BH895" s="203" t="s">
        <v>153</v>
      </c>
      <c r="BI895" s="204" t="s">
        <v>6122</v>
      </c>
      <c r="BJ895" s="205" t="s">
        <v>153</v>
      </c>
      <c r="BK895" s="206" t="s">
        <v>17681</v>
      </c>
      <c r="BL895" s="207" t="s">
        <v>153</v>
      </c>
      <c r="BM895" s="208" t="s">
        <v>153</v>
      </c>
      <c r="BN895" s="209" t="s">
        <v>17682</v>
      </c>
      <c r="BO895" s="210" t="s">
        <v>2579</v>
      </c>
      <c r="BP895" s="211" t="s">
        <v>17683</v>
      </c>
      <c r="BQ895" s="212">
        <v>39080</v>
      </c>
      <c r="BR895" s="213">
        <v>5562.15</v>
      </c>
      <c r="BS895" s="214" t="s">
        <v>186</v>
      </c>
      <c r="BT895" s="215">
        <v>5562.15</v>
      </c>
      <c r="BU895" s="216" t="s">
        <v>153</v>
      </c>
      <c r="BV895" s="217" t="s">
        <v>188</v>
      </c>
      <c r="BW895" s="218" t="s">
        <v>189</v>
      </c>
      <c r="BX895" s="219" t="s">
        <v>729</v>
      </c>
      <c r="BY895" s="220" t="s">
        <v>165</v>
      </c>
      <c r="BZ895" s="221" t="s">
        <v>1607</v>
      </c>
      <c r="CA895" s="222" t="s">
        <v>190</v>
      </c>
      <c r="CB895" s="223">
        <v>39080</v>
      </c>
      <c r="CC895" s="224">
        <v>5562.15</v>
      </c>
      <c r="CD895" s="225" t="s">
        <v>186</v>
      </c>
      <c r="CE895" s="226">
        <v>5562.15</v>
      </c>
      <c r="CF895" s="227" t="s">
        <v>153</v>
      </c>
      <c r="CG895" s="228" t="s">
        <v>188</v>
      </c>
      <c r="CH895" s="229" t="s">
        <v>189</v>
      </c>
      <c r="CI895" s="230" t="s">
        <v>729</v>
      </c>
      <c r="CJ895" s="231" t="s">
        <v>165</v>
      </c>
      <c r="CK895" s="232">
        <v>39080</v>
      </c>
      <c r="CL895" s="233" t="s">
        <v>153</v>
      </c>
      <c r="CM895" s="234" t="s">
        <v>1607</v>
      </c>
      <c r="CN895" s="235" t="s">
        <v>190</v>
      </c>
      <c r="CO895" s="236" t="s">
        <v>153</v>
      </c>
      <c r="CP895" s="237" t="s">
        <v>153</v>
      </c>
      <c r="CQ895" s="238" t="s">
        <v>153</v>
      </c>
      <c r="CR895" s="239" t="s">
        <v>153</v>
      </c>
      <c r="CS895" s="240" t="s">
        <v>153</v>
      </c>
      <c r="CT895" s="241" t="s">
        <v>153</v>
      </c>
      <c r="CU895" s="242" t="s">
        <v>153</v>
      </c>
      <c r="CV895" s="243" t="s">
        <v>153</v>
      </c>
      <c r="CW895" s="244" t="s">
        <v>153</v>
      </c>
      <c r="CX895" s="245" t="s">
        <v>153</v>
      </c>
      <c r="CY895" s="246" t="s">
        <v>153</v>
      </c>
      <c r="CZ895" s="247" t="s">
        <v>153</v>
      </c>
      <c r="DA895" s="248" t="s">
        <v>153</v>
      </c>
      <c r="DB895" s="249" t="s">
        <v>153</v>
      </c>
      <c r="DC895" s="250" t="s">
        <v>153</v>
      </c>
      <c r="DD895" s="251" t="s">
        <v>153</v>
      </c>
      <c r="DE895" s="252" t="s">
        <v>153</v>
      </c>
      <c r="DF895" s="253" t="s">
        <v>153</v>
      </c>
      <c r="DG895" s="254" t="s">
        <v>153</v>
      </c>
      <c r="DH895" s="255" t="s">
        <v>153</v>
      </c>
      <c r="DI895" s="256" t="s">
        <v>153</v>
      </c>
      <c r="DJ895" s="257" t="s">
        <v>153</v>
      </c>
      <c r="DK895" s="258" t="s">
        <v>153</v>
      </c>
      <c r="DL895" s="259" t="s">
        <v>153</v>
      </c>
      <c r="DM895" s="260" t="s">
        <v>153</v>
      </c>
      <c r="DN895" s="261" t="s">
        <v>153</v>
      </c>
      <c r="DO895" s="262" t="s">
        <v>153</v>
      </c>
      <c r="DP895" s="263" t="s">
        <v>153</v>
      </c>
      <c r="DQ895" s="264" t="s">
        <v>153</v>
      </c>
      <c r="DR895" s="265" t="s">
        <v>153</v>
      </c>
      <c r="DS895" s="266" t="s">
        <v>153</v>
      </c>
      <c r="DT895" s="267" t="s">
        <v>153</v>
      </c>
      <c r="DU895" s="268" t="s">
        <v>153</v>
      </c>
      <c r="DV895" s="269" t="s">
        <v>153</v>
      </c>
      <c r="DW895" s="270" t="s">
        <v>153</v>
      </c>
      <c r="DX895" s="271" t="s">
        <v>153</v>
      </c>
      <c r="DY895" s="272" t="s">
        <v>153</v>
      </c>
      <c r="DZ895" s="273" t="s">
        <v>191</v>
      </c>
      <c r="EA895" s="274">
        <v>43940</v>
      </c>
      <c r="EB895" s="275">
        <v>5562.15</v>
      </c>
      <c r="EC895" s="276">
        <v>39080</v>
      </c>
      <c r="ED895" s="277" t="s">
        <v>188</v>
      </c>
      <c r="EE895" s="279" t="str">
        <f>HYPERLINK("https://my.pitchbook.com?c=10511-47", "View company online")</f>
        <v>View company online</v>
      </c>
    </row>
    <row r="896" spans="1:135" x14ac:dyDescent="0.45">
      <c r="A896" s="10" t="s">
        <v>17684</v>
      </c>
      <c r="B896" s="11" t="s">
        <v>4103</v>
      </c>
      <c r="C896" s="12" t="s">
        <v>153</v>
      </c>
      <c r="D896" s="13" t="s">
        <v>153</v>
      </c>
      <c r="E896" s="14" t="s">
        <v>153</v>
      </c>
      <c r="F896" s="15" t="s">
        <v>17685</v>
      </c>
      <c r="G896" s="16" t="s">
        <v>17686</v>
      </c>
      <c r="H896" s="17" t="s">
        <v>17687</v>
      </c>
      <c r="I896" s="18" t="s">
        <v>17684</v>
      </c>
      <c r="J896" s="19" t="s">
        <v>17688</v>
      </c>
      <c r="K896" s="20" t="s">
        <v>232</v>
      </c>
      <c r="L896" s="21" t="s">
        <v>2162</v>
      </c>
      <c r="M896" s="22" t="s">
        <v>5138</v>
      </c>
      <c r="N896" s="23" t="s">
        <v>17689</v>
      </c>
      <c r="O896" s="24" t="s">
        <v>8895</v>
      </c>
      <c r="P896" s="25" t="s">
        <v>17690</v>
      </c>
      <c r="Q896" s="26" t="s">
        <v>564</v>
      </c>
      <c r="R896" s="27">
        <v>314.01</v>
      </c>
      <c r="S896" s="28" t="s">
        <v>290</v>
      </c>
      <c r="T896" s="29" t="s">
        <v>164</v>
      </c>
      <c r="U896" s="30" t="s">
        <v>369</v>
      </c>
      <c r="V896" s="31" t="s">
        <v>17691</v>
      </c>
      <c r="W896" s="32">
        <v>1000</v>
      </c>
      <c r="X896" s="33" t="s">
        <v>17692</v>
      </c>
      <c r="Y896" s="34" t="s">
        <v>153</v>
      </c>
      <c r="Z896" s="35" t="s">
        <v>153</v>
      </c>
      <c r="AA896" s="36">
        <v>2005</v>
      </c>
      <c r="AB896" s="37" t="s">
        <v>2640</v>
      </c>
      <c r="AC896" s="38" t="s">
        <v>153</v>
      </c>
      <c r="AD896" s="39" t="s">
        <v>153</v>
      </c>
      <c r="AE896" s="40" t="s">
        <v>153</v>
      </c>
      <c r="AF896" s="41" t="s">
        <v>153</v>
      </c>
      <c r="AG896" s="42" t="s">
        <v>153</v>
      </c>
      <c r="AH896" s="43" t="s">
        <v>153</v>
      </c>
      <c r="AI896" s="44" t="s">
        <v>153</v>
      </c>
      <c r="AJ896" s="45" t="s">
        <v>153</v>
      </c>
      <c r="AK896" s="46" t="s">
        <v>153</v>
      </c>
      <c r="AL896" s="47" t="s">
        <v>153</v>
      </c>
      <c r="AM896" s="48" t="s">
        <v>153</v>
      </c>
      <c r="AN896" s="49" t="s">
        <v>648</v>
      </c>
      <c r="AO896" s="50" t="s">
        <v>17693</v>
      </c>
      <c r="AP896" s="51" t="s">
        <v>17694</v>
      </c>
      <c r="AQ896" s="52" t="s">
        <v>17695</v>
      </c>
      <c r="AR896" s="53" t="s">
        <v>153</v>
      </c>
      <c r="AS896" s="54" t="s">
        <v>17696</v>
      </c>
      <c r="AT896" s="55" t="s">
        <v>4094</v>
      </c>
      <c r="AU896" s="56" t="s">
        <v>4096</v>
      </c>
      <c r="AV896" s="57" t="s">
        <v>153</v>
      </c>
      <c r="AW896" s="58" t="s">
        <v>4097</v>
      </c>
      <c r="AX896" s="59" t="s">
        <v>153</v>
      </c>
      <c r="AY896" s="60" t="s">
        <v>4098</v>
      </c>
      <c r="AZ896" s="61" t="s">
        <v>4099</v>
      </c>
      <c r="BA896" s="62" t="s">
        <v>17697</v>
      </c>
      <c r="BB896" s="63" t="s">
        <v>17698</v>
      </c>
      <c r="BC896" s="64" t="s">
        <v>153</v>
      </c>
      <c r="BD896" s="65" t="s">
        <v>216</v>
      </c>
      <c r="BE896" s="66" t="s">
        <v>217</v>
      </c>
      <c r="BF896" s="67" t="s">
        <v>17699</v>
      </c>
      <c r="BG896" s="68" t="s">
        <v>153</v>
      </c>
      <c r="BH896" s="69" t="s">
        <v>153</v>
      </c>
      <c r="BI896" s="70" t="s">
        <v>2640</v>
      </c>
      <c r="BJ896" s="71" t="s">
        <v>17700</v>
      </c>
      <c r="BK896" s="72" t="s">
        <v>153</v>
      </c>
      <c r="BL896" s="73" t="s">
        <v>153</v>
      </c>
      <c r="BM896" s="74" t="s">
        <v>17701</v>
      </c>
      <c r="BN896" s="75" t="s">
        <v>153</v>
      </c>
      <c r="BO896" s="76" t="s">
        <v>17702</v>
      </c>
      <c r="BP896" s="77" t="s">
        <v>17703</v>
      </c>
      <c r="BQ896" s="78">
        <v>38700</v>
      </c>
      <c r="BR896" s="79" t="s">
        <v>153</v>
      </c>
      <c r="BS896" s="80" t="s">
        <v>153</v>
      </c>
      <c r="BT896" s="81" t="s">
        <v>153</v>
      </c>
      <c r="BU896" s="82" t="s">
        <v>153</v>
      </c>
      <c r="BV896" s="83" t="s">
        <v>188</v>
      </c>
      <c r="BW896" s="84" t="s">
        <v>3593</v>
      </c>
      <c r="BX896" s="85" t="s">
        <v>153</v>
      </c>
      <c r="BY896" s="86" t="s">
        <v>165</v>
      </c>
      <c r="BZ896" s="87" t="s">
        <v>153</v>
      </c>
      <c r="CA896" s="88" t="s">
        <v>190</v>
      </c>
      <c r="CB896" s="89">
        <v>43299</v>
      </c>
      <c r="CC896" s="90">
        <v>5560</v>
      </c>
      <c r="CD896" s="91" t="s">
        <v>186</v>
      </c>
      <c r="CE896" s="92">
        <v>5560</v>
      </c>
      <c r="CF896" s="93" t="s">
        <v>186</v>
      </c>
      <c r="CG896" s="94" t="s">
        <v>226</v>
      </c>
      <c r="CH896" s="95" t="s">
        <v>153</v>
      </c>
      <c r="CI896" s="96" t="s">
        <v>153</v>
      </c>
      <c r="CJ896" s="97" t="s">
        <v>225</v>
      </c>
      <c r="CK896" s="98">
        <v>43299</v>
      </c>
      <c r="CL896" s="99" t="s">
        <v>153</v>
      </c>
      <c r="CM896" s="100" t="s">
        <v>153</v>
      </c>
      <c r="CN896" s="101" t="s">
        <v>190</v>
      </c>
      <c r="CO896" s="102" t="s">
        <v>153</v>
      </c>
      <c r="CP896" s="103" t="s">
        <v>153</v>
      </c>
      <c r="CQ896" s="104" t="s">
        <v>153</v>
      </c>
      <c r="CR896" s="105" t="s">
        <v>153</v>
      </c>
      <c r="CS896" s="106" t="s">
        <v>153</v>
      </c>
      <c r="CT896" s="107" t="s">
        <v>153</v>
      </c>
      <c r="CU896" s="108" t="s">
        <v>153</v>
      </c>
      <c r="CV896" s="109" t="s">
        <v>153</v>
      </c>
      <c r="CW896" s="110" t="s">
        <v>153</v>
      </c>
      <c r="CX896" s="111" t="s">
        <v>153</v>
      </c>
      <c r="CY896" s="112" t="s">
        <v>153</v>
      </c>
      <c r="CZ896" s="113" t="s">
        <v>153</v>
      </c>
      <c r="DA896" s="114" t="s">
        <v>153</v>
      </c>
      <c r="DB896" s="115" t="s">
        <v>153</v>
      </c>
      <c r="DC896" s="116" t="s">
        <v>153</v>
      </c>
      <c r="DD896" s="117" t="s">
        <v>153</v>
      </c>
      <c r="DE896" s="118" t="s">
        <v>153</v>
      </c>
      <c r="DF896" s="119" t="s">
        <v>153</v>
      </c>
      <c r="DG896" s="120" t="s">
        <v>153</v>
      </c>
      <c r="DH896" s="121" t="s">
        <v>153</v>
      </c>
      <c r="DI896" s="122" t="s">
        <v>153</v>
      </c>
      <c r="DJ896" s="123" t="s">
        <v>153</v>
      </c>
      <c r="DK896" s="124" t="s">
        <v>153</v>
      </c>
      <c r="DL896" s="125" t="s">
        <v>153</v>
      </c>
      <c r="DM896" s="126" t="s">
        <v>153</v>
      </c>
      <c r="DN896" s="127" t="s">
        <v>153</v>
      </c>
      <c r="DO896" s="128" t="s">
        <v>153</v>
      </c>
      <c r="DP896" s="129" t="s">
        <v>153</v>
      </c>
      <c r="DQ896" s="130" t="s">
        <v>153</v>
      </c>
      <c r="DR896" s="131" t="s">
        <v>153</v>
      </c>
      <c r="DS896" s="132" t="s">
        <v>153</v>
      </c>
      <c r="DT896" s="133" t="s">
        <v>153</v>
      </c>
      <c r="DU896" s="134" t="s">
        <v>153</v>
      </c>
      <c r="DV896" s="135" t="s">
        <v>153</v>
      </c>
      <c r="DW896" s="136" t="s">
        <v>153</v>
      </c>
      <c r="DX896" s="137" t="s">
        <v>153</v>
      </c>
      <c r="DY896" s="138" t="s">
        <v>153</v>
      </c>
      <c r="DZ896" s="139" t="s">
        <v>191</v>
      </c>
      <c r="EA896" s="140">
        <v>44402</v>
      </c>
      <c r="EB896" s="141">
        <v>5560</v>
      </c>
      <c r="EC896" s="142">
        <v>43299</v>
      </c>
      <c r="ED896" s="143" t="s">
        <v>226</v>
      </c>
      <c r="EE896" s="278" t="str">
        <f>HYPERLINK("https://my.pitchbook.com?c=11096-47", "View company online")</f>
        <v>View company online</v>
      </c>
    </row>
    <row r="897" spans="1:135" x14ac:dyDescent="0.45">
      <c r="A897" s="144" t="s">
        <v>17704</v>
      </c>
      <c r="B897" s="145" t="s">
        <v>17705</v>
      </c>
      <c r="C897" s="146" t="s">
        <v>153</v>
      </c>
      <c r="D897" s="147" t="s">
        <v>153</v>
      </c>
      <c r="E897" s="148" t="s">
        <v>153</v>
      </c>
      <c r="F897" s="149" t="s">
        <v>153</v>
      </c>
      <c r="G897" s="150" t="s">
        <v>153</v>
      </c>
      <c r="H897" s="151" t="s">
        <v>153</v>
      </c>
      <c r="I897" s="152" t="s">
        <v>17704</v>
      </c>
      <c r="J897" s="153" t="s">
        <v>17706</v>
      </c>
      <c r="K897" s="154" t="s">
        <v>792</v>
      </c>
      <c r="L897" s="155" t="s">
        <v>1516</v>
      </c>
      <c r="M897" s="156" t="s">
        <v>1516</v>
      </c>
      <c r="N897" s="157" t="s">
        <v>17707</v>
      </c>
      <c r="O897" s="158" t="s">
        <v>796</v>
      </c>
      <c r="P897" s="159" t="s">
        <v>17708</v>
      </c>
      <c r="Q897" s="160" t="s">
        <v>204</v>
      </c>
      <c r="R897" s="161" t="s">
        <v>153</v>
      </c>
      <c r="S897" s="162" t="s">
        <v>153</v>
      </c>
      <c r="T897" s="163" t="s">
        <v>205</v>
      </c>
      <c r="U897" s="164" t="s">
        <v>206</v>
      </c>
      <c r="V897" s="165" t="s">
        <v>153</v>
      </c>
      <c r="W897" s="166" t="s">
        <v>153</v>
      </c>
      <c r="X897" s="167" t="s">
        <v>153</v>
      </c>
      <c r="Y897" s="168" t="s">
        <v>153</v>
      </c>
      <c r="Z897" s="169" t="s">
        <v>153</v>
      </c>
      <c r="AA897" s="170" t="s">
        <v>153</v>
      </c>
      <c r="AB897" s="171" t="s">
        <v>153</v>
      </c>
      <c r="AC897" s="172" t="s">
        <v>153</v>
      </c>
      <c r="AD897" s="173" t="s">
        <v>153</v>
      </c>
      <c r="AE897" s="174" t="s">
        <v>153</v>
      </c>
      <c r="AF897" s="175" t="s">
        <v>153</v>
      </c>
      <c r="AG897" s="176" t="s">
        <v>153</v>
      </c>
      <c r="AH897" s="177" t="s">
        <v>153</v>
      </c>
      <c r="AI897" s="178" t="s">
        <v>153</v>
      </c>
      <c r="AJ897" s="179" t="s">
        <v>153</v>
      </c>
      <c r="AK897" s="180" t="s">
        <v>153</v>
      </c>
      <c r="AL897" s="181" t="s">
        <v>153</v>
      </c>
      <c r="AM897" s="182" t="s">
        <v>153</v>
      </c>
      <c r="AN897" s="183" t="s">
        <v>153</v>
      </c>
      <c r="AO897" s="184" t="s">
        <v>153</v>
      </c>
      <c r="AP897" s="185" t="s">
        <v>153</v>
      </c>
      <c r="AQ897" s="186" t="s">
        <v>153</v>
      </c>
      <c r="AR897" s="187" t="s">
        <v>153</v>
      </c>
      <c r="AS897" s="188" t="s">
        <v>153</v>
      </c>
      <c r="AT897" s="189" t="s">
        <v>17709</v>
      </c>
      <c r="AU897" s="190" t="s">
        <v>153</v>
      </c>
      <c r="AV897" s="191" t="s">
        <v>153</v>
      </c>
      <c r="AW897" s="192" t="s">
        <v>17710</v>
      </c>
      <c r="AX897" s="193" t="s">
        <v>153</v>
      </c>
      <c r="AY897" s="194" t="s">
        <v>153</v>
      </c>
      <c r="AZ897" s="195" t="s">
        <v>3061</v>
      </c>
      <c r="BA897" s="196" t="s">
        <v>153</v>
      </c>
      <c r="BB897" s="197" t="s">
        <v>153</v>
      </c>
      <c r="BC897" s="198" t="s">
        <v>153</v>
      </c>
      <c r="BD897" s="199" t="s">
        <v>216</v>
      </c>
      <c r="BE897" s="200" t="s">
        <v>217</v>
      </c>
      <c r="BF897" s="201" t="s">
        <v>17711</v>
      </c>
      <c r="BG897" s="202" t="s">
        <v>153</v>
      </c>
      <c r="BH897" s="203" t="s">
        <v>153</v>
      </c>
      <c r="BI897" s="204" t="s">
        <v>14262</v>
      </c>
      <c r="BJ897" s="205" t="s">
        <v>15764</v>
      </c>
      <c r="BK897" s="206" t="s">
        <v>153</v>
      </c>
      <c r="BL897" s="207" t="s">
        <v>153</v>
      </c>
      <c r="BM897" s="208" t="s">
        <v>15765</v>
      </c>
      <c r="BN897" s="209" t="s">
        <v>153</v>
      </c>
      <c r="BO897" s="210" t="s">
        <v>153</v>
      </c>
      <c r="BP897" s="211" t="s">
        <v>153</v>
      </c>
      <c r="BQ897" s="212">
        <v>41243</v>
      </c>
      <c r="BR897" s="213">
        <v>5550</v>
      </c>
      <c r="BS897" s="214" t="s">
        <v>186</v>
      </c>
      <c r="BT897" s="215">
        <v>5550</v>
      </c>
      <c r="BU897" s="216" t="s">
        <v>187</v>
      </c>
      <c r="BV897" s="217" t="s">
        <v>1524</v>
      </c>
      <c r="BW897" s="218" t="s">
        <v>1525</v>
      </c>
      <c r="BX897" s="219" t="s">
        <v>1526</v>
      </c>
      <c r="BY897" s="220" t="s">
        <v>225</v>
      </c>
      <c r="BZ897" s="221" t="s">
        <v>153</v>
      </c>
      <c r="CA897" s="222" t="s">
        <v>190</v>
      </c>
      <c r="CB897" s="223">
        <v>41243</v>
      </c>
      <c r="CC897" s="224">
        <v>5550</v>
      </c>
      <c r="CD897" s="225" t="s">
        <v>186</v>
      </c>
      <c r="CE897" s="226">
        <v>5550</v>
      </c>
      <c r="CF897" s="227" t="s">
        <v>187</v>
      </c>
      <c r="CG897" s="228" t="s">
        <v>1524</v>
      </c>
      <c r="CH897" s="229" t="s">
        <v>1525</v>
      </c>
      <c r="CI897" s="230" t="s">
        <v>1526</v>
      </c>
      <c r="CJ897" s="231" t="s">
        <v>225</v>
      </c>
      <c r="CK897" s="232">
        <v>41243</v>
      </c>
      <c r="CL897" s="233" t="s">
        <v>153</v>
      </c>
      <c r="CM897" s="234" t="s">
        <v>153</v>
      </c>
      <c r="CN897" s="235" t="s">
        <v>190</v>
      </c>
      <c r="CO897" s="236" t="s">
        <v>153</v>
      </c>
      <c r="CP897" s="237" t="s">
        <v>153</v>
      </c>
      <c r="CQ897" s="238" t="s">
        <v>153</v>
      </c>
      <c r="CR897" s="239" t="s">
        <v>153</v>
      </c>
      <c r="CS897" s="240" t="s">
        <v>153</v>
      </c>
      <c r="CT897" s="241" t="s">
        <v>153</v>
      </c>
      <c r="CU897" s="242" t="s">
        <v>153</v>
      </c>
      <c r="CV897" s="243" t="s">
        <v>153</v>
      </c>
      <c r="CW897" s="244" t="s">
        <v>153</v>
      </c>
      <c r="CX897" s="245" t="s">
        <v>153</v>
      </c>
      <c r="CY897" s="246" t="s">
        <v>153</v>
      </c>
      <c r="CZ897" s="247" t="s">
        <v>153</v>
      </c>
      <c r="DA897" s="248" t="s">
        <v>153</v>
      </c>
      <c r="DB897" s="249" t="s">
        <v>153</v>
      </c>
      <c r="DC897" s="250" t="s">
        <v>153</v>
      </c>
      <c r="DD897" s="251" t="s">
        <v>153</v>
      </c>
      <c r="DE897" s="252" t="s">
        <v>153</v>
      </c>
      <c r="DF897" s="253" t="s">
        <v>153</v>
      </c>
      <c r="DG897" s="254" t="s">
        <v>153</v>
      </c>
      <c r="DH897" s="255" t="s">
        <v>153</v>
      </c>
      <c r="DI897" s="256" t="s">
        <v>153</v>
      </c>
      <c r="DJ897" s="257" t="s">
        <v>153</v>
      </c>
      <c r="DK897" s="258" t="s">
        <v>153</v>
      </c>
      <c r="DL897" s="259" t="s">
        <v>153</v>
      </c>
      <c r="DM897" s="260" t="s">
        <v>153</v>
      </c>
      <c r="DN897" s="261" t="s">
        <v>153</v>
      </c>
      <c r="DO897" s="262" t="s">
        <v>153</v>
      </c>
      <c r="DP897" s="263" t="s">
        <v>153</v>
      </c>
      <c r="DQ897" s="264" t="s">
        <v>153</v>
      </c>
      <c r="DR897" s="265" t="s">
        <v>153</v>
      </c>
      <c r="DS897" s="266" t="s">
        <v>153</v>
      </c>
      <c r="DT897" s="267" t="s">
        <v>153</v>
      </c>
      <c r="DU897" s="268" t="s">
        <v>153</v>
      </c>
      <c r="DV897" s="269" t="s">
        <v>153</v>
      </c>
      <c r="DW897" s="270" t="s">
        <v>153</v>
      </c>
      <c r="DX897" s="271" t="s">
        <v>153</v>
      </c>
      <c r="DY897" s="272" t="s">
        <v>153</v>
      </c>
      <c r="DZ897" s="273" t="s">
        <v>191</v>
      </c>
      <c r="EA897" s="274">
        <v>44147</v>
      </c>
      <c r="EB897" s="275">
        <v>5550</v>
      </c>
      <c r="EC897" s="276">
        <v>41243</v>
      </c>
      <c r="ED897" s="277" t="s">
        <v>1524</v>
      </c>
      <c r="EE897" s="279" t="str">
        <f>HYPERLINK("https://my.pitchbook.com?c=55175-41", "View company online")</f>
        <v>View company online</v>
      </c>
    </row>
    <row r="898" spans="1:135" x14ac:dyDescent="0.45">
      <c r="A898" s="10" t="s">
        <v>17712</v>
      </c>
      <c r="B898" s="11" t="s">
        <v>17713</v>
      </c>
      <c r="C898" s="12" t="s">
        <v>153</v>
      </c>
      <c r="D898" s="13" t="s">
        <v>153</v>
      </c>
      <c r="E898" s="14" t="s">
        <v>153</v>
      </c>
      <c r="F898" s="15" t="s">
        <v>153</v>
      </c>
      <c r="G898" s="16" t="s">
        <v>17714</v>
      </c>
      <c r="H898" s="17" t="s">
        <v>153</v>
      </c>
      <c r="I898" s="18" t="s">
        <v>17712</v>
      </c>
      <c r="J898" s="19" t="s">
        <v>17715</v>
      </c>
      <c r="K898" s="20" t="s">
        <v>792</v>
      </c>
      <c r="L898" s="21" t="s">
        <v>3864</v>
      </c>
      <c r="M898" s="22" t="s">
        <v>9578</v>
      </c>
      <c r="N898" s="23" t="s">
        <v>17716</v>
      </c>
      <c r="O898" s="24" t="s">
        <v>153</v>
      </c>
      <c r="P898" s="25" t="s">
        <v>17717</v>
      </c>
      <c r="Q898" s="26" t="s">
        <v>564</v>
      </c>
      <c r="R898" s="27">
        <v>1014.36</v>
      </c>
      <c r="S898" s="28" t="s">
        <v>290</v>
      </c>
      <c r="T898" s="29" t="s">
        <v>205</v>
      </c>
      <c r="U898" s="30" t="s">
        <v>565</v>
      </c>
      <c r="V898" s="31" t="s">
        <v>17718</v>
      </c>
      <c r="W898" s="32">
        <v>1235</v>
      </c>
      <c r="X898" s="33" t="s">
        <v>17719</v>
      </c>
      <c r="Y898" s="34" t="s">
        <v>153</v>
      </c>
      <c r="Z898" s="35" t="s">
        <v>153</v>
      </c>
      <c r="AA898" s="36" t="s">
        <v>153</v>
      </c>
      <c r="AB898" s="37" t="s">
        <v>153</v>
      </c>
      <c r="AC898" s="38" t="s">
        <v>153</v>
      </c>
      <c r="AD898" s="39" t="s">
        <v>153</v>
      </c>
      <c r="AE898" s="40" t="s">
        <v>153</v>
      </c>
      <c r="AF898" s="41" t="s">
        <v>153</v>
      </c>
      <c r="AG898" s="42" t="s">
        <v>153</v>
      </c>
      <c r="AH898" s="43" t="s">
        <v>153</v>
      </c>
      <c r="AI898" s="44" t="s">
        <v>153</v>
      </c>
      <c r="AJ898" s="45" t="s">
        <v>153</v>
      </c>
      <c r="AK898" s="46" t="s">
        <v>153</v>
      </c>
      <c r="AL898" s="47" t="s">
        <v>153</v>
      </c>
      <c r="AM898" s="48" t="s">
        <v>153</v>
      </c>
      <c r="AN898" s="49" t="s">
        <v>4877</v>
      </c>
      <c r="AO898" s="50" t="s">
        <v>17720</v>
      </c>
      <c r="AP898" s="51" t="s">
        <v>17721</v>
      </c>
      <c r="AQ898" s="52" t="s">
        <v>512</v>
      </c>
      <c r="AR898" s="53" t="s">
        <v>153</v>
      </c>
      <c r="AS898" s="54" t="s">
        <v>17722</v>
      </c>
      <c r="AT898" s="55" t="s">
        <v>2540</v>
      </c>
      <c r="AU898" s="56" t="s">
        <v>17723</v>
      </c>
      <c r="AV898" s="57" t="s">
        <v>153</v>
      </c>
      <c r="AW898" s="58" t="s">
        <v>2543</v>
      </c>
      <c r="AX898" s="59" t="s">
        <v>2544</v>
      </c>
      <c r="AY898" s="60" t="s">
        <v>10243</v>
      </c>
      <c r="AZ898" s="61" t="s">
        <v>2546</v>
      </c>
      <c r="BA898" s="62" t="s">
        <v>17722</v>
      </c>
      <c r="BB898" s="63" t="s">
        <v>153</v>
      </c>
      <c r="BC898" s="64" t="s">
        <v>153</v>
      </c>
      <c r="BD898" s="65" t="s">
        <v>2547</v>
      </c>
      <c r="BE898" s="66" t="s">
        <v>2547</v>
      </c>
      <c r="BF898" s="67" t="s">
        <v>17724</v>
      </c>
      <c r="BG898" s="68" t="s">
        <v>17725</v>
      </c>
      <c r="BH898" s="69">
        <v>1</v>
      </c>
      <c r="BI898" s="70" t="s">
        <v>17726</v>
      </c>
      <c r="BJ898" s="71" t="s">
        <v>17727</v>
      </c>
      <c r="BK898" s="72" t="s">
        <v>153</v>
      </c>
      <c r="BL898" s="73" t="s">
        <v>17728</v>
      </c>
      <c r="BM898" s="74" t="s">
        <v>17729</v>
      </c>
      <c r="BN898" s="75" t="s">
        <v>153</v>
      </c>
      <c r="BO898" s="76" t="s">
        <v>17730</v>
      </c>
      <c r="BP898" s="77" t="s">
        <v>17731</v>
      </c>
      <c r="BQ898" s="78">
        <v>37257</v>
      </c>
      <c r="BR898" s="79" t="s">
        <v>153</v>
      </c>
      <c r="BS898" s="80" t="s">
        <v>153</v>
      </c>
      <c r="BT898" s="81" t="s">
        <v>153</v>
      </c>
      <c r="BU898" s="82" t="s">
        <v>153</v>
      </c>
      <c r="BV898" s="83" t="s">
        <v>188</v>
      </c>
      <c r="BW898" s="84" t="s">
        <v>153</v>
      </c>
      <c r="BX898" s="85" t="s">
        <v>153</v>
      </c>
      <c r="BY898" s="86" t="s">
        <v>165</v>
      </c>
      <c r="BZ898" s="87" t="s">
        <v>153</v>
      </c>
      <c r="CA898" s="88" t="s">
        <v>190</v>
      </c>
      <c r="CB898" s="89">
        <v>42870</v>
      </c>
      <c r="CC898" s="90">
        <v>5536.41</v>
      </c>
      <c r="CD898" s="91" t="s">
        <v>186</v>
      </c>
      <c r="CE898" s="92">
        <v>5536.41</v>
      </c>
      <c r="CF898" s="93" t="s">
        <v>187</v>
      </c>
      <c r="CG898" s="94" t="s">
        <v>226</v>
      </c>
      <c r="CH898" s="95" t="s">
        <v>153</v>
      </c>
      <c r="CI898" s="96" t="s">
        <v>153</v>
      </c>
      <c r="CJ898" s="97" t="s">
        <v>225</v>
      </c>
      <c r="CK898" s="98">
        <v>42870</v>
      </c>
      <c r="CL898" s="99" t="s">
        <v>153</v>
      </c>
      <c r="CM898" s="100" t="s">
        <v>153</v>
      </c>
      <c r="CN898" s="101" t="s">
        <v>190</v>
      </c>
      <c r="CO898" s="102" t="s">
        <v>153</v>
      </c>
      <c r="CP898" s="103" t="s">
        <v>153</v>
      </c>
      <c r="CQ898" s="104" t="s">
        <v>153</v>
      </c>
      <c r="CR898" s="105" t="s">
        <v>153</v>
      </c>
      <c r="CS898" s="106" t="s">
        <v>153</v>
      </c>
      <c r="CT898" s="107" t="s">
        <v>153</v>
      </c>
      <c r="CU898" s="108" t="s">
        <v>153</v>
      </c>
      <c r="CV898" s="109" t="s">
        <v>153</v>
      </c>
      <c r="CW898" s="110" t="s">
        <v>153</v>
      </c>
      <c r="CX898" s="111" t="s">
        <v>153</v>
      </c>
      <c r="CY898" s="112" t="s">
        <v>153</v>
      </c>
      <c r="CZ898" s="113" t="s">
        <v>153</v>
      </c>
      <c r="DA898" s="114" t="s">
        <v>153</v>
      </c>
      <c r="DB898" s="115" t="s">
        <v>153</v>
      </c>
      <c r="DC898" s="116" t="s">
        <v>153</v>
      </c>
      <c r="DD898" s="117" t="s">
        <v>153</v>
      </c>
      <c r="DE898" s="118" t="s">
        <v>153</v>
      </c>
      <c r="DF898" s="119" t="s">
        <v>153</v>
      </c>
      <c r="DG898" s="120" t="s">
        <v>153</v>
      </c>
      <c r="DH898" s="121" t="s">
        <v>153</v>
      </c>
      <c r="DI898" s="122" t="s">
        <v>153</v>
      </c>
      <c r="DJ898" s="123" t="s">
        <v>153</v>
      </c>
      <c r="DK898" s="124" t="s">
        <v>153</v>
      </c>
      <c r="DL898" s="125" t="s">
        <v>153</v>
      </c>
      <c r="DM898" s="126" t="s">
        <v>153</v>
      </c>
      <c r="DN898" s="127" t="s">
        <v>153</v>
      </c>
      <c r="DO898" s="128" t="s">
        <v>153</v>
      </c>
      <c r="DP898" s="129" t="s">
        <v>153</v>
      </c>
      <c r="DQ898" s="130" t="s">
        <v>153</v>
      </c>
      <c r="DR898" s="131" t="s">
        <v>153</v>
      </c>
      <c r="DS898" s="132" t="s">
        <v>153</v>
      </c>
      <c r="DT898" s="133" t="s">
        <v>153</v>
      </c>
      <c r="DU898" s="134" t="s">
        <v>153</v>
      </c>
      <c r="DV898" s="135" t="s">
        <v>153</v>
      </c>
      <c r="DW898" s="136" t="s">
        <v>153</v>
      </c>
      <c r="DX898" s="137" t="s">
        <v>153</v>
      </c>
      <c r="DY898" s="138" t="s">
        <v>153</v>
      </c>
      <c r="DZ898" s="139" t="s">
        <v>191</v>
      </c>
      <c r="EA898" s="140">
        <v>44264</v>
      </c>
      <c r="EB898" s="141">
        <v>5536.41</v>
      </c>
      <c r="EC898" s="142">
        <v>42870</v>
      </c>
      <c r="ED898" s="143" t="s">
        <v>226</v>
      </c>
      <c r="EE898" s="278" t="str">
        <f>HYPERLINK("https://my.pitchbook.com?c=60396-76", "View company online")</f>
        <v>View company online</v>
      </c>
    </row>
    <row r="899" spans="1:135" x14ac:dyDescent="0.45">
      <c r="A899" s="144" t="s">
        <v>17732</v>
      </c>
      <c r="B899" s="145" t="s">
        <v>17733</v>
      </c>
      <c r="C899" s="146" t="s">
        <v>153</v>
      </c>
      <c r="D899" s="147" t="s">
        <v>153</v>
      </c>
      <c r="E899" s="148" t="s">
        <v>17734</v>
      </c>
      <c r="F899" s="149" t="s">
        <v>17735</v>
      </c>
      <c r="G899" s="150" t="s">
        <v>17736</v>
      </c>
      <c r="H899" s="151" t="s">
        <v>17737</v>
      </c>
      <c r="I899" s="152" t="s">
        <v>17732</v>
      </c>
      <c r="J899" s="153" t="s">
        <v>17738</v>
      </c>
      <c r="K899" s="154" t="s">
        <v>882</v>
      </c>
      <c r="L899" s="155" t="s">
        <v>1257</v>
      </c>
      <c r="M899" s="156" t="s">
        <v>3812</v>
      </c>
      <c r="N899" s="157" t="s">
        <v>17739</v>
      </c>
      <c r="O899" s="158" t="s">
        <v>1234</v>
      </c>
      <c r="P899" s="159" t="s">
        <v>17740</v>
      </c>
      <c r="Q899" s="160" t="s">
        <v>564</v>
      </c>
      <c r="R899" s="161" t="s">
        <v>153</v>
      </c>
      <c r="S899" s="162" t="s">
        <v>290</v>
      </c>
      <c r="T899" s="163" t="s">
        <v>205</v>
      </c>
      <c r="U899" s="164" t="s">
        <v>565</v>
      </c>
      <c r="V899" s="165" t="s">
        <v>17741</v>
      </c>
      <c r="W899" s="166">
        <v>14500</v>
      </c>
      <c r="X899" s="167" t="s">
        <v>17742</v>
      </c>
      <c r="Y899" s="168" t="s">
        <v>153</v>
      </c>
      <c r="Z899" s="169" t="s">
        <v>153</v>
      </c>
      <c r="AA899" s="170">
        <v>1935</v>
      </c>
      <c r="AB899" s="171" t="s">
        <v>153</v>
      </c>
      <c r="AC899" s="172" t="s">
        <v>428</v>
      </c>
      <c r="AD899" s="173" t="s">
        <v>428</v>
      </c>
      <c r="AE899" s="174" t="s">
        <v>153</v>
      </c>
      <c r="AF899" s="175" t="s">
        <v>153</v>
      </c>
      <c r="AG899" s="176" t="s">
        <v>153</v>
      </c>
      <c r="AH899" s="177" t="s">
        <v>153</v>
      </c>
      <c r="AI899" s="178" t="s">
        <v>153</v>
      </c>
      <c r="AJ899" s="179" t="s">
        <v>153</v>
      </c>
      <c r="AK899" s="180" t="s">
        <v>153</v>
      </c>
      <c r="AL899" s="181" t="s">
        <v>153</v>
      </c>
      <c r="AM899" s="182" t="s">
        <v>153</v>
      </c>
      <c r="AN899" s="183" t="s">
        <v>509</v>
      </c>
      <c r="AO899" s="184" t="s">
        <v>153</v>
      </c>
      <c r="AP899" s="185" t="s">
        <v>153</v>
      </c>
      <c r="AQ899" s="186" t="s">
        <v>153</v>
      </c>
      <c r="AR899" s="187" t="s">
        <v>153</v>
      </c>
      <c r="AS899" s="188" t="s">
        <v>153</v>
      </c>
      <c r="AT899" s="189" t="s">
        <v>5856</v>
      </c>
      <c r="AU899" s="190" t="s">
        <v>17743</v>
      </c>
      <c r="AV899" s="191" t="s">
        <v>17744</v>
      </c>
      <c r="AW899" s="192" t="s">
        <v>5859</v>
      </c>
      <c r="AX899" s="193" t="s">
        <v>153</v>
      </c>
      <c r="AY899" s="194" t="s">
        <v>8369</v>
      </c>
      <c r="AZ899" s="195" t="s">
        <v>1426</v>
      </c>
      <c r="BA899" s="196" t="s">
        <v>153</v>
      </c>
      <c r="BB899" s="197" t="s">
        <v>153</v>
      </c>
      <c r="BC899" s="198" t="s">
        <v>153</v>
      </c>
      <c r="BD899" s="199" t="s">
        <v>180</v>
      </c>
      <c r="BE899" s="200" t="s">
        <v>181</v>
      </c>
      <c r="BF899" s="201" t="s">
        <v>17745</v>
      </c>
      <c r="BG899" s="202" t="s">
        <v>153</v>
      </c>
      <c r="BH899" s="203" t="s">
        <v>153</v>
      </c>
      <c r="BI899" s="204" t="s">
        <v>17746</v>
      </c>
      <c r="BJ899" s="205" t="s">
        <v>17747</v>
      </c>
      <c r="BK899" s="206" t="s">
        <v>17748</v>
      </c>
      <c r="BL899" s="207" t="s">
        <v>153</v>
      </c>
      <c r="BM899" s="208" t="s">
        <v>17749</v>
      </c>
      <c r="BN899" s="209" t="s">
        <v>17750</v>
      </c>
      <c r="BO899" s="210" t="s">
        <v>17751</v>
      </c>
      <c r="BP899" s="211" t="s">
        <v>17752</v>
      </c>
      <c r="BQ899" s="212">
        <v>25204</v>
      </c>
      <c r="BR899" s="213" t="s">
        <v>153</v>
      </c>
      <c r="BS899" s="214" t="s">
        <v>153</v>
      </c>
      <c r="BT899" s="215" t="s">
        <v>153</v>
      </c>
      <c r="BU899" s="216" t="s">
        <v>153</v>
      </c>
      <c r="BV899" s="217" t="s">
        <v>709</v>
      </c>
      <c r="BW899" s="218" t="s">
        <v>153</v>
      </c>
      <c r="BX899" s="219" t="s">
        <v>153</v>
      </c>
      <c r="BY899" s="220" t="s">
        <v>165</v>
      </c>
      <c r="BZ899" s="221" t="s">
        <v>153</v>
      </c>
      <c r="CA899" s="222" t="s">
        <v>190</v>
      </c>
      <c r="CB899" s="223">
        <v>43696</v>
      </c>
      <c r="CC899" s="224">
        <v>5528</v>
      </c>
      <c r="CD899" s="225" t="s">
        <v>186</v>
      </c>
      <c r="CE899" s="226">
        <v>5528</v>
      </c>
      <c r="CF899" s="227" t="s">
        <v>187</v>
      </c>
      <c r="CG899" s="228" t="s">
        <v>226</v>
      </c>
      <c r="CH899" s="229" t="s">
        <v>153</v>
      </c>
      <c r="CI899" s="230" t="s">
        <v>153</v>
      </c>
      <c r="CJ899" s="231" t="s">
        <v>225</v>
      </c>
      <c r="CK899" s="232">
        <v>43696</v>
      </c>
      <c r="CL899" s="233" t="s">
        <v>153</v>
      </c>
      <c r="CM899" s="234" t="s">
        <v>153</v>
      </c>
      <c r="CN899" s="235" t="s">
        <v>190</v>
      </c>
      <c r="CO899" s="236" t="s">
        <v>153</v>
      </c>
      <c r="CP899" s="237" t="s">
        <v>153</v>
      </c>
      <c r="CQ899" s="238" t="s">
        <v>153</v>
      </c>
      <c r="CR899" s="239" t="s">
        <v>153</v>
      </c>
      <c r="CS899" s="240" t="s">
        <v>153</v>
      </c>
      <c r="CT899" s="241" t="s">
        <v>153</v>
      </c>
      <c r="CU899" s="242" t="s">
        <v>153</v>
      </c>
      <c r="CV899" s="243" t="s">
        <v>153</v>
      </c>
      <c r="CW899" s="244" t="s">
        <v>153</v>
      </c>
      <c r="CX899" s="245" t="s">
        <v>153</v>
      </c>
      <c r="CY899" s="246" t="s">
        <v>153</v>
      </c>
      <c r="CZ899" s="247" t="s">
        <v>153</v>
      </c>
      <c r="DA899" s="248" t="s">
        <v>153</v>
      </c>
      <c r="DB899" s="249" t="s">
        <v>153</v>
      </c>
      <c r="DC899" s="250" t="s">
        <v>153</v>
      </c>
      <c r="DD899" s="251" t="s">
        <v>153</v>
      </c>
      <c r="DE899" s="252" t="s">
        <v>153</v>
      </c>
      <c r="DF899" s="253" t="s">
        <v>153</v>
      </c>
      <c r="DG899" s="254" t="s">
        <v>153</v>
      </c>
      <c r="DH899" s="255" t="s">
        <v>153</v>
      </c>
      <c r="DI899" s="256" t="s">
        <v>153</v>
      </c>
      <c r="DJ899" s="257" t="s">
        <v>153</v>
      </c>
      <c r="DK899" s="258" t="s">
        <v>153</v>
      </c>
      <c r="DL899" s="259" t="s">
        <v>153</v>
      </c>
      <c r="DM899" s="260" t="s">
        <v>153</v>
      </c>
      <c r="DN899" s="261" t="s">
        <v>153</v>
      </c>
      <c r="DO899" s="262" t="s">
        <v>153</v>
      </c>
      <c r="DP899" s="263" t="s">
        <v>153</v>
      </c>
      <c r="DQ899" s="264" t="s">
        <v>153</v>
      </c>
      <c r="DR899" s="265" t="s">
        <v>153</v>
      </c>
      <c r="DS899" s="266" t="s">
        <v>153</v>
      </c>
      <c r="DT899" s="267" t="s">
        <v>153</v>
      </c>
      <c r="DU899" s="268" t="s">
        <v>153</v>
      </c>
      <c r="DV899" s="269" t="s">
        <v>153</v>
      </c>
      <c r="DW899" s="270" t="s">
        <v>153</v>
      </c>
      <c r="DX899" s="271" t="s">
        <v>153</v>
      </c>
      <c r="DY899" s="272" t="s">
        <v>153</v>
      </c>
      <c r="DZ899" s="273" t="s">
        <v>191</v>
      </c>
      <c r="EA899" s="274">
        <v>44315</v>
      </c>
      <c r="EB899" s="275">
        <v>5528</v>
      </c>
      <c r="EC899" s="276">
        <v>43696</v>
      </c>
      <c r="ED899" s="277" t="s">
        <v>226</v>
      </c>
      <c r="EE899" s="279" t="str">
        <f>HYPERLINK("https://my.pitchbook.com?c=61909-93", "View company online")</f>
        <v>View company online</v>
      </c>
    </row>
    <row r="900" spans="1:135" x14ac:dyDescent="0.45">
      <c r="A900" s="10" t="s">
        <v>17753</v>
      </c>
      <c r="B900" s="11" t="s">
        <v>17754</v>
      </c>
      <c r="C900" s="12" t="s">
        <v>153</v>
      </c>
      <c r="D900" s="13" t="s">
        <v>153</v>
      </c>
      <c r="E900" s="14" t="s">
        <v>17755</v>
      </c>
      <c r="F900" s="15" t="s">
        <v>17756</v>
      </c>
      <c r="G900" s="16" t="s">
        <v>17757</v>
      </c>
      <c r="H900" s="17" t="s">
        <v>17758</v>
      </c>
      <c r="I900" s="18" t="s">
        <v>17753</v>
      </c>
      <c r="J900" s="19" t="s">
        <v>17759</v>
      </c>
      <c r="K900" s="20" t="s">
        <v>257</v>
      </c>
      <c r="L900" s="21" t="s">
        <v>478</v>
      </c>
      <c r="M900" s="22" t="s">
        <v>2670</v>
      </c>
      <c r="N900" s="23" t="s">
        <v>12796</v>
      </c>
      <c r="O900" s="24" t="s">
        <v>596</v>
      </c>
      <c r="P900" s="25" t="s">
        <v>17760</v>
      </c>
      <c r="Q900" s="26" t="s">
        <v>204</v>
      </c>
      <c r="R900" s="27" t="s">
        <v>153</v>
      </c>
      <c r="S900" s="28" t="s">
        <v>290</v>
      </c>
      <c r="T900" s="29" t="s">
        <v>164</v>
      </c>
      <c r="U900" s="30" t="s">
        <v>369</v>
      </c>
      <c r="V900" s="31" t="s">
        <v>17761</v>
      </c>
      <c r="W900" s="32">
        <v>10000</v>
      </c>
      <c r="X900" s="33" t="s">
        <v>17762</v>
      </c>
      <c r="Y900" s="34" t="s">
        <v>153</v>
      </c>
      <c r="Z900" s="35" t="s">
        <v>153</v>
      </c>
      <c r="AA900" s="36">
        <v>1935</v>
      </c>
      <c r="AB900" s="37" t="s">
        <v>3371</v>
      </c>
      <c r="AC900" s="38" t="s">
        <v>4965</v>
      </c>
      <c r="AD900" s="39" t="s">
        <v>1540</v>
      </c>
      <c r="AE900" s="40" t="s">
        <v>153</v>
      </c>
      <c r="AF900" s="41" t="s">
        <v>153</v>
      </c>
      <c r="AG900" s="42" t="s">
        <v>153</v>
      </c>
      <c r="AH900" s="43" t="s">
        <v>153</v>
      </c>
      <c r="AI900" s="44" t="s">
        <v>153</v>
      </c>
      <c r="AJ900" s="45" t="s">
        <v>153</v>
      </c>
      <c r="AK900" s="46" t="s">
        <v>153</v>
      </c>
      <c r="AL900" s="47" t="s">
        <v>153</v>
      </c>
      <c r="AM900" s="48" t="s">
        <v>153</v>
      </c>
      <c r="AN900" s="49" t="s">
        <v>9935</v>
      </c>
      <c r="AO900" s="50" t="s">
        <v>17763</v>
      </c>
      <c r="AP900" s="51" t="s">
        <v>17764</v>
      </c>
      <c r="AQ900" s="52" t="s">
        <v>17765</v>
      </c>
      <c r="AR900" s="53" t="s">
        <v>17766</v>
      </c>
      <c r="AS900" s="54" t="s">
        <v>17767</v>
      </c>
      <c r="AT900" s="55" t="s">
        <v>17768</v>
      </c>
      <c r="AU900" s="56" t="s">
        <v>17769</v>
      </c>
      <c r="AV900" s="57" t="s">
        <v>153</v>
      </c>
      <c r="AW900" s="58" t="s">
        <v>17770</v>
      </c>
      <c r="AX900" s="59" t="s">
        <v>308</v>
      </c>
      <c r="AY900" s="60" t="s">
        <v>17771</v>
      </c>
      <c r="AZ900" s="61" t="s">
        <v>215</v>
      </c>
      <c r="BA900" s="62" t="s">
        <v>17767</v>
      </c>
      <c r="BB900" s="63" t="s">
        <v>17772</v>
      </c>
      <c r="BC900" s="64" t="s">
        <v>153</v>
      </c>
      <c r="BD900" s="65" t="s">
        <v>216</v>
      </c>
      <c r="BE900" s="66" t="s">
        <v>217</v>
      </c>
      <c r="BF900" s="67" t="s">
        <v>17773</v>
      </c>
      <c r="BG900" s="68" t="s">
        <v>153</v>
      </c>
      <c r="BH900" s="69" t="s">
        <v>153</v>
      </c>
      <c r="BI900" s="70" t="s">
        <v>3371</v>
      </c>
      <c r="BJ900" s="71" t="s">
        <v>153</v>
      </c>
      <c r="BK900" s="72" t="s">
        <v>153</v>
      </c>
      <c r="BL900" s="73" t="s">
        <v>153</v>
      </c>
      <c r="BM900" s="74" t="s">
        <v>153</v>
      </c>
      <c r="BN900" s="75" t="s">
        <v>153</v>
      </c>
      <c r="BO900" s="76" t="s">
        <v>17774</v>
      </c>
      <c r="BP900" s="77" t="s">
        <v>17775</v>
      </c>
      <c r="BQ900" s="78">
        <v>32451</v>
      </c>
      <c r="BR900" s="79" t="s">
        <v>153</v>
      </c>
      <c r="BS900" s="80" t="s">
        <v>153</v>
      </c>
      <c r="BT900" s="81" t="s">
        <v>153</v>
      </c>
      <c r="BU900" s="82" t="s">
        <v>153</v>
      </c>
      <c r="BV900" s="83" t="s">
        <v>251</v>
      </c>
      <c r="BW900" s="84" t="s">
        <v>153</v>
      </c>
      <c r="BX900" s="85" t="s">
        <v>153</v>
      </c>
      <c r="BY900" s="86" t="s">
        <v>252</v>
      </c>
      <c r="BZ900" s="87" t="s">
        <v>153</v>
      </c>
      <c r="CA900" s="88" t="s">
        <v>190</v>
      </c>
      <c r="CB900" s="89">
        <v>40723</v>
      </c>
      <c r="CC900" s="90">
        <v>5525</v>
      </c>
      <c r="CD900" s="91" t="s">
        <v>186</v>
      </c>
      <c r="CE900" s="92">
        <v>5525</v>
      </c>
      <c r="CF900" s="93" t="s">
        <v>187</v>
      </c>
      <c r="CG900" s="94" t="s">
        <v>226</v>
      </c>
      <c r="CH900" s="95" t="s">
        <v>153</v>
      </c>
      <c r="CI900" s="96" t="s">
        <v>153</v>
      </c>
      <c r="CJ900" s="97" t="s">
        <v>225</v>
      </c>
      <c r="CK900" s="98">
        <v>40723</v>
      </c>
      <c r="CL900" s="99" t="s">
        <v>153</v>
      </c>
      <c r="CM900" s="100" t="s">
        <v>153</v>
      </c>
      <c r="CN900" s="101" t="s">
        <v>190</v>
      </c>
      <c r="CO900" s="102">
        <v>0.7</v>
      </c>
      <c r="CP900" s="103">
        <v>94</v>
      </c>
      <c r="CQ900" s="104">
        <v>-0.02</v>
      </c>
      <c r="CR900" s="105">
        <v>-2.35</v>
      </c>
      <c r="CS900" s="106">
        <v>1.76</v>
      </c>
      <c r="CT900" s="107">
        <v>97</v>
      </c>
      <c r="CU900" s="108">
        <v>0.33</v>
      </c>
      <c r="CV900" s="109">
        <v>94</v>
      </c>
      <c r="CW900" s="110">
        <v>3.51</v>
      </c>
      <c r="CX900" s="111">
        <v>91</v>
      </c>
      <c r="CY900" s="112">
        <v>0</v>
      </c>
      <c r="CZ900" s="113">
        <v>5</v>
      </c>
      <c r="DA900" s="114">
        <v>0.33</v>
      </c>
      <c r="DB900" s="115">
        <v>94</v>
      </c>
      <c r="DC900" s="116">
        <v>130.18</v>
      </c>
      <c r="DD900" s="117">
        <v>100</v>
      </c>
      <c r="DE900" s="118">
        <v>0</v>
      </c>
      <c r="DF900" s="119">
        <v>0</v>
      </c>
      <c r="DG900" s="120">
        <v>116.37</v>
      </c>
      <c r="DH900" s="121">
        <v>100</v>
      </c>
      <c r="DI900" s="122">
        <v>3.89</v>
      </c>
      <c r="DJ900" s="123">
        <v>74</v>
      </c>
      <c r="DK900" s="124">
        <v>70.94</v>
      </c>
      <c r="DL900" s="125">
        <v>96</v>
      </c>
      <c r="DM900" s="126">
        <v>161.81</v>
      </c>
      <c r="DN900" s="127">
        <v>100</v>
      </c>
      <c r="DO900" s="128">
        <v>3.89</v>
      </c>
      <c r="DP900" s="129">
        <v>74</v>
      </c>
      <c r="DQ900" s="130">
        <v>41555</v>
      </c>
      <c r="DR900" s="131">
        <v>1869</v>
      </c>
      <c r="DS900" s="132">
        <v>4.71</v>
      </c>
      <c r="DT900" s="133">
        <v>2589</v>
      </c>
      <c r="DU900" s="134">
        <v>-1</v>
      </c>
      <c r="DV900" s="135">
        <v>-0.04</v>
      </c>
      <c r="DW900" s="136">
        <v>1222</v>
      </c>
      <c r="DX900" s="137">
        <v>3</v>
      </c>
      <c r="DY900" s="138">
        <v>0.25</v>
      </c>
      <c r="DZ900" s="139" t="s">
        <v>191</v>
      </c>
      <c r="EA900" s="140">
        <v>44293</v>
      </c>
      <c r="EB900" s="141">
        <v>5525</v>
      </c>
      <c r="EC900" s="142">
        <v>40723</v>
      </c>
      <c r="ED900" s="143" t="s">
        <v>226</v>
      </c>
      <c r="EE900" s="278" t="str">
        <f>HYPERLINK("https://my.pitchbook.com?c=41111-92", "View company online")</f>
        <v>View company online</v>
      </c>
    </row>
    <row r="901" spans="1:135" x14ac:dyDescent="0.45">
      <c r="A901" s="144" t="s">
        <v>17776</v>
      </c>
      <c r="B901" s="145" t="s">
        <v>17777</v>
      </c>
      <c r="C901" s="146" t="s">
        <v>153</v>
      </c>
      <c r="D901" s="147" t="s">
        <v>153</v>
      </c>
      <c r="E901" s="148" t="s">
        <v>17778</v>
      </c>
      <c r="F901" s="149" t="s">
        <v>17779</v>
      </c>
      <c r="G901" s="150" t="s">
        <v>17780</v>
      </c>
      <c r="H901" s="151" t="s">
        <v>153</v>
      </c>
      <c r="I901" s="152" t="s">
        <v>17776</v>
      </c>
      <c r="J901" s="153" t="s">
        <v>17781</v>
      </c>
      <c r="K901" s="154" t="s">
        <v>882</v>
      </c>
      <c r="L901" s="155" t="s">
        <v>883</v>
      </c>
      <c r="M901" s="156" t="s">
        <v>884</v>
      </c>
      <c r="N901" s="157" t="s">
        <v>5317</v>
      </c>
      <c r="O901" s="158" t="s">
        <v>1234</v>
      </c>
      <c r="P901" s="159" t="s">
        <v>17782</v>
      </c>
      <c r="Q901" s="160" t="s">
        <v>204</v>
      </c>
      <c r="R901" s="161" t="s">
        <v>153</v>
      </c>
      <c r="S901" s="162" t="s">
        <v>163</v>
      </c>
      <c r="T901" s="163" t="s">
        <v>205</v>
      </c>
      <c r="U901" s="164" t="s">
        <v>237</v>
      </c>
      <c r="V901" s="165" t="s">
        <v>17783</v>
      </c>
      <c r="W901" s="166" t="s">
        <v>153</v>
      </c>
      <c r="X901" s="167" t="s">
        <v>153</v>
      </c>
      <c r="Y901" s="168" t="s">
        <v>153</v>
      </c>
      <c r="Z901" s="169" t="s">
        <v>153</v>
      </c>
      <c r="AA901" s="170">
        <v>1990</v>
      </c>
      <c r="AB901" s="171" t="s">
        <v>153</v>
      </c>
      <c r="AC901" s="172" t="s">
        <v>153</v>
      </c>
      <c r="AD901" s="173" t="s">
        <v>153</v>
      </c>
      <c r="AE901" s="174" t="s">
        <v>153</v>
      </c>
      <c r="AF901" s="175" t="s">
        <v>153</v>
      </c>
      <c r="AG901" s="176" t="s">
        <v>153</v>
      </c>
      <c r="AH901" s="177" t="s">
        <v>153</v>
      </c>
      <c r="AI901" s="178" t="s">
        <v>153</v>
      </c>
      <c r="AJ901" s="179" t="s">
        <v>153</v>
      </c>
      <c r="AK901" s="180" t="s">
        <v>153</v>
      </c>
      <c r="AL901" s="181" t="s">
        <v>153</v>
      </c>
      <c r="AM901" s="182" t="s">
        <v>153</v>
      </c>
      <c r="AN901" s="183" t="s">
        <v>153</v>
      </c>
      <c r="AO901" s="184" t="s">
        <v>153</v>
      </c>
      <c r="AP901" s="185" t="s">
        <v>153</v>
      </c>
      <c r="AQ901" s="186" t="s">
        <v>153</v>
      </c>
      <c r="AR901" s="187" t="s">
        <v>153</v>
      </c>
      <c r="AS901" s="188" t="s">
        <v>153</v>
      </c>
      <c r="AT901" s="189" t="s">
        <v>1071</v>
      </c>
      <c r="AU901" s="190" t="s">
        <v>17784</v>
      </c>
      <c r="AV901" s="191" t="s">
        <v>153</v>
      </c>
      <c r="AW901" s="192" t="s">
        <v>1074</v>
      </c>
      <c r="AX901" s="193" t="s">
        <v>177</v>
      </c>
      <c r="AY901" s="194" t="s">
        <v>17785</v>
      </c>
      <c r="AZ901" s="195" t="s">
        <v>179</v>
      </c>
      <c r="BA901" s="196" t="s">
        <v>153</v>
      </c>
      <c r="BB901" s="197" t="s">
        <v>153</v>
      </c>
      <c r="BC901" s="198" t="s">
        <v>153</v>
      </c>
      <c r="BD901" s="199" t="s">
        <v>180</v>
      </c>
      <c r="BE901" s="200" t="s">
        <v>181</v>
      </c>
      <c r="BF901" s="201" t="s">
        <v>17786</v>
      </c>
      <c r="BG901" s="202" t="s">
        <v>153</v>
      </c>
      <c r="BH901" s="203" t="s">
        <v>153</v>
      </c>
      <c r="BI901" s="204" t="s">
        <v>17787</v>
      </c>
      <c r="BJ901" s="205" t="s">
        <v>153</v>
      </c>
      <c r="BK901" s="206" t="s">
        <v>153</v>
      </c>
      <c r="BL901" s="207" t="s">
        <v>153</v>
      </c>
      <c r="BM901" s="208" t="s">
        <v>153</v>
      </c>
      <c r="BN901" s="209" t="s">
        <v>153</v>
      </c>
      <c r="BO901" s="210" t="s">
        <v>17788</v>
      </c>
      <c r="BP901" s="211" t="s">
        <v>17789</v>
      </c>
      <c r="BQ901" s="212">
        <v>35074</v>
      </c>
      <c r="BR901" s="213" t="s">
        <v>153</v>
      </c>
      <c r="BS901" s="214" t="s">
        <v>153</v>
      </c>
      <c r="BT901" s="215" t="s">
        <v>153</v>
      </c>
      <c r="BU901" s="216" t="s">
        <v>153</v>
      </c>
      <c r="BV901" s="217" t="s">
        <v>251</v>
      </c>
      <c r="BW901" s="218" t="s">
        <v>153</v>
      </c>
      <c r="BX901" s="219" t="s">
        <v>153</v>
      </c>
      <c r="BY901" s="220" t="s">
        <v>252</v>
      </c>
      <c r="BZ901" s="221" t="s">
        <v>153</v>
      </c>
      <c r="CA901" s="222" t="s">
        <v>190</v>
      </c>
      <c r="CB901" s="223">
        <v>36952</v>
      </c>
      <c r="CC901" s="224">
        <v>5522.69</v>
      </c>
      <c r="CD901" s="225" t="s">
        <v>186</v>
      </c>
      <c r="CE901" s="226">
        <v>7363.49</v>
      </c>
      <c r="CF901" s="227" t="s">
        <v>186</v>
      </c>
      <c r="CG901" s="228" t="s">
        <v>226</v>
      </c>
      <c r="CH901" s="229" t="s">
        <v>153</v>
      </c>
      <c r="CI901" s="230" t="s">
        <v>153</v>
      </c>
      <c r="CJ901" s="231" t="s">
        <v>225</v>
      </c>
      <c r="CK901" s="232">
        <v>36952</v>
      </c>
      <c r="CL901" s="233" t="s">
        <v>153</v>
      </c>
      <c r="CM901" s="234" t="s">
        <v>153</v>
      </c>
      <c r="CN901" s="235" t="s">
        <v>190</v>
      </c>
      <c r="CO901" s="236" t="s">
        <v>153</v>
      </c>
      <c r="CP901" s="237" t="s">
        <v>153</v>
      </c>
      <c r="CQ901" s="238" t="s">
        <v>153</v>
      </c>
      <c r="CR901" s="239" t="s">
        <v>153</v>
      </c>
      <c r="CS901" s="240" t="s">
        <v>153</v>
      </c>
      <c r="CT901" s="241" t="s">
        <v>153</v>
      </c>
      <c r="CU901" s="242" t="s">
        <v>153</v>
      </c>
      <c r="CV901" s="243" t="s">
        <v>153</v>
      </c>
      <c r="CW901" s="244" t="s">
        <v>153</v>
      </c>
      <c r="CX901" s="245" t="s">
        <v>153</v>
      </c>
      <c r="CY901" s="246" t="s">
        <v>153</v>
      </c>
      <c r="CZ901" s="247" t="s">
        <v>153</v>
      </c>
      <c r="DA901" s="248" t="s">
        <v>153</v>
      </c>
      <c r="DB901" s="249" t="s">
        <v>153</v>
      </c>
      <c r="DC901" s="250" t="s">
        <v>153</v>
      </c>
      <c r="DD901" s="251" t="s">
        <v>153</v>
      </c>
      <c r="DE901" s="252" t="s">
        <v>153</v>
      </c>
      <c r="DF901" s="253" t="s">
        <v>153</v>
      </c>
      <c r="DG901" s="254" t="s">
        <v>153</v>
      </c>
      <c r="DH901" s="255" t="s">
        <v>153</v>
      </c>
      <c r="DI901" s="256" t="s">
        <v>153</v>
      </c>
      <c r="DJ901" s="257" t="s">
        <v>153</v>
      </c>
      <c r="DK901" s="258" t="s">
        <v>153</v>
      </c>
      <c r="DL901" s="259" t="s">
        <v>153</v>
      </c>
      <c r="DM901" s="260" t="s">
        <v>153</v>
      </c>
      <c r="DN901" s="261" t="s">
        <v>153</v>
      </c>
      <c r="DO901" s="262" t="s">
        <v>153</v>
      </c>
      <c r="DP901" s="263" t="s">
        <v>153</v>
      </c>
      <c r="DQ901" s="264" t="s">
        <v>153</v>
      </c>
      <c r="DR901" s="265" t="s">
        <v>153</v>
      </c>
      <c r="DS901" s="266" t="s">
        <v>153</v>
      </c>
      <c r="DT901" s="267" t="s">
        <v>153</v>
      </c>
      <c r="DU901" s="268" t="s">
        <v>153</v>
      </c>
      <c r="DV901" s="269" t="s">
        <v>153</v>
      </c>
      <c r="DW901" s="270" t="s">
        <v>153</v>
      </c>
      <c r="DX901" s="271" t="s">
        <v>153</v>
      </c>
      <c r="DY901" s="272" t="s">
        <v>153</v>
      </c>
      <c r="DZ901" s="273" t="s">
        <v>191</v>
      </c>
      <c r="EA901" s="274">
        <v>44312</v>
      </c>
      <c r="EB901" s="275">
        <v>7363.49</v>
      </c>
      <c r="EC901" s="276">
        <v>36952</v>
      </c>
      <c r="ED901" s="277" t="s">
        <v>226</v>
      </c>
      <c r="EE901" s="279" t="str">
        <f>HYPERLINK("https://my.pitchbook.com?c=154219-06", "View company online")</f>
        <v>View company online</v>
      </c>
    </row>
    <row r="902" spans="1:135" x14ac:dyDescent="0.45">
      <c r="A902" s="10" t="s">
        <v>17790</v>
      </c>
      <c r="B902" s="11" t="s">
        <v>17791</v>
      </c>
      <c r="C902" s="12" t="s">
        <v>153</v>
      </c>
      <c r="D902" s="13" t="s">
        <v>153</v>
      </c>
      <c r="E902" s="14" t="s">
        <v>17792</v>
      </c>
      <c r="F902" s="15" t="s">
        <v>17793</v>
      </c>
      <c r="G902" s="16" t="s">
        <v>17794</v>
      </c>
      <c r="H902" s="17" t="s">
        <v>17795</v>
      </c>
      <c r="I902" s="18" t="s">
        <v>17790</v>
      </c>
      <c r="J902" s="19" t="s">
        <v>17796</v>
      </c>
      <c r="K902" s="20" t="s">
        <v>198</v>
      </c>
      <c r="L902" s="21" t="s">
        <v>199</v>
      </c>
      <c r="M902" s="22" t="s">
        <v>1389</v>
      </c>
      <c r="N902" s="23" t="s">
        <v>17797</v>
      </c>
      <c r="O902" s="24" t="s">
        <v>399</v>
      </c>
      <c r="P902" s="25" t="s">
        <v>17798</v>
      </c>
      <c r="Q902" s="26" t="s">
        <v>564</v>
      </c>
      <c r="R902" s="27">
        <v>3619.15</v>
      </c>
      <c r="S902" s="28" t="s">
        <v>290</v>
      </c>
      <c r="T902" s="29" t="s">
        <v>164</v>
      </c>
      <c r="U902" s="30" t="s">
        <v>565</v>
      </c>
      <c r="V902" s="31" t="s">
        <v>17799</v>
      </c>
      <c r="W902" s="32">
        <v>1500</v>
      </c>
      <c r="X902" s="33" t="s">
        <v>17800</v>
      </c>
      <c r="Y902" s="34" t="s">
        <v>153</v>
      </c>
      <c r="Z902" s="35" t="s">
        <v>153</v>
      </c>
      <c r="AA902" s="36">
        <v>1991</v>
      </c>
      <c r="AB902" s="37" t="s">
        <v>17801</v>
      </c>
      <c r="AC902" s="38" t="s">
        <v>153</v>
      </c>
      <c r="AD902" s="39" t="s">
        <v>153</v>
      </c>
      <c r="AE902" s="40" t="s">
        <v>153</v>
      </c>
      <c r="AF902" s="41" t="s">
        <v>153</v>
      </c>
      <c r="AG902" s="42" t="s">
        <v>153</v>
      </c>
      <c r="AH902" s="43" t="s">
        <v>153</v>
      </c>
      <c r="AI902" s="44" t="s">
        <v>153</v>
      </c>
      <c r="AJ902" s="45" t="s">
        <v>153</v>
      </c>
      <c r="AK902" s="46" t="s">
        <v>153</v>
      </c>
      <c r="AL902" s="47" t="s">
        <v>153</v>
      </c>
      <c r="AM902" s="48" t="s">
        <v>153</v>
      </c>
      <c r="AN902" s="49" t="s">
        <v>209</v>
      </c>
      <c r="AO902" s="50" t="s">
        <v>17802</v>
      </c>
      <c r="AP902" s="51" t="s">
        <v>17803</v>
      </c>
      <c r="AQ902" s="52" t="s">
        <v>171</v>
      </c>
      <c r="AR902" s="53" t="s">
        <v>17804</v>
      </c>
      <c r="AS902" s="54" t="s">
        <v>17805</v>
      </c>
      <c r="AT902" s="55" t="s">
        <v>17806</v>
      </c>
      <c r="AU902" s="56" t="s">
        <v>17807</v>
      </c>
      <c r="AV902" s="57" t="s">
        <v>153</v>
      </c>
      <c r="AW902" s="58" t="s">
        <v>17808</v>
      </c>
      <c r="AX902" s="59" t="s">
        <v>153</v>
      </c>
      <c r="AY902" s="60" t="s">
        <v>17809</v>
      </c>
      <c r="AZ902" s="61" t="s">
        <v>352</v>
      </c>
      <c r="BA902" s="62" t="s">
        <v>17805</v>
      </c>
      <c r="BB902" s="63" t="s">
        <v>17810</v>
      </c>
      <c r="BC902" s="64" t="s">
        <v>17811</v>
      </c>
      <c r="BD902" s="65" t="s">
        <v>180</v>
      </c>
      <c r="BE902" s="66" t="s">
        <v>181</v>
      </c>
      <c r="BF902" s="67" t="s">
        <v>17812</v>
      </c>
      <c r="BG902" s="68" t="s">
        <v>153</v>
      </c>
      <c r="BH902" s="69" t="s">
        <v>153</v>
      </c>
      <c r="BI902" s="70" t="s">
        <v>17801</v>
      </c>
      <c r="BJ902" s="71" t="s">
        <v>17813</v>
      </c>
      <c r="BK902" s="72" t="s">
        <v>153</v>
      </c>
      <c r="BL902" s="73" t="s">
        <v>153</v>
      </c>
      <c r="BM902" s="74" t="s">
        <v>17814</v>
      </c>
      <c r="BN902" s="75" t="s">
        <v>153</v>
      </c>
      <c r="BO902" s="76" t="s">
        <v>17815</v>
      </c>
      <c r="BP902" s="77" t="s">
        <v>17816</v>
      </c>
      <c r="BQ902" s="78">
        <v>34335</v>
      </c>
      <c r="BR902" s="79" t="s">
        <v>153</v>
      </c>
      <c r="BS902" s="80" t="s">
        <v>153</v>
      </c>
      <c r="BT902" s="81" t="s">
        <v>153</v>
      </c>
      <c r="BU902" s="82" t="s">
        <v>153</v>
      </c>
      <c r="BV902" s="83" t="s">
        <v>709</v>
      </c>
      <c r="BW902" s="84" t="s">
        <v>153</v>
      </c>
      <c r="BX902" s="85" t="s">
        <v>153</v>
      </c>
      <c r="BY902" s="86" t="s">
        <v>165</v>
      </c>
      <c r="BZ902" s="87" t="s">
        <v>153</v>
      </c>
      <c r="CA902" s="88" t="s">
        <v>190</v>
      </c>
      <c r="CB902" s="89">
        <v>39143</v>
      </c>
      <c r="CC902" s="90">
        <v>5520</v>
      </c>
      <c r="CD902" s="91" t="s">
        <v>186</v>
      </c>
      <c r="CE902" s="92">
        <v>5520</v>
      </c>
      <c r="CF902" s="93" t="s">
        <v>186</v>
      </c>
      <c r="CG902" s="94" t="s">
        <v>226</v>
      </c>
      <c r="CH902" s="95" t="s">
        <v>153</v>
      </c>
      <c r="CI902" s="96" t="s">
        <v>153</v>
      </c>
      <c r="CJ902" s="97" t="s">
        <v>225</v>
      </c>
      <c r="CK902" s="98">
        <v>39143</v>
      </c>
      <c r="CL902" s="99" t="s">
        <v>153</v>
      </c>
      <c r="CM902" s="100" t="s">
        <v>153</v>
      </c>
      <c r="CN902" s="101" t="s">
        <v>190</v>
      </c>
      <c r="CO902" s="102" t="s">
        <v>153</v>
      </c>
      <c r="CP902" s="103" t="s">
        <v>153</v>
      </c>
      <c r="CQ902" s="104" t="s">
        <v>153</v>
      </c>
      <c r="CR902" s="105" t="s">
        <v>153</v>
      </c>
      <c r="CS902" s="106" t="s">
        <v>153</v>
      </c>
      <c r="CT902" s="107" t="s">
        <v>153</v>
      </c>
      <c r="CU902" s="108" t="s">
        <v>153</v>
      </c>
      <c r="CV902" s="109" t="s">
        <v>153</v>
      </c>
      <c r="CW902" s="110" t="s">
        <v>153</v>
      </c>
      <c r="CX902" s="111" t="s">
        <v>153</v>
      </c>
      <c r="CY902" s="112" t="s">
        <v>153</v>
      </c>
      <c r="CZ902" s="113" t="s">
        <v>153</v>
      </c>
      <c r="DA902" s="114" t="s">
        <v>153</v>
      </c>
      <c r="DB902" s="115" t="s">
        <v>153</v>
      </c>
      <c r="DC902" s="116" t="s">
        <v>153</v>
      </c>
      <c r="DD902" s="117" t="s">
        <v>153</v>
      </c>
      <c r="DE902" s="118" t="s">
        <v>153</v>
      </c>
      <c r="DF902" s="119" t="s">
        <v>153</v>
      </c>
      <c r="DG902" s="120" t="s">
        <v>153</v>
      </c>
      <c r="DH902" s="121" t="s">
        <v>153</v>
      </c>
      <c r="DI902" s="122" t="s">
        <v>153</v>
      </c>
      <c r="DJ902" s="123" t="s">
        <v>153</v>
      </c>
      <c r="DK902" s="124" t="s">
        <v>153</v>
      </c>
      <c r="DL902" s="125" t="s">
        <v>153</v>
      </c>
      <c r="DM902" s="126" t="s">
        <v>153</v>
      </c>
      <c r="DN902" s="127" t="s">
        <v>153</v>
      </c>
      <c r="DO902" s="128" t="s">
        <v>153</v>
      </c>
      <c r="DP902" s="129" t="s">
        <v>153</v>
      </c>
      <c r="DQ902" s="130" t="s">
        <v>153</v>
      </c>
      <c r="DR902" s="131" t="s">
        <v>153</v>
      </c>
      <c r="DS902" s="132" t="s">
        <v>153</v>
      </c>
      <c r="DT902" s="133" t="s">
        <v>153</v>
      </c>
      <c r="DU902" s="134" t="s">
        <v>153</v>
      </c>
      <c r="DV902" s="135" t="s">
        <v>153</v>
      </c>
      <c r="DW902" s="136" t="s">
        <v>153</v>
      </c>
      <c r="DX902" s="137" t="s">
        <v>153</v>
      </c>
      <c r="DY902" s="138" t="s">
        <v>153</v>
      </c>
      <c r="DZ902" s="139" t="s">
        <v>191</v>
      </c>
      <c r="EA902" s="140">
        <v>44368</v>
      </c>
      <c r="EB902" s="141">
        <v>5520</v>
      </c>
      <c r="EC902" s="142">
        <v>39143</v>
      </c>
      <c r="ED902" s="143" t="s">
        <v>226</v>
      </c>
      <c r="EE902" s="278" t="str">
        <f>HYPERLINK("https://my.pitchbook.com?c=53532-19", "View company online")</f>
        <v>View company online</v>
      </c>
    </row>
    <row r="903" spans="1:135" x14ac:dyDescent="0.45">
      <c r="A903" s="144" t="s">
        <v>17817</v>
      </c>
      <c r="B903" s="145" t="s">
        <v>17818</v>
      </c>
      <c r="C903" s="146" t="s">
        <v>153</v>
      </c>
      <c r="D903" s="147" t="s">
        <v>153</v>
      </c>
      <c r="E903" s="148" t="s">
        <v>153</v>
      </c>
      <c r="F903" s="149" t="s">
        <v>153</v>
      </c>
      <c r="G903" s="150" t="s">
        <v>17819</v>
      </c>
      <c r="H903" s="151" t="s">
        <v>17820</v>
      </c>
      <c r="I903" s="152" t="s">
        <v>17817</v>
      </c>
      <c r="J903" s="153" t="s">
        <v>17821</v>
      </c>
      <c r="K903" s="154" t="s">
        <v>157</v>
      </c>
      <c r="L903" s="155" t="s">
        <v>1667</v>
      </c>
      <c r="M903" s="156" t="s">
        <v>1668</v>
      </c>
      <c r="N903" s="157" t="s">
        <v>1730</v>
      </c>
      <c r="O903" s="158" t="s">
        <v>17822</v>
      </c>
      <c r="P903" s="159" t="s">
        <v>17823</v>
      </c>
      <c r="Q903" s="160" t="s">
        <v>204</v>
      </c>
      <c r="R903" s="161">
        <v>4564.99</v>
      </c>
      <c r="S903" s="162" t="s">
        <v>163</v>
      </c>
      <c r="T903" s="163" t="s">
        <v>164</v>
      </c>
      <c r="U903" s="164" t="s">
        <v>5334</v>
      </c>
      <c r="V903" s="165" t="s">
        <v>17824</v>
      </c>
      <c r="W903" s="166">
        <v>22000</v>
      </c>
      <c r="X903" s="167" t="s">
        <v>17825</v>
      </c>
      <c r="Y903" s="168" t="s">
        <v>153</v>
      </c>
      <c r="Z903" s="169" t="s">
        <v>153</v>
      </c>
      <c r="AA903" s="170">
        <v>1931</v>
      </c>
      <c r="AB903" s="171" t="s">
        <v>9560</v>
      </c>
      <c r="AC903" s="172" t="s">
        <v>1540</v>
      </c>
      <c r="AD903" s="173" t="s">
        <v>17826</v>
      </c>
      <c r="AE903" s="174" t="s">
        <v>153</v>
      </c>
      <c r="AF903" s="175" t="s">
        <v>153</v>
      </c>
      <c r="AG903" s="176" t="s">
        <v>153</v>
      </c>
      <c r="AH903" s="177" t="s">
        <v>153</v>
      </c>
      <c r="AI903" s="178" t="s">
        <v>153</v>
      </c>
      <c r="AJ903" s="179" t="s">
        <v>153</v>
      </c>
      <c r="AK903" s="180" t="s">
        <v>153</v>
      </c>
      <c r="AL903" s="181" t="s">
        <v>153</v>
      </c>
      <c r="AM903" s="182" t="s">
        <v>153</v>
      </c>
      <c r="AN903" s="183" t="s">
        <v>456</v>
      </c>
      <c r="AO903" s="184" t="s">
        <v>17827</v>
      </c>
      <c r="AP903" s="185" t="s">
        <v>17828</v>
      </c>
      <c r="AQ903" s="186" t="s">
        <v>12217</v>
      </c>
      <c r="AR903" s="187" t="s">
        <v>17829</v>
      </c>
      <c r="AS903" s="188" t="s">
        <v>17830</v>
      </c>
      <c r="AT903" s="189" t="s">
        <v>17831</v>
      </c>
      <c r="AU903" s="190" t="s">
        <v>17832</v>
      </c>
      <c r="AV903" s="191" t="s">
        <v>153</v>
      </c>
      <c r="AW903" s="192" t="s">
        <v>17833</v>
      </c>
      <c r="AX903" s="193" t="s">
        <v>153</v>
      </c>
      <c r="AY903" s="194" t="s">
        <v>17834</v>
      </c>
      <c r="AZ903" s="195" t="s">
        <v>352</v>
      </c>
      <c r="BA903" s="196" t="s">
        <v>17830</v>
      </c>
      <c r="BB903" s="197" t="s">
        <v>17835</v>
      </c>
      <c r="BC903" s="198" t="s">
        <v>17836</v>
      </c>
      <c r="BD903" s="199" t="s">
        <v>180</v>
      </c>
      <c r="BE903" s="200" t="s">
        <v>181</v>
      </c>
      <c r="BF903" s="201" t="s">
        <v>17837</v>
      </c>
      <c r="BG903" s="202" t="s">
        <v>153</v>
      </c>
      <c r="BH903" s="203" t="s">
        <v>153</v>
      </c>
      <c r="BI903" s="204" t="s">
        <v>9560</v>
      </c>
      <c r="BJ903" s="205" t="s">
        <v>17838</v>
      </c>
      <c r="BK903" s="206" t="s">
        <v>153</v>
      </c>
      <c r="BL903" s="207" t="s">
        <v>153</v>
      </c>
      <c r="BM903" s="208" t="s">
        <v>17839</v>
      </c>
      <c r="BN903" s="209" t="s">
        <v>153</v>
      </c>
      <c r="BO903" s="210" t="s">
        <v>17840</v>
      </c>
      <c r="BP903" s="211" t="s">
        <v>17841</v>
      </c>
      <c r="BQ903" s="212" t="s">
        <v>153</v>
      </c>
      <c r="BR903" s="213" t="s">
        <v>153</v>
      </c>
      <c r="BS903" s="214" t="s">
        <v>153</v>
      </c>
      <c r="BT903" s="215" t="s">
        <v>153</v>
      </c>
      <c r="BU903" s="216" t="s">
        <v>153</v>
      </c>
      <c r="BV903" s="217" t="s">
        <v>4289</v>
      </c>
      <c r="BW903" s="218" t="s">
        <v>153</v>
      </c>
      <c r="BX903" s="219" t="s">
        <v>153</v>
      </c>
      <c r="BY903" s="220" t="s">
        <v>4290</v>
      </c>
      <c r="BZ903" s="221" t="s">
        <v>1607</v>
      </c>
      <c r="CA903" s="222" t="s">
        <v>190</v>
      </c>
      <c r="CB903" s="223">
        <v>41122</v>
      </c>
      <c r="CC903" s="224">
        <v>5518.34</v>
      </c>
      <c r="CD903" s="225" t="s">
        <v>186</v>
      </c>
      <c r="CE903" s="226">
        <v>11014.64</v>
      </c>
      <c r="CF903" s="227" t="s">
        <v>186</v>
      </c>
      <c r="CG903" s="228" t="s">
        <v>226</v>
      </c>
      <c r="CH903" s="229" t="s">
        <v>729</v>
      </c>
      <c r="CI903" s="230" t="s">
        <v>153</v>
      </c>
      <c r="CJ903" s="231" t="s">
        <v>225</v>
      </c>
      <c r="CK903" s="232">
        <v>41122</v>
      </c>
      <c r="CL903" s="233" t="s">
        <v>153</v>
      </c>
      <c r="CM903" s="234" t="s">
        <v>153</v>
      </c>
      <c r="CN903" s="235" t="s">
        <v>190</v>
      </c>
      <c r="CO903" s="236">
        <v>0.05</v>
      </c>
      <c r="CP903" s="237">
        <v>88</v>
      </c>
      <c r="CQ903" s="238">
        <v>-7.0000000000000007E-2</v>
      </c>
      <c r="CR903" s="239">
        <v>-57.43</v>
      </c>
      <c r="CS903" s="240">
        <v>0.18</v>
      </c>
      <c r="CT903" s="241">
        <v>90</v>
      </c>
      <c r="CU903" s="242">
        <v>0.1</v>
      </c>
      <c r="CV903" s="243">
        <v>86</v>
      </c>
      <c r="CW903" s="244">
        <v>0.28999999999999998</v>
      </c>
      <c r="CX903" s="245">
        <v>78</v>
      </c>
      <c r="CY903" s="246">
        <v>7.0000000000000007E-2</v>
      </c>
      <c r="CZ903" s="247">
        <v>90</v>
      </c>
      <c r="DA903" s="248">
        <v>0.1</v>
      </c>
      <c r="DB903" s="249">
        <v>86</v>
      </c>
      <c r="DC903" s="250">
        <v>2333.91</v>
      </c>
      <c r="DD903" s="251">
        <v>100</v>
      </c>
      <c r="DE903" s="252">
        <v>11.78</v>
      </c>
      <c r="DF903" s="253">
        <v>0.51</v>
      </c>
      <c r="DG903" s="254">
        <v>2445.12</v>
      </c>
      <c r="DH903" s="255">
        <v>100</v>
      </c>
      <c r="DI903" s="256">
        <v>6234.22</v>
      </c>
      <c r="DJ903" s="257">
        <v>100</v>
      </c>
      <c r="DK903" s="258">
        <v>2949.18</v>
      </c>
      <c r="DL903" s="259">
        <v>100</v>
      </c>
      <c r="DM903" s="260">
        <v>1941.06</v>
      </c>
      <c r="DN903" s="261">
        <v>100</v>
      </c>
      <c r="DO903" s="262">
        <v>6234.22</v>
      </c>
      <c r="DP903" s="263">
        <v>100</v>
      </c>
      <c r="DQ903" s="264">
        <v>1748375</v>
      </c>
      <c r="DR903" s="265">
        <v>1787</v>
      </c>
      <c r="DS903" s="266">
        <v>0.1</v>
      </c>
      <c r="DT903" s="267">
        <v>31030</v>
      </c>
      <c r="DU903" s="268">
        <v>69</v>
      </c>
      <c r="DV903" s="269">
        <v>0.22</v>
      </c>
      <c r="DW903" s="270">
        <v>1957050</v>
      </c>
      <c r="DX903" s="271">
        <v>2028</v>
      </c>
      <c r="DY903" s="272">
        <v>0.1</v>
      </c>
      <c r="DZ903" s="273" t="s">
        <v>191</v>
      </c>
      <c r="EA903" s="274">
        <v>44347</v>
      </c>
      <c r="EB903" s="275">
        <v>11014.64</v>
      </c>
      <c r="EC903" s="276">
        <v>41122</v>
      </c>
      <c r="ED903" s="277" t="s">
        <v>226</v>
      </c>
      <c r="EE903" s="279" t="str">
        <f>HYPERLINK("https://my.pitchbook.com?c=88409-08", "View company online")</f>
        <v>View company online</v>
      </c>
    </row>
    <row r="904" spans="1:135" x14ac:dyDescent="0.45">
      <c r="A904" s="10" t="s">
        <v>17842</v>
      </c>
      <c r="B904" s="11" t="s">
        <v>17843</v>
      </c>
      <c r="C904" s="12" t="s">
        <v>153</v>
      </c>
      <c r="D904" s="13" t="s">
        <v>153</v>
      </c>
      <c r="E904" s="14" t="s">
        <v>153</v>
      </c>
      <c r="F904" s="15" t="s">
        <v>17844</v>
      </c>
      <c r="G904" s="16" t="s">
        <v>17845</v>
      </c>
      <c r="H904" s="17" t="s">
        <v>17846</v>
      </c>
      <c r="I904" s="18" t="s">
        <v>17842</v>
      </c>
      <c r="J904" s="19" t="s">
        <v>17847</v>
      </c>
      <c r="K904" s="20" t="s">
        <v>198</v>
      </c>
      <c r="L904" s="21" t="s">
        <v>199</v>
      </c>
      <c r="M904" s="22" t="s">
        <v>344</v>
      </c>
      <c r="N904" s="23" t="s">
        <v>6501</v>
      </c>
      <c r="O904" s="24" t="s">
        <v>399</v>
      </c>
      <c r="P904" s="25" t="s">
        <v>17848</v>
      </c>
      <c r="Q904" s="26" t="s">
        <v>289</v>
      </c>
      <c r="R904" s="27">
        <v>80.66</v>
      </c>
      <c r="S904" s="28" t="s">
        <v>163</v>
      </c>
      <c r="T904" s="29" t="s">
        <v>205</v>
      </c>
      <c r="U904" s="30" t="s">
        <v>1791</v>
      </c>
      <c r="V904" s="31" t="s">
        <v>17849</v>
      </c>
      <c r="W904" s="32">
        <v>6000</v>
      </c>
      <c r="X904" s="33" t="s">
        <v>17850</v>
      </c>
      <c r="Y904" s="34" t="s">
        <v>153</v>
      </c>
      <c r="Z904" s="35" t="s">
        <v>153</v>
      </c>
      <c r="AA904" s="36">
        <v>1995</v>
      </c>
      <c r="AB904" s="37" t="s">
        <v>1602</v>
      </c>
      <c r="AC904" s="38" t="s">
        <v>153</v>
      </c>
      <c r="AD904" s="39" t="s">
        <v>153</v>
      </c>
      <c r="AE904" s="40" t="s">
        <v>153</v>
      </c>
      <c r="AF904" s="41" t="s">
        <v>153</v>
      </c>
      <c r="AG904" s="42" t="s">
        <v>153</v>
      </c>
      <c r="AH904" s="43" t="s">
        <v>153</v>
      </c>
      <c r="AI904" s="44" t="s">
        <v>153</v>
      </c>
      <c r="AJ904" s="45" t="s">
        <v>153</v>
      </c>
      <c r="AK904" s="46" t="s">
        <v>153</v>
      </c>
      <c r="AL904" s="47" t="s">
        <v>153</v>
      </c>
      <c r="AM904" s="48" t="s">
        <v>153</v>
      </c>
      <c r="AN904" s="49" t="s">
        <v>2675</v>
      </c>
      <c r="AO904" s="50" t="s">
        <v>153</v>
      </c>
      <c r="AP904" s="51" t="s">
        <v>153</v>
      </c>
      <c r="AQ904" s="52" t="s">
        <v>153</v>
      </c>
      <c r="AR904" s="53" t="s">
        <v>153</v>
      </c>
      <c r="AS904" s="54" t="s">
        <v>153</v>
      </c>
      <c r="AT904" s="55" t="s">
        <v>1379</v>
      </c>
      <c r="AU904" s="56" t="s">
        <v>17851</v>
      </c>
      <c r="AV904" s="57" t="s">
        <v>153</v>
      </c>
      <c r="AW904" s="58" t="s">
        <v>1380</v>
      </c>
      <c r="AX904" s="59" t="s">
        <v>308</v>
      </c>
      <c r="AY904" s="60" t="s">
        <v>3272</v>
      </c>
      <c r="AZ904" s="61" t="s">
        <v>215</v>
      </c>
      <c r="BA904" s="62" t="s">
        <v>153</v>
      </c>
      <c r="BB904" s="63" t="s">
        <v>153</v>
      </c>
      <c r="BC904" s="64" t="s">
        <v>153</v>
      </c>
      <c r="BD904" s="65" t="s">
        <v>216</v>
      </c>
      <c r="BE904" s="66" t="s">
        <v>217</v>
      </c>
      <c r="BF904" s="67" t="s">
        <v>17852</v>
      </c>
      <c r="BG904" s="68" t="s">
        <v>153</v>
      </c>
      <c r="BH904" s="69" t="s">
        <v>153</v>
      </c>
      <c r="BI904" s="70" t="s">
        <v>1585</v>
      </c>
      <c r="BJ904" s="71" t="s">
        <v>17853</v>
      </c>
      <c r="BK904" s="72" t="s">
        <v>17854</v>
      </c>
      <c r="BL904" s="73" t="s">
        <v>153</v>
      </c>
      <c r="BM904" s="74" t="s">
        <v>17855</v>
      </c>
      <c r="BN904" s="75" t="s">
        <v>17856</v>
      </c>
      <c r="BO904" s="76" t="s">
        <v>17857</v>
      </c>
      <c r="BP904" s="77" t="s">
        <v>17858</v>
      </c>
      <c r="BQ904" s="78">
        <v>34939</v>
      </c>
      <c r="BR904" s="79">
        <v>1.43</v>
      </c>
      <c r="BS904" s="80" t="s">
        <v>186</v>
      </c>
      <c r="BT904" s="81" t="s">
        <v>153</v>
      </c>
      <c r="BU904" s="82" t="s">
        <v>153</v>
      </c>
      <c r="BV904" s="83" t="s">
        <v>471</v>
      </c>
      <c r="BW904" s="84" t="s">
        <v>1811</v>
      </c>
      <c r="BX904" s="85" t="s">
        <v>153</v>
      </c>
      <c r="BY904" s="86" t="s">
        <v>472</v>
      </c>
      <c r="BZ904" s="87" t="s">
        <v>153</v>
      </c>
      <c r="CA904" s="88" t="s">
        <v>190</v>
      </c>
      <c r="CB904" s="89">
        <v>43056</v>
      </c>
      <c r="CC904" s="90">
        <v>5500</v>
      </c>
      <c r="CD904" s="91" t="s">
        <v>186</v>
      </c>
      <c r="CE904" s="92">
        <v>5500</v>
      </c>
      <c r="CF904" s="93" t="s">
        <v>187</v>
      </c>
      <c r="CG904" s="94" t="s">
        <v>226</v>
      </c>
      <c r="CH904" s="95" t="s">
        <v>153</v>
      </c>
      <c r="CI904" s="96" t="s">
        <v>153</v>
      </c>
      <c r="CJ904" s="97" t="s">
        <v>225</v>
      </c>
      <c r="CK904" s="98">
        <v>43056</v>
      </c>
      <c r="CL904" s="99" t="s">
        <v>153</v>
      </c>
      <c r="CM904" s="100" t="s">
        <v>321</v>
      </c>
      <c r="CN904" s="101" t="s">
        <v>190</v>
      </c>
      <c r="CO904" s="102" t="s">
        <v>153</v>
      </c>
      <c r="CP904" s="103" t="s">
        <v>153</v>
      </c>
      <c r="CQ904" s="104" t="s">
        <v>153</v>
      </c>
      <c r="CR904" s="105" t="s">
        <v>153</v>
      </c>
      <c r="CS904" s="106" t="s">
        <v>153</v>
      </c>
      <c r="CT904" s="107" t="s">
        <v>153</v>
      </c>
      <c r="CU904" s="108" t="s">
        <v>153</v>
      </c>
      <c r="CV904" s="109" t="s">
        <v>153</v>
      </c>
      <c r="CW904" s="110" t="s">
        <v>153</v>
      </c>
      <c r="CX904" s="111" t="s">
        <v>153</v>
      </c>
      <c r="CY904" s="112" t="s">
        <v>153</v>
      </c>
      <c r="CZ904" s="113" t="s">
        <v>153</v>
      </c>
      <c r="DA904" s="114" t="s">
        <v>153</v>
      </c>
      <c r="DB904" s="115" t="s">
        <v>153</v>
      </c>
      <c r="DC904" s="116" t="s">
        <v>153</v>
      </c>
      <c r="DD904" s="117" t="s">
        <v>153</v>
      </c>
      <c r="DE904" s="118" t="s">
        <v>153</v>
      </c>
      <c r="DF904" s="119" t="s">
        <v>153</v>
      </c>
      <c r="DG904" s="120" t="s">
        <v>153</v>
      </c>
      <c r="DH904" s="121" t="s">
        <v>153</v>
      </c>
      <c r="DI904" s="122" t="s">
        <v>153</v>
      </c>
      <c r="DJ904" s="123" t="s">
        <v>153</v>
      </c>
      <c r="DK904" s="124" t="s">
        <v>153</v>
      </c>
      <c r="DL904" s="125" t="s">
        <v>153</v>
      </c>
      <c r="DM904" s="126" t="s">
        <v>153</v>
      </c>
      <c r="DN904" s="127" t="s">
        <v>153</v>
      </c>
      <c r="DO904" s="128" t="s">
        <v>153</v>
      </c>
      <c r="DP904" s="129" t="s">
        <v>153</v>
      </c>
      <c r="DQ904" s="130" t="s">
        <v>153</v>
      </c>
      <c r="DR904" s="131" t="s">
        <v>153</v>
      </c>
      <c r="DS904" s="132" t="s">
        <v>153</v>
      </c>
      <c r="DT904" s="133" t="s">
        <v>153</v>
      </c>
      <c r="DU904" s="134" t="s">
        <v>153</v>
      </c>
      <c r="DV904" s="135" t="s">
        <v>153</v>
      </c>
      <c r="DW904" s="136" t="s">
        <v>153</v>
      </c>
      <c r="DX904" s="137" t="s">
        <v>153</v>
      </c>
      <c r="DY904" s="138" t="s">
        <v>153</v>
      </c>
      <c r="DZ904" s="139" t="s">
        <v>191</v>
      </c>
      <c r="EA904" s="140">
        <v>44272</v>
      </c>
      <c r="EB904" s="141">
        <v>5500</v>
      </c>
      <c r="EC904" s="142">
        <v>43056</v>
      </c>
      <c r="ED904" s="143" t="s">
        <v>226</v>
      </c>
      <c r="EE904" s="278" t="str">
        <f>HYPERLINK("https://my.pitchbook.com?c=41230-18", "View company online")</f>
        <v>View company online</v>
      </c>
    </row>
    <row r="905" spans="1:135" x14ac:dyDescent="0.45">
      <c r="A905" s="144" t="s">
        <v>17859</v>
      </c>
      <c r="B905" s="145" t="s">
        <v>17860</v>
      </c>
      <c r="C905" s="146" t="s">
        <v>153</v>
      </c>
      <c r="D905" s="147" t="s">
        <v>153</v>
      </c>
      <c r="E905" s="148" t="s">
        <v>153</v>
      </c>
      <c r="F905" s="149" t="s">
        <v>153</v>
      </c>
      <c r="G905" s="150" t="s">
        <v>17861</v>
      </c>
      <c r="H905" s="151" t="s">
        <v>17862</v>
      </c>
      <c r="I905" s="152" t="s">
        <v>17859</v>
      </c>
      <c r="J905" s="153" t="s">
        <v>17863</v>
      </c>
      <c r="K905" s="154" t="s">
        <v>157</v>
      </c>
      <c r="L905" s="155" t="s">
        <v>2713</v>
      </c>
      <c r="M905" s="156" t="s">
        <v>2922</v>
      </c>
      <c r="N905" s="157" t="s">
        <v>17864</v>
      </c>
      <c r="O905" s="158" t="s">
        <v>2839</v>
      </c>
      <c r="P905" s="159" t="s">
        <v>17865</v>
      </c>
      <c r="Q905" s="160" t="s">
        <v>162</v>
      </c>
      <c r="R905" s="161">
        <v>125</v>
      </c>
      <c r="S905" s="162" t="s">
        <v>290</v>
      </c>
      <c r="T905" s="163" t="s">
        <v>164</v>
      </c>
      <c r="U905" s="164" t="s">
        <v>1063</v>
      </c>
      <c r="V905" s="165" t="s">
        <v>17866</v>
      </c>
      <c r="W905" s="166">
        <v>19000</v>
      </c>
      <c r="X905" s="167" t="s">
        <v>17867</v>
      </c>
      <c r="Y905" s="168" t="s">
        <v>153</v>
      </c>
      <c r="Z905" s="169" t="s">
        <v>153</v>
      </c>
      <c r="AA905" s="170">
        <v>1961</v>
      </c>
      <c r="AB905" s="171" t="s">
        <v>17868</v>
      </c>
      <c r="AC905" s="172" t="s">
        <v>153</v>
      </c>
      <c r="AD905" s="173" t="s">
        <v>153</v>
      </c>
      <c r="AE905" s="174" t="s">
        <v>153</v>
      </c>
      <c r="AF905" s="175" t="s">
        <v>153</v>
      </c>
      <c r="AG905" s="176" t="s">
        <v>153</v>
      </c>
      <c r="AH905" s="177" t="s">
        <v>153</v>
      </c>
      <c r="AI905" s="178" t="s">
        <v>153</v>
      </c>
      <c r="AJ905" s="179" t="s">
        <v>153</v>
      </c>
      <c r="AK905" s="180" t="s">
        <v>153</v>
      </c>
      <c r="AL905" s="181" t="s">
        <v>153</v>
      </c>
      <c r="AM905" s="182" t="s">
        <v>153</v>
      </c>
      <c r="AN905" s="183" t="s">
        <v>4877</v>
      </c>
      <c r="AO905" s="184" t="s">
        <v>17869</v>
      </c>
      <c r="AP905" s="185" t="s">
        <v>17870</v>
      </c>
      <c r="AQ905" s="186" t="s">
        <v>5090</v>
      </c>
      <c r="AR905" s="187" t="s">
        <v>17871</v>
      </c>
      <c r="AS905" s="188" t="s">
        <v>17872</v>
      </c>
      <c r="AT905" s="189" t="s">
        <v>17873</v>
      </c>
      <c r="AU905" s="190" t="s">
        <v>17874</v>
      </c>
      <c r="AV905" s="191" t="s">
        <v>153</v>
      </c>
      <c r="AW905" s="192" t="s">
        <v>17875</v>
      </c>
      <c r="AX905" s="193" t="s">
        <v>17876</v>
      </c>
      <c r="AY905" s="194" t="s">
        <v>17877</v>
      </c>
      <c r="AZ905" s="195" t="s">
        <v>215</v>
      </c>
      <c r="BA905" s="196" t="s">
        <v>17872</v>
      </c>
      <c r="BB905" s="197" t="s">
        <v>153</v>
      </c>
      <c r="BC905" s="198" t="s">
        <v>17878</v>
      </c>
      <c r="BD905" s="199" t="s">
        <v>216</v>
      </c>
      <c r="BE905" s="200" t="s">
        <v>217</v>
      </c>
      <c r="BF905" s="201" t="s">
        <v>17879</v>
      </c>
      <c r="BG905" s="202" t="s">
        <v>153</v>
      </c>
      <c r="BH905" s="203" t="s">
        <v>153</v>
      </c>
      <c r="BI905" s="204" t="s">
        <v>17868</v>
      </c>
      <c r="BJ905" s="205" t="s">
        <v>17880</v>
      </c>
      <c r="BK905" s="206" t="s">
        <v>17881</v>
      </c>
      <c r="BL905" s="207" t="s">
        <v>153</v>
      </c>
      <c r="BM905" s="208" t="s">
        <v>17882</v>
      </c>
      <c r="BN905" s="209" t="s">
        <v>17883</v>
      </c>
      <c r="BO905" s="210" t="s">
        <v>17884</v>
      </c>
      <c r="BP905" s="211" t="s">
        <v>17885</v>
      </c>
      <c r="BQ905" s="212">
        <v>34335</v>
      </c>
      <c r="BR905" s="213" t="s">
        <v>153</v>
      </c>
      <c r="BS905" s="214" t="s">
        <v>153</v>
      </c>
      <c r="BT905" s="215" t="s">
        <v>153</v>
      </c>
      <c r="BU905" s="216" t="s">
        <v>153</v>
      </c>
      <c r="BV905" s="217" t="s">
        <v>709</v>
      </c>
      <c r="BW905" s="218" t="s">
        <v>153</v>
      </c>
      <c r="BX905" s="219" t="s">
        <v>153</v>
      </c>
      <c r="BY905" s="220" t="s">
        <v>165</v>
      </c>
      <c r="BZ905" s="221" t="s">
        <v>153</v>
      </c>
      <c r="CA905" s="222" t="s">
        <v>190</v>
      </c>
      <c r="CB905" s="223">
        <v>42921</v>
      </c>
      <c r="CC905" s="224">
        <v>5500</v>
      </c>
      <c r="CD905" s="225" t="s">
        <v>186</v>
      </c>
      <c r="CE905" s="226">
        <v>5500</v>
      </c>
      <c r="CF905" s="227" t="s">
        <v>187</v>
      </c>
      <c r="CG905" s="228" t="s">
        <v>188</v>
      </c>
      <c r="CH905" s="229" t="s">
        <v>189</v>
      </c>
      <c r="CI905" s="230" t="s">
        <v>930</v>
      </c>
      <c r="CJ905" s="231" t="s">
        <v>165</v>
      </c>
      <c r="CK905" s="232">
        <v>42921</v>
      </c>
      <c r="CL905" s="233">
        <v>5000</v>
      </c>
      <c r="CM905" s="234" t="s">
        <v>17886</v>
      </c>
      <c r="CN905" s="235" t="s">
        <v>190</v>
      </c>
      <c r="CO905" s="236">
        <v>0.23</v>
      </c>
      <c r="CP905" s="237">
        <v>91</v>
      </c>
      <c r="CQ905" s="238">
        <v>0</v>
      </c>
      <c r="CR905" s="239">
        <v>-1.4</v>
      </c>
      <c r="CS905" s="240">
        <v>0.57999999999999996</v>
      </c>
      <c r="CT905" s="241">
        <v>93</v>
      </c>
      <c r="CU905" s="242">
        <v>-0.11</v>
      </c>
      <c r="CV905" s="243">
        <v>17</v>
      </c>
      <c r="CW905" s="244">
        <v>1.1100000000000001</v>
      </c>
      <c r="CX905" s="245">
        <v>82</v>
      </c>
      <c r="CY905" s="246">
        <v>0.04</v>
      </c>
      <c r="CZ905" s="247">
        <v>90</v>
      </c>
      <c r="DA905" s="248">
        <v>-0.11</v>
      </c>
      <c r="DB905" s="249">
        <v>17</v>
      </c>
      <c r="DC905" s="250">
        <v>1958.22</v>
      </c>
      <c r="DD905" s="251">
        <v>100</v>
      </c>
      <c r="DE905" s="252">
        <v>2.4500000000000002</v>
      </c>
      <c r="DF905" s="253">
        <v>0.13</v>
      </c>
      <c r="DG905" s="254">
        <v>2807.59</v>
      </c>
      <c r="DH905" s="255">
        <v>100</v>
      </c>
      <c r="DI905" s="256">
        <v>1108.8399999999999</v>
      </c>
      <c r="DJ905" s="257">
        <v>100</v>
      </c>
      <c r="DK905" s="258">
        <v>4485.25</v>
      </c>
      <c r="DL905" s="259">
        <v>100</v>
      </c>
      <c r="DM905" s="260">
        <v>1129.94</v>
      </c>
      <c r="DN905" s="261">
        <v>100</v>
      </c>
      <c r="DO905" s="262">
        <v>1108.8399999999999</v>
      </c>
      <c r="DP905" s="263">
        <v>100</v>
      </c>
      <c r="DQ905" s="264">
        <v>2647453</v>
      </c>
      <c r="DR905" s="265">
        <v>45096</v>
      </c>
      <c r="DS905" s="266">
        <v>1.73</v>
      </c>
      <c r="DT905" s="267">
        <v>18106</v>
      </c>
      <c r="DU905" s="268">
        <v>-70</v>
      </c>
      <c r="DV905" s="269">
        <v>-0.39</v>
      </c>
      <c r="DW905" s="270">
        <v>348186</v>
      </c>
      <c r="DX905" s="271">
        <v>-30</v>
      </c>
      <c r="DY905" s="272">
        <v>-0.01</v>
      </c>
      <c r="DZ905" s="273" t="s">
        <v>191</v>
      </c>
      <c r="EA905" s="274">
        <v>44402</v>
      </c>
      <c r="EB905" s="275">
        <v>5500</v>
      </c>
      <c r="EC905" s="276">
        <v>42921</v>
      </c>
      <c r="ED905" s="277" t="s">
        <v>188</v>
      </c>
      <c r="EE905" s="279" t="str">
        <f>HYPERLINK("https://my.pitchbook.com?c=11432-35", "View company online")</f>
        <v>View company online</v>
      </c>
    </row>
    <row r="906" spans="1:135" x14ac:dyDescent="0.45">
      <c r="A906" s="10" t="s">
        <v>17887</v>
      </c>
      <c r="B906" s="11" t="s">
        <v>17888</v>
      </c>
      <c r="C906" s="12" t="s">
        <v>153</v>
      </c>
      <c r="D906" s="13" t="s">
        <v>153</v>
      </c>
      <c r="E906" s="14" t="s">
        <v>153</v>
      </c>
      <c r="F906" s="15" t="s">
        <v>17889</v>
      </c>
      <c r="G906" s="16" t="s">
        <v>17890</v>
      </c>
      <c r="H906" s="17" t="s">
        <v>17891</v>
      </c>
      <c r="I906" s="18" t="s">
        <v>17887</v>
      </c>
      <c r="J906" s="19" t="s">
        <v>17892</v>
      </c>
      <c r="K906" s="20" t="s">
        <v>792</v>
      </c>
      <c r="L906" s="21" t="s">
        <v>841</v>
      </c>
      <c r="M906" s="22" t="s">
        <v>842</v>
      </c>
      <c r="N906" s="23" t="s">
        <v>2048</v>
      </c>
      <c r="O906" s="24" t="s">
        <v>796</v>
      </c>
      <c r="P906" s="25" t="s">
        <v>17893</v>
      </c>
      <c r="Q906" s="26" t="s">
        <v>564</v>
      </c>
      <c r="R906" s="27">
        <v>46</v>
      </c>
      <c r="S906" s="28" t="s">
        <v>290</v>
      </c>
      <c r="T906" s="29" t="s">
        <v>205</v>
      </c>
      <c r="U906" s="30" t="s">
        <v>1063</v>
      </c>
      <c r="V906" s="31" t="s">
        <v>17894</v>
      </c>
      <c r="W906" s="32">
        <v>1010</v>
      </c>
      <c r="X906" s="33" t="s">
        <v>17895</v>
      </c>
      <c r="Y906" s="34" t="s">
        <v>153</v>
      </c>
      <c r="Z906" s="35" t="s">
        <v>153</v>
      </c>
      <c r="AA906" s="36">
        <v>1988</v>
      </c>
      <c r="AB906" s="37" t="s">
        <v>153</v>
      </c>
      <c r="AC906" s="38" t="s">
        <v>153</v>
      </c>
      <c r="AD906" s="39" t="s">
        <v>153</v>
      </c>
      <c r="AE906" s="40" t="s">
        <v>153</v>
      </c>
      <c r="AF906" s="41" t="s">
        <v>153</v>
      </c>
      <c r="AG906" s="42" t="s">
        <v>153</v>
      </c>
      <c r="AH906" s="43" t="s">
        <v>153</v>
      </c>
      <c r="AI906" s="44" t="s">
        <v>153</v>
      </c>
      <c r="AJ906" s="45" t="s">
        <v>153</v>
      </c>
      <c r="AK906" s="46" t="s">
        <v>153</v>
      </c>
      <c r="AL906" s="47" t="s">
        <v>153</v>
      </c>
      <c r="AM906" s="48" t="s">
        <v>153</v>
      </c>
      <c r="AN906" s="49" t="s">
        <v>538</v>
      </c>
      <c r="AO906" s="50" t="s">
        <v>17896</v>
      </c>
      <c r="AP906" s="51" t="s">
        <v>17897</v>
      </c>
      <c r="AQ906" s="52" t="s">
        <v>2909</v>
      </c>
      <c r="AR906" s="53" t="s">
        <v>17898</v>
      </c>
      <c r="AS906" s="54" t="s">
        <v>17899</v>
      </c>
      <c r="AT906" s="55" t="s">
        <v>1713</v>
      </c>
      <c r="AU906" s="56" t="s">
        <v>17900</v>
      </c>
      <c r="AV906" s="57" t="s">
        <v>6060</v>
      </c>
      <c r="AW906" s="58" t="s">
        <v>1715</v>
      </c>
      <c r="AX906" s="59" t="s">
        <v>1128</v>
      </c>
      <c r="AY906" s="60" t="s">
        <v>1716</v>
      </c>
      <c r="AZ906" s="61" t="s">
        <v>215</v>
      </c>
      <c r="BA906" s="62" t="s">
        <v>17899</v>
      </c>
      <c r="BB906" s="63" t="s">
        <v>17901</v>
      </c>
      <c r="BC906" s="64" t="s">
        <v>153</v>
      </c>
      <c r="BD906" s="65" t="s">
        <v>216</v>
      </c>
      <c r="BE906" s="66" t="s">
        <v>217</v>
      </c>
      <c r="BF906" s="67" t="s">
        <v>17902</v>
      </c>
      <c r="BG906" s="68" t="s">
        <v>153</v>
      </c>
      <c r="BH906" s="69" t="s">
        <v>153</v>
      </c>
      <c r="BI906" s="70" t="s">
        <v>16313</v>
      </c>
      <c r="BJ906" s="71" t="s">
        <v>17903</v>
      </c>
      <c r="BK906" s="72" t="s">
        <v>153</v>
      </c>
      <c r="BL906" s="73" t="s">
        <v>153</v>
      </c>
      <c r="BM906" s="74" t="s">
        <v>17904</v>
      </c>
      <c r="BN906" s="75" t="s">
        <v>153</v>
      </c>
      <c r="BO906" s="76" t="s">
        <v>17905</v>
      </c>
      <c r="BP906" s="77" t="s">
        <v>17906</v>
      </c>
      <c r="BQ906" s="78">
        <v>32509</v>
      </c>
      <c r="BR906" s="79">
        <v>9</v>
      </c>
      <c r="BS906" s="80" t="s">
        <v>186</v>
      </c>
      <c r="BT906" s="81" t="s">
        <v>153</v>
      </c>
      <c r="BU906" s="82" t="s">
        <v>153</v>
      </c>
      <c r="BV906" s="83" t="s">
        <v>13479</v>
      </c>
      <c r="BW906" s="84" t="s">
        <v>153</v>
      </c>
      <c r="BX906" s="85" t="s">
        <v>153</v>
      </c>
      <c r="BY906" s="86" t="s">
        <v>225</v>
      </c>
      <c r="BZ906" s="87" t="s">
        <v>153</v>
      </c>
      <c r="CA906" s="88" t="s">
        <v>190</v>
      </c>
      <c r="CB906" s="89">
        <v>43508</v>
      </c>
      <c r="CC906" s="90">
        <v>5500</v>
      </c>
      <c r="CD906" s="91" t="s">
        <v>186</v>
      </c>
      <c r="CE906" s="92">
        <v>8661.41</v>
      </c>
      <c r="CF906" s="93" t="s">
        <v>187</v>
      </c>
      <c r="CG906" s="94" t="s">
        <v>226</v>
      </c>
      <c r="CH906" s="95" t="s">
        <v>153</v>
      </c>
      <c r="CI906" s="96" t="s">
        <v>153</v>
      </c>
      <c r="CJ906" s="97" t="s">
        <v>225</v>
      </c>
      <c r="CK906" s="98">
        <v>43508</v>
      </c>
      <c r="CL906" s="99" t="s">
        <v>153</v>
      </c>
      <c r="CM906" s="100" t="s">
        <v>153</v>
      </c>
      <c r="CN906" s="101" t="s">
        <v>190</v>
      </c>
      <c r="CO906" s="102" t="s">
        <v>153</v>
      </c>
      <c r="CP906" s="103" t="s">
        <v>153</v>
      </c>
      <c r="CQ906" s="104" t="s">
        <v>153</v>
      </c>
      <c r="CR906" s="105" t="s">
        <v>153</v>
      </c>
      <c r="CS906" s="106" t="s">
        <v>153</v>
      </c>
      <c r="CT906" s="107" t="s">
        <v>153</v>
      </c>
      <c r="CU906" s="108" t="s">
        <v>153</v>
      </c>
      <c r="CV906" s="109" t="s">
        <v>153</v>
      </c>
      <c r="CW906" s="110" t="s">
        <v>153</v>
      </c>
      <c r="CX906" s="111" t="s">
        <v>153</v>
      </c>
      <c r="CY906" s="112" t="s">
        <v>153</v>
      </c>
      <c r="CZ906" s="113" t="s">
        <v>153</v>
      </c>
      <c r="DA906" s="114" t="s">
        <v>153</v>
      </c>
      <c r="DB906" s="115" t="s">
        <v>153</v>
      </c>
      <c r="DC906" s="116" t="s">
        <v>153</v>
      </c>
      <c r="DD906" s="117" t="s">
        <v>153</v>
      </c>
      <c r="DE906" s="118" t="s">
        <v>153</v>
      </c>
      <c r="DF906" s="119" t="s">
        <v>153</v>
      </c>
      <c r="DG906" s="120" t="s">
        <v>153</v>
      </c>
      <c r="DH906" s="121" t="s">
        <v>153</v>
      </c>
      <c r="DI906" s="122" t="s">
        <v>153</v>
      </c>
      <c r="DJ906" s="123" t="s">
        <v>153</v>
      </c>
      <c r="DK906" s="124" t="s">
        <v>153</v>
      </c>
      <c r="DL906" s="125" t="s">
        <v>153</v>
      </c>
      <c r="DM906" s="126" t="s">
        <v>153</v>
      </c>
      <c r="DN906" s="127" t="s">
        <v>153</v>
      </c>
      <c r="DO906" s="128" t="s">
        <v>153</v>
      </c>
      <c r="DP906" s="129" t="s">
        <v>153</v>
      </c>
      <c r="DQ906" s="130" t="s">
        <v>153</v>
      </c>
      <c r="DR906" s="131" t="s">
        <v>153</v>
      </c>
      <c r="DS906" s="132" t="s">
        <v>153</v>
      </c>
      <c r="DT906" s="133" t="s">
        <v>153</v>
      </c>
      <c r="DU906" s="134" t="s">
        <v>153</v>
      </c>
      <c r="DV906" s="135" t="s">
        <v>153</v>
      </c>
      <c r="DW906" s="136" t="s">
        <v>153</v>
      </c>
      <c r="DX906" s="137" t="s">
        <v>153</v>
      </c>
      <c r="DY906" s="138" t="s">
        <v>153</v>
      </c>
      <c r="DZ906" s="139" t="s">
        <v>191</v>
      </c>
      <c r="EA906" s="140">
        <v>44372</v>
      </c>
      <c r="EB906" s="141">
        <v>8661.41</v>
      </c>
      <c r="EC906" s="142">
        <v>43508</v>
      </c>
      <c r="ED906" s="143" t="s">
        <v>226</v>
      </c>
      <c r="EE906" s="278" t="str">
        <f>HYPERLINK("https://my.pitchbook.com?c=14624-20", "View company online")</f>
        <v>View company online</v>
      </c>
    </row>
    <row r="907" spans="1:135" x14ac:dyDescent="0.45">
      <c r="A907" s="144" t="s">
        <v>17907</v>
      </c>
      <c r="B907" s="145" t="s">
        <v>17908</v>
      </c>
      <c r="C907" s="146" t="s">
        <v>153</v>
      </c>
      <c r="D907" s="147" t="s">
        <v>153</v>
      </c>
      <c r="E907" s="148" t="s">
        <v>153</v>
      </c>
      <c r="F907" s="149" t="s">
        <v>17909</v>
      </c>
      <c r="G907" s="150" t="s">
        <v>153</v>
      </c>
      <c r="H907" s="151" t="s">
        <v>17910</v>
      </c>
      <c r="I907" s="152" t="s">
        <v>17907</v>
      </c>
      <c r="J907" s="153" t="s">
        <v>17911</v>
      </c>
      <c r="K907" s="154" t="s">
        <v>157</v>
      </c>
      <c r="L907" s="155" t="s">
        <v>817</v>
      </c>
      <c r="M907" s="156" t="s">
        <v>863</v>
      </c>
      <c r="N907" s="157" t="s">
        <v>2494</v>
      </c>
      <c r="O907" s="158" t="s">
        <v>153</v>
      </c>
      <c r="P907" s="159" t="s">
        <v>17912</v>
      </c>
      <c r="Q907" s="160" t="s">
        <v>204</v>
      </c>
      <c r="R907" s="161" t="s">
        <v>153</v>
      </c>
      <c r="S907" s="162" t="s">
        <v>163</v>
      </c>
      <c r="T907" s="163" t="s">
        <v>164</v>
      </c>
      <c r="U907" s="164" t="s">
        <v>206</v>
      </c>
      <c r="V907" s="165" t="s">
        <v>17913</v>
      </c>
      <c r="W907" s="166">
        <v>4500</v>
      </c>
      <c r="X907" s="167" t="s">
        <v>17914</v>
      </c>
      <c r="Y907" s="168" t="s">
        <v>153</v>
      </c>
      <c r="Z907" s="169" t="s">
        <v>153</v>
      </c>
      <c r="AA907" s="170">
        <v>1927</v>
      </c>
      <c r="AB907" s="171" t="s">
        <v>7031</v>
      </c>
      <c r="AC907" s="172" t="s">
        <v>153</v>
      </c>
      <c r="AD907" s="173" t="s">
        <v>153</v>
      </c>
      <c r="AE907" s="174" t="s">
        <v>153</v>
      </c>
      <c r="AF907" s="175" t="s">
        <v>153</v>
      </c>
      <c r="AG907" s="176" t="s">
        <v>153</v>
      </c>
      <c r="AH907" s="177" t="s">
        <v>153</v>
      </c>
      <c r="AI907" s="178" t="s">
        <v>153</v>
      </c>
      <c r="AJ907" s="179" t="s">
        <v>153</v>
      </c>
      <c r="AK907" s="180" t="s">
        <v>153</v>
      </c>
      <c r="AL907" s="181" t="s">
        <v>153</v>
      </c>
      <c r="AM907" s="182" t="s">
        <v>153</v>
      </c>
      <c r="AN907" s="183" t="s">
        <v>1765</v>
      </c>
      <c r="AO907" s="184" t="s">
        <v>153</v>
      </c>
      <c r="AP907" s="185" t="s">
        <v>153</v>
      </c>
      <c r="AQ907" s="186" t="s">
        <v>153</v>
      </c>
      <c r="AR907" s="187" t="s">
        <v>153</v>
      </c>
      <c r="AS907" s="188" t="s">
        <v>153</v>
      </c>
      <c r="AT907" s="189" t="s">
        <v>17915</v>
      </c>
      <c r="AU907" s="190" t="s">
        <v>153</v>
      </c>
      <c r="AV907" s="191" t="s">
        <v>153</v>
      </c>
      <c r="AW907" s="192" t="s">
        <v>17916</v>
      </c>
      <c r="AX907" s="193" t="s">
        <v>6023</v>
      </c>
      <c r="AY907" s="194" t="s">
        <v>153</v>
      </c>
      <c r="AZ907" s="195" t="s">
        <v>215</v>
      </c>
      <c r="BA907" s="196" t="s">
        <v>153</v>
      </c>
      <c r="BB907" s="197" t="s">
        <v>153</v>
      </c>
      <c r="BC907" s="198" t="s">
        <v>153</v>
      </c>
      <c r="BD907" s="199" t="s">
        <v>216</v>
      </c>
      <c r="BE907" s="200" t="s">
        <v>217</v>
      </c>
      <c r="BF907" s="201" t="s">
        <v>17917</v>
      </c>
      <c r="BG907" s="202" t="s">
        <v>153</v>
      </c>
      <c r="BH907" s="203" t="s">
        <v>153</v>
      </c>
      <c r="BI907" s="204" t="s">
        <v>7031</v>
      </c>
      <c r="BJ907" s="205" t="s">
        <v>4728</v>
      </c>
      <c r="BK907" s="206" t="s">
        <v>153</v>
      </c>
      <c r="BL907" s="207" t="s">
        <v>153</v>
      </c>
      <c r="BM907" s="208" t="s">
        <v>13312</v>
      </c>
      <c r="BN907" s="209" t="s">
        <v>153</v>
      </c>
      <c r="BO907" s="210" t="s">
        <v>17918</v>
      </c>
      <c r="BP907" s="211" t="s">
        <v>153</v>
      </c>
      <c r="BQ907" s="212">
        <v>39328</v>
      </c>
      <c r="BR907" s="213">
        <v>5500</v>
      </c>
      <c r="BS907" s="214" t="s">
        <v>186</v>
      </c>
      <c r="BT907" s="215">
        <v>5500</v>
      </c>
      <c r="BU907" s="216" t="s">
        <v>187</v>
      </c>
      <c r="BV907" s="217" t="s">
        <v>226</v>
      </c>
      <c r="BW907" s="218" t="s">
        <v>729</v>
      </c>
      <c r="BX907" s="219" t="s">
        <v>153</v>
      </c>
      <c r="BY907" s="220" t="s">
        <v>225</v>
      </c>
      <c r="BZ907" s="221" t="s">
        <v>153</v>
      </c>
      <c r="CA907" s="222" t="s">
        <v>190</v>
      </c>
      <c r="CB907" s="223">
        <v>39328</v>
      </c>
      <c r="CC907" s="224">
        <v>5500</v>
      </c>
      <c r="CD907" s="225" t="s">
        <v>186</v>
      </c>
      <c r="CE907" s="226">
        <v>5500</v>
      </c>
      <c r="CF907" s="227" t="s">
        <v>187</v>
      </c>
      <c r="CG907" s="228" t="s">
        <v>226</v>
      </c>
      <c r="CH907" s="229" t="s">
        <v>729</v>
      </c>
      <c r="CI907" s="230" t="s">
        <v>153</v>
      </c>
      <c r="CJ907" s="231" t="s">
        <v>225</v>
      </c>
      <c r="CK907" s="232">
        <v>39328</v>
      </c>
      <c r="CL907" s="233" t="s">
        <v>153</v>
      </c>
      <c r="CM907" s="234" t="s">
        <v>153</v>
      </c>
      <c r="CN907" s="235" t="s">
        <v>190</v>
      </c>
      <c r="CO907" s="236">
        <v>1.2</v>
      </c>
      <c r="CP907" s="237">
        <v>97</v>
      </c>
      <c r="CQ907" s="238">
        <v>0.06</v>
      </c>
      <c r="CR907" s="239">
        <v>5.15</v>
      </c>
      <c r="CS907" s="240">
        <v>1.2</v>
      </c>
      <c r="CT907" s="241">
        <v>96</v>
      </c>
      <c r="CU907" s="242" t="s">
        <v>153</v>
      </c>
      <c r="CV907" s="243" t="s">
        <v>153</v>
      </c>
      <c r="CW907" s="244">
        <v>1.88</v>
      </c>
      <c r="CX907" s="245">
        <v>85</v>
      </c>
      <c r="CY907" s="246">
        <v>0.53</v>
      </c>
      <c r="CZ907" s="247">
        <v>95</v>
      </c>
      <c r="DA907" s="248" t="s">
        <v>153</v>
      </c>
      <c r="DB907" s="249" t="s">
        <v>153</v>
      </c>
      <c r="DC907" s="250">
        <v>138.02000000000001</v>
      </c>
      <c r="DD907" s="251">
        <v>100</v>
      </c>
      <c r="DE907" s="252">
        <v>0.38</v>
      </c>
      <c r="DF907" s="253">
        <v>0.27</v>
      </c>
      <c r="DG907" s="254">
        <v>138.02000000000001</v>
      </c>
      <c r="DH907" s="255">
        <v>100</v>
      </c>
      <c r="DI907" s="256" t="s">
        <v>153</v>
      </c>
      <c r="DJ907" s="257" t="s">
        <v>153</v>
      </c>
      <c r="DK907" s="258">
        <v>58.48</v>
      </c>
      <c r="DL907" s="259">
        <v>96</v>
      </c>
      <c r="DM907" s="260">
        <v>217.56</v>
      </c>
      <c r="DN907" s="261">
        <v>100</v>
      </c>
      <c r="DO907" s="262" t="s">
        <v>153</v>
      </c>
      <c r="DP907" s="263" t="s">
        <v>153</v>
      </c>
      <c r="DQ907" s="264">
        <v>34745</v>
      </c>
      <c r="DR907" s="265">
        <v>-240</v>
      </c>
      <c r="DS907" s="266">
        <v>-0.69</v>
      </c>
      <c r="DT907" s="267">
        <v>3476</v>
      </c>
      <c r="DU907" s="268">
        <v>13</v>
      </c>
      <c r="DV907" s="269">
        <v>0.38</v>
      </c>
      <c r="DW907" s="270" t="s">
        <v>153</v>
      </c>
      <c r="DX907" s="271" t="s">
        <v>153</v>
      </c>
      <c r="DY907" s="272" t="s">
        <v>153</v>
      </c>
      <c r="DZ907" s="273" t="s">
        <v>191</v>
      </c>
      <c r="EA907" s="274">
        <v>44329</v>
      </c>
      <c r="EB907" s="275">
        <v>5500</v>
      </c>
      <c r="EC907" s="276">
        <v>39328</v>
      </c>
      <c r="ED907" s="277" t="s">
        <v>226</v>
      </c>
      <c r="EE907" s="279" t="str">
        <f>HYPERLINK("https://my.pitchbook.com?c=178951-78", "View company online")</f>
        <v>View company online</v>
      </c>
    </row>
    <row r="908" spans="1:135" x14ac:dyDescent="0.45">
      <c r="A908" s="10" t="s">
        <v>17919</v>
      </c>
      <c r="B908" s="11" t="s">
        <v>17920</v>
      </c>
      <c r="C908" s="12" t="s">
        <v>153</v>
      </c>
      <c r="D908" s="13" t="s">
        <v>153</v>
      </c>
      <c r="E908" s="14" t="s">
        <v>153</v>
      </c>
      <c r="F908" s="15" t="s">
        <v>153</v>
      </c>
      <c r="G908" s="16" t="s">
        <v>17921</v>
      </c>
      <c r="H908" s="17" t="s">
        <v>153</v>
      </c>
      <c r="I908" s="18" t="s">
        <v>17919</v>
      </c>
      <c r="J908" s="19" t="s">
        <v>17922</v>
      </c>
      <c r="K908" s="20" t="s">
        <v>792</v>
      </c>
      <c r="L908" s="21" t="s">
        <v>793</v>
      </c>
      <c r="M908" s="22" t="s">
        <v>1117</v>
      </c>
      <c r="N908" s="23" t="s">
        <v>17923</v>
      </c>
      <c r="O908" s="24" t="s">
        <v>796</v>
      </c>
      <c r="P908" s="25" t="s">
        <v>17924</v>
      </c>
      <c r="Q908" s="26" t="s">
        <v>204</v>
      </c>
      <c r="R908" s="27" t="s">
        <v>153</v>
      </c>
      <c r="S908" s="28" t="s">
        <v>290</v>
      </c>
      <c r="T908" s="29" t="s">
        <v>205</v>
      </c>
      <c r="U908" s="30" t="s">
        <v>237</v>
      </c>
      <c r="V908" s="31" t="s">
        <v>153</v>
      </c>
      <c r="W908" s="32">
        <v>2256</v>
      </c>
      <c r="X908" s="33" t="s">
        <v>17925</v>
      </c>
      <c r="Y908" s="34" t="s">
        <v>153</v>
      </c>
      <c r="Z908" s="35" t="s">
        <v>153</v>
      </c>
      <c r="AA908" s="36">
        <v>1932</v>
      </c>
      <c r="AB908" s="37" t="s">
        <v>153</v>
      </c>
      <c r="AC908" s="38" t="s">
        <v>153</v>
      </c>
      <c r="AD908" s="39" t="s">
        <v>153</v>
      </c>
      <c r="AE908" s="40" t="s">
        <v>153</v>
      </c>
      <c r="AF908" s="41" t="s">
        <v>153</v>
      </c>
      <c r="AG908" s="42" t="s">
        <v>153</v>
      </c>
      <c r="AH908" s="43" t="s">
        <v>153</v>
      </c>
      <c r="AI908" s="44" t="s">
        <v>153</v>
      </c>
      <c r="AJ908" s="45" t="s">
        <v>153</v>
      </c>
      <c r="AK908" s="46" t="s">
        <v>153</v>
      </c>
      <c r="AL908" s="47" t="s">
        <v>153</v>
      </c>
      <c r="AM908" s="48" t="s">
        <v>153</v>
      </c>
      <c r="AN908" s="49" t="s">
        <v>6569</v>
      </c>
      <c r="AO908" s="50" t="s">
        <v>17926</v>
      </c>
      <c r="AP908" s="51" t="s">
        <v>17927</v>
      </c>
      <c r="AQ908" s="52" t="s">
        <v>269</v>
      </c>
      <c r="AR908" s="53" t="s">
        <v>153</v>
      </c>
      <c r="AS908" s="54" t="s">
        <v>17928</v>
      </c>
      <c r="AT908" s="55" t="s">
        <v>1124</v>
      </c>
      <c r="AU908" s="56" t="s">
        <v>17929</v>
      </c>
      <c r="AV908" s="57" t="s">
        <v>153</v>
      </c>
      <c r="AW908" s="58" t="s">
        <v>1127</v>
      </c>
      <c r="AX908" s="59" t="s">
        <v>1128</v>
      </c>
      <c r="AY908" s="60" t="s">
        <v>17930</v>
      </c>
      <c r="AZ908" s="61" t="s">
        <v>215</v>
      </c>
      <c r="BA908" s="62" t="s">
        <v>17928</v>
      </c>
      <c r="BB908" s="63" t="s">
        <v>153</v>
      </c>
      <c r="BC908" s="64" t="s">
        <v>153</v>
      </c>
      <c r="BD908" s="65" t="s">
        <v>216</v>
      </c>
      <c r="BE908" s="66" t="s">
        <v>217</v>
      </c>
      <c r="BF908" s="67" t="s">
        <v>17931</v>
      </c>
      <c r="BG908" s="68" t="s">
        <v>153</v>
      </c>
      <c r="BH908" s="69" t="s">
        <v>153</v>
      </c>
      <c r="BI908" s="70" t="s">
        <v>3115</v>
      </c>
      <c r="BJ908" s="71" t="s">
        <v>153</v>
      </c>
      <c r="BK908" s="72" t="s">
        <v>7985</v>
      </c>
      <c r="BL908" s="73" t="s">
        <v>153</v>
      </c>
      <c r="BM908" s="74" t="s">
        <v>153</v>
      </c>
      <c r="BN908" s="75" t="s">
        <v>17932</v>
      </c>
      <c r="BO908" s="76" t="s">
        <v>153</v>
      </c>
      <c r="BP908" s="77" t="s">
        <v>17933</v>
      </c>
      <c r="BQ908" s="78">
        <v>32911</v>
      </c>
      <c r="BR908" s="79" t="s">
        <v>153</v>
      </c>
      <c r="BS908" s="80" t="s">
        <v>153</v>
      </c>
      <c r="BT908" s="81" t="s">
        <v>153</v>
      </c>
      <c r="BU908" s="82" t="s">
        <v>153</v>
      </c>
      <c r="BV908" s="83" t="s">
        <v>251</v>
      </c>
      <c r="BW908" s="84" t="s">
        <v>153</v>
      </c>
      <c r="BX908" s="85" t="s">
        <v>153</v>
      </c>
      <c r="BY908" s="86" t="s">
        <v>252</v>
      </c>
      <c r="BZ908" s="87" t="s">
        <v>153</v>
      </c>
      <c r="CA908" s="88" t="s">
        <v>190</v>
      </c>
      <c r="CB908" s="89">
        <v>40994</v>
      </c>
      <c r="CC908" s="90">
        <v>5500</v>
      </c>
      <c r="CD908" s="91" t="s">
        <v>186</v>
      </c>
      <c r="CE908" s="92">
        <v>5500</v>
      </c>
      <c r="CF908" s="93" t="s">
        <v>186</v>
      </c>
      <c r="CG908" s="94" t="s">
        <v>226</v>
      </c>
      <c r="CH908" s="95" t="s">
        <v>153</v>
      </c>
      <c r="CI908" s="96" t="s">
        <v>153</v>
      </c>
      <c r="CJ908" s="97" t="s">
        <v>225</v>
      </c>
      <c r="CK908" s="98">
        <v>40994</v>
      </c>
      <c r="CL908" s="99" t="s">
        <v>153</v>
      </c>
      <c r="CM908" s="100" t="s">
        <v>153</v>
      </c>
      <c r="CN908" s="101" t="s">
        <v>190</v>
      </c>
      <c r="CO908" s="102" t="s">
        <v>153</v>
      </c>
      <c r="CP908" s="103" t="s">
        <v>153</v>
      </c>
      <c r="CQ908" s="104" t="s">
        <v>153</v>
      </c>
      <c r="CR908" s="105" t="s">
        <v>153</v>
      </c>
      <c r="CS908" s="106" t="s">
        <v>153</v>
      </c>
      <c r="CT908" s="107" t="s">
        <v>153</v>
      </c>
      <c r="CU908" s="108" t="s">
        <v>153</v>
      </c>
      <c r="CV908" s="109" t="s">
        <v>153</v>
      </c>
      <c r="CW908" s="110" t="s">
        <v>153</v>
      </c>
      <c r="CX908" s="111" t="s">
        <v>153</v>
      </c>
      <c r="CY908" s="112" t="s">
        <v>153</v>
      </c>
      <c r="CZ908" s="113" t="s">
        <v>153</v>
      </c>
      <c r="DA908" s="114" t="s">
        <v>153</v>
      </c>
      <c r="DB908" s="115" t="s">
        <v>153</v>
      </c>
      <c r="DC908" s="116" t="s">
        <v>153</v>
      </c>
      <c r="DD908" s="117" t="s">
        <v>153</v>
      </c>
      <c r="DE908" s="118" t="s">
        <v>153</v>
      </c>
      <c r="DF908" s="119" t="s">
        <v>153</v>
      </c>
      <c r="DG908" s="120" t="s">
        <v>153</v>
      </c>
      <c r="DH908" s="121" t="s">
        <v>153</v>
      </c>
      <c r="DI908" s="122" t="s">
        <v>153</v>
      </c>
      <c r="DJ908" s="123" t="s">
        <v>153</v>
      </c>
      <c r="DK908" s="124" t="s">
        <v>153</v>
      </c>
      <c r="DL908" s="125" t="s">
        <v>153</v>
      </c>
      <c r="DM908" s="126" t="s">
        <v>153</v>
      </c>
      <c r="DN908" s="127" t="s">
        <v>153</v>
      </c>
      <c r="DO908" s="128" t="s">
        <v>153</v>
      </c>
      <c r="DP908" s="129" t="s">
        <v>153</v>
      </c>
      <c r="DQ908" s="130" t="s">
        <v>153</v>
      </c>
      <c r="DR908" s="131" t="s">
        <v>153</v>
      </c>
      <c r="DS908" s="132" t="s">
        <v>153</v>
      </c>
      <c r="DT908" s="133" t="s">
        <v>153</v>
      </c>
      <c r="DU908" s="134" t="s">
        <v>153</v>
      </c>
      <c r="DV908" s="135" t="s">
        <v>153</v>
      </c>
      <c r="DW908" s="136" t="s">
        <v>153</v>
      </c>
      <c r="DX908" s="137" t="s">
        <v>153</v>
      </c>
      <c r="DY908" s="138" t="s">
        <v>153</v>
      </c>
      <c r="DZ908" s="139" t="s">
        <v>191</v>
      </c>
      <c r="EA908" s="140">
        <v>44264</v>
      </c>
      <c r="EB908" s="141">
        <v>5500</v>
      </c>
      <c r="EC908" s="142">
        <v>40994</v>
      </c>
      <c r="ED908" s="143" t="s">
        <v>226</v>
      </c>
      <c r="EE908" s="278" t="str">
        <f>HYPERLINK("https://my.pitchbook.com?c=41309-56", "View company online")</f>
        <v>View company online</v>
      </c>
    </row>
    <row r="909" spans="1:135" x14ac:dyDescent="0.45">
      <c r="A909" s="144" t="s">
        <v>17934</v>
      </c>
      <c r="B909" s="145" t="s">
        <v>17935</v>
      </c>
      <c r="C909" s="146" t="s">
        <v>153</v>
      </c>
      <c r="D909" s="147" t="s">
        <v>153</v>
      </c>
      <c r="E909" s="148" t="s">
        <v>17936</v>
      </c>
      <c r="F909" s="149" t="s">
        <v>17937</v>
      </c>
      <c r="G909" s="150" t="s">
        <v>17938</v>
      </c>
      <c r="H909" s="151" t="s">
        <v>17939</v>
      </c>
      <c r="I909" s="152" t="s">
        <v>17934</v>
      </c>
      <c r="J909" s="153" t="s">
        <v>17940</v>
      </c>
      <c r="K909" s="154" t="s">
        <v>232</v>
      </c>
      <c r="L909" s="155" t="s">
        <v>233</v>
      </c>
      <c r="M909" s="156" t="s">
        <v>234</v>
      </c>
      <c r="N909" s="157" t="s">
        <v>235</v>
      </c>
      <c r="O909" s="158" t="s">
        <v>153</v>
      </c>
      <c r="P909" s="159" t="s">
        <v>17941</v>
      </c>
      <c r="Q909" s="160" t="s">
        <v>204</v>
      </c>
      <c r="R909" s="161">
        <v>5500</v>
      </c>
      <c r="S909" s="162" t="s">
        <v>290</v>
      </c>
      <c r="T909" s="163" t="s">
        <v>291</v>
      </c>
      <c r="U909" s="164" t="s">
        <v>369</v>
      </c>
      <c r="V909" s="165" t="s">
        <v>17942</v>
      </c>
      <c r="W909" s="166">
        <v>50115</v>
      </c>
      <c r="X909" s="167" t="s">
        <v>17943</v>
      </c>
      <c r="Y909" s="168" t="s">
        <v>17944</v>
      </c>
      <c r="Z909" s="169" t="s">
        <v>17945</v>
      </c>
      <c r="AA909" s="170">
        <v>1862</v>
      </c>
      <c r="AB909" s="171" t="s">
        <v>153</v>
      </c>
      <c r="AC909" s="172" t="s">
        <v>153</v>
      </c>
      <c r="AD909" s="173" t="s">
        <v>570</v>
      </c>
      <c r="AE909" s="174">
        <v>10098.4</v>
      </c>
      <c r="AF909" s="175" t="s">
        <v>153</v>
      </c>
      <c r="AG909" s="176">
        <v>798.5</v>
      </c>
      <c r="AH909" s="177" t="s">
        <v>153</v>
      </c>
      <c r="AI909" s="178" t="s">
        <v>153</v>
      </c>
      <c r="AJ909" s="179" t="s">
        <v>153</v>
      </c>
      <c r="AK909" s="180">
        <v>13251.85</v>
      </c>
      <c r="AL909" s="181">
        <v>109241.56</v>
      </c>
      <c r="AM909" s="182">
        <v>-11.11</v>
      </c>
      <c r="AN909" s="183" t="s">
        <v>168</v>
      </c>
      <c r="AO909" s="184" t="s">
        <v>17946</v>
      </c>
      <c r="AP909" s="185" t="s">
        <v>17947</v>
      </c>
      <c r="AQ909" s="186" t="s">
        <v>17948</v>
      </c>
      <c r="AR909" s="187" t="s">
        <v>17949</v>
      </c>
      <c r="AS909" s="188" t="s">
        <v>17950</v>
      </c>
      <c r="AT909" s="189" t="s">
        <v>5612</v>
      </c>
      <c r="AU909" s="190" t="s">
        <v>5613</v>
      </c>
      <c r="AV909" s="191" t="s">
        <v>17951</v>
      </c>
      <c r="AW909" s="192" t="s">
        <v>5615</v>
      </c>
      <c r="AX909" s="193" t="s">
        <v>153</v>
      </c>
      <c r="AY909" s="194" t="s">
        <v>153</v>
      </c>
      <c r="AZ909" s="195" t="s">
        <v>5616</v>
      </c>
      <c r="BA909" s="196" t="s">
        <v>17950</v>
      </c>
      <c r="BB909" s="197" t="s">
        <v>153</v>
      </c>
      <c r="BC909" s="198" t="s">
        <v>17952</v>
      </c>
      <c r="BD909" s="199" t="s">
        <v>5323</v>
      </c>
      <c r="BE909" s="200" t="s">
        <v>5617</v>
      </c>
      <c r="BF909" s="201" t="s">
        <v>17953</v>
      </c>
      <c r="BG909" s="202" t="s">
        <v>17954</v>
      </c>
      <c r="BH909" s="203">
        <v>1</v>
      </c>
      <c r="BI909" s="204" t="s">
        <v>153</v>
      </c>
      <c r="BJ909" s="205" t="s">
        <v>17955</v>
      </c>
      <c r="BK909" s="206" t="s">
        <v>153</v>
      </c>
      <c r="BL909" s="207" t="s">
        <v>17956</v>
      </c>
      <c r="BM909" s="208" t="s">
        <v>17957</v>
      </c>
      <c r="BN909" s="209" t="s">
        <v>153</v>
      </c>
      <c r="BO909" s="210" t="s">
        <v>17958</v>
      </c>
      <c r="BP909" s="211" t="s">
        <v>153</v>
      </c>
      <c r="BQ909" s="212">
        <v>24473</v>
      </c>
      <c r="BR909" s="213" t="s">
        <v>153</v>
      </c>
      <c r="BS909" s="214" t="s">
        <v>153</v>
      </c>
      <c r="BT909" s="215" t="s">
        <v>153</v>
      </c>
      <c r="BU909" s="216" t="s">
        <v>153</v>
      </c>
      <c r="BV909" s="217" t="s">
        <v>251</v>
      </c>
      <c r="BW909" s="218" t="s">
        <v>153</v>
      </c>
      <c r="BX909" s="219" t="s">
        <v>153</v>
      </c>
      <c r="BY909" s="220" t="s">
        <v>252</v>
      </c>
      <c r="BZ909" s="221" t="s">
        <v>153</v>
      </c>
      <c r="CA909" s="222" t="s">
        <v>190</v>
      </c>
      <c r="CB909" s="223">
        <v>39417</v>
      </c>
      <c r="CC909" s="224">
        <v>5500</v>
      </c>
      <c r="CD909" s="225" t="s">
        <v>186</v>
      </c>
      <c r="CE909" s="226" t="s">
        <v>153</v>
      </c>
      <c r="CF909" s="227" t="s">
        <v>153</v>
      </c>
      <c r="CG909" s="228" t="s">
        <v>393</v>
      </c>
      <c r="CH909" s="229" t="s">
        <v>153</v>
      </c>
      <c r="CI909" s="230" t="s">
        <v>153</v>
      </c>
      <c r="CJ909" s="231" t="s">
        <v>225</v>
      </c>
      <c r="CK909" s="232">
        <v>39417</v>
      </c>
      <c r="CL909" s="233" t="s">
        <v>153</v>
      </c>
      <c r="CM909" s="234" t="s">
        <v>153</v>
      </c>
      <c r="CN909" s="235" t="s">
        <v>190</v>
      </c>
      <c r="CO909" s="236">
        <v>0.8</v>
      </c>
      <c r="CP909" s="237">
        <v>95</v>
      </c>
      <c r="CQ909" s="238">
        <v>0</v>
      </c>
      <c r="CR909" s="239">
        <v>0</v>
      </c>
      <c r="CS909" s="240">
        <v>1.23</v>
      </c>
      <c r="CT909" s="241">
        <v>96</v>
      </c>
      <c r="CU909" s="242">
        <v>0.36</v>
      </c>
      <c r="CV909" s="243">
        <v>95</v>
      </c>
      <c r="CW909" s="244">
        <v>1.23</v>
      </c>
      <c r="CX909" s="245">
        <v>83</v>
      </c>
      <c r="CY909" s="246" t="s">
        <v>153</v>
      </c>
      <c r="CZ909" s="247" t="s">
        <v>153</v>
      </c>
      <c r="DA909" s="248">
        <v>0.36</v>
      </c>
      <c r="DB909" s="249">
        <v>95</v>
      </c>
      <c r="DC909" s="250">
        <v>35.44</v>
      </c>
      <c r="DD909" s="251">
        <v>98</v>
      </c>
      <c r="DE909" s="252">
        <v>0.15</v>
      </c>
      <c r="DF909" s="253">
        <v>0.41</v>
      </c>
      <c r="DG909" s="254">
        <v>24.65</v>
      </c>
      <c r="DH909" s="255">
        <v>96</v>
      </c>
      <c r="DI909" s="256">
        <v>46.23</v>
      </c>
      <c r="DJ909" s="257">
        <v>96</v>
      </c>
      <c r="DK909" s="258">
        <v>24.65</v>
      </c>
      <c r="DL909" s="259">
        <v>92</v>
      </c>
      <c r="DM909" s="260" t="s">
        <v>153</v>
      </c>
      <c r="DN909" s="261" t="s">
        <v>153</v>
      </c>
      <c r="DO909" s="262">
        <v>46.23</v>
      </c>
      <c r="DP909" s="263">
        <v>96</v>
      </c>
      <c r="DQ909" s="264">
        <v>14489</v>
      </c>
      <c r="DR909" s="265">
        <v>473</v>
      </c>
      <c r="DS909" s="266">
        <v>3.37</v>
      </c>
      <c r="DT909" s="267" t="s">
        <v>153</v>
      </c>
      <c r="DU909" s="268" t="s">
        <v>153</v>
      </c>
      <c r="DV909" s="269" t="s">
        <v>153</v>
      </c>
      <c r="DW909" s="270">
        <v>14513</v>
      </c>
      <c r="DX909" s="271">
        <v>14</v>
      </c>
      <c r="DY909" s="272">
        <v>0.1</v>
      </c>
      <c r="DZ909" s="273" t="s">
        <v>191</v>
      </c>
      <c r="EA909" s="274">
        <v>44385</v>
      </c>
      <c r="EB909" s="275" t="s">
        <v>153</v>
      </c>
      <c r="EC909" s="276" t="s">
        <v>153</v>
      </c>
      <c r="ED909" s="277" t="s">
        <v>153</v>
      </c>
      <c r="EE909" s="279" t="str">
        <f>HYPERLINK("https://my.pitchbook.com?c=56911-15", "View company online")</f>
        <v>View company online</v>
      </c>
    </row>
    <row r="910" spans="1:135" x14ac:dyDescent="0.45">
      <c r="A910" s="10" t="s">
        <v>17959</v>
      </c>
      <c r="B910" s="11" t="s">
        <v>17960</v>
      </c>
      <c r="C910" s="12" t="s">
        <v>153</v>
      </c>
      <c r="D910" s="13" t="s">
        <v>153</v>
      </c>
      <c r="E910" s="14" t="s">
        <v>17961</v>
      </c>
      <c r="F910" s="15" t="s">
        <v>17962</v>
      </c>
      <c r="G910" s="16" t="s">
        <v>17963</v>
      </c>
      <c r="H910" s="17" t="s">
        <v>17964</v>
      </c>
      <c r="I910" s="18" t="s">
        <v>17959</v>
      </c>
      <c r="J910" s="19" t="s">
        <v>17965</v>
      </c>
      <c r="K910" s="20" t="s">
        <v>157</v>
      </c>
      <c r="L910" s="21" t="s">
        <v>421</v>
      </c>
      <c r="M910" s="22" t="s">
        <v>503</v>
      </c>
      <c r="N910" s="23" t="s">
        <v>504</v>
      </c>
      <c r="O910" s="24" t="s">
        <v>399</v>
      </c>
      <c r="P910" s="25" t="s">
        <v>17966</v>
      </c>
      <c r="Q910" s="26" t="s">
        <v>204</v>
      </c>
      <c r="R910" s="27" t="s">
        <v>153</v>
      </c>
      <c r="S910" s="28" t="s">
        <v>290</v>
      </c>
      <c r="T910" s="29" t="s">
        <v>164</v>
      </c>
      <c r="U910" s="30" t="s">
        <v>482</v>
      </c>
      <c r="V910" s="31" t="s">
        <v>17967</v>
      </c>
      <c r="W910" s="32">
        <v>772</v>
      </c>
      <c r="X910" s="33" t="s">
        <v>17968</v>
      </c>
      <c r="Y910" s="34" t="s">
        <v>153</v>
      </c>
      <c r="Z910" s="35" t="s">
        <v>153</v>
      </c>
      <c r="AA910" s="36" t="s">
        <v>153</v>
      </c>
      <c r="AB910" s="37" t="s">
        <v>17969</v>
      </c>
      <c r="AC910" s="38" t="s">
        <v>153</v>
      </c>
      <c r="AD910" s="39" t="s">
        <v>153</v>
      </c>
      <c r="AE910" s="40" t="s">
        <v>153</v>
      </c>
      <c r="AF910" s="41" t="s">
        <v>153</v>
      </c>
      <c r="AG910" s="42" t="s">
        <v>153</v>
      </c>
      <c r="AH910" s="43" t="s">
        <v>153</v>
      </c>
      <c r="AI910" s="44" t="s">
        <v>153</v>
      </c>
      <c r="AJ910" s="45" t="s">
        <v>153</v>
      </c>
      <c r="AK910" s="46" t="s">
        <v>153</v>
      </c>
      <c r="AL910" s="47" t="s">
        <v>153</v>
      </c>
      <c r="AM910" s="48" t="s">
        <v>153</v>
      </c>
      <c r="AN910" s="49" t="s">
        <v>1570</v>
      </c>
      <c r="AO910" s="50" t="s">
        <v>17970</v>
      </c>
      <c r="AP910" s="51" t="s">
        <v>17971</v>
      </c>
      <c r="AQ910" s="52" t="s">
        <v>512</v>
      </c>
      <c r="AR910" s="53" t="s">
        <v>17972</v>
      </c>
      <c r="AS910" s="54" t="s">
        <v>17973</v>
      </c>
      <c r="AT910" s="55" t="s">
        <v>3783</v>
      </c>
      <c r="AU910" s="56" t="s">
        <v>17974</v>
      </c>
      <c r="AV910" s="57" t="s">
        <v>17975</v>
      </c>
      <c r="AW910" s="58" t="s">
        <v>3785</v>
      </c>
      <c r="AX910" s="59" t="s">
        <v>308</v>
      </c>
      <c r="AY910" s="60" t="s">
        <v>17976</v>
      </c>
      <c r="AZ910" s="61" t="s">
        <v>215</v>
      </c>
      <c r="BA910" s="62" t="s">
        <v>17973</v>
      </c>
      <c r="BB910" s="63" t="s">
        <v>153</v>
      </c>
      <c r="BC910" s="64" t="s">
        <v>153</v>
      </c>
      <c r="BD910" s="65" t="s">
        <v>216</v>
      </c>
      <c r="BE910" s="66" t="s">
        <v>217</v>
      </c>
      <c r="BF910" s="67" t="s">
        <v>17977</v>
      </c>
      <c r="BG910" s="68" t="s">
        <v>153</v>
      </c>
      <c r="BH910" s="69" t="s">
        <v>153</v>
      </c>
      <c r="BI910" s="70" t="s">
        <v>17969</v>
      </c>
      <c r="BJ910" s="71" t="s">
        <v>17978</v>
      </c>
      <c r="BK910" s="72" t="s">
        <v>497</v>
      </c>
      <c r="BL910" s="73" t="s">
        <v>153</v>
      </c>
      <c r="BM910" s="74" t="s">
        <v>153</v>
      </c>
      <c r="BN910" s="75" t="s">
        <v>17979</v>
      </c>
      <c r="BO910" s="76" t="s">
        <v>17980</v>
      </c>
      <c r="BP910" s="77" t="s">
        <v>17981</v>
      </c>
      <c r="BQ910" s="78">
        <v>33239</v>
      </c>
      <c r="BR910" s="79" t="s">
        <v>153</v>
      </c>
      <c r="BS910" s="80" t="s">
        <v>153</v>
      </c>
      <c r="BT910" s="81" t="s">
        <v>153</v>
      </c>
      <c r="BU910" s="82" t="s">
        <v>153</v>
      </c>
      <c r="BV910" s="83" t="s">
        <v>251</v>
      </c>
      <c r="BW910" s="84" t="s">
        <v>524</v>
      </c>
      <c r="BX910" s="85" t="s">
        <v>153</v>
      </c>
      <c r="BY910" s="86" t="s">
        <v>252</v>
      </c>
      <c r="BZ910" s="87" t="s">
        <v>153</v>
      </c>
      <c r="CA910" s="88" t="s">
        <v>190</v>
      </c>
      <c r="CB910" s="89">
        <v>43602</v>
      </c>
      <c r="CC910" s="90">
        <v>5500</v>
      </c>
      <c r="CD910" s="91" t="s">
        <v>186</v>
      </c>
      <c r="CE910" s="92">
        <v>5500</v>
      </c>
      <c r="CF910" s="93" t="s">
        <v>187</v>
      </c>
      <c r="CG910" s="94" t="s">
        <v>226</v>
      </c>
      <c r="CH910" s="95" t="s">
        <v>729</v>
      </c>
      <c r="CI910" s="96" t="s">
        <v>153</v>
      </c>
      <c r="CJ910" s="97" t="s">
        <v>225</v>
      </c>
      <c r="CK910" s="98">
        <v>43602</v>
      </c>
      <c r="CL910" s="99" t="s">
        <v>153</v>
      </c>
      <c r="CM910" s="100" t="s">
        <v>153</v>
      </c>
      <c r="CN910" s="101" t="s">
        <v>394</v>
      </c>
      <c r="CO910" s="102">
        <v>-0.12</v>
      </c>
      <c r="CP910" s="103">
        <v>7</v>
      </c>
      <c r="CQ910" s="104">
        <v>-0.01</v>
      </c>
      <c r="CR910" s="105">
        <v>-11.26</v>
      </c>
      <c r="CS910" s="106">
        <v>-0.24</v>
      </c>
      <c r="CT910" s="107">
        <v>6</v>
      </c>
      <c r="CU910" s="108">
        <v>0</v>
      </c>
      <c r="CV910" s="109">
        <v>41</v>
      </c>
      <c r="CW910" s="110">
        <v>-0.64</v>
      </c>
      <c r="CX910" s="111">
        <v>18</v>
      </c>
      <c r="CY910" s="112">
        <v>0.17</v>
      </c>
      <c r="CZ910" s="113">
        <v>91</v>
      </c>
      <c r="DA910" s="114">
        <v>0</v>
      </c>
      <c r="DB910" s="115">
        <v>41</v>
      </c>
      <c r="DC910" s="116">
        <v>789.51</v>
      </c>
      <c r="DD910" s="117">
        <v>100</v>
      </c>
      <c r="DE910" s="118">
        <v>1.57</v>
      </c>
      <c r="DF910" s="119">
        <v>0.2</v>
      </c>
      <c r="DG910" s="120">
        <v>915.92</v>
      </c>
      <c r="DH910" s="121">
        <v>100</v>
      </c>
      <c r="DI910" s="122">
        <v>663.1</v>
      </c>
      <c r="DJ910" s="123">
        <v>100</v>
      </c>
      <c r="DK910" s="124">
        <v>1125.4100000000001</v>
      </c>
      <c r="DL910" s="125">
        <v>100</v>
      </c>
      <c r="DM910" s="126">
        <v>706.44</v>
      </c>
      <c r="DN910" s="127">
        <v>100</v>
      </c>
      <c r="DO910" s="128">
        <v>663.1</v>
      </c>
      <c r="DP910" s="129">
        <v>100</v>
      </c>
      <c r="DQ910" s="130">
        <v>668003</v>
      </c>
      <c r="DR910" s="131">
        <v>-2331</v>
      </c>
      <c r="DS910" s="132">
        <v>-0.35</v>
      </c>
      <c r="DT910" s="133">
        <v>11317</v>
      </c>
      <c r="DU910" s="134">
        <v>-36</v>
      </c>
      <c r="DV910" s="135">
        <v>-0.32</v>
      </c>
      <c r="DW910" s="136">
        <v>208151</v>
      </c>
      <c r="DX910" s="137">
        <v>147</v>
      </c>
      <c r="DY910" s="138">
        <v>7.0000000000000007E-2</v>
      </c>
      <c r="DZ910" s="139" t="s">
        <v>191</v>
      </c>
      <c r="EA910" s="140">
        <v>44400</v>
      </c>
      <c r="EB910" s="141">
        <v>5500</v>
      </c>
      <c r="EC910" s="142">
        <v>43602</v>
      </c>
      <c r="ED910" s="143" t="s">
        <v>226</v>
      </c>
      <c r="EE910" s="278" t="str">
        <f>HYPERLINK("https://my.pitchbook.com?c=11950-93", "View company online")</f>
        <v>View company online</v>
      </c>
    </row>
    <row r="911" spans="1:135" x14ac:dyDescent="0.45">
      <c r="A911" s="144" t="s">
        <v>17982</v>
      </c>
      <c r="B911" s="145" t="s">
        <v>17983</v>
      </c>
      <c r="C911" s="146" t="s">
        <v>153</v>
      </c>
      <c r="D911" s="147" t="s">
        <v>153</v>
      </c>
      <c r="E911" s="148" t="s">
        <v>17984</v>
      </c>
      <c r="F911" s="149" t="s">
        <v>153</v>
      </c>
      <c r="G911" s="150" t="s">
        <v>17985</v>
      </c>
      <c r="H911" s="151" t="s">
        <v>153</v>
      </c>
      <c r="I911" s="152" t="s">
        <v>17982</v>
      </c>
      <c r="J911" s="153" t="s">
        <v>17986</v>
      </c>
      <c r="K911" s="154" t="s">
        <v>792</v>
      </c>
      <c r="L911" s="155" t="s">
        <v>841</v>
      </c>
      <c r="M911" s="156" t="s">
        <v>2326</v>
      </c>
      <c r="N911" s="157" t="s">
        <v>17987</v>
      </c>
      <c r="O911" s="158" t="s">
        <v>17988</v>
      </c>
      <c r="P911" s="159" t="s">
        <v>17989</v>
      </c>
      <c r="Q911" s="160" t="s">
        <v>204</v>
      </c>
      <c r="R911" s="161" t="s">
        <v>153</v>
      </c>
      <c r="S911" s="162" t="s">
        <v>290</v>
      </c>
      <c r="T911" s="163" t="s">
        <v>164</v>
      </c>
      <c r="U911" s="164" t="s">
        <v>237</v>
      </c>
      <c r="V911" s="165" t="s">
        <v>153</v>
      </c>
      <c r="W911" s="166">
        <v>2176</v>
      </c>
      <c r="X911" s="167" t="s">
        <v>17990</v>
      </c>
      <c r="Y911" s="168" t="s">
        <v>153</v>
      </c>
      <c r="Z911" s="169" t="s">
        <v>153</v>
      </c>
      <c r="AA911" s="170">
        <v>1886</v>
      </c>
      <c r="AB911" s="171" t="s">
        <v>3115</v>
      </c>
      <c r="AC911" s="172" t="s">
        <v>153</v>
      </c>
      <c r="AD911" s="173" t="s">
        <v>153</v>
      </c>
      <c r="AE911" s="174" t="s">
        <v>153</v>
      </c>
      <c r="AF911" s="175" t="s">
        <v>153</v>
      </c>
      <c r="AG911" s="176" t="s">
        <v>153</v>
      </c>
      <c r="AH911" s="177" t="s">
        <v>153</v>
      </c>
      <c r="AI911" s="178" t="s">
        <v>153</v>
      </c>
      <c r="AJ911" s="179" t="s">
        <v>153</v>
      </c>
      <c r="AK911" s="180" t="s">
        <v>153</v>
      </c>
      <c r="AL911" s="181" t="s">
        <v>153</v>
      </c>
      <c r="AM911" s="182" t="s">
        <v>153</v>
      </c>
      <c r="AN911" s="183" t="s">
        <v>7306</v>
      </c>
      <c r="AO911" s="184" t="s">
        <v>17991</v>
      </c>
      <c r="AP911" s="185" t="s">
        <v>17992</v>
      </c>
      <c r="AQ911" s="186" t="s">
        <v>171</v>
      </c>
      <c r="AR911" s="187" t="s">
        <v>17993</v>
      </c>
      <c r="AS911" s="188" t="s">
        <v>17994</v>
      </c>
      <c r="AT911" s="189" t="s">
        <v>4580</v>
      </c>
      <c r="AU911" s="190" t="s">
        <v>17995</v>
      </c>
      <c r="AV911" s="191" t="s">
        <v>3710</v>
      </c>
      <c r="AW911" s="192" t="s">
        <v>4582</v>
      </c>
      <c r="AX911" s="193" t="s">
        <v>2727</v>
      </c>
      <c r="AY911" s="194" t="s">
        <v>17996</v>
      </c>
      <c r="AZ911" s="195" t="s">
        <v>215</v>
      </c>
      <c r="BA911" s="196" t="s">
        <v>17997</v>
      </c>
      <c r="BB911" s="197" t="s">
        <v>17998</v>
      </c>
      <c r="BC911" s="198" t="s">
        <v>17999</v>
      </c>
      <c r="BD911" s="199" t="s">
        <v>216</v>
      </c>
      <c r="BE911" s="200" t="s">
        <v>217</v>
      </c>
      <c r="BF911" s="201" t="s">
        <v>18000</v>
      </c>
      <c r="BG911" s="202" t="s">
        <v>153</v>
      </c>
      <c r="BH911" s="203" t="s">
        <v>153</v>
      </c>
      <c r="BI911" s="204" t="s">
        <v>3115</v>
      </c>
      <c r="BJ911" s="205" t="s">
        <v>153</v>
      </c>
      <c r="BK911" s="206" t="s">
        <v>153</v>
      </c>
      <c r="BL911" s="207" t="s">
        <v>153</v>
      </c>
      <c r="BM911" s="208" t="s">
        <v>153</v>
      </c>
      <c r="BN911" s="209" t="s">
        <v>153</v>
      </c>
      <c r="BO911" s="210" t="s">
        <v>6478</v>
      </c>
      <c r="BP911" s="211" t="s">
        <v>18001</v>
      </c>
      <c r="BQ911" s="212">
        <v>32421</v>
      </c>
      <c r="BR911" s="213" t="s">
        <v>153</v>
      </c>
      <c r="BS911" s="214" t="s">
        <v>153</v>
      </c>
      <c r="BT911" s="215" t="s">
        <v>153</v>
      </c>
      <c r="BU911" s="216" t="s">
        <v>153</v>
      </c>
      <c r="BV911" s="217" t="s">
        <v>251</v>
      </c>
      <c r="BW911" s="218" t="s">
        <v>153</v>
      </c>
      <c r="BX911" s="219" t="s">
        <v>153</v>
      </c>
      <c r="BY911" s="220" t="s">
        <v>252</v>
      </c>
      <c r="BZ911" s="221" t="s">
        <v>153</v>
      </c>
      <c r="CA911" s="222" t="s">
        <v>190</v>
      </c>
      <c r="CB911" s="223">
        <v>41187</v>
      </c>
      <c r="CC911" s="224">
        <v>5500</v>
      </c>
      <c r="CD911" s="225" t="s">
        <v>186</v>
      </c>
      <c r="CE911" s="226">
        <v>5500</v>
      </c>
      <c r="CF911" s="227" t="s">
        <v>186</v>
      </c>
      <c r="CG911" s="228" t="s">
        <v>226</v>
      </c>
      <c r="CH911" s="229" t="s">
        <v>153</v>
      </c>
      <c r="CI911" s="230" t="s">
        <v>153</v>
      </c>
      <c r="CJ911" s="231" t="s">
        <v>225</v>
      </c>
      <c r="CK911" s="232">
        <v>41187</v>
      </c>
      <c r="CL911" s="233" t="s">
        <v>153</v>
      </c>
      <c r="CM911" s="234" t="s">
        <v>153</v>
      </c>
      <c r="CN911" s="235" t="s">
        <v>190</v>
      </c>
      <c r="CO911" s="236" t="s">
        <v>153</v>
      </c>
      <c r="CP911" s="237" t="s">
        <v>153</v>
      </c>
      <c r="CQ911" s="238" t="s">
        <v>153</v>
      </c>
      <c r="CR911" s="239" t="s">
        <v>153</v>
      </c>
      <c r="CS911" s="240" t="s">
        <v>153</v>
      </c>
      <c r="CT911" s="241" t="s">
        <v>153</v>
      </c>
      <c r="CU911" s="242" t="s">
        <v>153</v>
      </c>
      <c r="CV911" s="243" t="s">
        <v>153</v>
      </c>
      <c r="CW911" s="244" t="s">
        <v>153</v>
      </c>
      <c r="CX911" s="245" t="s">
        <v>153</v>
      </c>
      <c r="CY911" s="246" t="s">
        <v>153</v>
      </c>
      <c r="CZ911" s="247" t="s">
        <v>153</v>
      </c>
      <c r="DA911" s="248" t="s">
        <v>153</v>
      </c>
      <c r="DB911" s="249" t="s">
        <v>153</v>
      </c>
      <c r="DC911" s="250" t="s">
        <v>153</v>
      </c>
      <c r="DD911" s="251" t="s">
        <v>153</v>
      </c>
      <c r="DE911" s="252" t="s">
        <v>153</v>
      </c>
      <c r="DF911" s="253" t="s">
        <v>153</v>
      </c>
      <c r="DG911" s="254" t="s">
        <v>153</v>
      </c>
      <c r="DH911" s="255" t="s">
        <v>153</v>
      </c>
      <c r="DI911" s="256" t="s">
        <v>153</v>
      </c>
      <c r="DJ911" s="257" t="s">
        <v>153</v>
      </c>
      <c r="DK911" s="258" t="s">
        <v>153</v>
      </c>
      <c r="DL911" s="259" t="s">
        <v>153</v>
      </c>
      <c r="DM911" s="260" t="s">
        <v>153</v>
      </c>
      <c r="DN911" s="261" t="s">
        <v>153</v>
      </c>
      <c r="DO911" s="262" t="s">
        <v>153</v>
      </c>
      <c r="DP911" s="263" t="s">
        <v>153</v>
      </c>
      <c r="DQ911" s="264" t="s">
        <v>153</v>
      </c>
      <c r="DR911" s="265" t="s">
        <v>153</v>
      </c>
      <c r="DS911" s="266" t="s">
        <v>153</v>
      </c>
      <c r="DT911" s="267" t="s">
        <v>153</v>
      </c>
      <c r="DU911" s="268" t="s">
        <v>153</v>
      </c>
      <c r="DV911" s="269" t="s">
        <v>153</v>
      </c>
      <c r="DW911" s="270" t="s">
        <v>153</v>
      </c>
      <c r="DX911" s="271" t="s">
        <v>153</v>
      </c>
      <c r="DY911" s="272" t="s">
        <v>153</v>
      </c>
      <c r="DZ911" s="273" t="s">
        <v>191</v>
      </c>
      <c r="EA911" s="274">
        <v>44217</v>
      </c>
      <c r="EB911" s="275">
        <v>5500</v>
      </c>
      <c r="EC911" s="276">
        <v>41187</v>
      </c>
      <c r="ED911" s="277" t="s">
        <v>226</v>
      </c>
      <c r="EE911" s="279" t="str">
        <f>HYPERLINK("https://my.pitchbook.com?c=26322-31", "View company online")</f>
        <v>View company online</v>
      </c>
    </row>
    <row r="912" spans="1:135" x14ac:dyDescent="0.45">
      <c r="A912" s="10" t="s">
        <v>18002</v>
      </c>
      <c r="B912" s="11" t="s">
        <v>18003</v>
      </c>
      <c r="C912" s="12" t="s">
        <v>153</v>
      </c>
      <c r="D912" s="13" t="s">
        <v>153</v>
      </c>
      <c r="E912" s="14" t="s">
        <v>153</v>
      </c>
      <c r="F912" s="15" t="s">
        <v>18004</v>
      </c>
      <c r="G912" s="16" t="s">
        <v>18005</v>
      </c>
      <c r="H912" s="17" t="s">
        <v>18006</v>
      </c>
      <c r="I912" s="18" t="s">
        <v>18002</v>
      </c>
      <c r="J912" s="19" t="s">
        <v>18007</v>
      </c>
      <c r="K912" s="20" t="s">
        <v>232</v>
      </c>
      <c r="L912" s="21" t="s">
        <v>233</v>
      </c>
      <c r="M912" s="22" t="s">
        <v>3219</v>
      </c>
      <c r="N912" s="23" t="s">
        <v>3220</v>
      </c>
      <c r="O912" s="24" t="s">
        <v>153</v>
      </c>
      <c r="P912" s="25" t="s">
        <v>18008</v>
      </c>
      <c r="Q912" s="26" t="s">
        <v>564</v>
      </c>
      <c r="R912" s="27">
        <v>144</v>
      </c>
      <c r="S912" s="28" t="s">
        <v>290</v>
      </c>
      <c r="T912" s="29" t="s">
        <v>291</v>
      </c>
      <c r="U912" s="30" t="s">
        <v>369</v>
      </c>
      <c r="V912" s="31" t="s">
        <v>18009</v>
      </c>
      <c r="W912" s="32">
        <v>1619</v>
      </c>
      <c r="X912" s="33" t="s">
        <v>18010</v>
      </c>
      <c r="Y912" s="34" t="s">
        <v>295</v>
      </c>
      <c r="Z912" s="35" t="s">
        <v>18004</v>
      </c>
      <c r="AA912" s="36" t="s">
        <v>153</v>
      </c>
      <c r="AB912" s="37" t="s">
        <v>153</v>
      </c>
      <c r="AC912" s="38" t="s">
        <v>428</v>
      </c>
      <c r="AD912" s="39" t="s">
        <v>671</v>
      </c>
      <c r="AE912" s="40">
        <v>946.58</v>
      </c>
      <c r="AF912" s="41" t="s">
        <v>153</v>
      </c>
      <c r="AG912" s="42">
        <v>262.70999999999998</v>
      </c>
      <c r="AH912" s="43" t="s">
        <v>153</v>
      </c>
      <c r="AI912" s="44" t="s">
        <v>153</v>
      </c>
      <c r="AJ912" s="45" t="s">
        <v>153</v>
      </c>
      <c r="AK912" s="46">
        <v>3167.93</v>
      </c>
      <c r="AL912" s="47">
        <v>24810.23</v>
      </c>
      <c r="AM912" s="48">
        <v>-6.42</v>
      </c>
      <c r="AN912" s="49" t="s">
        <v>299</v>
      </c>
      <c r="AO912" s="50" t="s">
        <v>18011</v>
      </c>
      <c r="AP912" s="51" t="s">
        <v>18012</v>
      </c>
      <c r="AQ912" s="52" t="s">
        <v>512</v>
      </c>
      <c r="AR912" s="53" t="s">
        <v>18013</v>
      </c>
      <c r="AS912" s="54" t="s">
        <v>18014</v>
      </c>
      <c r="AT912" s="55" t="s">
        <v>3124</v>
      </c>
      <c r="AU912" s="56" t="s">
        <v>18015</v>
      </c>
      <c r="AV912" s="57" t="s">
        <v>14706</v>
      </c>
      <c r="AW912" s="58" t="s">
        <v>3126</v>
      </c>
      <c r="AX912" s="59" t="s">
        <v>1128</v>
      </c>
      <c r="AY912" s="60" t="s">
        <v>3950</v>
      </c>
      <c r="AZ912" s="61" t="s">
        <v>215</v>
      </c>
      <c r="BA912" s="62" t="s">
        <v>18014</v>
      </c>
      <c r="BB912" s="63" t="s">
        <v>18016</v>
      </c>
      <c r="BC912" s="64" t="s">
        <v>18017</v>
      </c>
      <c r="BD912" s="65" t="s">
        <v>216</v>
      </c>
      <c r="BE912" s="66" t="s">
        <v>217</v>
      </c>
      <c r="BF912" s="67" t="s">
        <v>18018</v>
      </c>
      <c r="BG912" s="68" t="s">
        <v>153</v>
      </c>
      <c r="BH912" s="69" t="s">
        <v>153</v>
      </c>
      <c r="BI912" s="70" t="s">
        <v>153</v>
      </c>
      <c r="BJ912" s="71" t="s">
        <v>18019</v>
      </c>
      <c r="BK912" s="72" t="s">
        <v>18020</v>
      </c>
      <c r="BL912" s="73" t="s">
        <v>153</v>
      </c>
      <c r="BM912" s="74" t="s">
        <v>18021</v>
      </c>
      <c r="BN912" s="75" t="s">
        <v>18022</v>
      </c>
      <c r="BO912" s="76" t="s">
        <v>18023</v>
      </c>
      <c r="BP912" s="77" t="s">
        <v>18024</v>
      </c>
      <c r="BQ912" s="78">
        <v>35431</v>
      </c>
      <c r="BR912" s="79">
        <v>78</v>
      </c>
      <c r="BS912" s="80" t="s">
        <v>186</v>
      </c>
      <c r="BT912" s="81" t="s">
        <v>153</v>
      </c>
      <c r="BU912" s="82" t="s">
        <v>153</v>
      </c>
      <c r="BV912" s="83" t="s">
        <v>709</v>
      </c>
      <c r="BW912" s="84" t="s">
        <v>3593</v>
      </c>
      <c r="BX912" s="85" t="s">
        <v>153</v>
      </c>
      <c r="BY912" s="86" t="s">
        <v>165</v>
      </c>
      <c r="BZ912" s="87" t="s">
        <v>153</v>
      </c>
      <c r="CA912" s="88" t="s">
        <v>190</v>
      </c>
      <c r="CB912" s="89">
        <v>43977</v>
      </c>
      <c r="CC912" s="90">
        <v>5500</v>
      </c>
      <c r="CD912" s="91" t="s">
        <v>186</v>
      </c>
      <c r="CE912" s="92">
        <v>5500</v>
      </c>
      <c r="CF912" s="93" t="s">
        <v>187</v>
      </c>
      <c r="CG912" s="94" t="s">
        <v>226</v>
      </c>
      <c r="CH912" s="95" t="s">
        <v>153</v>
      </c>
      <c r="CI912" s="96" t="s">
        <v>153</v>
      </c>
      <c r="CJ912" s="97" t="s">
        <v>225</v>
      </c>
      <c r="CK912" s="98">
        <v>43977</v>
      </c>
      <c r="CL912" s="99" t="s">
        <v>153</v>
      </c>
      <c r="CM912" s="100" t="s">
        <v>153</v>
      </c>
      <c r="CN912" s="101" t="s">
        <v>394</v>
      </c>
      <c r="CO912" s="102">
        <v>1.64</v>
      </c>
      <c r="CP912" s="103">
        <v>98</v>
      </c>
      <c r="CQ912" s="104">
        <v>0.46</v>
      </c>
      <c r="CR912" s="105">
        <v>39.479999999999997</v>
      </c>
      <c r="CS912" s="106">
        <v>3.76</v>
      </c>
      <c r="CT912" s="107">
        <v>99</v>
      </c>
      <c r="CU912" s="108">
        <v>1.1499999999999999</v>
      </c>
      <c r="CV912" s="109">
        <v>99</v>
      </c>
      <c r="CW912" s="110">
        <v>6.78</v>
      </c>
      <c r="CX912" s="111">
        <v>97</v>
      </c>
      <c r="CY912" s="112">
        <v>0.74</v>
      </c>
      <c r="CZ912" s="113">
        <v>96</v>
      </c>
      <c r="DA912" s="114">
        <v>1.1499999999999999</v>
      </c>
      <c r="DB912" s="115">
        <v>99</v>
      </c>
      <c r="DC912" s="116">
        <v>69.13</v>
      </c>
      <c r="DD912" s="117">
        <v>99</v>
      </c>
      <c r="DE912" s="118">
        <v>5.65</v>
      </c>
      <c r="DF912" s="119">
        <v>8.89</v>
      </c>
      <c r="DG912" s="120">
        <v>206.06</v>
      </c>
      <c r="DH912" s="121">
        <v>100</v>
      </c>
      <c r="DI912" s="122">
        <v>0.63</v>
      </c>
      <c r="DJ912" s="123">
        <v>42</v>
      </c>
      <c r="DK912" s="124">
        <v>19.3</v>
      </c>
      <c r="DL912" s="125">
        <v>91</v>
      </c>
      <c r="DM912" s="126">
        <v>392.81</v>
      </c>
      <c r="DN912" s="127">
        <v>100</v>
      </c>
      <c r="DO912" s="128">
        <v>0.63</v>
      </c>
      <c r="DP912" s="129">
        <v>42</v>
      </c>
      <c r="DQ912" s="130">
        <v>11381</v>
      </c>
      <c r="DR912" s="131">
        <v>231</v>
      </c>
      <c r="DS912" s="132">
        <v>2.0699999999999998</v>
      </c>
      <c r="DT912" s="133">
        <v>6059</v>
      </c>
      <c r="DU912" s="134">
        <v>586</v>
      </c>
      <c r="DV912" s="135">
        <v>10.71</v>
      </c>
      <c r="DW912" s="136">
        <v>195</v>
      </c>
      <c r="DX912" s="137">
        <v>8</v>
      </c>
      <c r="DY912" s="138">
        <v>4.28</v>
      </c>
      <c r="DZ912" s="139" t="s">
        <v>191</v>
      </c>
      <c r="EA912" s="140">
        <v>44400</v>
      </c>
      <c r="EB912" s="141">
        <v>5500</v>
      </c>
      <c r="EC912" s="142">
        <v>43977</v>
      </c>
      <c r="ED912" s="143" t="s">
        <v>226</v>
      </c>
      <c r="EE912" s="278" t="str">
        <f>HYPERLINK("https://my.pitchbook.com?c=10334-08", "View company online")</f>
        <v>View company online</v>
      </c>
    </row>
    <row r="913" spans="1:135" x14ac:dyDescent="0.45">
      <c r="A913" s="144" t="s">
        <v>18025</v>
      </c>
      <c r="B913" s="145" t="s">
        <v>18026</v>
      </c>
      <c r="C913" s="146" t="s">
        <v>153</v>
      </c>
      <c r="D913" s="147" t="s">
        <v>153</v>
      </c>
      <c r="E913" s="148" t="s">
        <v>18027</v>
      </c>
      <c r="F913" s="149" t="s">
        <v>18028</v>
      </c>
      <c r="G913" s="150" t="s">
        <v>153</v>
      </c>
      <c r="H913" s="151" t="s">
        <v>18029</v>
      </c>
      <c r="I913" s="152" t="s">
        <v>18025</v>
      </c>
      <c r="J913" s="153" t="s">
        <v>18030</v>
      </c>
      <c r="K913" s="154" t="s">
        <v>232</v>
      </c>
      <c r="L913" s="155" t="s">
        <v>233</v>
      </c>
      <c r="M913" s="156" t="s">
        <v>234</v>
      </c>
      <c r="N913" s="157" t="s">
        <v>18031</v>
      </c>
      <c r="O913" s="158" t="s">
        <v>18032</v>
      </c>
      <c r="P913" s="159" t="s">
        <v>18033</v>
      </c>
      <c r="Q913" s="160" t="s">
        <v>564</v>
      </c>
      <c r="R913" s="161">
        <v>565</v>
      </c>
      <c r="S913" s="162" t="s">
        <v>290</v>
      </c>
      <c r="T913" s="163" t="s">
        <v>164</v>
      </c>
      <c r="U913" s="164" t="s">
        <v>1169</v>
      </c>
      <c r="V913" s="165" t="s">
        <v>18034</v>
      </c>
      <c r="W913" s="166" t="s">
        <v>153</v>
      </c>
      <c r="X913" s="167" t="s">
        <v>153</v>
      </c>
      <c r="Y913" s="168" t="s">
        <v>153</v>
      </c>
      <c r="Z913" s="169" t="s">
        <v>153</v>
      </c>
      <c r="AA913" s="170">
        <v>2006</v>
      </c>
      <c r="AB913" s="171" t="s">
        <v>153</v>
      </c>
      <c r="AC913" s="172" t="s">
        <v>428</v>
      </c>
      <c r="AD913" s="173" t="s">
        <v>570</v>
      </c>
      <c r="AE913" s="174" t="s">
        <v>153</v>
      </c>
      <c r="AF913" s="175" t="s">
        <v>153</v>
      </c>
      <c r="AG913" s="176" t="s">
        <v>153</v>
      </c>
      <c r="AH913" s="177" t="s">
        <v>153</v>
      </c>
      <c r="AI913" s="178" t="s">
        <v>153</v>
      </c>
      <c r="AJ913" s="179" t="s">
        <v>153</v>
      </c>
      <c r="AK913" s="180" t="s">
        <v>153</v>
      </c>
      <c r="AL913" s="181" t="s">
        <v>153</v>
      </c>
      <c r="AM913" s="182" t="s">
        <v>153</v>
      </c>
      <c r="AN913" s="183" t="s">
        <v>168</v>
      </c>
      <c r="AO913" s="184" t="s">
        <v>18035</v>
      </c>
      <c r="AP913" s="185" t="s">
        <v>18036</v>
      </c>
      <c r="AQ913" s="186" t="s">
        <v>18037</v>
      </c>
      <c r="AR913" s="187" t="s">
        <v>18038</v>
      </c>
      <c r="AS913" s="188" t="s">
        <v>18039</v>
      </c>
      <c r="AT913" s="189" t="s">
        <v>802</v>
      </c>
      <c r="AU913" s="190" t="s">
        <v>18040</v>
      </c>
      <c r="AV913" s="191" t="s">
        <v>18041</v>
      </c>
      <c r="AW913" s="192" t="s">
        <v>805</v>
      </c>
      <c r="AX913" s="193" t="s">
        <v>153</v>
      </c>
      <c r="AY913" s="194" t="s">
        <v>18042</v>
      </c>
      <c r="AZ913" s="195" t="s">
        <v>808</v>
      </c>
      <c r="BA913" s="196" t="s">
        <v>18039</v>
      </c>
      <c r="BB913" s="197" t="s">
        <v>18043</v>
      </c>
      <c r="BC913" s="198" t="s">
        <v>18044</v>
      </c>
      <c r="BD913" s="199" t="s">
        <v>180</v>
      </c>
      <c r="BE913" s="200" t="s">
        <v>809</v>
      </c>
      <c r="BF913" s="201" t="s">
        <v>18045</v>
      </c>
      <c r="BG913" s="202" t="s">
        <v>18046</v>
      </c>
      <c r="BH913" s="203">
        <v>1</v>
      </c>
      <c r="BI913" s="204" t="s">
        <v>153</v>
      </c>
      <c r="BJ913" s="205" t="s">
        <v>18047</v>
      </c>
      <c r="BK913" s="206" t="s">
        <v>153</v>
      </c>
      <c r="BL913" s="207" t="s">
        <v>153</v>
      </c>
      <c r="BM913" s="208" t="s">
        <v>18048</v>
      </c>
      <c r="BN913" s="209" t="s">
        <v>153</v>
      </c>
      <c r="BO913" s="210" t="s">
        <v>153</v>
      </c>
      <c r="BP913" s="211" t="s">
        <v>18049</v>
      </c>
      <c r="BQ913" s="212">
        <v>39038</v>
      </c>
      <c r="BR913" s="213" t="s">
        <v>153</v>
      </c>
      <c r="BS913" s="214" t="s">
        <v>153</v>
      </c>
      <c r="BT913" s="215" t="s">
        <v>153</v>
      </c>
      <c r="BU913" s="216" t="s">
        <v>153</v>
      </c>
      <c r="BV913" s="217" t="s">
        <v>226</v>
      </c>
      <c r="BW913" s="218" t="s">
        <v>153</v>
      </c>
      <c r="BX913" s="219" t="s">
        <v>153</v>
      </c>
      <c r="BY913" s="220" t="s">
        <v>225</v>
      </c>
      <c r="BZ913" s="221" t="s">
        <v>153</v>
      </c>
      <c r="CA913" s="222" t="s">
        <v>190</v>
      </c>
      <c r="CB913" s="223">
        <v>44105</v>
      </c>
      <c r="CC913" s="224">
        <v>5480</v>
      </c>
      <c r="CD913" s="225" t="s">
        <v>187</v>
      </c>
      <c r="CE913" s="226">
        <v>5480</v>
      </c>
      <c r="CF913" s="227" t="s">
        <v>187</v>
      </c>
      <c r="CG913" s="228" t="s">
        <v>226</v>
      </c>
      <c r="CH913" s="229" t="s">
        <v>729</v>
      </c>
      <c r="CI913" s="230" t="s">
        <v>153</v>
      </c>
      <c r="CJ913" s="231" t="s">
        <v>225</v>
      </c>
      <c r="CK913" s="232">
        <v>44105</v>
      </c>
      <c r="CL913" s="233" t="s">
        <v>153</v>
      </c>
      <c r="CM913" s="234" t="s">
        <v>153</v>
      </c>
      <c r="CN913" s="235" t="s">
        <v>394</v>
      </c>
      <c r="CO913" s="236" t="s">
        <v>153</v>
      </c>
      <c r="CP913" s="237" t="s">
        <v>153</v>
      </c>
      <c r="CQ913" s="238" t="s">
        <v>153</v>
      </c>
      <c r="CR913" s="239" t="s">
        <v>153</v>
      </c>
      <c r="CS913" s="240" t="s">
        <v>153</v>
      </c>
      <c r="CT913" s="241" t="s">
        <v>153</v>
      </c>
      <c r="CU913" s="242" t="s">
        <v>153</v>
      </c>
      <c r="CV913" s="243" t="s">
        <v>153</v>
      </c>
      <c r="CW913" s="244" t="s">
        <v>153</v>
      </c>
      <c r="CX913" s="245" t="s">
        <v>153</v>
      </c>
      <c r="CY913" s="246" t="s">
        <v>153</v>
      </c>
      <c r="CZ913" s="247" t="s">
        <v>153</v>
      </c>
      <c r="DA913" s="248" t="s">
        <v>153</v>
      </c>
      <c r="DB913" s="249" t="s">
        <v>153</v>
      </c>
      <c r="DC913" s="250" t="s">
        <v>153</v>
      </c>
      <c r="DD913" s="251" t="s">
        <v>153</v>
      </c>
      <c r="DE913" s="252" t="s">
        <v>153</v>
      </c>
      <c r="DF913" s="253" t="s">
        <v>153</v>
      </c>
      <c r="DG913" s="254" t="s">
        <v>153</v>
      </c>
      <c r="DH913" s="255" t="s">
        <v>153</v>
      </c>
      <c r="DI913" s="256" t="s">
        <v>153</v>
      </c>
      <c r="DJ913" s="257" t="s">
        <v>153</v>
      </c>
      <c r="DK913" s="258" t="s">
        <v>153</v>
      </c>
      <c r="DL913" s="259" t="s">
        <v>153</v>
      </c>
      <c r="DM913" s="260" t="s">
        <v>153</v>
      </c>
      <c r="DN913" s="261" t="s">
        <v>153</v>
      </c>
      <c r="DO913" s="262" t="s">
        <v>153</v>
      </c>
      <c r="DP913" s="263" t="s">
        <v>153</v>
      </c>
      <c r="DQ913" s="264" t="s">
        <v>153</v>
      </c>
      <c r="DR913" s="265" t="s">
        <v>153</v>
      </c>
      <c r="DS913" s="266" t="s">
        <v>153</v>
      </c>
      <c r="DT913" s="267" t="s">
        <v>153</v>
      </c>
      <c r="DU913" s="268" t="s">
        <v>153</v>
      </c>
      <c r="DV913" s="269" t="s">
        <v>153</v>
      </c>
      <c r="DW913" s="270" t="s">
        <v>153</v>
      </c>
      <c r="DX913" s="271" t="s">
        <v>153</v>
      </c>
      <c r="DY913" s="272" t="s">
        <v>153</v>
      </c>
      <c r="DZ913" s="273" t="s">
        <v>191</v>
      </c>
      <c r="EA913" s="274">
        <v>44393</v>
      </c>
      <c r="EB913" s="275">
        <v>5480</v>
      </c>
      <c r="EC913" s="276">
        <v>44105</v>
      </c>
      <c r="ED913" s="277" t="s">
        <v>226</v>
      </c>
      <c r="EE913" s="279" t="str">
        <f>HYPERLINK("https://my.pitchbook.com?c=42964-30", "View company online")</f>
        <v>View company online</v>
      </c>
    </row>
    <row r="914" spans="1:135" x14ac:dyDescent="0.45">
      <c r="A914" s="10" t="s">
        <v>18050</v>
      </c>
      <c r="B914" s="11" t="s">
        <v>18051</v>
      </c>
      <c r="C914" s="12" t="s">
        <v>153</v>
      </c>
      <c r="D914" s="13" t="s">
        <v>153</v>
      </c>
      <c r="E914" s="14" t="s">
        <v>153</v>
      </c>
      <c r="F914" s="15" t="s">
        <v>153</v>
      </c>
      <c r="G914" s="16" t="s">
        <v>153</v>
      </c>
      <c r="H914" s="17" t="s">
        <v>153</v>
      </c>
      <c r="I914" s="18" t="s">
        <v>18050</v>
      </c>
      <c r="J914" s="19" t="s">
        <v>18052</v>
      </c>
      <c r="K914" s="20" t="s">
        <v>882</v>
      </c>
      <c r="L914" s="21" t="s">
        <v>2888</v>
      </c>
      <c r="M914" s="22" t="s">
        <v>2889</v>
      </c>
      <c r="N914" s="23" t="s">
        <v>3484</v>
      </c>
      <c r="O914" s="24" t="s">
        <v>153</v>
      </c>
      <c r="P914" s="25" t="s">
        <v>18053</v>
      </c>
      <c r="Q914" s="26" t="s">
        <v>204</v>
      </c>
      <c r="R914" s="27" t="s">
        <v>153</v>
      </c>
      <c r="S914" s="28" t="s">
        <v>153</v>
      </c>
      <c r="T914" s="29" t="s">
        <v>205</v>
      </c>
      <c r="U914" s="30" t="s">
        <v>206</v>
      </c>
      <c r="V914" s="31" t="s">
        <v>153</v>
      </c>
      <c r="W914" s="32" t="s">
        <v>153</v>
      </c>
      <c r="X914" s="33" t="s">
        <v>153</v>
      </c>
      <c r="Y914" s="34" t="s">
        <v>153</v>
      </c>
      <c r="Z914" s="35" t="s">
        <v>153</v>
      </c>
      <c r="AA914" s="36" t="s">
        <v>153</v>
      </c>
      <c r="AB914" s="37" t="s">
        <v>153</v>
      </c>
      <c r="AC914" s="38" t="s">
        <v>153</v>
      </c>
      <c r="AD914" s="39" t="s">
        <v>153</v>
      </c>
      <c r="AE914" s="40" t="s">
        <v>153</v>
      </c>
      <c r="AF914" s="41" t="s">
        <v>153</v>
      </c>
      <c r="AG914" s="42" t="s">
        <v>153</v>
      </c>
      <c r="AH914" s="43" t="s">
        <v>153</v>
      </c>
      <c r="AI914" s="44" t="s">
        <v>153</v>
      </c>
      <c r="AJ914" s="45" t="s">
        <v>153</v>
      </c>
      <c r="AK914" s="46" t="s">
        <v>153</v>
      </c>
      <c r="AL914" s="47" t="s">
        <v>153</v>
      </c>
      <c r="AM914" s="48" t="s">
        <v>153</v>
      </c>
      <c r="AN914" s="49" t="s">
        <v>153</v>
      </c>
      <c r="AO914" s="50" t="s">
        <v>153</v>
      </c>
      <c r="AP914" s="51" t="s">
        <v>153</v>
      </c>
      <c r="AQ914" s="52" t="s">
        <v>153</v>
      </c>
      <c r="AR914" s="53" t="s">
        <v>153</v>
      </c>
      <c r="AS914" s="54" t="s">
        <v>153</v>
      </c>
      <c r="AT914" s="55" t="s">
        <v>629</v>
      </c>
      <c r="AU914" s="56" t="s">
        <v>153</v>
      </c>
      <c r="AV914" s="57" t="s">
        <v>153</v>
      </c>
      <c r="AW914" s="58" t="s">
        <v>153</v>
      </c>
      <c r="AX914" s="59" t="s">
        <v>153</v>
      </c>
      <c r="AY914" s="60" t="s">
        <v>153</v>
      </c>
      <c r="AZ914" s="61" t="s">
        <v>629</v>
      </c>
      <c r="BA914" s="62" t="s">
        <v>153</v>
      </c>
      <c r="BB914" s="63" t="s">
        <v>153</v>
      </c>
      <c r="BC914" s="64" t="s">
        <v>153</v>
      </c>
      <c r="BD914" s="65" t="s">
        <v>180</v>
      </c>
      <c r="BE914" s="66" t="s">
        <v>181</v>
      </c>
      <c r="BF914" s="67" t="s">
        <v>18054</v>
      </c>
      <c r="BG914" s="68" t="s">
        <v>153</v>
      </c>
      <c r="BH914" s="69" t="s">
        <v>153</v>
      </c>
      <c r="BI914" s="70" t="s">
        <v>5185</v>
      </c>
      <c r="BJ914" s="71" t="s">
        <v>4133</v>
      </c>
      <c r="BK914" s="72" t="s">
        <v>153</v>
      </c>
      <c r="BL914" s="73" t="s">
        <v>153</v>
      </c>
      <c r="BM914" s="74" t="s">
        <v>18055</v>
      </c>
      <c r="BN914" s="75" t="s">
        <v>153</v>
      </c>
      <c r="BO914" s="76" t="s">
        <v>153</v>
      </c>
      <c r="BP914" s="77" t="s">
        <v>153</v>
      </c>
      <c r="BQ914" s="78">
        <v>43238</v>
      </c>
      <c r="BR914" s="79">
        <v>5477.03</v>
      </c>
      <c r="BS914" s="80" t="s">
        <v>187</v>
      </c>
      <c r="BT914" s="81">
        <v>5477.03</v>
      </c>
      <c r="BU914" s="82" t="s">
        <v>187</v>
      </c>
      <c r="BV914" s="83" t="s">
        <v>1524</v>
      </c>
      <c r="BW914" s="84" t="s">
        <v>1525</v>
      </c>
      <c r="BX914" s="85" t="s">
        <v>1526</v>
      </c>
      <c r="BY914" s="86" t="s">
        <v>225</v>
      </c>
      <c r="BZ914" s="87" t="s">
        <v>153</v>
      </c>
      <c r="CA914" s="88" t="s">
        <v>190</v>
      </c>
      <c r="CB914" s="89">
        <v>43238</v>
      </c>
      <c r="CC914" s="90">
        <v>5477.03</v>
      </c>
      <c r="CD914" s="91" t="s">
        <v>187</v>
      </c>
      <c r="CE914" s="92">
        <v>5477.03</v>
      </c>
      <c r="CF914" s="93" t="s">
        <v>187</v>
      </c>
      <c r="CG914" s="94" t="s">
        <v>1524</v>
      </c>
      <c r="CH914" s="95" t="s">
        <v>1525</v>
      </c>
      <c r="CI914" s="96" t="s">
        <v>1526</v>
      </c>
      <c r="CJ914" s="97" t="s">
        <v>225</v>
      </c>
      <c r="CK914" s="98">
        <v>43238</v>
      </c>
      <c r="CL914" s="99" t="s">
        <v>153</v>
      </c>
      <c r="CM914" s="100" t="s">
        <v>153</v>
      </c>
      <c r="CN914" s="101" t="s">
        <v>190</v>
      </c>
      <c r="CO914" s="102" t="s">
        <v>153</v>
      </c>
      <c r="CP914" s="103" t="s">
        <v>153</v>
      </c>
      <c r="CQ914" s="104" t="s">
        <v>153</v>
      </c>
      <c r="CR914" s="105" t="s">
        <v>153</v>
      </c>
      <c r="CS914" s="106" t="s">
        <v>153</v>
      </c>
      <c r="CT914" s="107" t="s">
        <v>153</v>
      </c>
      <c r="CU914" s="108" t="s">
        <v>153</v>
      </c>
      <c r="CV914" s="109" t="s">
        <v>153</v>
      </c>
      <c r="CW914" s="110" t="s">
        <v>153</v>
      </c>
      <c r="CX914" s="111" t="s">
        <v>153</v>
      </c>
      <c r="CY914" s="112" t="s">
        <v>153</v>
      </c>
      <c r="CZ914" s="113" t="s">
        <v>153</v>
      </c>
      <c r="DA914" s="114" t="s">
        <v>153</v>
      </c>
      <c r="DB914" s="115" t="s">
        <v>153</v>
      </c>
      <c r="DC914" s="116" t="s">
        <v>153</v>
      </c>
      <c r="DD914" s="117" t="s">
        <v>153</v>
      </c>
      <c r="DE914" s="118" t="s">
        <v>153</v>
      </c>
      <c r="DF914" s="119" t="s">
        <v>153</v>
      </c>
      <c r="DG914" s="120" t="s">
        <v>153</v>
      </c>
      <c r="DH914" s="121" t="s">
        <v>153</v>
      </c>
      <c r="DI914" s="122" t="s">
        <v>153</v>
      </c>
      <c r="DJ914" s="123" t="s">
        <v>153</v>
      </c>
      <c r="DK914" s="124" t="s">
        <v>153</v>
      </c>
      <c r="DL914" s="125" t="s">
        <v>153</v>
      </c>
      <c r="DM914" s="126" t="s">
        <v>153</v>
      </c>
      <c r="DN914" s="127" t="s">
        <v>153</v>
      </c>
      <c r="DO914" s="128" t="s">
        <v>153</v>
      </c>
      <c r="DP914" s="129" t="s">
        <v>153</v>
      </c>
      <c r="DQ914" s="130" t="s">
        <v>153</v>
      </c>
      <c r="DR914" s="131" t="s">
        <v>153</v>
      </c>
      <c r="DS914" s="132" t="s">
        <v>153</v>
      </c>
      <c r="DT914" s="133" t="s">
        <v>153</v>
      </c>
      <c r="DU914" s="134" t="s">
        <v>153</v>
      </c>
      <c r="DV914" s="135" t="s">
        <v>153</v>
      </c>
      <c r="DW914" s="136" t="s">
        <v>153</v>
      </c>
      <c r="DX914" s="137" t="s">
        <v>153</v>
      </c>
      <c r="DY914" s="138" t="s">
        <v>153</v>
      </c>
      <c r="DZ914" s="139" t="s">
        <v>191</v>
      </c>
      <c r="EA914" s="140">
        <v>43895</v>
      </c>
      <c r="EB914" s="141">
        <v>5477.03</v>
      </c>
      <c r="EC914" s="142">
        <v>43238</v>
      </c>
      <c r="ED914" s="143" t="s">
        <v>1524</v>
      </c>
      <c r="EE914" s="278" t="str">
        <f>HYPERLINK("https://my.pitchbook.com?c=228849-76", "View company online")</f>
        <v>View company online</v>
      </c>
    </row>
    <row r="915" spans="1:135" x14ac:dyDescent="0.45">
      <c r="A915" s="144" t="s">
        <v>18056</v>
      </c>
      <c r="B915" s="145" t="s">
        <v>18057</v>
      </c>
      <c r="C915" s="146" t="s">
        <v>153</v>
      </c>
      <c r="D915" s="147" t="s">
        <v>153</v>
      </c>
      <c r="E915" s="148" t="s">
        <v>153</v>
      </c>
      <c r="F915" s="149" t="s">
        <v>18058</v>
      </c>
      <c r="G915" s="150" t="s">
        <v>153</v>
      </c>
      <c r="H915" s="151" t="s">
        <v>153</v>
      </c>
      <c r="I915" s="152" t="s">
        <v>18056</v>
      </c>
      <c r="J915" s="153" t="s">
        <v>18059</v>
      </c>
      <c r="K915" s="154" t="s">
        <v>882</v>
      </c>
      <c r="L915" s="155" t="s">
        <v>2888</v>
      </c>
      <c r="M915" s="156" t="s">
        <v>2889</v>
      </c>
      <c r="N915" s="157" t="s">
        <v>2890</v>
      </c>
      <c r="O915" s="158" t="s">
        <v>153</v>
      </c>
      <c r="P915" s="159" t="s">
        <v>18060</v>
      </c>
      <c r="Q915" s="160" t="s">
        <v>162</v>
      </c>
      <c r="R915" s="161" t="s">
        <v>153</v>
      </c>
      <c r="S915" s="162" t="s">
        <v>153</v>
      </c>
      <c r="T915" s="163" t="s">
        <v>1392</v>
      </c>
      <c r="U915" s="164" t="s">
        <v>2000</v>
      </c>
      <c r="V915" s="165" t="s">
        <v>18061</v>
      </c>
      <c r="W915" s="166">
        <v>501</v>
      </c>
      <c r="X915" s="167" t="s">
        <v>18062</v>
      </c>
      <c r="Y915" s="168" t="s">
        <v>153</v>
      </c>
      <c r="Z915" s="169" t="s">
        <v>153</v>
      </c>
      <c r="AA915" s="170" t="s">
        <v>153</v>
      </c>
      <c r="AB915" s="171" t="s">
        <v>153</v>
      </c>
      <c r="AC915" s="172" t="s">
        <v>153</v>
      </c>
      <c r="AD915" s="173" t="s">
        <v>153</v>
      </c>
      <c r="AE915" s="174" t="s">
        <v>153</v>
      </c>
      <c r="AF915" s="175" t="s">
        <v>153</v>
      </c>
      <c r="AG915" s="176" t="s">
        <v>153</v>
      </c>
      <c r="AH915" s="177" t="s">
        <v>153</v>
      </c>
      <c r="AI915" s="178" t="s">
        <v>153</v>
      </c>
      <c r="AJ915" s="179" t="s">
        <v>153</v>
      </c>
      <c r="AK915" s="180" t="s">
        <v>153</v>
      </c>
      <c r="AL915" s="181" t="s">
        <v>153</v>
      </c>
      <c r="AM915" s="182" t="s">
        <v>153</v>
      </c>
      <c r="AN915" s="183" t="s">
        <v>153</v>
      </c>
      <c r="AO915" s="184" t="s">
        <v>18063</v>
      </c>
      <c r="AP915" s="185" t="s">
        <v>18064</v>
      </c>
      <c r="AQ915" s="186" t="s">
        <v>18065</v>
      </c>
      <c r="AR915" s="187" t="s">
        <v>18066</v>
      </c>
      <c r="AS915" s="188" t="s">
        <v>18067</v>
      </c>
      <c r="AT915" s="189" t="s">
        <v>433</v>
      </c>
      <c r="AU915" s="190" t="s">
        <v>18068</v>
      </c>
      <c r="AV915" s="191" t="s">
        <v>153</v>
      </c>
      <c r="AW915" s="192" t="s">
        <v>436</v>
      </c>
      <c r="AX915" s="193" t="s">
        <v>436</v>
      </c>
      <c r="AY915" s="194" t="s">
        <v>18069</v>
      </c>
      <c r="AZ915" s="195" t="s">
        <v>215</v>
      </c>
      <c r="BA915" s="196" t="s">
        <v>18067</v>
      </c>
      <c r="BB915" s="197" t="s">
        <v>153</v>
      </c>
      <c r="BC915" s="198" t="s">
        <v>18070</v>
      </c>
      <c r="BD915" s="199" t="s">
        <v>216</v>
      </c>
      <c r="BE915" s="200" t="s">
        <v>217</v>
      </c>
      <c r="BF915" s="201" t="s">
        <v>18071</v>
      </c>
      <c r="BG915" s="202" t="s">
        <v>18072</v>
      </c>
      <c r="BH915" s="203">
        <v>2</v>
      </c>
      <c r="BI915" s="204" t="s">
        <v>153</v>
      </c>
      <c r="BJ915" s="205" t="s">
        <v>18073</v>
      </c>
      <c r="BK915" s="206" t="s">
        <v>153</v>
      </c>
      <c r="BL915" s="207" t="s">
        <v>18074</v>
      </c>
      <c r="BM915" s="208" t="s">
        <v>18075</v>
      </c>
      <c r="BN915" s="209" t="s">
        <v>153</v>
      </c>
      <c r="BO915" s="210" t="s">
        <v>18076</v>
      </c>
      <c r="BP915" s="211" t="s">
        <v>18077</v>
      </c>
      <c r="BQ915" s="212" t="s">
        <v>153</v>
      </c>
      <c r="BR915" s="213" t="s">
        <v>153</v>
      </c>
      <c r="BS915" s="214" t="s">
        <v>153</v>
      </c>
      <c r="BT915" s="215" t="s">
        <v>153</v>
      </c>
      <c r="BU915" s="216" t="s">
        <v>153</v>
      </c>
      <c r="BV915" s="217" t="s">
        <v>225</v>
      </c>
      <c r="BW915" s="218" t="s">
        <v>225</v>
      </c>
      <c r="BX915" s="219" t="s">
        <v>153</v>
      </c>
      <c r="BY915" s="220" t="s">
        <v>225</v>
      </c>
      <c r="BZ915" s="221" t="s">
        <v>153</v>
      </c>
      <c r="CA915" s="222" t="s">
        <v>190</v>
      </c>
      <c r="CB915" s="223">
        <v>42356</v>
      </c>
      <c r="CC915" s="224">
        <v>5450</v>
      </c>
      <c r="CD915" s="225" t="s">
        <v>186</v>
      </c>
      <c r="CE915" s="226">
        <v>5450</v>
      </c>
      <c r="CF915" s="227" t="s">
        <v>187</v>
      </c>
      <c r="CG915" s="228" t="s">
        <v>188</v>
      </c>
      <c r="CH915" s="229" t="s">
        <v>1525</v>
      </c>
      <c r="CI915" s="230" t="s">
        <v>153</v>
      </c>
      <c r="CJ915" s="231" t="s">
        <v>165</v>
      </c>
      <c r="CK915" s="232">
        <v>42356</v>
      </c>
      <c r="CL915" s="233">
        <v>2700</v>
      </c>
      <c r="CM915" s="234" t="s">
        <v>18078</v>
      </c>
      <c r="CN915" s="235" t="s">
        <v>190</v>
      </c>
      <c r="CO915" s="236">
        <v>2.87</v>
      </c>
      <c r="CP915" s="237">
        <v>99</v>
      </c>
      <c r="CQ915" s="238">
        <v>0.01</v>
      </c>
      <c r="CR915" s="239">
        <v>0.21</v>
      </c>
      <c r="CS915" s="240">
        <v>5.74</v>
      </c>
      <c r="CT915" s="241">
        <v>100</v>
      </c>
      <c r="CU915" s="242">
        <v>0.01</v>
      </c>
      <c r="CV915" s="243">
        <v>77</v>
      </c>
      <c r="CW915" s="244">
        <v>5.74</v>
      </c>
      <c r="CX915" s="245">
        <v>95</v>
      </c>
      <c r="CY915" s="246" t="s">
        <v>153</v>
      </c>
      <c r="CZ915" s="247" t="s">
        <v>153</v>
      </c>
      <c r="DA915" s="248">
        <v>0.01</v>
      </c>
      <c r="DB915" s="249">
        <v>77</v>
      </c>
      <c r="DC915" s="250">
        <v>24.92</v>
      </c>
      <c r="DD915" s="251">
        <v>97</v>
      </c>
      <c r="DE915" s="252">
        <v>0.02</v>
      </c>
      <c r="DF915" s="253">
        <v>0.09</v>
      </c>
      <c r="DG915" s="254">
        <v>43.34</v>
      </c>
      <c r="DH915" s="255">
        <v>98</v>
      </c>
      <c r="DI915" s="256">
        <v>6.5</v>
      </c>
      <c r="DJ915" s="257">
        <v>82</v>
      </c>
      <c r="DK915" s="258">
        <v>43.34</v>
      </c>
      <c r="DL915" s="259">
        <v>95</v>
      </c>
      <c r="DM915" s="260" t="s">
        <v>153</v>
      </c>
      <c r="DN915" s="261" t="s">
        <v>153</v>
      </c>
      <c r="DO915" s="262">
        <v>6.5</v>
      </c>
      <c r="DP915" s="263">
        <v>82</v>
      </c>
      <c r="DQ915" s="264">
        <v>25632</v>
      </c>
      <c r="DR915" s="265">
        <v>250</v>
      </c>
      <c r="DS915" s="266">
        <v>0.98</v>
      </c>
      <c r="DT915" s="267" t="s">
        <v>153</v>
      </c>
      <c r="DU915" s="268" t="s">
        <v>153</v>
      </c>
      <c r="DV915" s="269" t="s">
        <v>153</v>
      </c>
      <c r="DW915" s="270">
        <v>2040</v>
      </c>
      <c r="DX915" s="271">
        <v>0</v>
      </c>
      <c r="DY915" s="272">
        <v>0</v>
      </c>
      <c r="DZ915" s="273" t="s">
        <v>191</v>
      </c>
      <c r="EA915" s="274">
        <v>44147</v>
      </c>
      <c r="EB915" s="275">
        <v>5450</v>
      </c>
      <c r="EC915" s="276">
        <v>42356</v>
      </c>
      <c r="ED915" s="277" t="s">
        <v>188</v>
      </c>
      <c r="EE915" s="279" t="str">
        <f>HYPERLINK("https://my.pitchbook.com?c=14184-73", "View company online")</f>
        <v>View company online</v>
      </c>
    </row>
    <row r="916" spans="1:135" x14ac:dyDescent="0.45">
      <c r="A916" s="10" t="s">
        <v>18079</v>
      </c>
      <c r="B916" s="11" t="s">
        <v>18080</v>
      </c>
      <c r="C916" s="12" t="s">
        <v>153</v>
      </c>
      <c r="D916" s="13" t="s">
        <v>153</v>
      </c>
      <c r="E916" s="14" t="s">
        <v>18081</v>
      </c>
      <c r="F916" s="15" t="s">
        <v>18082</v>
      </c>
      <c r="G916" s="16" t="s">
        <v>18083</v>
      </c>
      <c r="H916" s="17" t="s">
        <v>18084</v>
      </c>
      <c r="I916" s="18" t="s">
        <v>18079</v>
      </c>
      <c r="J916" s="19" t="s">
        <v>18085</v>
      </c>
      <c r="K916" s="20" t="s">
        <v>792</v>
      </c>
      <c r="L916" s="21" t="s">
        <v>841</v>
      </c>
      <c r="M916" s="22" t="s">
        <v>913</v>
      </c>
      <c r="N916" s="23" t="s">
        <v>1300</v>
      </c>
      <c r="O916" s="24" t="s">
        <v>796</v>
      </c>
      <c r="P916" s="25" t="s">
        <v>18086</v>
      </c>
      <c r="Q916" s="26" t="s">
        <v>204</v>
      </c>
      <c r="R916" s="27">
        <v>400</v>
      </c>
      <c r="S916" s="28" t="s">
        <v>290</v>
      </c>
      <c r="T916" s="29" t="s">
        <v>205</v>
      </c>
      <c r="U916" s="30" t="s">
        <v>369</v>
      </c>
      <c r="V916" s="31" t="s">
        <v>18087</v>
      </c>
      <c r="W916" s="32">
        <v>590</v>
      </c>
      <c r="X916" s="33" t="s">
        <v>18088</v>
      </c>
      <c r="Y916" s="34" t="s">
        <v>153</v>
      </c>
      <c r="Z916" s="35" t="s">
        <v>153</v>
      </c>
      <c r="AA916" s="36">
        <v>2011</v>
      </c>
      <c r="AB916" s="37" t="s">
        <v>153</v>
      </c>
      <c r="AC916" s="38" t="s">
        <v>153</v>
      </c>
      <c r="AD916" s="39" t="s">
        <v>428</v>
      </c>
      <c r="AE916" s="40">
        <v>2062</v>
      </c>
      <c r="AF916" s="41">
        <v>891</v>
      </c>
      <c r="AG916" s="42">
        <v>-1074</v>
      </c>
      <c r="AH916" s="43">
        <v>5932</v>
      </c>
      <c r="AI916" s="44">
        <v>37</v>
      </c>
      <c r="AJ916" s="45">
        <v>-936</v>
      </c>
      <c r="AK916" s="46" t="s">
        <v>153</v>
      </c>
      <c r="AL916" s="47">
        <v>3018</v>
      </c>
      <c r="AM916" s="48">
        <v>-13.43</v>
      </c>
      <c r="AN916" s="49" t="s">
        <v>5929</v>
      </c>
      <c r="AO916" s="50" t="s">
        <v>18089</v>
      </c>
      <c r="AP916" s="51" t="s">
        <v>18090</v>
      </c>
      <c r="AQ916" s="52" t="s">
        <v>2655</v>
      </c>
      <c r="AR916" s="53" t="s">
        <v>153</v>
      </c>
      <c r="AS916" s="54" t="s">
        <v>18091</v>
      </c>
      <c r="AT916" s="55" t="s">
        <v>1546</v>
      </c>
      <c r="AU916" s="56" t="s">
        <v>18092</v>
      </c>
      <c r="AV916" s="57" t="s">
        <v>153</v>
      </c>
      <c r="AW916" s="58" t="s">
        <v>1549</v>
      </c>
      <c r="AX916" s="59" t="s">
        <v>1550</v>
      </c>
      <c r="AY916" s="60" t="s">
        <v>18093</v>
      </c>
      <c r="AZ916" s="61" t="s">
        <v>215</v>
      </c>
      <c r="BA916" s="62" t="s">
        <v>153</v>
      </c>
      <c r="BB916" s="63" t="s">
        <v>153</v>
      </c>
      <c r="BC916" s="64" t="s">
        <v>153</v>
      </c>
      <c r="BD916" s="65" t="s">
        <v>216</v>
      </c>
      <c r="BE916" s="66" t="s">
        <v>217</v>
      </c>
      <c r="BF916" s="67" t="s">
        <v>18094</v>
      </c>
      <c r="BG916" s="68" t="s">
        <v>153</v>
      </c>
      <c r="BH916" s="69" t="s">
        <v>153</v>
      </c>
      <c r="BI916" s="70" t="s">
        <v>16061</v>
      </c>
      <c r="BJ916" s="71" t="s">
        <v>18095</v>
      </c>
      <c r="BK916" s="72" t="s">
        <v>153</v>
      </c>
      <c r="BL916" s="73" t="s">
        <v>153</v>
      </c>
      <c r="BM916" s="74" t="s">
        <v>18096</v>
      </c>
      <c r="BN916" s="75" t="s">
        <v>153</v>
      </c>
      <c r="BO916" s="76" t="s">
        <v>18097</v>
      </c>
      <c r="BP916" s="77" t="s">
        <v>18098</v>
      </c>
      <c r="BQ916" s="78">
        <v>40889</v>
      </c>
      <c r="BR916" s="79" t="s">
        <v>153</v>
      </c>
      <c r="BS916" s="80" t="s">
        <v>153</v>
      </c>
      <c r="BT916" s="81" t="s">
        <v>153</v>
      </c>
      <c r="BU916" s="82" t="s">
        <v>153</v>
      </c>
      <c r="BV916" s="83" t="s">
        <v>251</v>
      </c>
      <c r="BW916" s="84" t="s">
        <v>524</v>
      </c>
      <c r="BX916" s="85" t="s">
        <v>153</v>
      </c>
      <c r="BY916" s="86" t="s">
        <v>252</v>
      </c>
      <c r="BZ916" s="87" t="s">
        <v>153</v>
      </c>
      <c r="CA916" s="88" t="s">
        <v>190</v>
      </c>
      <c r="CB916" s="89">
        <v>44203</v>
      </c>
      <c r="CC916" s="90">
        <v>5432</v>
      </c>
      <c r="CD916" s="91" t="s">
        <v>186</v>
      </c>
      <c r="CE916" s="92">
        <v>5432</v>
      </c>
      <c r="CF916" s="93" t="s">
        <v>187</v>
      </c>
      <c r="CG916" s="94" t="s">
        <v>226</v>
      </c>
      <c r="CH916" s="95" t="s">
        <v>153</v>
      </c>
      <c r="CI916" s="96" t="s">
        <v>153</v>
      </c>
      <c r="CJ916" s="97" t="s">
        <v>225</v>
      </c>
      <c r="CK916" s="98">
        <v>44203</v>
      </c>
      <c r="CL916" s="99" t="s">
        <v>153</v>
      </c>
      <c r="CM916" s="100" t="s">
        <v>153</v>
      </c>
      <c r="CN916" s="101" t="s">
        <v>190</v>
      </c>
      <c r="CO916" s="102" t="s">
        <v>153</v>
      </c>
      <c r="CP916" s="103" t="s">
        <v>153</v>
      </c>
      <c r="CQ916" s="104" t="s">
        <v>153</v>
      </c>
      <c r="CR916" s="105" t="s">
        <v>153</v>
      </c>
      <c r="CS916" s="106" t="s">
        <v>153</v>
      </c>
      <c r="CT916" s="107" t="s">
        <v>153</v>
      </c>
      <c r="CU916" s="108" t="s">
        <v>153</v>
      </c>
      <c r="CV916" s="109" t="s">
        <v>153</v>
      </c>
      <c r="CW916" s="110" t="s">
        <v>153</v>
      </c>
      <c r="CX916" s="111" t="s">
        <v>153</v>
      </c>
      <c r="CY916" s="112" t="s">
        <v>153</v>
      </c>
      <c r="CZ916" s="113" t="s">
        <v>153</v>
      </c>
      <c r="DA916" s="114" t="s">
        <v>153</v>
      </c>
      <c r="DB916" s="115" t="s">
        <v>153</v>
      </c>
      <c r="DC916" s="116" t="s">
        <v>153</v>
      </c>
      <c r="DD916" s="117" t="s">
        <v>153</v>
      </c>
      <c r="DE916" s="118" t="s">
        <v>153</v>
      </c>
      <c r="DF916" s="119" t="s">
        <v>153</v>
      </c>
      <c r="DG916" s="120" t="s">
        <v>153</v>
      </c>
      <c r="DH916" s="121" t="s">
        <v>153</v>
      </c>
      <c r="DI916" s="122" t="s">
        <v>153</v>
      </c>
      <c r="DJ916" s="123" t="s">
        <v>153</v>
      </c>
      <c r="DK916" s="124" t="s">
        <v>153</v>
      </c>
      <c r="DL916" s="125" t="s">
        <v>153</v>
      </c>
      <c r="DM916" s="126" t="s">
        <v>153</v>
      </c>
      <c r="DN916" s="127" t="s">
        <v>153</v>
      </c>
      <c r="DO916" s="128" t="s">
        <v>153</v>
      </c>
      <c r="DP916" s="129" t="s">
        <v>153</v>
      </c>
      <c r="DQ916" s="130" t="s">
        <v>153</v>
      </c>
      <c r="DR916" s="131" t="s">
        <v>153</v>
      </c>
      <c r="DS916" s="132" t="s">
        <v>153</v>
      </c>
      <c r="DT916" s="133" t="s">
        <v>153</v>
      </c>
      <c r="DU916" s="134" t="s">
        <v>153</v>
      </c>
      <c r="DV916" s="135" t="s">
        <v>153</v>
      </c>
      <c r="DW916" s="136" t="s">
        <v>153</v>
      </c>
      <c r="DX916" s="137" t="s">
        <v>153</v>
      </c>
      <c r="DY916" s="138" t="s">
        <v>153</v>
      </c>
      <c r="DZ916" s="139" t="s">
        <v>191</v>
      </c>
      <c r="EA916" s="140">
        <v>44365</v>
      </c>
      <c r="EB916" s="141">
        <v>5432</v>
      </c>
      <c r="EC916" s="142">
        <v>44203</v>
      </c>
      <c r="ED916" s="143" t="s">
        <v>226</v>
      </c>
      <c r="EE916" s="278" t="str">
        <f>HYPERLINK("https://my.pitchbook.com?c=52314-13", "View company online")</f>
        <v>View company online</v>
      </c>
    </row>
    <row r="917" spans="1:135" x14ac:dyDescent="0.45">
      <c r="A917" s="144" t="s">
        <v>18099</v>
      </c>
      <c r="B917" s="145" t="s">
        <v>2353</v>
      </c>
      <c r="C917" s="146" t="s">
        <v>153</v>
      </c>
      <c r="D917" s="147" t="s">
        <v>153</v>
      </c>
      <c r="E917" s="148" t="s">
        <v>153</v>
      </c>
      <c r="F917" s="149" t="s">
        <v>18100</v>
      </c>
      <c r="G917" s="150" t="s">
        <v>18101</v>
      </c>
      <c r="H917" s="151" t="s">
        <v>18102</v>
      </c>
      <c r="I917" s="152" t="s">
        <v>18099</v>
      </c>
      <c r="J917" s="153" t="s">
        <v>18103</v>
      </c>
      <c r="K917" s="154" t="s">
        <v>157</v>
      </c>
      <c r="L917" s="155" t="s">
        <v>817</v>
      </c>
      <c r="M917" s="156" t="s">
        <v>2107</v>
      </c>
      <c r="N917" s="157" t="s">
        <v>2108</v>
      </c>
      <c r="O917" s="158" t="s">
        <v>261</v>
      </c>
      <c r="P917" s="159" t="s">
        <v>18104</v>
      </c>
      <c r="Q917" s="160" t="s">
        <v>204</v>
      </c>
      <c r="R917" s="161">
        <v>4700</v>
      </c>
      <c r="S917" s="162" t="s">
        <v>290</v>
      </c>
      <c r="T917" s="163" t="s">
        <v>164</v>
      </c>
      <c r="U917" s="164" t="s">
        <v>237</v>
      </c>
      <c r="V917" s="165" t="s">
        <v>18105</v>
      </c>
      <c r="W917" s="166">
        <v>13000</v>
      </c>
      <c r="X917" s="167" t="s">
        <v>18106</v>
      </c>
      <c r="Y917" s="168" t="s">
        <v>153</v>
      </c>
      <c r="Z917" s="169" t="s">
        <v>153</v>
      </c>
      <c r="AA917" s="170">
        <v>2004</v>
      </c>
      <c r="AB917" s="171" t="s">
        <v>2359</v>
      </c>
      <c r="AC917" s="172" t="s">
        <v>153</v>
      </c>
      <c r="AD917" s="173" t="s">
        <v>570</v>
      </c>
      <c r="AE917" s="174" t="s">
        <v>153</v>
      </c>
      <c r="AF917" s="175" t="s">
        <v>153</v>
      </c>
      <c r="AG917" s="176" t="s">
        <v>153</v>
      </c>
      <c r="AH917" s="177" t="s">
        <v>153</v>
      </c>
      <c r="AI917" s="178" t="s">
        <v>153</v>
      </c>
      <c r="AJ917" s="179" t="s">
        <v>153</v>
      </c>
      <c r="AK917" s="180" t="s">
        <v>153</v>
      </c>
      <c r="AL917" s="181" t="s">
        <v>153</v>
      </c>
      <c r="AM917" s="182" t="s">
        <v>153</v>
      </c>
      <c r="AN917" s="183" t="s">
        <v>4877</v>
      </c>
      <c r="AO917" s="184" t="s">
        <v>18107</v>
      </c>
      <c r="AP917" s="185" t="s">
        <v>18108</v>
      </c>
      <c r="AQ917" s="186" t="s">
        <v>18109</v>
      </c>
      <c r="AR917" s="187" t="s">
        <v>18110</v>
      </c>
      <c r="AS917" s="188" t="s">
        <v>18111</v>
      </c>
      <c r="AT917" s="189" t="s">
        <v>13295</v>
      </c>
      <c r="AU917" s="190" t="s">
        <v>18112</v>
      </c>
      <c r="AV917" s="191" t="s">
        <v>18113</v>
      </c>
      <c r="AW917" s="192" t="s">
        <v>13296</v>
      </c>
      <c r="AX917" s="193" t="s">
        <v>1862</v>
      </c>
      <c r="AY917" s="194" t="s">
        <v>13297</v>
      </c>
      <c r="AZ917" s="195" t="s">
        <v>215</v>
      </c>
      <c r="BA917" s="196" t="s">
        <v>153</v>
      </c>
      <c r="BB917" s="197" t="s">
        <v>153</v>
      </c>
      <c r="BC917" s="198" t="s">
        <v>153</v>
      </c>
      <c r="BD917" s="199" t="s">
        <v>216</v>
      </c>
      <c r="BE917" s="200" t="s">
        <v>217</v>
      </c>
      <c r="BF917" s="201" t="s">
        <v>18114</v>
      </c>
      <c r="BG917" s="202" t="s">
        <v>153</v>
      </c>
      <c r="BH917" s="203" t="s">
        <v>153</v>
      </c>
      <c r="BI917" s="204" t="s">
        <v>2359</v>
      </c>
      <c r="BJ917" s="205" t="s">
        <v>153</v>
      </c>
      <c r="BK917" s="206" t="s">
        <v>153</v>
      </c>
      <c r="BL917" s="207" t="s">
        <v>153</v>
      </c>
      <c r="BM917" s="208" t="s">
        <v>153</v>
      </c>
      <c r="BN917" s="209" t="s">
        <v>153</v>
      </c>
      <c r="BO917" s="210" t="s">
        <v>18115</v>
      </c>
      <c r="BP917" s="211" t="s">
        <v>18116</v>
      </c>
      <c r="BQ917" s="212">
        <v>38201</v>
      </c>
      <c r="BR917" s="213" t="s">
        <v>153</v>
      </c>
      <c r="BS917" s="214" t="s">
        <v>153</v>
      </c>
      <c r="BT917" s="215" t="s">
        <v>153</v>
      </c>
      <c r="BU917" s="216" t="s">
        <v>153</v>
      </c>
      <c r="BV917" s="217" t="s">
        <v>251</v>
      </c>
      <c r="BW917" s="218" t="s">
        <v>153</v>
      </c>
      <c r="BX917" s="219" t="s">
        <v>153</v>
      </c>
      <c r="BY917" s="220" t="s">
        <v>252</v>
      </c>
      <c r="BZ917" s="221" t="s">
        <v>153</v>
      </c>
      <c r="CA917" s="222" t="s">
        <v>190</v>
      </c>
      <c r="CB917" s="223">
        <v>42941</v>
      </c>
      <c r="CC917" s="224">
        <v>5420.22</v>
      </c>
      <c r="CD917" s="225" t="s">
        <v>186</v>
      </c>
      <c r="CE917" s="226">
        <v>9377.5400000000009</v>
      </c>
      <c r="CF917" s="227" t="s">
        <v>186</v>
      </c>
      <c r="CG917" s="228" t="s">
        <v>226</v>
      </c>
      <c r="CH917" s="229" t="s">
        <v>153</v>
      </c>
      <c r="CI917" s="230" t="s">
        <v>153</v>
      </c>
      <c r="CJ917" s="231" t="s">
        <v>225</v>
      </c>
      <c r="CK917" s="232">
        <v>42941</v>
      </c>
      <c r="CL917" s="233" t="s">
        <v>153</v>
      </c>
      <c r="CM917" s="234" t="s">
        <v>153</v>
      </c>
      <c r="CN917" s="235" t="s">
        <v>190</v>
      </c>
      <c r="CO917" s="236">
        <v>-0.14000000000000001</v>
      </c>
      <c r="CP917" s="237">
        <v>7</v>
      </c>
      <c r="CQ917" s="238">
        <v>-0.04</v>
      </c>
      <c r="CR917" s="239">
        <v>-38.520000000000003</v>
      </c>
      <c r="CS917" s="240">
        <v>-0.39</v>
      </c>
      <c r="CT917" s="241">
        <v>6</v>
      </c>
      <c r="CU917" s="242">
        <v>0.12</v>
      </c>
      <c r="CV917" s="243">
        <v>87</v>
      </c>
      <c r="CW917" s="244">
        <v>-0.74</v>
      </c>
      <c r="CX917" s="245">
        <v>18</v>
      </c>
      <c r="CY917" s="246">
        <v>-0.05</v>
      </c>
      <c r="CZ917" s="247">
        <v>5</v>
      </c>
      <c r="DA917" s="248">
        <v>0.12</v>
      </c>
      <c r="DB917" s="249">
        <v>87</v>
      </c>
      <c r="DC917" s="250">
        <v>18.809999999999999</v>
      </c>
      <c r="DD917" s="251">
        <v>96</v>
      </c>
      <c r="DE917" s="252">
        <v>0.05</v>
      </c>
      <c r="DF917" s="253">
        <v>0.25</v>
      </c>
      <c r="DG917" s="254">
        <v>24.96</v>
      </c>
      <c r="DH917" s="255">
        <v>96</v>
      </c>
      <c r="DI917" s="256">
        <v>12.66</v>
      </c>
      <c r="DJ917" s="257">
        <v>88</v>
      </c>
      <c r="DK917" s="258">
        <v>6.92</v>
      </c>
      <c r="DL917" s="259">
        <v>82</v>
      </c>
      <c r="DM917" s="260">
        <v>43</v>
      </c>
      <c r="DN917" s="261">
        <v>98</v>
      </c>
      <c r="DO917" s="262">
        <v>12.66</v>
      </c>
      <c r="DP917" s="263">
        <v>88</v>
      </c>
      <c r="DQ917" s="264">
        <v>4076</v>
      </c>
      <c r="DR917" s="265">
        <v>90</v>
      </c>
      <c r="DS917" s="266">
        <v>2.2599999999999998</v>
      </c>
      <c r="DT917" s="267">
        <v>688</v>
      </c>
      <c r="DU917" s="268">
        <v>0</v>
      </c>
      <c r="DV917" s="269">
        <v>0</v>
      </c>
      <c r="DW917" s="270">
        <v>3974</v>
      </c>
      <c r="DX917" s="271">
        <v>5</v>
      </c>
      <c r="DY917" s="272">
        <v>0.13</v>
      </c>
      <c r="DZ917" s="273" t="s">
        <v>191</v>
      </c>
      <c r="EA917" s="274">
        <v>44368</v>
      </c>
      <c r="EB917" s="275">
        <v>9377.5400000000009</v>
      </c>
      <c r="EC917" s="276">
        <v>42941</v>
      </c>
      <c r="ED917" s="277" t="s">
        <v>226</v>
      </c>
      <c r="EE917" s="279" t="str">
        <f>HYPERLINK("https://my.pitchbook.com?c=41570-56", "View company online")</f>
        <v>View company online</v>
      </c>
    </row>
    <row r="918" spans="1:135" x14ac:dyDescent="0.45">
      <c r="A918" s="10" t="s">
        <v>18117</v>
      </c>
      <c r="B918" s="11" t="s">
        <v>18118</v>
      </c>
      <c r="C918" s="12" t="s">
        <v>153</v>
      </c>
      <c r="D918" s="13" t="s">
        <v>153</v>
      </c>
      <c r="E918" s="14" t="s">
        <v>18119</v>
      </c>
      <c r="F918" s="15" t="s">
        <v>18120</v>
      </c>
      <c r="G918" s="16" t="s">
        <v>18121</v>
      </c>
      <c r="H918" s="17" t="s">
        <v>18122</v>
      </c>
      <c r="I918" s="18" t="s">
        <v>18117</v>
      </c>
      <c r="J918" s="19" t="s">
        <v>18123</v>
      </c>
      <c r="K918" s="20" t="s">
        <v>157</v>
      </c>
      <c r="L918" s="21" t="s">
        <v>2713</v>
      </c>
      <c r="M918" s="22" t="s">
        <v>2922</v>
      </c>
      <c r="N918" s="23" t="s">
        <v>6150</v>
      </c>
      <c r="O918" s="24" t="s">
        <v>1234</v>
      </c>
      <c r="P918" s="25" t="s">
        <v>18124</v>
      </c>
      <c r="Q918" s="26" t="s">
        <v>564</v>
      </c>
      <c r="R918" s="27" t="s">
        <v>153</v>
      </c>
      <c r="S918" s="28" t="s">
        <v>290</v>
      </c>
      <c r="T918" s="29" t="s">
        <v>205</v>
      </c>
      <c r="U918" s="30" t="s">
        <v>369</v>
      </c>
      <c r="V918" s="31" t="s">
        <v>18125</v>
      </c>
      <c r="W918" s="32">
        <v>13000</v>
      </c>
      <c r="X918" s="33" t="s">
        <v>18126</v>
      </c>
      <c r="Y918" s="34" t="s">
        <v>153</v>
      </c>
      <c r="Z918" s="35" t="s">
        <v>153</v>
      </c>
      <c r="AA918" s="36">
        <v>1834</v>
      </c>
      <c r="AB918" s="37" t="s">
        <v>153</v>
      </c>
      <c r="AC918" s="38" t="s">
        <v>153</v>
      </c>
      <c r="AD918" s="39" t="s">
        <v>153</v>
      </c>
      <c r="AE918" s="40" t="s">
        <v>153</v>
      </c>
      <c r="AF918" s="41" t="s">
        <v>153</v>
      </c>
      <c r="AG918" s="42" t="s">
        <v>153</v>
      </c>
      <c r="AH918" s="43" t="s">
        <v>153</v>
      </c>
      <c r="AI918" s="44" t="s">
        <v>153</v>
      </c>
      <c r="AJ918" s="45" t="s">
        <v>153</v>
      </c>
      <c r="AK918" s="46" t="s">
        <v>153</v>
      </c>
      <c r="AL918" s="47" t="s">
        <v>153</v>
      </c>
      <c r="AM918" s="48" t="s">
        <v>153</v>
      </c>
      <c r="AN918" s="49" t="s">
        <v>1323</v>
      </c>
      <c r="AO918" s="50" t="s">
        <v>153</v>
      </c>
      <c r="AP918" s="51" t="s">
        <v>153</v>
      </c>
      <c r="AQ918" s="52" t="s">
        <v>153</v>
      </c>
      <c r="AR918" s="53" t="s">
        <v>153</v>
      </c>
      <c r="AS918" s="54" t="s">
        <v>153</v>
      </c>
      <c r="AT918" s="55" t="s">
        <v>18127</v>
      </c>
      <c r="AU918" s="56" t="s">
        <v>18128</v>
      </c>
      <c r="AV918" s="57" t="s">
        <v>18129</v>
      </c>
      <c r="AW918" s="58" t="s">
        <v>18130</v>
      </c>
      <c r="AX918" s="59" t="s">
        <v>177</v>
      </c>
      <c r="AY918" s="60" t="s">
        <v>18131</v>
      </c>
      <c r="AZ918" s="61" t="s">
        <v>179</v>
      </c>
      <c r="BA918" s="62" t="s">
        <v>153</v>
      </c>
      <c r="BB918" s="63" t="s">
        <v>153</v>
      </c>
      <c r="BC918" s="64" t="s">
        <v>153</v>
      </c>
      <c r="BD918" s="65" t="s">
        <v>180</v>
      </c>
      <c r="BE918" s="66" t="s">
        <v>181</v>
      </c>
      <c r="BF918" s="67" t="s">
        <v>18132</v>
      </c>
      <c r="BG918" s="68" t="s">
        <v>153</v>
      </c>
      <c r="BH918" s="69" t="s">
        <v>153</v>
      </c>
      <c r="BI918" s="70" t="s">
        <v>7902</v>
      </c>
      <c r="BJ918" s="71" t="s">
        <v>18133</v>
      </c>
      <c r="BK918" s="72" t="s">
        <v>153</v>
      </c>
      <c r="BL918" s="73" t="s">
        <v>153</v>
      </c>
      <c r="BM918" s="74" t="s">
        <v>18134</v>
      </c>
      <c r="BN918" s="75" t="s">
        <v>153</v>
      </c>
      <c r="BO918" s="76" t="s">
        <v>153</v>
      </c>
      <c r="BP918" s="77" t="s">
        <v>18135</v>
      </c>
      <c r="BQ918" s="78">
        <v>36671</v>
      </c>
      <c r="BR918" s="79">
        <v>606.9</v>
      </c>
      <c r="BS918" s="80" t="s">
        <v>187</v>
      </c>
      <c r="BT918" s="81">
        <v>606.9</v>
      </c>
      <c r="BU918" s="82" t="s">
        <v>187</v>
      </c>
      <c r="BV918" s="83" t="s">
        <v>226</v>
      </c>
      <c r="BW918" s="84" t="s">
        <v>153</v>
      </c>
      <c r="BX918" s="85" t="s">
        <v>153</v>
      </c>
      <c r="BY918" s="86" t="s">
        <v>225</v>
      </c>
      <c r="BZ918" s="87" t="s">
        <v>153</v>
      </c>
      <c r="CA918" s="88" t="s">
        <v>190</v>
      </c>
      <c r="CB918" s="89">
        <v>43164</v>
      </c>
      <c r="CC918" s="90">
        <v>5419.2</v>
      </c>
      <c r="CD918" s="91" t="s">
        <v>186</v>
      </c>
      <c r="CE918" s="92">
        <v>5419.2</v>
      </c>
      <c r="CF918" s="93" t="s">
        <v>186</v>
      </c>
      <c r="CG918" s="94" t="s">
        <v>226</v>
      </c>
      <c r="CH918" s="95" t="s">
        <v>153</v>
      </c>
      <c r="CI918" s="96" t="s">
        <v>153</v>
      </c>
      <c r="CJ918" s="97" t="s">
        <v>225</v>
      </c>
      <c r="CK918" s="98">
        <v>43164</v>
      </c>
      <c r="CL918" s="99" t="s">
        <v>153</v>
      </c>
      <c r="CM918" s="100" t="s">
        <v>153</v>
      </c>
      <c r="CN918" s="101" t="s">
        <v>190</v>
      </c>
      <c r="CO918" s="102" t="s">
        <v>153</v>
      </c>
      <c r="CP918" s="103" t="s">
        <v>153</v>
      </c>
      <c r="CQ918" s="104" t="s">
        <v>153</v>
      </c>
      <c r="CR918" s="105" t="s">
        <v>153</v>
      </c>
      <c r="CS918" s="106" t="s">
        <v>153</v>
      </c>
      <c r="CT918" s="107" t="s">
        <v>153</v>
      </c>
      <c r="CU918" s="108" t="s">
        <v>153</v>
      </c>
      <c r="CV918" s="109" t="s">
        <v>153</v>
      </c>
      <c r="CW918" s="110" t="s">
        <v>153</v>
      </c>
      <c r="CX918" s="111" t="s">
        <v>153</v>
      </c>
      <c r="CY918" s="112" t="s">
        <v>153</v>
      </c>
      <c r="CZ918" s="113" t="s">
        <v>153</v>
      </c>
      <c r="DA918" s="114" t="s">
        <v>153</v>
      </c>
      <c r="DB918" s="115" t="s">
        <v>153</v>
      </c>
      <c r="DC918" s="116" t="s">
        <v>153</v>
      </c>
      <c r="DD918" s="117" t="s">
        <v>153</v>
      </c>
      <c r="DE918" s="118" t="s">
        <v>153</v>
      </c>
      <c r="DF918" s="119" t="s">
        <v>153</v>
      </c>
      <c r="DG918" s="120" t="s">
        <v>153</v>
      </c>
      <c r="DH918" s="121" t="s">
        <v>153</v>
      </c>
      <c r="DI918" s="122" t="s">
        <v>153</v>
      </c>
      <c r="DJ918" s="123" t="s">
        <v>153</v>
      </c>
      <c r="DK918" s="124" t="s">
        <v>153</v>
      </c>
      <c r="DL918" s="125" t="s">
        <v>153</v>
      </c>
      <c r="DM918" s="126" t="s">
        <v>153</v>
      </c>
      <c r="DN918" s="127" t="s">
        <v>153</v>
      </c>
      <c r="DO918" s="128" t="s">
        <v>153</v>
      </c>
      <c r="DP918" s="129" t="s">
        <v>153</v>
      </c>
      <c r="DQ918" s="130" t="s">
        <v>153</v>
      </c>
      <c r="DR918" s="131" t="s">
        <v>153</v>
      </c>
      <c r="DS918" s="132" t="s">
        <v>153</v>
      </c>
      <c r="DT918" s="133" t="s">
        <v>153</v>
      </c>
      <c r="DU918" s="134" t="s">
        <v>153</v>
      </c>
      <c r="DV918" s="135" t="s">
        <v>153</v>
      </c>
      <c r="DW918" s="136" t="s">
        <v>153</v>
      </c>
      <c r="DX918" s="137" t="s">
        <v>153</v>
      </c>
      <c r="DY918" s="138" t="s">
        <v>153</v>
      </c>
      <c r="DZ918" s="139" t="s">
        <v>191</v>
      </c>
      <c r="EA918" s="140">
        <v>44393</v>
      </c>
      <c r="EB918" s="141">
        <v>5419.2</v>
      </c>
      <c r="EC918" s="142">
        <v>43164</v>
      </c>
      <c r="ED918" s="143" t="s">
        <v>226</v>
      </c>
      <c r="EE918" s="278" t="str">
        <f>HYPERLINK("https://my.pitchbook.com?c=57895-84", "View company online")</f>
        <v>View company online</v>
      </c>
    </row>
    <row r="919" spans="1:135" x14ac:dyDescent="0.45">
      <c r="A919" s="144" t="s">
        <v>18136</v>
      </c>
      <c r="B919" s="145" t="s">
        <v>18137</v>
      </c>
      <c r="C919" s="146" t="s">
        <v>153</v>
      </c>
      <c r="D919" s="147" t="s">
        <v>153</v>
      </c>
      <c r="E919" s="148" t="s">
        <v>18138</v>
      </c>
      <c r="F919" s="149" t="s">
        <v>153</v>
      </c>
      <c r="G919" s="150" t="s">
        <v>18139</v>
      </c>
      <c r="H919" s="151" t="s">
        <v>18140</v>
      </c>
      <c r="I919" s="152" t="s">
        <v>18136</v>
      </c>
      <c r="J919" s="153" t="s">
        <v>18141</v>
      </c>
      <c r="K919" s="154" t="s">
        <v>198</v>
      </c>
      <c r="L919" s="155" t="s">
        <v>1846</v>
      </c>
      <c r="M919" s="156" t="s">
        <v>6687</v>
      </c>
      <c r="N919" s="157" t="s">
        <v>18142</v>
      </c>
      <c r="O919" s="158" t="s">
        <v>18143</v>
      </c>
      <c r="P919" s="159" t="s">
        <v>18144</v>
      </c>
      <c r="Q919" s="160" t="s">
        <v>204</v>
      </c>
      <c r="R919" s="161">
        <v>521.62</v>
      </c>
      <c r="S919" s="162" t="s">
        <v>290</v>
      </c>
      <c r="T919" s="163" t="s">
        <v>205</v>
      </c>
      <c r="U919" s="164" t="s">
        <v>2534</v>
      </c>
      <c r="V919" s="165" t="s">
        <v>18145</v>
      </c>
      <c r="W919" s="166">
        <v>15000</v>
      </c>
      <c r="X919" s="167" t="s">
        <v>18146</v>
      </c>
      <c r="Y919" s="168" t="s">
        <v>153</v>
      </c>
      <c r="Z919" s="169" t="s">
        <v>153</v>
      </c>
      <c r="AA919" s="170" t="s">
        <v>153</v>
      </c>
      <c r="AB919" s="171" t="s">
        <v>153</v>
      </c>
      <c r="AC919" s="172" t="s">
        <v>537</v>
      </c>
      <c r="AD919" s="173" t="s">
        <v>622</v>
      </c>
      <c r="AE919" s="174" t="s">
        <v>153</v>
      </c>
      <c r="AF919" s="175" t="s">
        <v>153</v>
      </c>
      <c r="AG919" s="176" t="s">
        <v>153</v>
      </c>
      <c r="AH919" s="177" t="s">
        <v>153</v>
      </c>
      <c r="AI919" s="178" t="s">
        <v>153</v>
      </c>
      <c r="AJ919" s="179" t="s">
        <v>153</v>
      </c>
      <c r="AK919" s="180" t="s">
        <v>153</v>
      </c>
      <c r="AL919" s="181" t="s">
        <v>153</v>
      </c>
      <c r="AM919" s="182" t="s">
        <v>153</v>
      </c>
      <c r="AN919" s="183" t="s">
        <v>1442</v>
      </c>
      <c r="AO919" s="184" t="s">
        <v>153</v>
      </c>
      <c r="AP919" s="185" t="s">
        <v>153</v>
      </c>
      <c r="AQ919" s="186" t="s">
        <v>153</v>
      </c>
      <c r="AR919" s="187" t="s">
        <v>153</v>
      </c>
      <c r="AS919" s="188" t="s">
        <v>153</v>
      </c>
      <c r="AT919" s="189" t="s">
        <v>18147</v>
      </c>
      <c r="AU919" s="190" t="s">
        <v>18148</v>
      </c>
      <c r="AV919" s="191" t="s">
        <v>153</v>
      </c>
      <c r="AW919" s="192" t="s">
        <v>18149</v>
      </c>
      <c r="AX919" s="193" t="s">
        <v>153</v>
      </c>
      <c r="AY919" s="194" t="s">
        <v>18150</v>
      </c>
      <c r="AZ919" s="195" t="s">
        <v>701</v>
      </c>
      <c r="BA919" s="196" t="s">
        <v>153</v>
      </c>
      <c r="BB919" s="197" t="s">
        <v>153</v>
      </c>
      <c r="BC919" s="198" t="s">
        <v>153</v>
      </c>
      <c r="BD919" s="199" t="s">
        <v>180</v>
      </c>
      <c r="BE919" s="200" t="s">
        <v>181</v>
      </c>
      <c r="BF919" s="201" t="s">
        <v>18151</v>
      </c>
      <c r="BG919" s="202" t="s">
        <v>153</v>
      </c>
      <c r="BH919" s="203" t="s">
        <v>153</v>
      </c>
      <c r="BI919" s="204" t="s">
        <v>18152</v>
      </c>
      <c r="BJ919" s="205" t="s">
        <v>18153</v>
      </c>
      <c r="BK919" s="206" t="s">
        <v>18154</v>
      </c>
      <c r="BL919" s="207" t="s">
        <v>153</v>
      </c>
      <c r="BM919" s="208" t="s">
        <v>18155</v>
      </c>
      <c r="BN919" s="209" t="s">
        <v>18156</v>
      </c>
      <c r="BO919" s="210" t="s">
        <v>18157</v>
      </c>
      <c r="BP919" s="211" t="s">
        <v>18158</v>
      </c>
      <c r="BQ919" s="212">
        <v>37987</v>
      </c>
      <c r="BR919" s="213" t="s">
        <v>153</v>
      </c>
      <c r="BS919" s="214" t="s">
        <v>153</v>
      </c>
      <c r="BT919" s="215" t="s">
        <v>153</v>
      </c>
      <c r="BU919" s="216" t="s">
        <v>153</v>
      </c>
      <c r="BV919" s="217" t="s">
        <v>251</v>
      </c>
      <c r="BW919" s="218" t="s">
        <v>524</v>
      </c>
      <c r="BX919" s="219" t="s">
        <v>153</v>
      </c>
      <c r="BY919" s="220" t="s">
        <v>252</v>
      </c>
      <c r="BZ919" s="221" t="s">
        <v>153</v>
      </c>
      <c r="CA919" s="222" t="s">
        <v>190</v>
      </c>
      <c r="CB919" s="223">
        <v>43557</v>
      </c>
      <c r="CC919" s="224">
        <v>5418.46</v>
      </c>
      <c r="CD919" s="225" t="s">
        <v>186</v>
      </c>
      <c r="CE919" s="226">
        <v>5418.46</v>
      </c>
      <c r="CF919" s="227" t="s">
        <v>187</v>
      </c>
      <c r="CG919" s="228" t="s">
        <v>226</v>
      </c>
      <c r="CH919" s="229" t="s">
        <v>153</v>
      </c>
      <c r="CI919" s="230" t="s">
        <v>153</v>
      </c>
      <c r="CJ919" s="231" t="s">
        <v>225</v>
      </c>
      <c r="CK919" s="232">
        <v>43557</v>
      </c>
      <c r="CL919" s="233" t="s">
        <v>153</v>
      </c>
      <c r="CM919" s="234" t="s">
        <v>153</v>
      </c>
      <c r="CN919" s="235" t="s">
        <v>190</v>
      </c>
      <c r="CO919" s="236" t="s">
        <v>153</v>
      </c>
      <c r="CP919" s="237" t="s">
        <v>153</v>
      </c>
      <c r="CQ919" s="238" t="s">
        <v>153</v>
      </c>
      <c r="CR919" s="239" t="s">
        <v>153</v>
      </c>
      <c r="CS919" s="240" t="s">
        <v>153</v>
      </c>
      <c r="CT919" s="241" t="s">
        <v>153</v>
      </c>
      <c r="CU919" s="242" t="s">
        <v>153</v>
      </c>
      <c r="CV919" s="243" t="s">
        <v>153</v>
      </c>
      <c r="CW919" s="244" t="s">
        <v>153</v>
      </c>
      <c r="CX919" s="245" t="s">
        <v>153</v>
      </c>
      <c r="CY919" s="246" t="s">
        <v>153</v>
      </c>
      <c r="CZ919" s="247" t="s">
        <v>153</v>
      </c>
      <c r="DA919" s="248" t="s">
        <v>153</v>
      </c>
      <c r="DB919" s="249" t="s">
        <v>153</v>
      </c>
      <c r="DC919" s="250" t="s">
        <v>153</v>
      </c>
      <c r="DD919" s="251" t="s">
        <v>153</v>
      </c>
      <c r="DE919" s="252" t="s">
        <v>153</v>
      </c>
      <c r="DF919" s="253" t="s">
        <v>153</v>
      </c>
      <c r="DG919" s="254" t="s">
        <v>153</v>
      </c>
      <c r="DH919" s="255" t="s">
        <v>153</v>
      </c>
      <c r="DI919" s="256" t="s">
        <v>153</v>
      </c>
      <c r="DJ919" s="257" t="s">
        <v>153</v>
      </c>
      <c r="DK919" s="258" t="s">
        <v>153</v>
      </c>
      <c r="DL919" s="259" t="s">
        <v>153</v>
      </c>
      <c r="DM919" s="260" t="s">
        <v>153</v>
      </c>
      <c r="DN919" s="261" t="s">
        <v>153</v>
      </c>
      <c r="DO919" s="262" t="s">
        <v>153</v>
      </c>
      <c r="DP919" s="263" t="s">
        <v>153</v>
      </c>
      <c r="DQ919" s="264" t="s">
        <v>153</v>
      </c>
      <c r="DR919" s="265" t="s">
        <v>153</v>
      </c>
      <c r="DS919" s="266" t="s">
        <v>153</v>
      </c>
      <c r="DT919" s="267" t="s">
        <v>153</v>
      </c>
      <c r="DU919" s="268" t="s">
        <v>153</v>
      </c>
      <c r="DV919" s="269" t="s">
        <v>153</v>
      </c>
      <c r="DW919" s="270" t="s">
        <v>153</v>
      </c>
      <c r="DX919" s="271" t="s">
        <v>153</v>
      </c>
      <c r="DY919" s="272" t="s">
        <v>153</v>
      </c>
      <c r="DZ919" s="273" t="s">
        <v>191</v>
      </c>
      <c r="EA919" s="274">
        <v>44372</v>
      </c>
      <c r="EB919" s="275">
        <v>5418.46</v>
      </c>
      <c r="EC919" s="276">
        <v>43557</v>
      </c>
      <c r="ED919" s="277" t="s">
        <v>226</v>
      </c>
      <c r="EE919" s="279" t="str">
        <f>HYPERLINK("https://my.pitchbook.com?c=40780-90", "View company online")</f>
        <v>View company online</v>
      </c>
    </row>
    <row r="920" spans="1:135" x14ac:dyDescent="0.45">
      <c r="A920" s="10" t="s">
        <v>18159</v>
      </c>
      <c r="B920" s="11" t="s">
        <v>18160</v>
      </c>
      <c r="C920" s="12" t="s">
        <v>153</v>
      </c>
      <c r="D920" s="13" t="s">
        <v>153</v>
      </c>
      <c r="E920" s="14" t="s">
        <v>153</v>
      </c>
      <c r="F920" s="15" t="s">
        <v>153</v>
      </c>
      <c r="G920" s="16" t="s">
        <v>153</v>
      </c>
      <c r="H920" s="17" t="s">
        <v>153</v>
      </c>
      <c r="I920" s="18" t="s">
        <v>18159</v>
      </c>
      <c r="J920" s="19" t="s">
        <v>18161</v>
      </c>
      <c r="K920" s="20" t="s">
        <v>882</v>
      </c>
      <c r="L920" s="21" t="s">
        <v>883</v>
      </c>
      <c r="M920" s="22" t="s">
        <v>2243</v>
      </c>
      <c r="N920" s="23" t="s">
        <v>8975</v>
      </c>
      <c r="O920" s="24" t="s">
        <v>261</v>
      </c>
      <c r="P920" s="25" t="s">
        <v>18162</v>
      </c>
      <c r="Q920" s="26" t="s">
        <v>204</v>
      </c>
      <c r="R920" s="27" t="s">
        <v>153</v>
      </c>
      <c r="S920" s="28" t="s">
        <v>290</v>
      </c>
      <c r="T920" s="29" t="s">
        <v>205</v>
      </c>
      <c r="U920" s="30" t="s">
        <v>206</v>
      </c>
      <c r="V920" s="31" t="s">
        <v>153</v>
      </c>
      <c r="W920" s="32" t="s">
        <v>153</v>
      </c>
      <c r="X920" s="33" t="s">
        <v>153</v>
      </c>
      <c r="Y920" s="34" t="s">
        <v>153</v>
      </c>
      <c r="Z920" s="35" t="s">
        <v>153</v>
      </c>
      <c r="AA920" s="36" t="s">
        <v>153</v>
      </c>
      <c r="AB920" s="37" t="s">
        <v>153</v>
      </c>
      <c r="AC920" s="38" t="s">
        <v>153</v>
      </c>
      <c r="AD920" s="39" t="s">
        <v>153</v>
      </c>
      <c r="AE920" s="40" t="s">
        <v>153</v>
      </c>
      <c r="AF920" s="41" t="s">
        <v>153</v>
      </c>
      <c r="AG920" s="42" t="s">
        <v>153</v>
      </c>
      <c r="AH920" s="43" t="s">
        <v>153</v>
      </c>
      <c r="AI920" s="44" t="s">
        <v>153</v>
      </c>
      <c r="AJ920" s="45" t="s">
        <v>153</v>
      </c>
      <c r="AK920" s="46" t="s">
        <v>153</v>
      </c>
      <c r="AL920" s="47" t="s">
        <v>153</v>
      </c>
      <c r="AM920" s="48" t="s">
        <v>153</v>
      </c>
      <c r="AN920" s="49" t="s">
        <v>2438</v>
      </c>
      <c r="AO920" s="50" t="s">
        <v>153</v>
      </c>
      <c r="AP920" s="51" t="s">
        <v>153</v>
      </c>
      <c r="AQ920" s="52" t="s">
        <v>153</v>
      </c>
      <c r="AR920" s="53" t="s">
        <v>153</v>
      </c>
      <c r="AS920" s="54" t="s">
        <v>153</v>
      </c>
      <c r="AT920" s="55" t="s">
        <v>8668</v>
      </c>
      <c r="AU920" s="56" t="s">
        <v>18163</v>
      </c>
      <c r="AV920" s="57" t="s">
        <v>153</v>
      </c>
      <c r="AW920" s="58" t="s">
        <v>8670</v>
      </c>
      <c r="AX920" s="59" t="s">
        <v>273</v>
      </c>
      <c r="AY920" s="60" t="s">
        <v>8671</v>
      </c>
      <c r="AZ920" s="61" t="s">
        <v>215</v>
      </c>
      <c r="BA920" s="62" t="s">
        <v>153</v>
      </c>
      <c r="BB920" s="63" t="s">
        <v>153</v>
      </c>
      <c r="BC920" s="64" t="s">
        <v>153</v>
      </c>
      <c r="BD920" s="65" t="s">
        <v>216</v>
      </c>
      <c r="BE920" s="66" t="s">
        <v>217</v>
      </c>
      <c r="BF920" s="67" t="s">
        <v>18164</v>
      </c>
      <c r="BG920" s="68" t="s">
        <v>153</v>
      </c>
      <c r="BH920" s="69" t="s">
        <v>153</v>
      </c>
      <c r="BI920" s="70" t="s">
        <v>18165</v>
      </c>
      <c r="BJ920" s="71" t="s">
        <v>18166</v>
      </c>
      <c r="BK920" s="72" t="s">
        <v>153</v>
      </c>
      <c r="BL920" s="73" t="s">
        <v>153</v>
      </c>
      <c r="BM920" s="74" t="s">
        <v>18167</v>
      </c>
      <c r="BN920" s="75" t="s">
        <v>153</v>
      </c>
      <c r="BO920" s="76" t="s">
        <v>153</v>
      </c>
      <c r="BP920" s="77" t="s">
        <v>153</v>
      </c>
      <c r="BQ920" s="78">
        <v>39541</v>
      </c>
      <c r="BR920" s="79">
        <v>5404.48</v>
      </c>
      <c r="BS920" s="80" t="s">
        <v>186</v>
      </c>
      <c r="BT920" s="81">
        <v>5404.48</v>
      </c>
      <c r="BU920" s="82" t="s">
        <v>186</v>
      </c>
      <c r="BV920" s="83" t="s">
        <v>226</v>
      </c>
      <c r="BW920" s="84" t="s">
        <v>729</v>
      </c>
      <c r="BX920" s="85" t="s">
        <v>153</v>
      </c>
      <c r="BY920" s="86" t="s">
        <v>225</v>
      </c>
      <c r="BZ920" s="87" t="s">
        <v>153</v>
      </c>
      <c r="CA920" s="88" t="s">
        <v>190</v>
      </c>
      <c r="CB920" s="89">
        <v>39541</v>
      </c>
      <c r="CC920" s="90">
        <v>5404.48</v>
      </c>
      <c r="CD920" s="91" t="s">
        <v>186</v>
      </c>
      <c r="CE920" s="92">
        <v>5404.48</v>
      </c>
      <c r="CF920" s="93" t="s">
        <v>186</v>
      </c>
      <c r="CG920" s="94" t="s">
        <v>226</v>
      </c>
      <c r="CH920" s="95" t="s">
        <v>729</v>
      </c>
      <c r="CI920" s="96" t="s">
        <v>153</v>
      </c>
      <c r="CJ920" s="97" t="s">
        <v>225</v>
      </c>
      <c r="CK920" s="98">
        <v>39541</v>
      </c>
      <c r="CL920" s="99" t="s">
        <v>153</v>
      </c>
      <c r="CM920" s="100" t="s">
        <v>153</v>
      </c>
      <c r="CN920" s="101" t="s">
        <v>190</v>
      </c>
      <c r="CO920" s="102" t="s">
        <v>153</v>
      </c>
      <c r="CP920" s="103" t="s">
        <v>153</v>
      </c>
      <c r="CQ920" s="104" t="s">
        <v>153</v>
      </c>
      <c r="CR920" s="105" t="s">
        <v>153</v>
      </c>
      <c r="CS920" s="106" t="s">
        <v>153</v>
      </c>
      <c r="CT920" s="107" t="s">
        <v>153</v>
      </c>
      <c r="CU920" s="108" t="s">
        <v>153</v>
      </c>
      <c r="CV920" s="109" t="s">
        <v>153</v>
      </c>
      <c r="CW920" s="110" t="s">
        <v>153</v>
      </c>
      <c r="CX920" s="111" t="s">
        <v>153</v>
      </c>
      <c r="CY920" s="112" t="s">
        <v>153</v>
      </c>
      <c r="CZ920" s="113" t="s">
        <v>153</v>
      </c>
      <c r="DA920" s="114" t="s">
        <v>153</v>
      </c>
      <c r="DB920" s="115" t="s">
        <v>153</v>
      </c>
      <c r="DC920" s="116" t="s">
        <v>153</v>
      </c>
      <c r="DD920" s="117" t="s">
        <v>153</v>
      </c>
      <c r="DE920" s="118" t="s">
        <v>153</v>
      </c>
      <c r="DF920" s="119" t="s">
        <v>153</v>
      </c>
      <c r="DG920" s="120" t="s">
        <v>153</v>
      </c>
      <c r="DH920" s="121" t="s">
        <v>153</v>
      </c>
      <c r="DI920" s="122" t="s">
        <v>153</v>
      </c>
      <c r="DJ920" s="123" t="s">
        <v>153</v>
      </c>
      <c r="DK920" s="124" t="s">
        <v>153</v>
      </c>
      <c r="DL920" s="125" t="s">
        <v>153</v>
      </c>
      <c r="DM920" s="126" t="s">
        <v>153</v>
      </c>
      <c r="DN920" s="127" t="s">
        <v>153</v>
      </c>
      <c r="DO920" s="128" t="s">
        <v>153</v>
      </c>
      <c r="DP920" s="129" t="s">
        <v>153</v>
      </c>
      <c r="DQ920" s="130" t="s">
        <v>153</v>
      </c>
      <c r="DR920" s="131" t="s">
        <v>153</v>
      </c>
      <c r="DS920" s="132" t="s">
        <v>153</v>
      </c>
      <c r="DT920" s="133" t="s">
        <v>153</v>
      </c>
      <c r="DU920" s="134" t="s">
        <v>153</v>
      </c>
      <c r="DV920" s="135" t="s">
        <v>153</v>
      </c>
      <c r="DW920" s="136" t="s">
        <v>153</v>
      </c>
      <c r="DX920" s="137" t="s">
        <v>153</v>
      </c>
      <c r="DY920" s="138" t="s">
        <v>153</v>
      </c>
      <c r="DZ920" s="139" t="s">
        <v>191</v>
      </c>
      <c r="EA920" s="140">
        <v>43942</v>
      </c>
      <c r="EB920" s="141">
        <v>5404.48</v>
      </c>
      <c r="EC920" s="142">
        <v>39541</v>
      </c>
      <c r="ED920" s="143" t="s">
        <v>226</v>
      </c>
      <c r="EE920" s="278" t="str">
        <f>HYPERLINK("https://my.pitchbook.com?c=128437-75", "View company online")</f>
        <v>View company online</v>
      </c>
    </row>
    <row r="921" spans="1:135" x14ac:dyDescent="0.45">
      <c r="A921" s="144" t="s">
        <v>18168</v>
      </c>
      <c r="B921" s="145" t="s">
        <v>18169</v>
      </c>
      <c r="C921" s="146" t="s">
        <v>153</v>
      </c>
      <c r="D921" s="147" t="s">
        <v>153</v>
      </c>
      <c r="E921" s="148" t="s">
        <v>153</v>
      </c>
      <c r="F921" s="149" t="s">
        <v>18170</v>
      </c>
      <c r="G921" s="150" t="s">
        <v>18171</v>
      </c>
      <c r="H921" s="151" t="s">
        <v>18172</v>
      </c>
      <c r="I921" s="152" t="s">
        <v>18168</v>
      </c>
      <c r="J921" s="153" t="s">
        <v>18173</v>
      </c>
      <c r="K921" s="154" t="s">
        <v>232</v>
      </c>
      <c r="L921" s="155" t="s">
        <v>2162</v>
      </c>
      <c r="M921" s="156" t="s">
        <v>2773</v>
      </c>
      <c r="N921" s="157" t="s">
        <v>15261</v>
      </c>
      <c r="O921" s="158" t="s">
        <v>153</v>
      </c>
      <c r="P921" s="159" t="s">
        <v>18174</v>
      </c>
      <c r="Q921" s="160" t="s">
        <v>162</v>
      </c>
      <c r="R921" s="161">
        <v>485.7</v>
      </c>
      <c r="S921" s="162" t="s">
        <v>163</v>
      </c>
      <c r="T921" s="163" t="s">
        <v>164</v>
      </c>
      <c r="U921" s="164" t="s">
        <v>1063</v>
      </c>
      <c r="V921" s="165" t="s">
        <v>18175</v>
      </c>
      <c r="W921" s="166">
        <v>1380</v>
      </c>
      <c r="X921" s="167" t="s">
        <v>18176</v>
      </c>
      <c r="Y921" s="168" t="s">
        <v>153</v>
      </c>
      <c r="Z921" s="169" t="s">
        <v>153</v>
      </c>
      <c r="AA921" s="170">
        <v>2001</v>
      </c>
      <c r="AB921" s="171" t="s">
        <v>18177</v>
      </c>
      <c r="AC921" s="172" t="s">
        <v>153</v>
      </c>
      <c r="AD921" s="173" t="s">
        <v>153</v>
      </c>
      <c r="AE921" s="174" t="s">
        <v>153</v>
      </c>
      <c r="AF921" s="175" t="s">
        <v>153</v>
      </c>
      <c r="AG921" s="176" t="s">
        <v>153</v>
      </c>
      <c r="AH921" s="177" t="s">
        <v>153</v>
      </c>
      <c r="AI921" s="178" t="s">
        <v>153</v>
      </c>
      <c r="AJ921" s="179" t="s">
        <v>153</v>
      </c>
      <c r="AK921" s="180" t="s">
        <v>153</v>
      </c>
      <c r="AL921" s="181" t="s">
        <v>153</v>
      </c>
      <c r="AM921" s="182" t="s">
        <v>153</v>
      </c>
      <c r="AN921" s="183" t="s">
        <v>2139</v>
      </c>
      <c r="AO921" s="184" t="s">
        <v>18178</v>
      </c>
      <c r="AP921" s="185" t="s">
        <v>18179</v>
      </c>
      <c r="AQ921" s="186" t="s">
        <v>171</v>
      </c>
      <c r="AR921" s="187" t="s">
        <v>18180</v>
      </c>
      <c r="AS921" s="188" t="s">
        <v>18181</v>
      </c>
      <c r="AT921" s="189" t="s">
        <v>4094</v>
      </c>
      <c r="AU921" s="190" t="s">
        <v>18182</v>
      </c>
      <c r="AV921" s="191" t="s">
        <v>153</v>
      </c>
      <c r="AW921" s="192" t="s">
        <v>4097</v>
      </c>
      <c r="AX921" s="193" t="s">
        <v>153</v>
      </c>
      <c r="AY921" s="194" t="s">
        <v>4098</v>
      </c>
      <c r="AZ921" s="195" t="s">
        <v>4099</v>
      </c>
      <c r="BA921" s="196" t="s">
        <v>18183</v>
      </c>
      <c r="BB921" s="197" t="s">
        <v>153</v>
      </c>
      <c r="BC921" s="198" t="s">
        <v>18184</v>
      </c>
      <c r="BD921" s="199" t="s">
        <v>216</v>
      </c>
      <c r="BE921" s="200" t="s">
        <v>217</v>
      </c>
      <c r="BF921" s="201" t="s">
        <v>18185</v>
      </c>
      <c r="BG921" s="202" t="s">
        <v>18186</v>
      </c>
      <c r="BH921" s="203">
        <v>1</v>
      </c>
      <c r="BI921" s="204" t="s">
        <v>18177</v>
      </c>
      <c r="BJ921" s="205" t="s">
        <v>18187</v>
      </c>
      <c r="BK921" s="206" t="s">
        <v>153</v>
      </c>
      <c r="BL921" s="207" t="s">
        <v>18188</v>
      </c>
      <c r="BM921" s="208" t="s">
        <v>18189</v>
      </c>
      <c r="BN921" s="209" t="s">
        <v>153</v>
      </c>
      <c r="BO921" s="210" t="s">
        <v>18190</v>
      </c>
      <c r="BP921" s="211" t="s">
        <v>18191</v>
      </c>
      <c r="BQ921" s="212">
        <v>37208</v>
      </c>
      <c r="BR921" s="213">
        <v>1500</v>
      </c>
      <c r="BS921" s="214" t="s">
        <v>186</v>
      </c>
      <c r="BT921" s="215" t="s">
        <v>153</v>
      </c>
      <c r="BU921" s="216" t="s">
        <v>153</v>
      </c>
      <c r="BV921" s="217" t="s">
        <v>224</v>
      </c>
      <c r="BW921" s="218" t="s">
        <v>153</v>
      </c>
      <c r="BX921" s="219" t="s">
        <v>153</v>
      </c>
      <c r="BY921" s="220" t="s">
        <v>321</v>
      </c>
      <c r="BZ921" s="221" t="s">
        <v>153</v>
      </c>
      <c r="CA921" s="222" t="s">
        <v>190</v>
      </c>
      <c r="CB921" s="223">
        <v>42922</v>
      </c>
      <c r="CC921" s="224">
        <v>5400</v>
      </c>
      <c r="CD921" s="225" t="s">
        <v>186</v>
      </c>
      <c r="CE921" s="226">
        <v>5400</v>
      </c>
      <c r="CF921" s="227" t="s">
        <v>186</v>
      </c>
      <c r="CG921" s="228" t="s">
        <v>226</v>
      </c>
      <c r="CH921" s="229" t="s">
        <v>153</v>
      </c>
      <c r="CI921" s="230" t="s">
        <v>153</v>
      </c>
      <c r="CJ921" s="231" t="s">
        <v>225</v>
      </c>
      <c r="CK921" s="232">
        <v>42922</v>
      </c>
      <c r="CL921" s="233" t="s">
        <v>153</v>
      </c>
      <c r="CM921" s="234" t="s">
        <v>153</v>
      </c>
      <c r="CN921" s="235" t="s">
        <v>190</v>
      </c>
      <c r="CO921" s="236">
        <v>0.86</v>
      </c>
      <c r="CP921" s="237">
        <v>95</v>
      </c>
      <c r="CQ921" s="238">
        <v>-0.02</v>
      </c>
      <c r="CR921" s="239">
        <v>-2.6</v>
      </c>
      <c r="CS921" s="240">
        <v>1.74</v>
      </c>
      <c r="CT921" s="241">
        <v>97</v>
      </c>
      <c r="CU921" s="242">
        <v>-0.02</v>
      </c>
      <c r="CV921" s="243">
        <v>38</v>
      </c>
      <c r="CW921" s="244">
        <v>4.29</v>
      </c>
      <c r="CX921" s="245">
        <v>92</v>
      </c>
      <c r="CY921" s="246">
        <v>-0.81</v>
      </c>
      <c r="CZ921" s="247">
        <v>2</v>
      </c>
      <c r="DA921" s="248">
        <v>-0.02</v>
      </c>
      <c r="DB921" s="249">
        <v>38</v>
      </c>
      <c r="DC921" s="250">
        <v>11.33</v>
      </c>
      <c r="DD921" s="251">
        <v>93</v>
      </c>
      <c r="DE921" s="252">
        <v>-0.08</v>
      </c>
      <c r="DF921" s="253">
        <v>-0.71</v>
      </c>
      <c r="DG921" s="254">
        <v>18.57</v>
      </c>
      <c r="DH921" s="255">
        <v>95</v>
      </c>
      <c r="DI921" s="256">
        <v>4.09</v>
      </c>
      <c r="DJ921" s="257">
        <v>75</v>
      </c>
      <c r="DK921" s="258">
        <v>2.76</v>
      </c>
      <c r="DL921" s="259">
        <v>69</v>
      </c>
      <c r="DM921" s="260">
        <v>34.380000000000003</v>
      </c>
      <c r="DN921" s="261">
        <v>97</v>
      </c>
      <c r="DO921" s="262">
        <v>4.09</v>
      </c>
      <c r="DP921" s="263">
        <v>75</v>
      </c>
      <c r="DQ921" s="264">
        <v>1592</v>
      </c>
      <c r="DR921" s="265">
        <v>169</v>
      </c>
      <c r="DS921" s="266">
        <v>11.88</v>
      </c>
      <c r="DT921" s="267">
        <v>552</v>
      </c>
      <c r="DU921" s="268">
        <v>-6</v>
      </c>
      <c r="DV921" s="269">
        <v>-1.08</v>
      </c>
      <c r="DW921" s="270">
        <v>1285</v>
      </c>
      <c r="DX921" s="271">
        <v>0</v>
      </c>
      <c r="DY921" s="272">
        <v>0</v>
      </c>
      <c r="DZ921" s="273" t="s">
        <v>191</v>
      </c>
      <c r="EA921" s="274">
        <v>44397</v>
      </c>
      <c r="EB921" s="275">
        <v>5400</v>
      </c>
      <c r="EC921" s="276">
        <v>42922</v>
      </c>
      <c r="ED921" s="277" t="s">
        <v>226</v>
      </c>
      <c r="EE921" s="279" t="str">
        <f>HYPERLINK("https://my.pitchbook.com?c=11757-43", "View company online")</f>
        <v>View company online</v>
      </c>
    </row>
    <row r="922" spans="1:135" x14ac:dyDescent="0.45">
      <c r="A922" s="10" t="s">
        <v>18192</v>
      </c>
      <c r="B922" s="11" t="s">
        <v>18193</v>
      </c>
      <c r="C922" s="12" t="s">
        <v>153</v>
      </c>
      <c r="D922" s="13" t="s">
        <v>153</v>
      </c>
      <c r="E922" s="14" t="s">
        <v>153</v>
      </c>
      <c r="F922" s="15" t="s">
        <v>153</v>
      </c>
      <c r="G922" s="16" t="s">
        <v>18194</v>
      </c>
      <c r="H922" s="17" t="s">
        <v>153</v>
      </c>
      <c r="I922" s="18" t="s">
        <v>18192</v>
      </c>
      <c r="J922" s="19" t="s">
        <v>18195</v>
      </c>
      <c r="K922" s="20" t="s">
        <v>257</v>
      </c>
      <c r="L922" s="21" t="s">
        <v>258</v>
      </c>
      <c r="M922" s="22" t="s">
        <v>259</v>
      </c>
      <c r="N922" s="23" t="s">
        <v>18196</v>
      </c>
      <c r="O922" s="24" t="s">
        <v>450</v>
      </c>
      <c r="P922" s="25" t="s">
        <v>18197</v>
      </c>
      <c r="Q922" s="26" t="s">
        <v>204</v>
      </c>
      <c r="R922" s="27" t="s">
        <v>153</v>
      </c>
      <c r="S922" s="28" t="s">
        <v>368</v>
      </c>
      <c r="T922" s="29" t="s">
        <v>205</v>
      </c>
      <c r="U922" s="30" t="s">
        <v>237</v>
      </c>
      <c r="V922" s="31" t="s">
        <v>153</v>
      </c>
      <c r="W922" s="32">
        <v>5500</v>
      </c>
      <c r="X922" s="33" t="s">
        <v>18198</v>
      </c>
      <c r="Y922" s="34" t="s">
        <v>153</v>
      </c>
      <c r="Z922" s="35" t="s">
        <v>153</v>
      </c>
      <c r="AA922" s="36">
        <v>1981</v>
      </c>
      <c r="AB922" s="37" t="s">
        <v>153</v>
      </c>
      <c r="AC922" s="38" t="s">
        <v>153</v>
      </c>
      <c r="AD922" s="39" t="s">
        <v>153</v>
      </c>
      <c r="AE922" s="40" t="s">
        <v>153</v>
      </c>
      <c r="AF922" s="41" t="s">
        <v>153</v>
      </c>
      <c r="AG922" s="42" t="s">
        <v>153</v>
      </c>
      <c r="AH922" s="43" t="s">
        <v>153</v>
      </c>
      <c r="AI922" s="44" t="s">
        <v>153</v>
      </c>
      <c r="AJ922" s="45" t="s">
        <v>153</v>
      </c>
      <c r="AK922" s="46" t="s">
        <v>153</v>
      </c>
      <c r="AL922" s="47" t="s">
        <v>153</v>
      </c>
      <c r="AM922" s="48" t="s">
        <v>153</v>
      </c>
      <c r="AN922" s="49" t="s">
        <v>2064</v>
      </c>
      <c r="AO922" s="50" t="s">
        <v>18199</v>
      </c>
      <c r="AP922" s="51" t="s">
        <v>18200</v>
      </c>
      <c r="AQ922" s="52" t="s">
        <v>5090</v>
      </c>
      <c r="AR922" s="53" t="s">
        <v>153</v>
      </c>
      <c r="AS922" s="54" t="s">
        <v>153</v>
      </c>
      <c r="AT922" s="55" t="s">
        <v>12504</v>
      </c>
      <c r="AU922" s="56" t="s">
        <v>18201</v>
      </c>
      <c r="AV922" s="57" t="s">
        <v>153</v>
      </c>
      <c r="AW922" s="58" t="s">
        <v>12506</v>
      </c>
      <c r="AX922" s="59" t="s">
        <v>308</v>
      </c>
      <c r="AY922" s="60" t="s">
        <v>12507</v>
      </c>
      <c r="AZ922" s="61" t="s">
        <v>215</v>
      </c>
      <c r="BA922" s="62" t="s">
        <v>153</v>
      </c>
      <c r="BB922" s="63" t="s">
        <v>153</v>
      </c>
      <c r="BC922" s="64" t="s">
        <v>153</v>
      </c>
      <c r="BD922" s="65" t="s">
        <v>216</v>
      </c>
      <c r="BE922" s="66" t="s">
        <v>217</v>
      </c>
      <c r="BF922" s="67" t="s">
        <v>18202</v>
      </c>
      <c r="BG922" s="68" t="s">
        <v>153</v>
      </c>
      <c r="BH922" s="69" t="s">
        <v>153</v>
      </c>
      <c r="BI922" s="70" t="s">
        <v>4728</v>
      </c>
      <c r="BJ922" s="71" t="s">
        <v>153</v>
      </c>
      <c r="BK922" s="72" t="s">
        <v>153</v>
      </c>
      <c r="BL922" s="73" t="s">
        <v>153</v>
      </c>
      <c r="BM922" s="74" t="s">
        <v>153</v>
      </c>
      <c r="BN922" s="75" t="s">
        <v>153</v>
      </c>
      <c r="BO922" s="76" t="s">
        <v>18203</v>
      </c>
      <c r="BP922" s="77" t="s">
        <v>355</v>
      </c>
      <c r="BQ922" s="78">
        <v>32958</v>
      </c>
      <c r="BR922" s="79" t="s">
        <v>153</v>
      </c>
      <c r="BS922" s="80" t="s">
        <v>153</v>
      </c>
      <c r="BT922" s="81" t="s">
        <v>153</v>
      </c>
      <c r="BU922" s="82" t="s">
        <v>153</v>
      </c>
      <c r="BV922" s="83" t="s">
        <v>251</v>
      </c>
      <c r="BW922" s="84" t="s">
        <v>153</v>
      </c>
      <c r="BX922" s="85" t="s">
        <v>153</v>
      </c>
      <c r="BY922" s="86" t="s">
        <v>252</v>
      </c>
      <c r="BZ922" s="87" t="s">
        <v>153</v>
      </c>
      <c r="CA922" s="88" t="s">
        <v>190</v>
      </c>
      <c r="CB922" s="89">
        <v>38827</v>
      </c>
      <c r="CC922" s="90">
        <v>5400</v>
      </c>
      <c r="CD922" s="91" t="s">
        <v>186</v>
      </c>
      <c r="CE922" s="92">
        <v>9310.34</v>
      </c>
      <c r="CF922" s="93" t="s">
        <v>187</v>
      </c>
      <c r="CG922" s="94" t="s">
        <v>226</v>
      </c>
      <c r="CH922" s="95" t="s">
        <v>153</v>
      </c>
      <c r="CI922" s="96" t="s">
        <v>153</v>
      </c>
      <c r="CJ922" s="97" t="s">
        <v>225</v>
      </c>
      <c r="CK922" s="98">
        <v>38827</v>
      </c>
      <c r="CL922" s="99" t="s">
        <v>153</v>
      </c>
      <c r="CM922" s="100" t="s">
        <v>153</v>
      </c>
      <c r="CN922" s="101" t="s">
        <v>190</v>
      </c>
      <c r="CO922" s="102" t="s">
        <v>153</v>
      </c>
      <c r="CP922" s="103" t="s">
        <v>153</v>
      </c>
      <c r="CQ922" s="104" t="s">
        <v>153</v>
      </c>
      <c r="CR922" s="105" t="s">
        <v>153</v>
      </c>
      <c r="CS922" s="106" t="s">
        <v>153</v>
      </c>
      <c r="CT922" s="107" t="s">
        <v>153</v>
      </c>
      <c r="CU922" s="108" t="s">
        <v>153</v>
      </c>
      <c r="CV922" s="109" t="s">
        <v>153</v>
      </c>
      <c r="CW922" s="110" t="s">
        <v>153</v>
      </c>
      <c r="CX922" s="111" t="s">
        <v>153</v>
      </c>
      <c r="CY922" s="112" t="s">
        <v>153</v>
      </c>
      <c r="CZ922" s="113" t="s">
        <v>153</v>
      </c>
      <c r="DA922" s="114" t="s">
        <v>153</v>
      </c>
      <c r="DB922" s="115" t="s">
        <v>153</v>
      </c>
      <c r="DC922" s="116" t="s">
        <v>153</v>
      </c>
      <c r="DD922" s="117" t="s">
        <v>153</v>
      </c>
      <c r="DE922" s="118" t="s">
        <v>153</v>
      </c>
      <c r="DF922" s="119" t="s">
        <v>153</v>
      </c>
      <c r="DG922" s="120" t="s">
        <v>153</v>
      </c>
      <c r="DH922" s="121" t="s">
        <v>153</v>
      </c>
      <c r="DI922" s="122" t="s">
        <v>153</v>
      </c>
      <c r="DJ922" s="123" t="s">
        <v>153</v>
      </c>
      <c r="DK922" s="124" t="s">
        <v>153</v>
      </c>
      <c r="DL922" s="125" t="s">
        <v>153</v>
      </c>
      <c r="DM922" s="126" t="s">
        <v>153</v>
      </c>
      <c r="DN922" s="127" t="s">
        <v>153</v>
      </c>
      <c r="DO922" s="128" t="s">
        <v>153</v>
      </c>
      <c r="DP922" s="129" t="s">
        <v>153</v>
      </c>
      <c r="DQ922" s="130" t="s">
        <v>153</v>
      </c>
      <c r="DR922" s="131" t="s">
        <v>153</v>
      </c>
      <c r="DS922" s="132" t="s">
        <v>153</v>
      </c>
      <c r="DT922" s="133" t="s">
        <v>153</v>
      </c>
      <c r="DU922" s="134" t="s">
        <v>153</v>
      </c>
      <c r="DV922" s="135" t="s">
        <v>153</v>
      </c>
      <c r="DW922" s="136" t="s">
        <v>153</v>
      </c>
      <c r="DX922" s="137" t="s">
        <v>153</v>
      </c>
      <c r="DY922" s="138" t="s">
        <v>153</v>
      </c>
      <c r="DZ922" s="139" t="s">
        <v>191</v>
      </c>
      <c r="EA922" s="140">
        <v>44328</v>
      </c>
      <c r="EB922" s="141">
        <v>9310.34</v>
      </c>
      <c r="EC922" s="142">
        <v>38827</v>
      </c>
      <c r="ED922" s="143" t="s">
        <v>226</v>
      </c>
      <c r="EE922" s="278" t="str">
        <f>HYPERLINK("https://my.pitchbook.com?c=41166-64", "View company online")</f>
        <v>View company online</v>
      </c>
    </row>
    <row r="923" spans="1:135" x14ac:dyDescent="0.45">
      <c r="A923" s="144" t="s">
        <v>18204</v>
      </c>
      <c r="B923" s="145" t="s">
        <v>18205</v>
      </c>
      <c r="C923" s="146" t="s">
        <v>153</v>
      </c>
      <c r="D923" s="147" t="s">
        <v>153</v>
      </c>
      <c r="E923" s="148" t="s">
        <v>18206</v>
      </c>
      <c r="F923" s="149" t="s">
        <v>18207</v>
      </c>
      <c r="G923" s="150" t="s">
        <v>18208</v>
      </c>
      <c r="H923" s="151" t="s">
        <v>18209</v>
      </c>
      <c r="I923" s="152" t="s">
        <v>18204</v>
      </c>
      <c r="J923" s="153" t="s">
        <v>18210</v>
      </c>
      <c r="K923" s="154" t="s">
        <v>232</v>
      </c>
      <c r="L923" s="155" t="s">
        <v>1016</v>
      </c>
      <c r="M923" s="156" t="s">
        <v>5175</v>
      </c>
      <c r="N923" s="157" t="s">
        <v>18211</v>
      </c>
      <c r="O923" s="158" t="s">
        <v>153</v>
      </c>
      <c r="P923" s="159" t="s">
        <v>18212</v>
      </c>
      <c r="Q923" s="160" t="s">
        <v>204</v>
      </c>
      <c r="R923" s="161" t="s">
        <v>153</v>
      </c>
      <c r="S923" s="162" t="s">
        <v>290</v>
      </c>
      <c r="T923" s="163" t="s">
        <v>164</v>
      </c>
      <c r="U923" s="164" t="s">
        <v>237</v>
      </c>
      <c r="V923" s="165" t="s">
        <v>18213</v>
      </c>
      <c r="W923" s="166">
        <v>3600</v>
      </c>
      <c r="X923" s="167" t="s">
        <v>18214</v>
      </c>
      <c r="Y923" s="168" t="s">
        <v>153</v>
      </c>
      <c r="Z923" s="169" t="s">
        <v>153</v>
      </c>
      <c r="AA923" s="170">
        <v>1954</v>
      </c>
      <c r="AB923" s="171" t="s">
        <v>18215</v>
      </c>
      <c r="AC923" s="172" t="s">
        <v>428</v>
      </c>
      <c r="AD923" s="173" t="s">
        <v>428</v>
      </c>
      <c r="AE923" s="174" t="s">
        <v>153</v>
      </c>
      <c r="AF923" s="175" t="s">
        <v>153</v>
      </c>
      <c r="AG923" s="176" t="s">
        <v>153</v>
      </c>
      <c r="AH923" s="177" t="s">
        <v>153</v>
      </c>
      <c r="AI923" s="178" t="s">
        <v>153</v>
      </c>
      <c r="AJ923" s="179" t="s">
        <v>153</v>
      </c>
      <c r="AK923" s="180" t="s">
        <v>153</v>
      </c>
      <c r="AL923" s="181" t="s">
        <v>153</v>
      </c>
      <c r="AM923" s="182" t="s">
        <v>153</v>
      </c>
      <c r="AN923" s="183" t="s">
        <v>1595</v>
      </c>
      <c r="AO923" s="184" t="s">
        <v>18216</v>
      </c>
      <c r="AP923" s="185" t="s">
        <v>18217</v>
      </c>
      <c r="AQ923" s="186" t="s">
        <v>18218</v>
      </c>
      <c r="AR923" s="187" t="s">
        <v>153</v>
      </c>
      <c r="AS923" s="188" t="s">
        <v>18219</v>
      </c>
      <c r="AT923" s="189" t="s">
        <v>9514</v>
      </c>
      <c r="AU923" s="190" t="s">
        <v>18220</v>
      </c>
      <c r="AV923" s="191" t="s">
        <v>18221</v>
      </c>
      <c r="AW923" s="192" t="s">
        <v>9516</v>
      </c>
      <c r="AX923" s="193" t="s">
        <v>308</v>
      </c>
      <c r="AY923" s="194" t="s">
        <v>18222</v>
      </c>
      <c r="AZ923" s="195" t="s">
        <v>215</v>
      </c>
      <c r="BA923" s="196" t="s">
        <v>18219</v>
      </c>
      <c r="BB923" s="197" t="s">
        <v>18223</v>
      </c>
      <c r="BC923" s="198" t="s">
        <v>18224</v>
      </c>
      <c r="BD923" s="199" t="s">
        <v>216</v>
      </c>
      <c r="BE923" s="200" t="s">
        <v>217</v>
      </c>
      <c r="BF923" s="201" t="s">
        <v>18225</v>
      </c>
      <c r="BG923" s="202" t="s">
        <v>153</v>
      </c>
      <c r="BH923" s="203" t="s">
        <v>153</v>
      </c>
      <c r="BI923" s="204" t="s">
        <v>18215</v>
      </c>
      <c r="BJ923" s="205" t="s">
        <v>1907</v>
      </c>
      <c r="BK923" s="206" t="s">
        <v>153</v>
      </c>
      <c r="BL923" s="207" t="s">
        <v>153</v>
      </c>
      <c r="BM923" s="208" t="s">
        <v>18226</v>
      </c>
      <c r="BN923" s="209" t="s">
        <v>153</v>
      </c>
      <c r="BO923" s="210" t="s">
        <v>18227</v>
      </c>
      <c r="BP923" s="211" t="s">
        <v>18228</v>
      </c>
      <c r="BQ923" s="212">
        <v>30473</v>
      </c>
      <c r="BR923" s="213" t="s">
        <v>153</v>
      </c>
      <c r="BS923" s="214" t="s">
        <v>153</v>
      </c>
      <c r="BT923" s="215" t="s">
        <v>153</v>
      </c>
      <c r="BU923" s="216" t="s">
        <v>153</v>
      </c>
      <c r="BV923" s="217" t="s">
        <v>226</v>
      </c>
      <c r="BW923" s="218" t="s">
        <v>153</v>
      </c>
      <c r="BX923" s="219" t="s">
        <v>153</v>
      </c>
      <c r="BY923" s="220" t="s">
        <v>225</v>
      </c>
      <c r="BZ923" s="221" t="s">
        <v>153</v>
      </c>
      <c r="CA923" s="222" t="s">
        <v>190</v>
      </c>
      <c r="CB923" s="223">
        <v>42310</v>
      </c>
      <c r="CC923" s="224">
        <v>5400</v>
      </c>
      <c r="CD923" s="225" t="s">
        <v>186</v>
      </c>
      <c r="CE923" s="226">
        <v>5400</v>
      </c>
      <c r="CF923" s="227" t="s">
        <v>186</v>
      </c>
      <c r="CG923" s="228" t="s">
        <v>226</v>
      </c>
      <c r="CH923" s="229" t="s">
        <v>153</v>
      </c>
      <c r="CI923" s="230" t="s">
        <v>153</v>
      </c>
      <c r="CJ923" s="231" t="s">
        <v>225</v>
      </c>
      <c r="CK923" s="232">
        <v>42310</v>
      </c>
      <c r="CL923" s="233" t="s">
        <v>153</v>
      </c>
      <c r="CM923" s="234" t="s">
        <v>153</v>
      </c>
      <c r="CN923" s="235" t="s">
        <v>190</v>
      </c>
      <c r="CO923" s="236">
        <v>0.36</v>
      </c>
      <c r="CP923" s="237">
        <v>92</v>
      </c>
      <c r="CQ923" s="238">
        <v>-0.03</v>
      </c>
      <c r="CR923" s="239">
        <v>-7.53</v>
      </c>
      <c r="CS923" s="240">
        <v>0.25</v>
      </c>
      <c r="CT923" s="241">
        <v>91</v>
      </c>
      <c r="CU923" s="242">
        <v>0.13</v>
      </c>
      <c r="CV923" s="243">
        <v>88</v>
      </c>
      <c r="CW923" s="244">
        <v>0.15</v>
      </c>
      <c r="CX923" s="245">
        <v>77</v>
      </c>
      <c r="CY923" s="246">
        <v>0.35</v>
      </c>
      <c r="CZ923" s="247">
        <v>93</v>
      </c>
      <c r="DA923" s="248">
        <v>0.13</v>
      </c>
      <c r="DB923" s="249">
        <v>88</v>
      </c>
      <c r="DC923" s="250">
        <v>34.869999999999997</v>
      </c>
      <c r="DD923" s="251">
        <v>98</v>
      </c>
      <c r="DE923" s="252">
        <v>-0.04</v>
      </c>
      <c r="DF923" s="253">
        <v>-0.13</v>
      </c>
      <c r="DG923" s="254">
        <v>89.65</v>
      </c>
      <c r="DH923" s="255">
        <v>99</v>
      </c>
      <c r="DI923" s="256">
        <v>8.56</v>
      </c>
      <c r="DJ923" s="257">
        <v>85</v>
      </c>
      <c r="DK923" s="258">
        <v>65.62</v>
      </c>
      <c r="DL923" s="259">
        <v>96</v>
      </c>
      <c r="DM923" s="260">
        <v>113.69</v>
      </c>
      <c r="DN923" s="261">
        <v>99</v>
      </c>
      <c r="DO923" s="262">
        <v>8.56</v>
      </c>
      <c r="DP923" s="263">
        <v>85</v>
      </c>
      <c r="DQ923" s="264">
        <v>38792</v>
      </c>
      <c r="DR923" s="265">
        <v>448</v>
      </c>
      <c r="DS923" s="266">
        <v>1.17</v>
      </c>
      <c r="DT923" s="267">
        <v>1821</v>
      </c>
      <c r="DU923" s="268">
        <v>-4</v>
      </c>
      <c r="DV923" s="269">
        <v>-0.22</v>
      </c>
      <c r="DW923" s="270">
        <v>2689</v>
      </c>
      <c r="DX923" s="271">
        <v>2</v>
      </c>
      <c r="DY923" s="272">
        <v>7.0000000000000007E-2</v>
      </c>
      <c r="DZ923" s="273" t="s">
        <v>191</v>
      </c>
      <c r="EA923" s="274">
        <v>44398</v>
      </c>
      <c r="EB923" s="275">
        <v>5400</v>
      </c>
      <c r="EC923" s="276">
        <v>42310</v>
      </c>
      <c r="ED923" s="277" t="s">
        <v>226</v>
      </c>
      <c r="EE923" s="279" t="str">
        <f>HYPERLINK("https://my.pitchbook.com?c=14172-49", "View company online")</f>
        <v>View company online</v>
      </c>
    </row>
    <row r="924" spans="1:135" x14ac:dyDescent="0.45">
      <c r="A924" s="10" t="s">
        <v>18229</v>
      </c>
      <c r="B924" s="11" t="s">
        <v>18230</v>
      </c>
      <c r="C924" s="12" t="s">
        <v>153</v>
      </c>
      <c r="D924" s="13" t="s">
        <v>153</v>
      </c>
      <c r="E924" s="14" t="s">
        <v>153</v>
      </c>
      <c r="F924" s="15" t="s">
        <v>18231</v>
      </c>
      <c r="G924" s="16" t="s">
        <v>18232</v>
      </c>
      <c r="H924" s="17" t="s">
        <v>18233</v>
      </c>
      <c r="I924" s="18" t="s">
        <v>18229</v>
      </c>
      <c r="J924" s="19" t="s">
        <v>18234</v>
      </c>
      <c r="K924" s="20" t="s">
        <v>157</v>
      </c>
      <c r="L924" s="21" t="s">
        <v>1667</v>
      </c>
      <c r="M924" s="22" t="s">
        <v>1668</v>
      </c>
      <c r="N924" s="23" t="s">
        <v>16091</v>
      </c>
      <c r="O924" s="24" t="s">
        <v>1234</v>
      </c>
      <c r="P924" s="25" t="s">
        <v>18235</v>
      </c>
      <c r="Q924" s="26" t="s">
        <v>204</v>
      </c>
      <c r="R924" s="27" t="s">
        <v>153</v>
      </c>
      <c r="S924" s="28" t="s">
        <v>290</v>
      </c>
      <c r="T924" s="29" t="s">
        <v>205</v>
      </c>
      <c r="U924" s="30" t="s">
        <v>1706</v>
      </c>
      <c r="V924" s="31" t="s">
        <v>18236</v>
      </c>
      <c r="W924" s="32">
        <v>55000</v>
      </c>
      <c r="X924" s="33" t="s">
        <v>18237</v>
      </c>
      <c r="Y924" s="34" t="s">
        <v>153</v>
      </c>
      <c r="Z924" s="35" t="s">
        <v>153</v>
      </c>
      <c r="AA924" s="36">
        <v>1899</v>
      </c>
      <c r="AB924" s="37" t="s">
        <v>153</v>
      </c>
      <c r="AC924" s="38" t="s">
        <v>153</v>
      </c>
      <c r="AD924" s="39" t="s">
        <v>153</v>
      </c>
      <c r="AE924" s="40" t="s">
        <v>153</v>
      </c>
      <c r="AF924" s="41" t="s">
        <v>153</v>
      </c>
      <c r="AG924" s="42" t="s">
        <v>153</v>
      </c>
      <c r="AH924" s="43" t="s">
        <v>153</v>
      </c>
      <c r="AI924" s="44" t="s">
        <v>153</v>
      </c>
      <c r="AJ924" s="45" t="s">
        <v>153</v>
      </c>
      <c r="AK924" s="46" t="s">
        <v>153</v>
      </c>
      <c r="AL924" s="47" t="s">
        <v>153</v>
      </c>
      <c r="AM924" s="48" t="s">
        <v>153</v>
      </c>
      <c r="AN924" s="49" t="s">
        <v>2112</v>
      </c>
      <c r="AO924" s="50" t="s">
        <v>18238</v>
      </c>
      <c r="AP924" s="51" t="s">
        <v>18239</v>
      </c>
      <c r="AQ924" s="52" t="s">
        <v>2376</v>
      </c>
      <c r="AR924" s="53" t="s">
        <v>153</v>
      </c>
      <c r="AS924" s="54" t="s">
        <v>18240</v>
      </c>
      <c r="AT924" s="55" t="s">
        <v>18241</v>
      </c>
      <c r="AU924" s="56" t="s">
        <v>18242</v>
      </c>
      <c r="AV924" s="57" t="s">
        <v>153</v>
      </c>
      <c r="AW924" s="58" t="s">
        <v>18243</v>
      </c>
      <c r="AX924" s="59" t="s">
        <v>6023</v>
      </c>
      <c r="AY924" s="60" t="s">
        <v>18244</v>
      </c>
      <c r="AZ924" s="61" t="s">
        <v>215</v>
      </c>
      <c r="BA924" s="62" t="s">
        <v>18245</v>
      </c>
      <c r="BB924" s="63" t="s">
        <v>153</v>
      </c>
      <c r="BC924" s="64" t="s">
        <v>153</v>
      </c>
      <c r="BD924" s="65" t="s">
        <v>216</v>
      </c>
      <c r="BE924" s="66" t="s">
        <v>217</v>
      </c>
      <c r="BF924" s="67" t="s">
        <v>18246</v>
      </c>
      <c r="BG924" s="68" t="s">
        <v>153</v>
      </c>
      <c r="BH924" s="69" t="s">
        <v>153</v>
      </c>
      <c r="BI924" s="70" t="s">
        <v>18247</v>
      </c>
      <c r="BJ924" s="71" t="s">
        <v>6530</v>
      </c>
      <c r="BK924" s="72" t="s">
        <v>153</v>
      </c>
      <c r="BL924" s="73" t="s">
        <v>153</v>
      </c>
      <c r="BM924" s="74" t="s">
        <v>6532</v>
      </c>
      <c r="BN924" s="75" t="s">
        <v>153</v>
      </c>
      <c r="BO924" s="76" t="s">
        <v>18248</v>
      </c>
      <c r="BP924" s="77" t="s">
        <v>18249</v>
      </c>
      <c r="BQ924" s="78">
        <v>37165</v>
      </c>
      <c r="BR924" s="79" t="s">
        <v>153</v>
      </c>
      <c r="BS924" s="80" t="s">
        <v>153</v>
      </c>
      <c r="BT924" s="81" t="s">
        <v>153</v>
      </c>
      <c r="BU924" s="82" t="s">
        <v>153</v>
      </c>
      <c r="BV924" s="83" t="s">
        <v>8913</v>
      </c>
      <c r="BW924" s="84" t="s">
        <v>153</v>
      </c>
      <c r="BX924" s="85" t="s">
        <v>153</v>
      </c>
      <c r="BY924" s="86" t="s">
        <v>8927</v>
      </c>
      <c r="BZ924" s="87" t="s">
        <v>153</v>
      </c>
      <c r="CA924" s="88" t="s">
        <v>190</v>
      </c>
      <c r="CB924" s="89">
        <v>43374</v>
      </c>
      <c r="CC924" s="90">
        <v>5400</v>
      </c>
      <c r="CD924" s="91" t="s">
        <v>186</v>
      </c>
      <c r="CE924" s="92">
        <v>5400</v>
      </c>
      <c r="CF924" s="93" t="s">
        <v>186</v>
      </c>
      <c r="CG924" s="94" t="s">
        <v>226</v>
      </c>
      <c r="CH924" s="95" t="s">
        <v>729</v>
      </c>
      <c r="CI924" s="96" t="s">
        <v>153</v>
      </c>
      <c r="CJ924" s="97" t="s">
        <v>225</v>
      </c>
      <c r="CK924" s="98">
        <v>43374</v>
      </c>
      <c r="CL924" s="99" t="s">
        <v>153</v>
      </c>
      <c r="CM924" s="100" t="s">
        <v>153</v>
      </c>
      <c r="CN924" s="101" t="s">
        <v>190</v>
      </c>
      <c r="CO924" s="102" t="s">
        <v>153</v>
      </c>
      <c r="CP924" s="103" t="s">
        <v>153</v>
      </c>
      <c r="CQ924" s="104" t="s">
        <v>153</v>
      </c>
      <c r="CR924" s="105" t="s">
        <v>153</v>
      </c>
      <c r="CS924" s="106" t="s">
        <v>153</v>
      </c>
      <c r="CT924" s="107" t="s">
        <v>153</v>
      </c>
      <c r="CU924" s="108" t="s">
        <v>153</v>
      </c>
      <c r="CV924" s="109" t="s">
        <v>153</v>
      </c>
      <c r="CW924" s="110" t="s">
        <v>153</v>
      </c>
      <c r="CX924" s="111" t="s">
        <v>153</v>
      </c>
      <c r="CY924" s="112" t="s">
        <v>153</v>
      </c>
      <c r="CZ924" s="113" t="s">
        <v>153</v>
      </c>
      <c r="DA924" s="114" t="s">
        <v>153</v>
      </c>
      <c r="DB924" s="115" t="s">
        <v>153</v>
      </c>
      <c r="DC924" s="116" t="s">
        <v>153</v>
      </c>
      <c r="DD924" s="117" t="s">
        <v>153</v>
      </c>
      <c r="DE924" s="118" t="s">
        <v>153</v>
      </c>
      <c r="DF924" s="119" t="s">
        <v>153</v>
      </c>
      <c r="DG924" s="120" t="s">
        <v>153</v>
      </c>
      <c r="DH924" s="121" t="s">
        <v>153</v>
      </c>
      <c r="DI924" s="122" t="s">
        <v>153</v>
      </c>
      <c r="DJ924" s="123" t="s">
        <v>153</v>
      </c>
      <c r="DK924" s="124" t="s">
        <v>153</v>
      </c>
      <c r="DL924" s="125" t="s">
        <v>153</v>
      </c>
      <c r="DM924" s="126" t="s">
        <v>153</v>
      </c>
      <c r="DN924" s="127" t="s">
        <v>153</v>
      </c>
      <c r="DO924" s="128" t="s">
        <v>153</v>
      </c>
      <c r="DP924" s="129" t="s">
        <v>153</v>
      </c>
      <c r="DQ924" s="130" t="s">
        <v>153</v>
      </c>
      <c r="DR924" s="131" t="s">
        <v>153</v>
      </c>
      <c r="DS924" s="132" t="s">
        <v>153</v>
      </c>
      <c r="DT924" s="133" t="s">
        <v>153</v>
      </c>
      <c r="DU924" s="134" t="s">
        <v>153</v>
      </c>
      <c r="DV924" s="135" t="s">
        <v>153</v>
      </c>
      <c r="DW924" s="136" t="s">
        <v>153</v>
      </c>
      <c r="DX924" s="137" t="s">
        <v>153</v>
      </c>
      <c r="DY924" s="138" t="s">
        <v>153</v>
      </c>
      <c r="DZ924" s="139" t="s">
        <v>191</v>
      </c>
      <c r="EA924" s="140">
        <v>44390</v>
      </c>
      <c r="EB924" s="141">
        <v>5400</v>
      </c>
      <c r="EC924" s="142">
        <v>43374</v>
      </c>
      <c r="ED924" s="143" t="s">
        <v>226</v>
      </c>
      <c r="EE924" s="278" t="str">
        <f>HYPERLINK("https://my.pitchbook.com?c=41655-52", "View company online")</f>
        <v>View company online</v>
      </c>
    </row>
    <row r="925" spans="1:135" x14ac:dyDescent="0.45">
      <c r="A925" s="144" t="s">
        <v>18250</v>
      </c>
      <c r="B925" s="145" t="s">
        <v>18251</v>
      </c>
      <c r="C925" s="146" t="s">
        <v>153</v>
      </c>
      <c r="D925" s="147" t="s">
        <v>153</v>
      </c>
      <c r="E925" s="148" t="s">
        <v>153</v>
      </c>
      <c r="F925" s="149" t="s">
        <v>18252</v>
      </c>
      <c r="G925" s="150" t="s">
        <v>18253</v>
      </c>
      <c r="H925" s="151" t="s">
        <v>18254</v>
      </c>
      <c r="I925" s="152" t="s">
        <v>18250</v>
      </c>
      <c r="J925" s="153" t="s">
        <v>18255</v>
      </c>
      <c r="K925" s="154" t="s">
        <v>257</v>
      </c>
      <c r="L925" s="155" t="s">
        <v>478</v>
      </c>
      <c r="M925" s="156" t="s">
        <v>2752</v>
      </c>
      <c r="N925" s="157" t="s">
        <v>4549</v>
      </c>
      <c r="O925" s="158" t="s">
        <v>18256</v>
      </c>
      <c r="P925" s="159" t="s">
        <v>18257</v>
      </c>
      <c r="Q925" s="160" t="s">
        <v>564</v>
      </c>
      <c r="R925" s="161">
        <v>684.95</v>
      </c>
      <c r="S925" s="162" t="s">
        <v>368</v>
      </c>
      <c r="T925" s="163" t="s">
        <v>164</v>
      </c>
      <c r="U925" s="164" t="s">
        <v>1169</v>
      </c>
      <c r="V925" s="165" t="s">
        <v>18258</v>
      </c>
      <c r="W925" s="166">
        <v>3000</v>
      </c>
      <c r="X925" s="167" t="s">
        <v>18259</v>
      </c>
      <c r="Y925" s="168" t="s">
        <v>153</v>
      </c>
      <c r="Z925" s="169" t="s">
        <v>153</v>
      </c>
      <c r="AA925" s="170">
        <v>1950</v>
      </c>
      <c r="AB925" s="171" t="s">
        <v>18260</v>
      </c>
      <c r="AC925" s="172" t="s">
        <v>153</v>
      </c>
      <c r="AD925" s="173" t="s">
        <v>153</v>
      </c>
      <c r="AE925" s="174">
        <v>820.47</v>
      </c>
      <c r="AF925" s="175">
        <v>658.14</v>
      </c>
      <c r="AG925" s="176">
        <v>-110.04</v>
      </c>
      <c r="AH925" s="177">
        <v>5038.07</v>
      </c>
      <c r="AI925" s="178">
        <v>98.25</v>
      </c>
      <c r="AJ925" s="179">
        <v>1.99</v>
      </c>
      <c r="AK925" s="180" t="s">
        <v>153</v>
      </c>
      <c r="AL925" s="181">
        <v>1082.3399999999999</v>
      </c>
      <c r="AM925" s="182">
        <v>-9.8800000000000008</v>
      </c>
      <c r="AN925" s="183" t="s">
        <v>5929</v>
      </c>
      <c r="AO925" s="184" t="s">
        <v>18261</v>
      </c>
      <c r="AP925" s="185" t="s">
        <v>18262</v>
      </c>
      <c r="AQ925" s="186" t="s">
        <v>18263</v>
      </c>
      <c r="AR925" s="187" t="s">
        <v>18264</v>
      </c>
      <c r="AS925" s="188" t="s">
        <v>18265</v>
      </c>
      <c r="AT925" s="189" t="s">
        <v>13434</v>
      </c>
      <c r="AU925" s="190" t="s">
        <v>18266</v>
      </c>
      <c r="AV925" s="191" t="s">
        <v>153</v>
      </c>
      <c r="AW925" s="192" t="s">
        <v>13437</v>
      </c>
      <c r="AX925" s="193" t="s">
        <v>5243</v>
      </c>
      <c r="AY925" s="194" t="s">
        <v>18267</v>
      </c>
      <c r="AZ925" s="195" t="s">
        <v>215</v>
      </c>
      <c r="BA925" s="196" t="s">
        <v>18265</v>
      </c>
      <c r="BB925" s="197" t="s">
        <v>153</v>
      </c>
      <c r="BC925" s="198" t="s">
        <v>153</v>
      </c>
      <c r="BD925" s="199" t="s">
        <v>216</v>
      </c>
      <c r="BE925" s="200" t="s">
        <v>217</v>
      </c>
      <c r="BF925" s="201" t="s">
        <v>18268</v>
      </c>
      <c r="BG925" s="202" t="s">
        <v>153</v>
      </c>
      <c r="BH925" s="203" t="s">
        <v>153</v>
      </c>
      <c r="BI925" s="204" t="s">
        <v>18260</v>
      </c>
      <c r="BJ925" s="205" t="s">
        <v>18269</v>
      </c>
      <c r="BK925" s="206" t="s">
        <v>153</v>
      </c>
      <c r="BL925" s="207" t="s">
        <v>153</v>
      </c>
      <c r="BM925" s="208" t="s">
        <v>18270</v>
      </c>
      <c r="BN925" s="209" t="s">
        <v>153</v>
      </c>
      <c r="BO925" s="210" t="s">
        <v>18271</v>
      </c>
      <c r="BP925" s="211" t="s">
        <v>18272</v>
      </c>
      <c r="BQ925" s="212">
        <v>36501</v>
      </c>
      <c r="BR925" s="213" t="s">
        <v>153</v>
      </c>
      <c r="BS925" s="214" t="s">
        <v>153</v>
      </c>
      <c r="BT925" s="215" t="s">
        <v>153</v>
      </c>
      <c r="BU925" s="216" t="s">
        <v>153</v>
      </c>
      <c r="BV925" s="217" t="s">
        <v>188</v>
      </c>
      <c r="BW925" s="218" t="s">
        <v>4234</v>
      </c>
      <c r="BX925" s="219" t="s">
        <v>153</v>
      </c>
      <c r="BY925" s="220" t="s">
        <v>165</v>
      </c>
      <c r="BZ925" s="221" t="s">
        <v>153</v>
      </c>
      <c r="CA925" s="222" t="s">
        <v>190</v>
      </c>
      <c r="CB925" s="223">
        <v>43773</v>
      </c>
      <c r="CC925" s="224">
        <v>5400</v>
      </c>
      <c r="CD925" s="225" t="s">
        <v>186</v>
      </c>
      <c r="CE925" s="226">
        <v>5400</v>
      </c>
      <c r="CF925" s="227" t="s">
        <v>186</v>
      </c>
      <c r="CG925" s="228" t="s">
        <v>226</v>
      </c>
      <c r="CH925" s="229" t="s">
        <v>153</v>
      </c>
      <c r="CI925" s="230" t="s">
        <v>153</v>
      </c>
      <c r="CJ925" s="231" t="s">
        <v>225</v>
      </c>
      <c r="CK925" s="232">
        <v>43773</v>
      </c>
      <c r="CL925" s="233" t="s">
        <v>153</v>
      </c>
      <c r="CM925" s="234" t="s">
        <v>153</v>
      </c>
      <c r="CN925" s="235" t="s">
        <v>190</v>
      </c>
      <c r="CO925" s="236" t="s">
        <v>153</v>
      </c>
      <c r="CP925" s="237" t="s">
        <v>153</v>
      </c>
      <c r="CQ925" s="238" t="s">
        <v>153</v>
      </c>
      <c r="CR925" s="239" t="s">
        <v>153</v>
      </c>
      <c r="CS925" s="240" t="s">
        <v>153</v>
      </c>
      <c r="CT925" s="241" t="s">
        <v>153</v>
      </c>
      <c r="CU925" s="242" t="s">
        <v>153</v>
      </c>
      <c r="CV925" s="243" t="s">
        <v>153</v>
      </c>
      <c r="CW925" s="244" t="s">
        <v>153</v>
      </c>
      <c r="CX925" s="245" t="s">
        <v>153</v>
      </c>
      <c r="CY925" s="246" t="s">
        <v>153</v>
      </c>
      <c r="CZ925" s="247" t="s">
        <v>153</v>
      </c>
      <c r="DA925" s="248" t="s">
        <v>153</v>
      </c>
      <c r="DB925" s="249" t="s">
        <v>153</v>
      </c>
      <c r="DC925" s="250" t="s">
        <v>153</v>
      </c>
      <c r="DD925" s="251" t="s">
        <v>153</v>
      </c>
      <c r="DE925" s="252" t="s">
        <v>153</v>
      </c>
      <c r="DF925" s="253" t="s">
        <v>153</v>
      </c>
      <c r="DG925" s="254" t="s">
        <v>153</v>
      </c>
      <c r="DH925" s="255" t="s">
        <v>153</v>
      </c>
      <c r="DI925" s="256" t="s">
        <v>153</v>
      </c>
      <c r="DJ925" s="257" t="s">
        <v>153</v>
      </c>
      <c r="DK925" s="258" t="s">
        <v>153</v>
      </c>
      <c r="DL925" s="259" t="s">
        <v>153</v>
      </c>
      <c r="DM925" s="260" t="s">
        <v>153</v>
      </c>
      <c r="DN925" s="261" t="s">
        <v>153</v>
      </c>
      <c r="DO925" s="262" t="s">
        <v>153</v>
      </c>
      <c r="DP925" s="263" t="s">
        <v>153</v>
      </c>
      <c r="DQ925" s="264" t="s">
        <v>153</v>
      </c>
      <c r="DR925" s="265" t="s">
        <v>153</v>
      </c>
      <c r="DS925" s="266" t="s">
        <v>153</v>
      </c>
      <c r="DT925" s="267" t="s">
        <v>153</v>
      </c>
      <c r="DU925" s="268" t="s">
        <v>153</v>
      </c>
      <c r="DV925" s="269" t="s">
        <v>153</v>
      </c>
      <c r="DW925" s="270" t="s">
        <v>153</v>
      </c>
      <c r="DX925" s="271" t="s">
        <v>153</v>
      </c>
      <c r="DY925" s="272" t="s">
        <v>153</v>
      </c>
      <c r="DZ925" s="273" t="s">
        <v>191</v>
      </c>
      <c r="EA925" s="274">
        <v>44293</v>
      </c>
      <c r="EB925" s="275">
        <v>5400</v>
      </c>
      <c r="EC925" s="276">
        <v>43773</v>
      </c>
      <c r="ED925" s="277" t="s">
        <v>226</v>
      </c>
      <c r="EE925" s="279" t="str">
        <f>HYPERLINK("https://my.pitchbook.com?c=10585-72", "View company online")</f>
        <v>View company online</v>
      </c>
    </row>
    <row r="926" spans="1:135" x14ac:dyDescent="0.45">
      <c r="A926" s="10" t="s">
        <v>18273</v>
      </c>
      <c r="B926" s="11" t="s">
        <v>18274</v>
      </c>
      <c r="C926" s="12" t="s">
        <v>153</v>
      </c>
      <c r="D926" s="13" t="s">
        <v>153</v>
      </c>
      <c r="E926" s="14" t="s">
        <v>153</v>
      </c>
      <c r="F926" s="15" t="s">
        <v>18275</v>
      </c>
      <c r="G926" s="16" t="s">
        <v>153</v>
      </c>
      <c r="H926" s="17" t="s">
        <v>153</v>
      </c>
      <c r="I926" s="18" t="s">
        <v>18273</v>
      </c>
      <c r="J926" s="19" t="s">
        <v>18276</v>
      </c>
      <c r="K926" s="20" t="s">
        <v>257</v>
      </c>
      <c r="L926" s="21" t="s">
        <v>258</v>
      </c>
      <c r="M926" s="22" t="s">
        <v>259</v>
      </c>
      <c r="N926" s="23" t="s">
        <v>260</v>
      </c>
      <c r="O926" s="24" t="s">
        <v>261</v>
      </c>
      <c r="P926" s="25" t="s">
        <v>18277</v>
      </c>
      <c r="Q926" s="26" t="s">
        <v>204</v>
      </c>
      <c r="R926" s="27" t="s">
        <v>153</v>
      </c>
      <c r="S926" s="28" t="s">
        <v>163</v>
      </c>
      <c r="T926" s="29" t="s">
        <v>205</v>
      </c>
      <c r="U926" s="30" t="s">
        <v>206</v>
      </c>
      <c r="V926" s="31" t="s">
        <v>153</v>
      </c>
      <c r="W926" s="32">
        <v>400</v>
      </c>
      <c r="X926" s="33" t="s">
        <v>18278</v>
      </c>
      <c r="Y926" s="34" t="s">
        <v>153</v>
      </c>
      <c r="Z926" s="35" t="s">
        <v>153</v>
      </c>
      <c r="AA926" s="36" t="s">
        <v>153</v>
      </c>
      <c r="AB926" s="37" t="s">
        <v>153</v>
      </c>
      <c r="AC926" s="38" t="s">
        <v>153</v>
      </c>
      <c r="AD926" s="39" t="s">
        <v>153</v>
      </c>
      <c r="AE926" s="40" t="s">
        <v>153</v>
      </c>
      <c r="AF926" s="41" t="s">
        <v>153</v>
      </c>
      <c r="AG926" s="42" t="s">
        <v>153</v>
      </c>
      <c r="AH926" s="43" t="s">
        <v>153</v>
      </c>
      <c r="AI926" s="44" t="s">
        <v>153</v>
      </c>
      <c r="AJ926" s="45" t="s">
        <v>153</v>
      </c>
      <c r="AK926" s="46" t="s">
        <v>153</v>
      </c>
      <c r="AL926" s="47" t="s">
        <v>153</v>
      </c>
      <c r="AM926" s="48" t="s">
        <v>153</v>
      </c>
      <c r="AN926" s="49" t="s">
        <v>1442</v>
      </c>
      <c r="AO926" s="50" t="s">
        <v>153</v>
      </c>
      <c r="AP926" s="51" t="s">
        <v>153</v>
      </c>
      <c r="AQ926" s="52" t="s">
        <v>153</v>
      </c>
      <c r="AR926" s="53" t="s">
        <v>153</v>
      </c>
      <c r="AS926" s="54" t="s">
        <v>153</v>
      </c>
      <c r="AT926" s="55" t="s">
        <v>624</v>
      </c>
      <c r="AU926" s="56" t="s">
        <v>759</v>
      </c>
      <c r="AV926" s="57" t="s">
        <v>760</v>
      </c>
      <c r="AW926" s="58" t="s">
        <v>627</v>
      </c>
      <c r="AX926" s="59" t="s">
        <v>153</v>
      </c>
      <c r="AY926" s="60" t="s">
        <v>18279</v>
      </c>
      <c r="AZ926" s="61" t="s">
        <v>629</v>
      </c>
      <c r="BA926" s="62" t="s">
        <v>153</v>
      </c>
      <c r="BB926" s="63" t="s">
        <v>153</v>
      </c>
      <c r="BC926" s="64" t="s">
        <v>153</v>
      </c>
      <c r="BD926" s="65" t="s">
        <v>180</v>
      </c>
      <c r="BE926" s="66" t="s">
        <v>181</v>
      </c>
      <c r="BF926" s="67" t="s">
        <v>18280</v>
      </c>
      <c r="BG926" s="68" t="s">
        <v>153</v>
      </c>
      <c r="BH926" s="69" t="s">
        <v>153</v>
      </c>
      <c r="BI926" s="70" t="s">
        <v>4728</v>
      </c>
      <c r="BJ926" s="71" t="s">
        <v>763</v>
      </c>
      <c r="BK926" s="72" t="s">
        <v>153</v>
      </c>
      <c r="BL926" s="73" t="s">
        <v>153</v>
      </c>
      <c r="BM926" s="74" t="s">
        <v>18281</v>
      </c>
      <c r="BN926" s="75" t="s">
        <v>153</v>
      </c>
      <c r="BO926" s="76" t="s">
        <v>153</v>
      </c>
      <c r="BP926" s="77" t="s">
        <v>153</v>
      </c>
      <c r="BQ926" s="78">
        <v>43647</v>
      </c>
      <c r="BR926" s="79">
        <v>5400</v>
      </c>
      <c r="BS926" s="80" t="s">
        <v>187</v>
      </c>
      <c r="BT926" s="81">
        <v>5400</v>
      </c>
      <c r="BU926" s="82" t="s">
        <v>187</v>
      </c>
      <c r="BV926" s="83" t="s">
        <v>226</v>
      </c>
      <c r="BW926" s="84" t="s">
        <v>729</v>
      </c>
      <c r="BX926" s="85" t="s">
        <v>153</v>
      </c>
      <c r="BY926" s="86" t="s">
        <v>225</v>
      </c>
      <c r="BZ926" s="87" t="s">
        <v>153</v>
      </c>
      <c r="CA926" s="88" t="s">
        <v>190</v>
      </c>
      <c r="CB926" s="89">
        <v>43647</v>
      </c>
      <c r="CC926" s="90">
        <v>5400</v>
      </c>
      <c r="CD926" s="91" t="s">
        <v>187</v>
      </c>
      <c r="CE926" s="92">
        <v>5400</v>
      </c>
      <c r="CF926" s="93" t="s">
        <v>187</v>
      </c>
      <c r="CG926" s="94" t="s">
        <v>226</v>
      </c>
      <c r="CH926" s="95" t="s">
        <v>729</v>
      </c>
      <c r="CI926" s="96" t="s">
        <v>153</v>
      </c>
      <c r="CJ926" s="97" t="s">
        <v>225</v>
      </c>
      <c r="CK926" s="98">
        <v>43647</v>
      </c>
      <c r="CL926" s="99" t="s">
        <v>153</v>
      </c>
      <c r="CM926" s="100" t="s">
        <v>153</v>
      </c>
      <c r="CN926" s="101" t="s">
        <v>190</v>
      </c>
      <c r="CO926" s="102" t="s">
        <v>153</v>
      </c>
      <c r="CP926" s="103" t="s">
        <v>153</v>
      </c>
      <c r="CQ926" s="104" t="s">
        <v>153</v>
      </c>
      <c r="CR926" s="105" t="s">
        <v>153</v>
      </c>
      <c r="CS926" s="106" t="s">
        <v>153</v>
      </c>
      <c r="CT926" s="107" t="s">
        <v>153</v>
      </c>
      <c r="CU926" s="108" t="s">
        <v>153</v>
      </c>
      <c r="CV926" s="109" t="s">
        <v>153</v>
      </c>
      <c r="CW926" s="110" t="s">
        <v>153</v>
      </c>
      <c r="CX926" s="111" t="s">
        <v>153</v>
      </c>
      <c r="CY926" s="112" t="s">
        <v>153</v>
      </c>
      <c r="CZ926" s="113" t="s">
        <v>153</v>
      </c>
      <c r="DA926" s="114" t="s">
        <v>153</v>
      </c>
      <c r="DB926" s="115" t="s">
        <v>153</v>
      </c>
      <c r="DC926" s="116" t="s">
        <v>153</v>
      </c>
      <c r="DD926" s="117" t="s">
        <v>153</v>
      </c>
      <c r="DE926" s="118" t="s">
        <v>153</v>
      </c>
      <c r="DF926" s="119" t="s">
        <v>153</v>
      </c>
      <c r="DG926" s="120" t="s">
        <v>153</v>
      </c>
      <c r="DH926" s="121" t="s">
        <v>153</v>
      </c>
      <c r="DI926" s="122" t="s">
        <v>153</v>
      </c>
      <c r="DJ926" s="123" t="s">
        <v>153</v>
      </c>
      <c r="DK926" s="124" t="s">
        <v>153</v>
      </c>
      <c r="DL926" s="125" t="s">
        <v>153</v>
      </c>
      <c r="DM926" s="126" t="s">
        <v>153</v>
      </c>
      <c r="DN926" s="127" t="s">
        <v>153</v>
      </c>
      <c r="DO926" s="128" t="s">
        <v>153</v>
      </c>
      <c r="DP926" s="129" t="s">
        <v>153</v>
      </c>
      <c r="DQ926" s="130" t="s">
        <v>153</v>
      </c>
      <c r="DR926" s="131" t="s">
        <v>153</v>
      </c>
      <c r="DS926" s="132" t="s">
        <v>153</v>
      </c>
      <c r="DT926" s="133" t="s">
        <v>153</v>
      </c>
      <c r="DU926" s="134" t="s">
        <v>153</v>
      </c>
      <c r="DV926" s="135" t="s">
        <v>153</v>
      </c>
      <c r="DW926" s="136" t="s">
        <v>153</v>
      </c>
      <c r="DX926" s="137" t="s">
        <v>153</v>
      </c>
      <c r="DY926" s="138" t="s">
        <v>153</v>
      </c>
      <c r="DZ926" s="139" t="s">
        <v>191</v>
      </c>
      <c r="EA926" s="140">
        <v>44328</v>
      </c>
      <c r="EB926" s="141">
        <v>5400</v>
      </c>
      <c r="EC926" s="142">
        <v>43647</v>
      </c>
      <c r="ED926" s="143" t="s">
        <v>226</v>
      </c>
      <c r="EE926" s="278" t="str">
        <f>HYPERLINK("https://my.pitchbook.com?c=232807-60", "View company online")</f>
        <v>View company online</v>
      </c>
    </row>
    <row r="927" spans="1:135" x14ac:dyDescent="0.45">
      <c r="A927" s="144" t="s">
        <v>18282</v>
      </c>
      <c r="B927" s="145" t="s">
        <v>18283</v>
      </c>
      <c r="C927" s="146" t="s">
        <v>153</v>
      </c>
      <c r="D927" s="147" t="s">
        <v>153</v>
      </c>
      <c r="E927" s="148" t="s">
        <v>18284</v>
      </c>
      <c r="F927" s="149" t="s">
        <v>153</v>
      </c>
      <c r="G927" s="150" t="s">
        <v>18285</v>
      </c>
      <c r="H927" s="151" t="s">
        <v>18286</v>
      </c>
      <c r="I927" s="152" t="s">
        <v>18282</v>
      </c>
      <c r="J927" s="153" t="s">
        <v>18287</v>
      </c>
      <c r="K927" s="154" t="s">
        <v>198</v>
      </c>
      <c r="L927" s="155" t="s">
        <v>984</v>
      </c>
      <c r="M927" s="156" t="s">
        <v>3544</v>
      </c>
      <c r="N927" s="157" t="s">
        <v>18288</v>
      </c>
      <c r="O927" s="158" t="s">
        <v>1789</v>
      </c>
      <c r="P927" s="159" t="s">
        <v>18289</v>
      </c>
      <c r="Q927" s="160" t="s">
        <v>564</v>
      </c>
      <c r="R927" s="161">
        <v>185.62</v>
      </c>
      <c r="S927" s="162" t="s">
        <v>290</v>
      </c>
      <c r="T927" s="163" t="s">
        <v>164</v>
      </c>
      <c r="U927" s="164" t="s">
        <v>5464</v>
      </c>
      <c r="V927" s="165" t="s">
        <v>18290</v>
      </c>
      <c r="W927" s="166">
        <v>1900</v>
      </c>
      <c r="X927" s="167" t="s">
        <v>18291</v>
      </c>
      <c r="Y927" s="168" t="s">
        <v>153</v>
      </c>
      <c r="Z927" s="169" t="s">
        <v>153</v>
      </c>
      <c r="AA927" s="170">
        <v>1969</v>
      </c>
      <c r="AB927" s="171" t="s">
        <v>18292</v>
      </c>
      <c r="AC927" s="172" t="s">
        <v>153</v>
      </c>
      <c r="AD927" s="173" t="s">
        <v>428</v>
      </c>
      <c r="AE927" s="174" t="s">
        <v>153</v>
      </c>
      <c r="AF927" s="175" t="s">
        <v>153</v>
      </c>
      <c r="AG927" s="176" t="s">
        <v>153</v>
      </c>
      <c r="AH927" s="177" t="s">
        <v>153</v>
      </c>
      <c r="AI927" s="178" t="s">
        <v>153</v>
      </c>
      <c r="AJ927" s="179" t="s">
        <v>153</v>
      </c>
      <c r="AK927" s="180" t="s">
        <v>153</v>
      </c>
      <c r="AL927" s="181" t="s">
        <v>153</v>
      </c>
      <c r="AM927" s="182" t="s">
        <v>153</v>
      </c>
      <c r="AN927" s="183" t="s">
        <v>1765</v>
      </c>
      <c r="AO927" s="184" t="s">
        <v>18293</v>
      </c>
      <c r="AP927" s="185" t="s">
        <v>18294</v>
      </c>
      <c r="AQ927" s="186" t="s">
        <v>171</v>
      </c>
      <c r="AR927" s="187" t="s">
        <v>18295</v>
      </c>
      <c r="AS927" s="188" t="s">
        <v>18296</v>
      </c>
      <c r="AT927" s="189" t="s">
        <v>1287</v>
      </c>
      <c r="AU927" s="190" t="s">
        <v>18297</v>
      </c>
      <c r="AV927" s="191" t="s">
        <v>13674</v>
      </c>
      <c r="AW927" s="192" t="s">
        <v>1290</v>
      </c>
      <c r="AX927" s="193" t="s">
        <v>1291</v>
      </c>
      <c r="AY927" s="194" t="s">
        <v>1292</v>
      </c>
      <c r="AZ927" s="195" t="s">
        <v>215</v>
      </c>
      <c r="BA927" s="196" t="s">
        <v>18296</v>
      </c>
      <c r="BB927" s="197" t="s">
        <v>153</v>
      </c>
      <c r="BC927" s="198" t="s">
        <v>18298</v>
      </c>
      <c r="BD927" s="199" t="s">
        <v>216</v>
      </c>
      <c r="BE927" s="200" t="s">
        <v>217</v>
      </c>
      <c r="BF927" s="201" t="s">
        <v>18299</v>
      </c>
      <c r="BG927" s="202" t="s">
        <v>153</v>
      </c>
      <c r="BH927" s="203" t="s">
        <v>153</v>
      </c>
      <c r="BI927" s="204" t="s">
        <v>18292</v>
      </c>
      <c r="BJ927" s="205" t="s">
        <v>18300</v>
      </c>
      <c r="BK927" s="206" t="s">
        <v>153</v>
      </c>
      <c r="BL927" s="207" t="s">
        <v>153</v>
      </c>
      <c r="BM927" s="208" t="s">
        <v>18301</v>
      </c>
      <c r="BN927" s="209" t="s">
        <v>153</v>
      </c>
      <c r="BO927" s="210" t="s">
        <v>153</v>
      </c>
      <c r="BP927" s="211" t="s">
        <v>18302</v>
      </c>
      <c r="BQ927" s="212">
        <v>36495</v>
      </c>
      <c r="BR927" s="213" t="s">
        <v>153</v>
      </c>
      <c r="BS927" s="214" t="s">
        <v>153</v>
      </c>
      <c r="BT927" s="215" t="s">
        <v>153</v>
      </c>
      <c r="BU927" s="216" t="s">
        <v>153</v>
      </c>
      <c r="BV927" s="217" t="s">
        <v>188</v>
      </c>
      <c r="BW927" s="218" t="s">
        <v>153</v>
      </c>
      <c r="BX927" s="219" t="s">
        <v>153</v>
      </c>
      <c r="BY927" s="220" t="s">
        <v>165</v>
      </c>
      <c r="BZ927" s="221" t="s">
        <v>153</v>
      </c>
      <c r="CA927" s="222" t="s">
        <v>190</v>
      </c>
      <c r="CB927" s="223">
        <v>44077</v>
      </c>
      <c r="CC927" s="224">
        <v>5398.6</v>
      </c>
      <c r="CD927" s="225" t="s">
        <v>186</v>
      </c>
      <c r="CE927" s="226">
        <v>5398.6</v>
      </c>
      <c r="CF927" s="227" t="s">
        <v>187</v>
      </c>
      <c r="CG927" s="228" t="s">
        <v>226</v>
      </c>
      <c r="CH927" s="229" t="s">
        <v>153</v>
      </c>
      <c r="CI927" s="230" t="s">
        <v>153</v>
      </c>
      <c r="CJ927" s="231" t="s">
        <v>225</v>
      </c>
      <c r="CK927" s="232">
        <v>44077</v>
      </c>
      <c r="CL927" s="233" t="s">
        <v>153</v>
      </c>
      <c r="CM927" s="234" t="s">
        <v>18303</v>
      </c>
      <c r="CN927" s="235" t="s">
        <v>190</v>
      </c>
      <c r="CO927" s="236" t="s">
        <v>153</v>
      </c>
      <c r="CP927" s="237" t="s">
        <v>153</v>
      </c>
      <c r="CQ927" s="238" t="s">
        <v>153</v>
      </c>
      <c r="CR927" s="239" t="s">
        <v>153</v>
      </c>
      <c r="CS927" s="240" t="s">
        <v>153</v>
      </c>
      <c r="CT927" s="241" t="s">
        <v>153</v>
      </c>
      <c r="CU927" s="242" t="s">
        <v>153</v>
      </c>
      <c r="CV927" s="243" t="s">
        <v>153</v>
      </c>
      <c r="CW927" s="244" t="s">
        <v>153</v>
      </c>
      <c r="CX927" s="245" t="s">
        <v>153</v>
      </c>
      <c r="CY927" s="246" t="s">
        <v>153</v>
      </c>
      <c r="CZ927" s="247" t="s">
        <v>153</v>
      </c>
      <c r="DA927" s="248" t="s">
        <v>153</v>
      </c>
      <c r="DB927" s="249" t="s">
        <v>153</v>
      </c>
      <c r="DC927" s="250" t="s">
        <v>153</v>
      </c>
      <c r="DD927" s="251" t="s">
        <v>153</v>
      </c>
      <c r="DE927" s="252" t="s">
        <v>153</v>
      </c>
      <c r="DF927" s="253" t="s">
        <v>153</v>
      </c>
      <c r="DG927" s="254" t="s">
        <v>153</v>
      </c>
      <c r="DH927" s="255" t="s">
        <v>153</v>
      </c>
      <c r="DI927" s="256" t="s">
        <v>153</v>
      </c>
      <c r="DJ927" s="257" t="s">
        <v>153</v>
      </c>
      <c r="DK927" s="258" t="s">
        <v>153</v>
      </c>
      <c r="DL927" s="259" t="s">
        <v>153</v>
      </c>
      <c r="DM927" s="260" t="s">
        <v>153</v>
      </c>
      <c r="DN927" s="261" t="s">
        <v>153</v>
      </c>
      <c r="DO927" s="262" t="s">
        <v>153</v>
      </c>
      <c r="DP927" s="263" t="s">
        <v>153</v>
      </c>
      <c r="DQ927" s="264" t="s">
        <v>153</v>
      </c>
      <c r="DR927" s="265" t="s">
        <v>153</v>
      </c>
      <c r="DS927" s="266" t="s">
        <v>153</v>
      </c>
      <c r="DT927" s="267" t="s">
        <v>153</v>
      </c>
      <c r="DU927" s="268" t="s">
        <v>153</v>
      </c>
      <c r="DV927" s="269" t="s">
        <v>153</v>
      </c>
      <c r="DW927" s="270" t="s">
        <v>153</v>
      </c>
      <c r="DX927" s="271" t="s">
        <v>153</v>
      </c>
      <c r="DY927" s="272" t="s">
        <v>153</v>
      </c>
      <c r="DZ927" s="273" t="s">
        <v>191</v>
      </c>
      <c r="EA927" s="274">
        <v>44351</v>
      </c>
      <c r="EB927" s="275">
        <v>5398.6</v>
      </c>
      <c r="EC927" s="276">
        <v>44077</v>
      </c>
      <c r="ED927" s="277" t="s">
        <v>226</v>
      </c>
      <c r="EE927" s="279" t="str">
        <f>HYPERLINK("https://my.pitchbook.com?c=10476-37", "View company online")</f>
        <v>View company online</v>
      </c>
    </row>
    <row r="928" spans="1:135" x14ac:dyDescent="0.45">
      <c r="A928" s="10" t="s">
        <v>18304</v>
      </c>
      <c r="B928" s="11" t="s">
        <v>18305</v>
      </c>
      <c r="C928" s="12" t="s">
        <v>153</v>
      </c>
      <c r="D928" s="13" t="s">
        <v>153</v>
      </c>
      <c r="E928" s="14" t="s">
        <v>18306</v>
      </c>
      <c r="F928" s="15" t="s">
        <v>18307</v>
      </c>
      <c r="G928" s="16" t="s">
        <v>18308</v>
      </c>
      <c r="H928" s="17" t="s">
        <v>18309</v>
      </c>
      <c r="I928" s="18" t="s">
        <v>18304</v>
      </c>
      <c r="J928" s="19" t="s">
        <v>18310</v>
      </c>
      <c r="K928" s="20" t="s">
        <v>792</v>
      </c>
      <c r="L928" s="21" t="s">
        <v>3864</v>
      </c>
      <c r="M928" s="22" t="s">
        <v>3865</v>
      </c>
      <c r="N928" s="23" t="s">
        <v>3866</v>
      </c>
      <c r="O928" s="24" t="s">
        <v>3141</v>
      </c>
      <c r="P928" s="25" t="s">
        <v>18311</v>
      </c>
      <c r="Q928" s="26" t="s">
        <v>204</v>
      </c>
      <c r="R928" s="27" t="s">
        <v>153</v>
      </c>
      <c r="S928" s="28" t="s">
        <v>290</v>
      </c>
      <c r="T928" s="29" t="s">
        <v>291</v>
      </c>
      <c r="U928" s="30" t="s">
        <v>369</v>
      </c>
      <c r="V928" s="31" t="s">
        <v>18312</v>
      </c>
      <c r="W928" s="32">
        <v>5001</v>
      </c>
      <c r="X928" s="33" t="s">
        <v>18313</v>
      </c>
      <c r="Y928" s="34" t="s">
        <v>2992</v>
      </c>
      <c r="Z928" s="35" t="s">
        <v>18314</v>
      </c>
      <c r="AA928" s="36">
        <v>1912</v>
      </c>
      <c r="AB928" s="37" t="s">
        <v>18315</v>
      </c>
      <c r="AC928" s="38" t="s">
        <v>153</v>
      </c>
      <c r="AD928" s="39" t="s">
        <v>153</v>
      </c>
      <c r="AE928" s="40">
        <v>6135.74</v>
      </c>
      <c r="AF928" s="41">
        <v>1382.38</v>
      </c>
      <c r="AG928" s="42">
        <v>728.54</v>
      </c>
      <c r="AH928" s="43">
        <v>8816.9</v>
      </c>
      <c r="AI928" s="44">
        <v>1298.5899999999999</v>
      </c>
      <c r="AJ928" s="45">
        <v>948.56</v>
      </c>
      <c r="AK928" s="46">
        <v>5791.61</v>
      </c>
      <c r="AL928" s="47">
        <v>2509.86</v>
      </c>
      <c r="AM928" s="48">
        <v>4.82</v>
      </c>
      <c r="AN928" s="49" t="s">
        <v>5929</v>
      </c>
      <c r="AO928" s="50" t="s">
        <v>18316</v>
      </c>
      <c r="AP928" s="51" t="s">
        <v>18317</v>
      </c>
      <c r="AQ928" s="52" t="s">
        <v>379</v>
      </c>
      <c r="AR928" s="53" t="s">
        <v>18318</v>
      </c>
      <c r="AS928" s="54" t="s">
        <v>18319</v>
      </c>
      <c r="AT928" s="55" t="s">
        <v>18320</v>
      </c>
      <c r="AU928" s="56" t="s">
        <v>18321</v>
      </c>
      <c r="AV928" s="57" t="s">
        <v>18322</v>
      </c>
      <c r="AW928" s="58" t="s">
        <v>18323</v>
      </c>
      <c r="AX928" s="59" t="s">
        <v>153</v>
      </c>
      <c r="AY928" s="60" t="s">
        <v>18324</v>
      </c>
      <c r="AZ928" s="61" t="s">
        <v>3002</v>
      </c>
      <c r="BA928" s="62" t="s">
        <v>18319</v>
      </c>
      <c r="BB928" s="63" t="s">
        <v>153</v>
      </c>
      <c r="BC928" s="64" t="s">
        <v>153</v>
      </c>
      <c r="BD928" s="65" t="s">
        <v>216</v>
      </c>
      <c r="BE928" s="66" t="s">
        <v>3004</v>
      </c>
      <c r="BF928" s="67" t="s">
        <v>18325</v>
      </c>
      <c r="BG928" s="68" t="s">
        <v>18326</v>
      </c>
      <c r="BH928" s="69">
        <v>5</v>
      </c>
      <c r="BI928" s="70" t="s">
        <v>18315</v>
      </c>
      <c r="BJ928" s="71" t="s">
        <v>153</v>
      </c>
      <c r="BK928" s="72" t="s">
        <v>153</v>
      </c>
      <c r="BL928" s="73" t="s">
        <v>18327</v>
      </c>
      <c r="BM928" s="74" t="s">
        <v>153</v>
      </c>
      <c r="BN928" s="75" t="s">
        <v>153</v>
      </c>
      <c r="BO928" s="76" t="s">
        <v>18328</v>
      </c>
      <c r="BP928" s="77" t="s">
        <v>18329</v>
      </c>
      <c r="BQ928" s="78">
        <v>4704</v>
      </c>
      <c r="BR928" s="79" t="s">
        <v>153</v>
      </c>
      <c r="BS928" s="80" t="s">
        <v>153</v>
      </c>
      <c r="BT928" s="81" t="s">
        <v>153</v>
      </c>
      <c r="BU928" s="82" t="s">
        <v>153</v>
      </c>
      <c r="BV928" s="83" t="s">
        <v>589</v>
      </c>
      <c r="BW928" s="84" t="s">
        <v>153</v>
      </c>
      <c r="BX928" s="85" t="s">
        <v>153</v>
      </c>
      <c r="BY928" s="86" t="s">
        <v>165</v>
      </c>
      <c r="BZ928" s="87" t="s">
        <v>153</v>
      </c>
      <c r="CA928" s="88" t="s">
        <v>190</v>
      </c>
      <c r="CB928" s="89">
        <v>42758</v>
      </c>
      <c r="CC928" s="90">
        <v>5375.49</v>
      </c>
      <c r="CD928" s="91" t="s">
        <v>186</v>
      </c>
      <c r="CE928" s="92">
        <v>9838.01</v>
      </c>
      <c r="CF928" s="93" t="s">
        <v>186</v>
      </c>
      <c r="CG928" s="94" t="s">
        <v>226</v>
      </c>
      <c r="CH928" s="95" t="s">
        <v>153</v>
      </c>
      <c r="CI928" s="96" t="s">
        <v>153</v>
      </c>
      <c r="CJ928" s="97" t="s">
        <v>225</v>
      </c>
      <c r="CK928" s="98">
        <v>42758</v>
      </c>
      <c r="CL928" s="99" t="s">
        <v>153</v>
      </c>
      <c r="CM928" s="100" t="s">
        <v>153</v>
      </c>
      <c r="CN928" s="101" t="s">
        <v>190</v>
      </c>
      <c r="CO928" s="102">
        <v>0.1</v>
      </c>
      <c r="CP928" s="103">
        <v>89</v>
      </c>
      <c r="CQ928" s="104">
        <v>-0.03</v>
      </c>
      <c r="CR928" s="105">
        <v>-25.26</v>
      </c>
      <c r="CS928" s="106">
        <v>0.18</v>
      </c>
      <c r="CT928" s="107">
        <v>90</v>
      </c>
      <c r="CU928" s="108">
        <v>0.02</v>
      </c>
      <c r="CV928" s="109">
        <v>78</v>
      </c>
      <c r="CW928" s="110" t="s">
        <v>153</v>
      </c>
      <c r="CX928" s="111" t="s">
        <v>153</v>
      </c>
      <c r="CY928" s="112">
        <v>0.18</v>
      </c>
      <c r="CZ928" s="113">
        <v>91</v>
      </c>
      <c r="DA928" s="114">
        <v>0.02</v>
      </c>
      <c r="DB928" s="115">
        <v>78</v>
      </c>
      <c r="DC928" s="116">
        <v>65.84</v>
      </c>
      <c r="DD928" s="117">
        <v>99</v>
      </c>
      <c r="DE928" s="118">
        <v>-0.31</v>
      </c>
      <c r="DF928" s="119">
        <v>-0.46</v>
      </c>
      <c r="DG928" s="120">
        <v>97.25</v>
      </c>
      <c r="DH928" s="121">
        <v>99</v>
      </c>
      <c r="DI928" s="122">
        <v>34.44</v>
      </c>
      <c r="DJ928" s="123">
        <v>94</v>
      </c>
      <c r="DK928" s="124" t="s">
        <v>153</v>
      </c>
      <c r="DL928" s="125" t="s">
        <v>153</v>
      </c>
      <c r="DM928" s="126">
        <v>97.25</v>
      </c>
      <c r="DN928" s="127">
        <v>99</v>
      </c>
      <c r="DO928" s="128">
        <v>34.44</v>
      </c>
      <c r="DP928" s="129">
        <v>94</v>
      </c>
      <c r="DQ928" s="130" t="s">
        <v>153</v>
      </c>
      <c r="DR928" s="131" t="s">
        <v>153</v>
      </c>
      <c r="DS928" s="132" t="s">
        <v>153</v>
      </c>
      <c r="DT928" s="133">
        <v>1563</v>
      </c>
      <c r="DU928" s="134">
        <v>-9</v>
      </c>
      <c r="DV928" s="135">
        <v>-0.56999999999999995</v>
      </c>
      <c r="DW928" s="136">
        <v>10766</v>
      </c>
      <c r="DX928" s="137">
        <v>31</v>
      </c>
      <c r="DY928" s="138">
        <v>0.28999999999999998</v>
      </c>
      <c r="DZ928" s="139" t="s">
        <v>191</v>
      </c>
      <c r="EA928" s="140">
        <v>44272</v>
      </c>
      <c r="EB928" s="141">
        <v>9838.01</v>
      </c>
      <c r="EC928" s="142">
        <v>42758</v>
      </c>
      <c r="ED928" s="143" t="s">
        <v>226</v>
      </c>
      <c r="EE928" s="278" t="str">
        <f>HYPERLINK("https://my.pitchbook.com?c=43041-97", "View company online")</f>
        <v>View company online</v>
      </c>
    </row>
    <row r="929" spans="1:135" x14ac:dyDescent="0.45">
      <c r="A929" s="144" t="s">
        <v>18330</v>
      </c>
      <c r="B929" s="145" t="s">
        <v>18331</v>
      </c>
      <c r="C929" s="146" t="s">
        <v>153</v>
      </c>
      <c r="D929" s="147" t="s">
        <v>153</v>
      </c>
      <c r="E929" s="148" t="s">
        <v>18332</v>
      </c>
      <c r="F929" s="149" t="s">
        <v>153</v>
      </c>
      <c r="G929" s="150" t="s">
        <v>18333</v>
      </c>
      <c r="H929" s="151" t="s">
        <v>18334</v>
      </c>
      <c r="I929" s="152" t="s">
        <v>18330</v>
      </c>
      <c r="J929" s="153" t="s">
        <v>18335</v>
      </c>
      <c r="K929" s="154" t="s">
        <v>198</v>
      </c>
      <c r="L929" s="155" t="s">
        <v>984</v>
      </c>
      <c r="M929" s="156" t="s">
        <v>1165</v>
      </c>
      <c r="N929" s="157" t="s">
        <v>18336</v>
      </c>
      <c r="O929" s="158" t="s">
        <v>1061</v>
      </c>
      <c r="P929" s="159" t="s">
        <v>18337</v>
      </c>
      <c r="Q929" s="160" t="s">
        <v>162</v>
      </c>
      <c r="R929" s="161">
        <v>473.7</v>
      </c>
      <c r="S929" s="162" t="s">
        <v>163</v>
      </c>
      <c r="T929" s="163" t="s">
        <v>1392</v>
      </c>
      <c r="U929" s="164" t="s">
        <v>2025</v>
      </c>
      <c r="V929" s="165" t="s">
        <v>18338</v>
      </c>
      <c r="W929" s="166">
        <v>2048</v>
      </c>
      <c r="X929" s="167" t="s">
        <v>18339</v>
      </c>
      <c r="Y929" s="168" t="s">
        <v>153</v>
      </c>
      <c r="Z929" s="169" t="s">
        <v>153</v>
      </c>
      <c r="AA929" s="170">
        <v>1977</v>
      </c>
      <c r="AB929" s="171" t="s">
        <v>153</v>
      </c>
      <c r="AC929" s="172" t="s">
        <v>153</v>
      </c>
      <c r="AD929" s="173" t="s">
        <v>428</v>
      </c>
      <c r="AE929" s="174">
        <v>6.53</v>
      </c>
      <c r="AF929" s="175" t="s">
        <v>153</v>
      </c>
      <c r="AG929" s="176" t="s">
        <v>153</v>
      </c>
      <c r="AH929" s="177" t="s">
        <v>153</v>
      </c>
      <c r="AI929" s="178">
        <v>0.32</v>
      </c>
      <c r="AJ929" s="179">
        <v>0.32</v>
      </c>
      <c r="AK929" s="180" t="s">
        <v>153</v>
      </c>
      <c r="AL929" s="181">
        <v>0</v>
      </c>
      <c r="AM929" s="182">
        <v>56.74</v>
      </c>
      <c r="AN929" s="183" t="s">
        <v>168</v>
      </c>
      <c r="AO929" s="184" t="s">
        <v>18340</v>
      </c>
      <c r="AP929" s="185" t="s">
        <v>18341</v>
      </c>
      <c r="AQ929" s="186" t="s">
        <v>512</v>
      </c>
      <c r="AR929" s="187" t="s">
        <v>18342</v>
      </c>
      <c r="AS929" s="188" t="s">
        <v>18343</v>
      </c>
      <c r="AT929" s="189" t="s">
        <v>677</v>
      </c>
      <c r="AU929" s="190" t="s">
        <v>18344</v>
      </c>
      <c r="AV929" s="191" t="s">
        <v>153</v>
      </c>
      <c r="AW929" s="192" t="s">
        <v>679</v>
      </c>
      <c r="AX929" s="193" t="s">
        <v>153</v>
      </c>
      <c r="AY929" s="194" t="s">
        <v>10487</v>
      </c>
      <c r="AZ929" s="195" t="s">
        <v>681</v>
      </c>
      <c r="BA929" s="196" t="s">
        <v>18343</v>
      </c>
      <c r="BB929" s="197" t="s">
        <v>18345</v>
      </c>
      <c r="BC929" s="198" t="s">
        <v>153</v>
      </c>
      <c r="BD929" s="199" t="s">
        <v>180</v>
      </c>
      <c r="BE929" s="200" t="s">
        <v>684</v>
      </c>
      <c r="BF929" s="201" t="s">
        <v>18346</v>
      </c>
      <c r="BG929" s="202" t="s">
        <v>18347</v>
      </c>
      <c r="BH929" s="203">
        <v>8</v>
      </c>
      <c r="BI929" s="204" t="s">
        <v>153</v>
      </c>
      <c r="BJ929" s="205" t="s">
        <v>18348</v>
      </c>
      <c r="BK929" s="206" t="s">
        <v>9333</v>
      </c>
      <c r="BL929" s="207" t="s">
        <v>18349</v>
      </c>
      <c r="BM929" s="208" t="s">
        <v>18350</v>
      </c>
      <c r="BN929" s="209" t="s">
        <v>18351</v>
      </c>
      <c r="BO929" s="210" t="s">
        <v>153</v>
      </c>
      <c r="BP929" s="211" t="s">
        <v>18352</v>
      </c>
      <c r="BQ929" s="212" t="s">
        <v>153</v>
      </c>
      <c r="BR929" s="213" t="s">
        <v>153</v>
      </c>
      <c r="BS929" s="214" t="s">
        <v>153</v>
      </c>
      <c r="BT929" s="215" t="s">
        <v>153</v>
      </c>
      <c r="BU929" s="216" t="s">
        <v>153</v>
      </c>
      <c r="BV929" s="217" t="s">
        <v>709</v>
      </c>
      <c r="BW929" s="218" t="s">
        <v>153</v>
      </c>
      <c r="BX929" s="219" t="s">
        <v>153</v>
      </c>
      <c r="BY929" s="220" t="s">
        <v>165</v>
      </c>
      <c r="BZ929" s="221" t="s">
        <v>153</v>
      </c>
      <c r="CA929" s="222" t="s">
        <v>190</v>
      </c>
      <c r="CB929" s="223">
        <v>44108</v>
      </c>
      <c r="CC929" s="224">
        <v>5367.2</v>
      </c>
      <c r="CD929" s="225" t="s">
        <v>186</v>
      </c>
      <c r="CE929" s="226">
        <v>5367.2</v>
      </c>
      <c r="CF929" s="227" t="s">
        <v>187</v>
      </c>
      <c r="CG929" s="228" t="s">
        <v>226</v>
      </c>
      <c r="CH929" s="229" t="s">
        <v>153</v>
      </c>
      <c r="CI929" s="230" t="s">
        <v>153</v>
      </c>
      <c r="CJ929" s="231" t="s">
        <v>225</v>
      </c>
      <c r="CK929" s="232">
        <v>44108</v>
      </c>
      <c r="CL929" s="233" t="s">
        <v>153</v>
      </c>
      <c r="CM929" s="234" t="s">
        <v>153</v>
      </c>
      <c r="CN929" s="235" t="s">
        <v>1278</v>
      </c>
      <c r="CO929" s="236">
        <v>0</v>
      </c>
      <c r="CP929" s="237">
        <v>11</v>
      </c>
      <c r="CQ929" s="238">
        <v>-0.04</v>
      </c>
      <c r="CR929" s="239">
        <v>-98.74</v>
      </c>
      <c r="CS929" s="240">
        <v>-0.39</v>
      </c>
      <c r="CT929" s="241">
        <v>6</v>
      </c>
      <c r="CU929" s="242">
        <v>0.39</v>
      </c>
      <c r="CV929" s="243">
        <v>95</v>
      </c>
      <c r="CW929" s="244" t="s">
        <v>153</v>
      </c>
      <c r="CX929" s="245" t="s">
        <v>153</v>
      </c>
      <c r="CY929" s="246">
        <v>-0.39</v>
      </c>
      <c r="CZ929" s="247">
        <v>3</v>
      </c>
      <c r="DA929" s="248">
        <v>0.39</v>
      </c>
      <c r="DB929" s="249">
        <v>95</v>
      </c>
      <c r="DC929" s="250">
        <v>39.75</v>
      </c>
      <c r="DD929" s="251">
        <v>98</v>
      </c>
      <c r="DE929" s="252">
        <v>-0.06</v>
      </c>
      <c r="DF929" s="253">
        <v>-0.14000000000000001</v>
      </c>
      <c r="DG929" s="254">
        <v>72.44</v>
      </c>
      <c r="DH929" s="255">
        <v>99</v>
      </c>
      <c r="DI929" s="256">
        <v>7.07</v>
      </c>
      <c r="DJ929" s="257">
        <v>83</v>
      </c>
      <c r="DK929" s="258" t="s">
        <v>153</v>
      </c>
      <c r="DL929" s="259" t="s">
        <v>153</v>
      </c>
      <c r="DM929" s="260">
        <v>72.44</v>
      </c>
      <c r="DN929" s="261">
        <v>99</v>
      </c>
      <c r="DO929" s="262">
        <v>7.07</v>
      </c>
      <c r="DP929" s="263">
        <v>83</v>
      </c>
      <c r="DQ929" s="264" t="s">
        <v>153</v>
      </c>
      <c r="DR929" s="265" t="s">
        <v>153</v>
      </c>
      <c r="DS929" s="266" t="s">
        <v>153</v>
      </c>
      <c r="DT929" s="267">
        <v>1160</v>
      </c>
      <c r="DU929" s="268">
        <v>-3</v>
      </c>
      <c r="DV929" s="269">
        <v>-0.26</v>
      </c>
      <c r="DW929" s="270">
        <v>2216</v>
      </c>
      <c r="DX929" s="271">
        <v>11</v>
      </c>
      <c r="DY929" s="272">
        <v>0.5</v>
      </c>
      <c r="DZ929" s="273" t="s">
        <v>191</v>
      </c>
      <c r="EA929" s="274">
        <v>44402</v>
      </c>
      <c r="EB929" s="275">
        <v>5367.2</v>
      </c>
      <c r="EC929" s="276">
        <v>44108</v>
      </c>
      <c r="ED929" s="277" t="s">
        <v>226</v>
      </c>
      <c r="EE929" s="279" t="str">
        <f>HYPERLINK("https://my.pitchbook.com?c=60550-30", "View company online")</f>
        <v>View company online</v>
      </c>
    </row>
    <row r="930" spans="1:135" x14ac:dyDescent="0.45">
      <c r="A930" s="10" t="s">
        <v>18353</v>
      </c>
      <c r="B930" s="11" t="s">
        <v>18354</v>
      </c>
      <c r="C930" s="12" t="s">
        <v>153</v>
      </c>
      <c r="D930" s="13" t="s">
        <v>153</v>
      </c>
      <c r="E930" s="14" t="s">
        <v>153</v>
      </c>
      <c r="F930" s="15" t="s">
        <v>153</v>
      </c>
      <c r="G930" s="16" t="s">
        <v>153</v>
      </c>
      <c r="H930" s="17" t="s">
        <v>153</v>
      </c>
      <c r="I930" s="18" t="s">
        <v>18353</v>
      </c>
      <c r="J930" s="19" t="s">
        <v>18355</v>
      </c>
      <c r="K930" s="20" t="s">
        <v>882</v>
      </c>
      <c r="L930" s="21" t="s">
        <v>2888</v>
      </c>
      <c r="M930" s="22" t="s">
        <v>2889</v>
      </c>
      <c r="N930" s="23" t="s">
        <v>2890</v>
      </c>
      <c r="O930" s="24" t="s">
        <v>153</v>
      </c>
      <c r="P930" s="25" t="s">
        <v>18356</v>
      </c>
      <c r="Q930" s="26" t="s">
        <v>162</v>
      </c>
      <c r="R930" s="27" t="s">
        <v>153</v>
      </c>
      <c r="S930" s="28" t="s">
        <v>153</v>
      </c>
      <c r="T930" s="29" t="s">
        <v>1392</v>
      </c>
      <c r="U930" s="30" t="s">
        <v>165</v>
      </c>
      <c r="V930" s="31" t="s">
        <v>153</v>
      </c>
      <c r="W930" s="32" t="s">
        <v>153</v>
      </c>
      <c r="X930" s="33" t="s">
        <v>153</v>
      </c>
      <c r="Y930" s="34" t="s">
        <v>153</v>
      </c>
      <c r="Z930" s="35" t="s">
        <v>153</v>
      </c>
      <c r="AA930" s="36" t="s">
        <v>153</v>
      </c>
      <c r="AB930" s="37" t="s">
        <v>153</v>
      </c>
      <c r="AC930" s="38" t="s">
        <v>153</v>
      </c>
      <c r="AD930" s="39" t="s">
        <v>153</v>
      </c>
      <c r="AE930" s="40" t="s">
        <v>153</v>
      </c>
      <c r="AF930" s="41" t="s">
        <v>153</v>
      </c>
      <c r="AG930" s="42" t="s">
        <v>153</v>
      </c>
      <c r="AH930" s="43" t="s">
        <v>153</v>
      </c>
      <c r="AI930" s="44" t="s">
        <v>153</v>
      </c>
      <c r="AJ930" s="45" t="s">
        <v>153</v>
      </c>
      <c r="AK930" s="46" t="s">
        <v>153</v>
      </c>
      <c r="AL930" s="47" t="s">
        <v>153</v>
      </c>
      <c r="AM930" s="48" t="s">
        <v>153</v>
      </c>
      <c r="AN930" s="49" t="s">
        <v>153</v>
      </c>
      <c r="AO930" s="50" t="s">
        <v>153</v>
      </c>
      <c r="AP930" s="51" t="s">
        <v>153</v>
      </c>
      <c r="AQ930" s="52" t="s">
        <v>153</v>
      </c>
      <c r="AR930" s="53" t="s">
        <v>153</v>
      </c>
      <c r="AS930" s="54" t="s">
        <v>153</v>
      </c>
      <c r="AT930" s="55" t="s">
        <v>153</v>
      </c>
      <c r="AU930" s="56" t="s">
        <v>153</v>
      </c>
      <c r="AV930" s="57" t="s">
        <v>153</v>
      </c>
      <c r="AW930" s="58" t="s">
        <v>153</v>
      </c>
      <c r="AX930" s="59" t="s">
        <v>153</v>
      </c>
      <c r="AY930" s="60" t="s">
        <v>153</v>
      </c>
      <c r="AZ930" s="61" t="s">
        <v>153</v>
      </c>
      <c r="BA930" s="62" t="s">
        <v>153</v>
      </c>
      <c r="BB930" s="63" t="s">
        <v>153</v>
      </c>
      <c r="BC930" s="64" t="s">
        <v>153</v>
      </c>
      <c r="BD930" s="65" t="s">
        <v>153</v>
      </c>
      <c r="BE930" s="66" t="s">
        <v>153</v>
      </c>
      <c r="BF930" s="67" t="s">
        <v>18357</v>
      </c>
      <c r="BG930" s="68" t="s">
        <v>18358</v>
      </c>
      <c r="BH930" s="69">
        <v>1</v>
      </c>
      <c r="BI930" s="70" t="s">
        <v>153</v>
      </c>
      <c r="BJ930" s="71" t="s">
        <v>18359</v>
      </c>
      <c r="BK930" s="72" t="s">
        <v>153</v>
      </c>
      <c r="BL930" s="73" t="s">
        <v>18360</v>
      </c>
      <c r="BM930" s="74" t="s">
        <v>18361</v>
      </c>
      <c r="BN930" s="75" t="s">
        <v>153</v>
      </c>
      <c r="BO930" s="76" t="s">
        <v>153</v>
      </c>
      <c r="BP930" s="77" t="s">
        <v>18362</v>
      </c>
      <c r="BQ930" s="78">
        <v>42396</v>
      </c>
      <c r="BR930" s="79">
        <v>5365</v>
      </c>
      <c r="BS930" s="80" t="s">
        <v>186</v>
      </c>
      <c r="BT930" s="81">
        <v>5365</v>
      </c>
      <c r="BU930" s="82" t="s">
        <v>187</v>
      </c>
      <c r="BV930" s="83" t="s">
        <v>188</v>
      </c>
      <c r="BW930" s="84" t="s">
        <v>1525</v>
      </c>
      <c r="BX930" s="85" t="s">
        <v>1526</v>
      </c>
      <c r="BY930" s="86" t="s">
        <v>165</v>
      </c>
      <c r="BZ930" s="87" t="s">
        <v>1432</v>
      </c>
      <c r="CA930" s="88" t="s">
        <v>190</v>
      </c>
      <c r="CB930" s="89">
        <v>42396</v>
      </c>
      <c r="CC930" s="90">
        <v>5365</v>
      </c>
      <c r="CD930" s="91" t="s">
        <v>186</v>
      </c>
      <c r="CE930" s="92">
        <v>5365</v>
      </c>
      <c r="CF930" s="93" t="s">
        <v>187</v>
      </c>
      <c r="CG930" s="94" t="s">
        <v>188</v>
      </c>
      <c r="CH930" s="95" t="s">
        <v>1525</v>
      </c>
      <c r="CI930" s="96" t="s">
        <v>1526</v>
      </c>
      <c r="CJ930" s="97" t="s">
        <v>165</v>
      </c>
      <c r="CK930" s="98">
        <v>42396</v>
      </c>
      <c r="CL930" s="99" t="s">
        <v>153</v>
      </c>
      <c r="CM930" s="100" t="s">
        <v>1432</v>
      </c>
      <c r="CN930" s="101" t="s">
        <v>190</v>
      </c>
      <c r="CO930" s="102" t="s">
        <v>153</v>
      </c>
      <c r="CP930" s="103" t="s">
        <v>153</v>
      </c>
      <c r="CQ930" s="104" t="s">
        <v>153</v>
      </c>
      <c r="CR930" s="105" t="s">
        <v>153</v>
      </c>
      <c r="CS930" s="106" t="s">
        <v>153</v>
      </c>
      <c r="CT930" s="107" t="s">
        <v>153</v>
      </c>
      <c r="CU930" s="108" t="s">
        <v>153</v>
      </c>
      <c r="CV930" s="109" t="s">
        <v>153</v>
      </c>
      <c r="CW930" s="110" t="s">
        <v>153</v>
      </c>
      <c r="CX930" s="111" t="s">
        <v>153</v>
      </c>
      <c r="CY930" s="112" t="s">
        <v>153</v>
      </c>
      <c r="CZ930" s="113" t="s">
        <v>153</v>
      </c>
      <c r="DA930" s="114" t="s">
        <v>153</v>
      </c>
      <c r="DB930" s="115" t="s">
        <v>153</v>
      </c>
      <c r="DC930" s="116" t="s">
        <v>153</v>
      </c>
      <c r="DD930" s="117" t="s">
        <v>153</v>
      </c>
      <c r="DE930" s="118" t="s">
        <v>153</v>
      </c>
      <c r="DF930" s="119" t="s">
        <v>153</v>
      </c>
      <c r="DG930" s="120" t="s">
        <v>153</v>
      </c>
      <c r="DH930" s="121" t="s">
        <v>153</v>
      </c>
      <c r="DI930" s="122" t="s">
        <v>153</v>
      </c>
      <c r="DJ930" s="123" t="s">
        <v>153</v>
      </c>
      <c r="DK930" s="124" t="s">
        <v>153</v>
      </c>
      <c r="DL930" s="125" t="s">
        <v>153</v>
      </c>
      <c r="DM930" s="126" t="s">
        <v>153</v>
      </c>
      <c r="DN930" s="127" t="s">
        <v>153</v>
      </c>
      <c r="DO930" s="128" t="s">
        <v>153</v>
      </c>
      <c r="DP930" s="129" t="s">
        <v>153</v>
      </c>
      <c r="DQ930" s="130" t="s">
        <v>153</v>
      </c>
      <c r="DR930" s="131" t="s">
        <v>153</v>
      </c>
      <c r="DS930" s="132" t="s">
        <v>153</v>
      </c>
      <c r="DT930" s="133" t="s">
        <v>153</v>
      </c>
      <c r="DU930" s="134" t="s">
        <v>153</v>
      </c>
      <c r="DV930" s="135" t="s">
        <v>153</v>
      </c>
      <c r="DW930" s="136" t="s">
        <v>153</v>
      </c>
      <c r="DX930" s="137" t="s">
        <v>153</v>
      </c>
      <c r="DY930" s="138" t="s">
        <v>153</v>
      </c>
      <c r="DZ930" s="139" t="s">
        <v>191</v>
      </c>
      <c r="EA930" s="140">
        <v>44310</v>
      </c>
      <c r="EB930" s="141">
        <v>5365</v>
      </c>
      <c r="EC930" s="142">
        <v>42396</v>
      </c>
      <c r="ED930" s="143" t="s">
        <v>188</v>
      </c>
      <c r="EE930" s="278" t="str">
        <f>HYPERLINK("https://my.pitchbook.com?c=126240-31", "View company online")</f>
        <v>View company online</v>
      </c>
    </row>
    <row r="931" spans="1:135" x14ac:dyDescent="0.45">
      <c r="A931" s="144" t="s">
        <v>18363</v>
      </c>
      <c r="B931" s="145" t="s">
        <v>18364</v>
      </c>
      <c r="C931" s="146" t="s">
        <v>153</v>
      </c>
      <c r="D931" s="147" t="s">
        <v>153</v>
      </c>
      <c r="E931" s="148" t="s">
        <v>153</v>
      </c>
      <c r="F931" s="149" t="s">
        <v>18365</v>
      </c>
      <c r="G931" s="150" t="s">
        <v>18366</v>
      </c>
      <c r="H931" s="151" t="s">
        <v>153</v>
      </c>
      <c r="I931" s="152" t="s">
        <v>18363</v>
      </c>
      <c r="J931" s="153" t="s">
        <v>18367</v>
      </c>
      <c r="K931" s="154" t="s">
        <v>882</v>
      </c>
      <c r="L931" s="155" t="s">
        <v>883</v>
      </c>
      <c r="M931" s="156" t="s">
        <v>3501</v>
      </c>
      <c r="N931" s="157" t="s">
        <v>18368</v>
      </c>
      <c r="O931" s="158" t="s">
        <v>365</v>
      </c>
      <c r="P931" s="159" t="s">
        <v>18369</v>
      </c>
      <c r="Q931" s="160" t="s">
        <v>204</v>
      </c>
      <c r="R931" s="161">
        <v>5906.43</v>
      </c>
      <c r="S931" s="162" t="s">
        <v>163</v>
      </c>
      <c r="T931" s="163" t="s">
        <v>1392</v>
      </c>
      <c r="U931" s="164" t="s">
        <v>5334</v>
      </c>
      <c r="V931" s="165" t="s">
        <v>18370</v>
      </c>
      <c r="W931" s="166" t="s">
        <v>153</v>
      </c>
      <c r="X931" s="167" t="s">
        <v>153</v>
      </c>
      <c r="Y931" s="168" t="s">
        <v>153</v>
      </c>
      <c r="Z931" s="169" t="s">
        <v>153</v>
      </c>
      <c r="AA931" s="170">
        <v>2010</v>
      </c>
      <c r="AB931" s="171" t="s">
        <v>153</v>
      </c>
      <c r="AC931" s="172" t="s">
        <v>153</v>
      </c>
      <c r="AD931" s="173" t="s">
        <v>153</v>
      </c>
      <c r="AE931" s="174" t="s">
        <v>153</v>
      </c>
      <c r="AF931" s="175" t="s">
        <v>153</v>
      </c>
      <c r="AG931" s="176" t="s">
        <v>153</v>
      </c>
      <c r="AH931" s="177" t="s">
        <v>153</v>
      </c>
      <c r="AI931" s="178" t="s">
        <v>153</v>
      </c>
      <c r="AJ931" s="179" t="s">
        <v>153</v>
      </c>
      <c r="AK931" s="180" t="s">
        <v>153</v>
      </c>
      <c r="AL931" s="181" t="s">
        <v>153</v>
      </c>
      <c r="AM931" s="182" t="s">
        <v>153</v>
      </c>
      <c r="AN931" s="183" t="s">
        <v>153</v>
      </c>
      <c r="AO931" s="184" t="s">
        <v>18371</v>
      </c>
      <c r="AP931" s="185" t="s">
        <v>18372</v>
      </c>
      <c r="AQ931" s="186" t="s">
        <v>17005</v>
      </c>
      <c r="AR931" s="187" t="s">
        <v>18373</v>
      </c>
      <c r="AS931" s="188" t="s">
        <v>18374</v>
      </c>
      <c r="AT931" s="189" t="s">
        <v>18375</v>
      </c>
      <c r="AU931" s="190" t="s">
        <v>18376</v>
      </c>
      <c r="AV931" s="191" t="s">
        <v>18377</v>
      </c>
      <c r="AW931" s="192" t="s">
        <v>18378</v>
      </c>
      <c r="AX931" s="193" t="s">
        <v>153</v>
      </c>
      <c r="AY931" s="194" t="s">
        <v>18379</v>
      </c>
      <c r="AZ931" s="195" t="s">
        <v>1519</v>
      </c>
      <c r="BA931" s="196" t="s">
        <v>18374</v>
      </c>
      <c r="BB931" s="197" t="s">
        <v>18380</v>
      </c>
      <c r="BC931" s="198" t="s">
        <v>18381</v>
      </c>
      <c r="BD931" s="199" t="s">
        <v>1406</v>
      </c>
      <c r="BE931" s="200" t="s">
        <v>1407</v>
      </c>
      <c r="BF931" s="201" t="s">
        <v>18382</v>
      </c>
      <c r="BG931" s="202" t="s">
        <v>18383</v>
      </c>
      <c r="BH931" s="203">
        <v>2</v>
      </c>
      <c r="BI931" s="204" t="s">
        <v>153</v>
      </c>
      <c r="BJ931" s="205" t="s">
        <v>153</v>
      </c>
      <c r="BK931" s="206" t="s">
        <v>153</v>
      </c>
      <c r="BL931" s="207" t="s">
        <v>18384</v>
      </c>
      <c r="BM931" s="208" t="s">
        <v>153</v>
      </c>
      <c r="BN931" s="209" t="s">
        <v>153</v>
      </c>
      <c r="BO931" s="210" t="s">
        <v>153</v>
      </c>
      <c r="BP931" s="211" t="s">
        <v>153</v>
      </c>
      <c r="BQ931" s="212">
        <v>40246</v>
      </c>
      <c r="BR931" s="213">
        <v>544.91999999999996</v>
      </c>
      <c r="BS931" s="214" t="s">
        <v>187</v>
      </c>
      <c r="BT931" s="215" t="s">
        <v>153</v>
      </c>
      <c r="BU931" s="216" t="s">
        <v>153</v>
      </c>
      <c r="BV931" s="217" t="s">
        <v>224</v>
      </c>
      <c r="BW931" s="218" t="s">
        <v>153</v>
      </c>
      <c r="BX931" s="219" t="s">
        <v>153</v>
      </c>
      <c r="BY931" s="220" t="s">
        <v>321</v>
      </c>
      <c r="BZ931" s="221" t="s">
        <v>153</v>
      </c>
      <c r="CA931" s="222" t="s">
        <v>190</v>
      </c>
      <c r="CB931" s="223">
        <v>42164</v>
      </c>
      <c r="CC931" s="224">
        <v>5361.52</v>
      </c>
      <c r="CD931" s="225" t="s">
        <v>186</v>
      </c>
      <c r="CE931" s="226" t="s">
        <v>153</v>
      </c>
      <c r="CF931" s="227" t="s">
        <v>153</v>
      </c>
      <c r="CG931" s="228" t="s">
        <v>4289</v>
      </c>
      <c r="CH931" s="229" t="s">
        <v>18385</v>
      </c>
      <c r="CI931" s="230" t="s">
        <v>153</v>
      </c>
      <c r="CJ931" s="231" t="s">
        <v>4290</v>
      </c>
      <c r="CK931" s="232">
        <v>42164</v>
      </c>
      <c r="CL931" s="233">
        <v>5361.52</v>
      </c>
      <c r="CM931" s="234" t="s">
        <v>18386</v>
      </c>
      <c r="CN931" s="235" t="s">
        <v>190</v>
      </c>
      <c r="CO931" s="236">
        <v>-0.19</v>
      </c>
      <c r="CP931" s="237">
        <v>7</v>
      </c>
      <c r="CQ931" s="238">
        <v>-0.16</v>
      </c>
      <c r="CR931" s="239">
        <v>-620.64</v>
      </c>
      <c r="CS931" s="240">
        <v>-0.19</v>
      </c>
      <c r="CT931" s="241">
        <v>7</v>
      </c>
      <c r="CU931" s="242" t="s">
        <v>153</v>
      </c>
      <c r="CV931" s="243" t="s">
        <v>153</v>
      </c>
      <c r="CW931" s="244" t="s">
        <v>153</v>
      </c>
      <c r="CX931" s="245" t="s">
        <v>153</v>
      </c>
      <c r="CY931" s="246">
        <v>-0.19</v>
      </c>
      <c r="CZ931" s="247">
        <v>4</v>
      </c>
      <c r="DA931" s="248" t="s">
        <v>153</v>
      </c>
      <c r="DB931" s="249" t="s">
        <v>153</v>
      </c>
      <c r="DC931" s="250">
        <v>23.06</v>
      </c>
      <c r="DD931" s="251">
        <v>96</v>
      </c>
      <c r="DE931" s="252">
        <v>-0.63</v>
      </c>
      <c r="DF931" s="253">
        <v>-2.64</v>
      </c>
      <c r="DG931" s="254">
        <v>23.06</v>
      </c>
      <c r="DH931" s="255">
        <v>96</v>
      </c>
      <c r="DI931" s="256" t="s">
        <v>153</v>
      </c>
      <c r="DJ931" s="257" t="s">
        <v>153</v>
      </c>
      <c r="DK931" s="258" t="s">
        <v>153</v>
      </c>
      <c r="DL931" s="259" t="s">
        <v>153</v>
      </c>
      <c r="DM931" s="260">
        <v>23.06</v>
      </c>
      <c r="DN931" s="261">
        <v>96</v>
      </c>
      <c r="DO931" s="262" t="s">
        <v>153</v>
      </c>
      <c r="DP931" s="263" t="s">
        <v>153</v>
      </c>
      <c r="DQ931" s="264" t="s">
        <v>153</v>
      </c>
      <c r="DR931" s="265" t="s">
        <v>153</v>
      </c>
      <c r="DS931" s="266" t="s">
        <v>153</v>
      </c>
      <c r="DT931" s="267">
        <v>373</v>
      </c>
      <c r="DU931" s="268">
        <v>-6</v>
      </c>
      <c r="DV931" s="269">
        <v>-1.58</v>
      </c>
      <c r="DW931" s="270" t="s">
        <v>153</v>
      </c>
      <c r="DX931" s="271" t="s">
        <v>153</v>
      </c>
      <c r="DY931" s="272" t="s">
        <v>153</v>
      </c>
      <c r="DZ931" s="273" t="s">
        <v>191</v>
      </c>
      <c r="EA931" s="274">
        <v>44147</v>
      </c>
      <c r="EB931" s="275" t="s">
        <v>153</v>
      </c>
      <c r="EC931" s="276" t="s">
        <v>153</v>
      </c>
      <c r="ED931" s="277" t="s">
        <v>153</v>
      </c>
      <c r="EE931" s="279" t="str">
        <f>HYPERLINK("https://my.pitchbook.com?c=99691-84", "View company online")</f>
        <v>View company online</v>
      </c>
    </row>
    <row r="932" spans="1:135" x14ac:dyDescent="0.45">
      <c r="A932" s="10" t="s">
        <v>18387</v>
      </c>
      <c r="B932" s="11" t="s">
        <v>18388</v>
      </c>
      <c r="C932" s="12" t="s">
        <v>153</v>
      </c>
      <c r="D932" s="13" t="s">
        <v>153</v>
      </c>
      <c r="E932" s="14" t="s">
        <v>18389</v>
      </c>
      <c r="F932" s="15" t="s">
        <v>18390</v>
      </c>
      <c r="G932" s="16" t="s">
        <v>18391</v>
      </c>
      <c r="H932" s="17" t="s">
        <v>153</v>
      </c>
      <c r="I932" s="18" t="s">
        <v>18387</v>
      </c>
      <c r="J932" s="19" t="s">
        <v>18392</v>
      </c>
      <c r="K932" s="20" t="s">
        <v>232</v>
      </c>
      <c r="L932" s="21" t="s">
        <v>233</v>
      </c>
      <c r="M932" s="22" t="s">
        <v>3219</v>
      </c>
      <c r="N932" s="23" t="s">
        <v>3220</v>
      </c>
      <c r="O932" s="24" t="s">
        <v>153</v>
      </c>
      <c r="P932" s="25" t="s">
        <v>18393</v>
      </c>
      <c r="Q932" s="26" t="s">
        <v>204</v>
      </c>
      <c r="R932" s="27" t="s">
        <v>153</v>
      </c>
      <c r="S932" s="28" t="s">
        <v>163</v>
      </c>
      <c r="T932" s="29" t="s">
        <v>205</v>
      </c>
      <c r="U932" s="30" t="s">
        <v>206</v>
      </c>
      <c r="V932" s="31" t="s">
        <v>18394</v>
      </c>
      <c r="W932" s="32" t="s">
        <v>153</v>
      </c>
      <c r="X932" s="33" t="s">
        <v>153</v>
      </c>
      <c r="Y932" s="34" t="s">
        <v>153</v>
      </c>
      <c r="Z932" s="35" t="s">
        <v>153</v>
      </c>
      <c r="AA932" s="36" t="s">
        <v>153</v>
      </c>
      <c r="AB932" s="37" t="s">
        <v>153</v>
      </c>
      <c r="AC932" s="38" t="s">
        <v>153</v>
      </c>
      <c r="AD932" s="39" t="s">
        <v>153</v>
      </c>
      <c r="AE932" s="40" t="s">
        <v>153</v>
      </c>
      <c r="AF932" s="41" t="s">
        <v>153</v>
      </c>
      <c r="AG932" s="42" t="s">
        <v>153</v>
      </c>
      <c r="AH932" s="43" t="s">
        <v>153</v>
      </c>
      <c r="AI932" s="44" t="s">
        <v>153</v>
      </c>
      <c r="AJ932" s="45" t="s">
        <v>153</v>
      </c>
      <c r="AK932" s="46" t="s">
        <v>153</v>
      </c>
      <c r="AL932" s="47" t="s">
        <v>153</v>
      </c>
      <c r="AM932" s="48" t="s">
        <v>153</v>
      </c>
      <c r="AN932" s="49" t="s">
        <v>153</v>
      </c>
      <c r="AO932" s="50" t="s">
        <v>153</v>
      </c>
      <c r="AP932" s="51" t="s">
        <v>153</v>
      </c>
      <c r="AQ932" s="52" t="s">
        <v>153</v>
      </c>
      <c r="AR932" s="53" t="s">
        <v>153</v>
      </c>
      <c r="AS932" s="54" t="s">
        <v>153</v>
      </c>
      <c r="AT932" s="55" t="s">
        <v>18395</v>
      </c>
      <c r="AU932" s="56" t="s">
        <v>18396</v>
      </c>
      <c r="AV932" s="57" t="s">
        <v>153</v>
      </c>
      <c r="AW932" s="58" t="s">
        <v>18397</v>
      </c>
      <c r="AX932" s="59" t="s">
        <v>153</v>
      </c>
      <c r="AY932" s="60" t="s">
        <v>18398</v>
      </c>
      <c r="AZ932" s="61" t="s">
        <v>18399</v>
      </c>
      <c r="BA932" s="62" t="s">
        <v>153</v>
      </c>
      <c r="BB932" s="63" t="s">
        <v>153</v>
      </c>
      <c r="BC932" s="64" t="s">
        <v>153</v>
      </c>
      <c r="BD932" s="65" t="s">
        <v>180</v>
      </c>
      <c r="BE932" s="66" t="s">
        <v>2051</v>
      </c>
      <c r="BF932" s="67" t="s">
        <v>18400</v>
      </c>
      <c r="BG932" s="68" t="s">
        <v>153</v>
      </c>
      <c r="BH932" s="69" t="s">
        <v>153</v>
      </c>
      <c r="BI932" s="70" t="s">
        <v>18401</v>
      </c>
      <c r="BJ932" s="71" t="s">
        <v>153</v>
      </c>
      <c r="BK932" s="72" t="s">
        <v>153</v>
      </c>
      <c r="BL932" s="73" t="s">
        <v>153</v>
      </c>
      <c r="BM932" s="74" t="s">
        <v>153</v>
      </c>
      <c r="BN932" s="75" t="s">
        <v>153</v>
      </c>
      <c r="BO932" s="76" t="s">
        <v>6111</v>
      </c>
      <c r="BP932" s="77" t="s">
        <v>18402</v>
      </c>
      <c r="BQ932" s="78">
        <v>39114</v>
      </c>
      <c r="BR932" s="79">
        <v>5359.55</v>
      </c>
      <c r="BS932" s="80" t="s">
        <v>186</v>
      </c>
      <c r="BT932" s="81">
        <v>5359.55</v>
      </c>
      <c r="BU932" s="82" t="s">
        <v>186</v>
      </c>
      <c r="BV932" s="83" t="s">
        <v>226</v>
      </c>
      <c r="BW932" s="84" t="s">
        <v>153</v>
      </c>
      <c r="BX932" s="85" t="s">
        <v>153</v>
      </c>
      <c r="BY932" s="86" t="s">
        <v>225</v>
      </c>
      <c r="BZ932" s="87" t="s">
        <v>153</v>
      </c>
      <c r="CA932" s="88" t="s">
        <v>190</v>
      </c>
      <c r="CB932" s="89">
        <v>39114</v>
      </c>
      <c r="CC932" s="90">
        <v>5359.55</v>
      </c>
      <c r="CD932" s="91" t="s">
        <v>186</v>
      </c>
      <c r="CE932" s="92">
        <v>5359.55</v>
      </c>
      <c r="CF932" s="93" t="s">
        <v>186</v>
      </c>
      <c r="CG932" s="94" t="s">
        <v>226</v>
      </c>
      <c r="CH932" s="95" t="s">
        <v>153</v>
      </c>
      <c r="CI932" s="96" t="s">
        <v>153</v>
      </c>
      <c r="CJ932" s="97" t="s">
        <v>225</v>
      </c>
      <c r="CK932" s="98">
        <v>39114</v>
      </c>
      <c r="CL932" s="99" t="s">
        <v>153</v>
      </c>
      <c r="CM932" s="100" t="s">
        <v>153</v>
      </c>
      <c r="CN932" s="101" t="s">
        <v>190</v>
      </c>
      <c r="CO932" s="102" t="s">
        <v>153</v>
      </c>
      <c r="CP932" s="103" t="s">
        <v>153</v>
      </c>
      <c r="CQ932" s="104" t="s">
        <v>153</v>
      </c>
      <c r="CR932" s="105" t="s">
        <v>153</v>
      </c>
      <c r="CS932" s="106" t="s">
        <v>153</v>
      </c>
      <c r="CT932" s="107" t="s">
        <v>153</v>
      </c>
      <c r="CU932" s="108" t="s">
        <v>153</v>
      </c>
      <c r="CV932" s="109" t="s">
        <v>153</v>
      </c>
      <c r="CW932" s="110" t="s">
        <v>153</v>
      </c>
      <c r="CX932" s="111" t="s">
        <v>153</v>
      </c>
      <c r="CY932" s="112" t="s">
        <v>153</v>
      </c>
      <c r="CZ932" s="113" t="s">
        <v>153</v>
      </c>
      <c r="DA932" s="114" t="s">
        <v>153</v>
      </c>
      <c r="DB932" s="115" t="s">
        <v>153</v>
      </c>
      <c r="DC932" s="116" t="s">
        <v>153</v>
      </c>
      <c r="DD932" s="117" t="s">
        <v>153</v>
      </c>
      <c r="DE932" s="118" t="s">
        <v>153</v>
      </c>
      <c r="DF932" s="119" t="s">
        <v>153</v>
      </c>
      <c r="DG932" s="120" t="s">
        <v>153</v>
      </c>
      <c r="DH932" s="121" t="s">
        <v>153</v>
      </c>
      <c r="DI932" s="122" t="s">
        <v>153</v>
      </c>
      <c r="DJ932" s="123" t="s">
        <v>153</v>
      </c>
      <c r="DK932" s="124" t="s">
        <v>153</v>
      </c>
      <c r="DL932" s="125" t="s">
        <v>153</v>
      </c>
      <c r="DM932" s="126" t="s">
        <v>153</v>
      </c>
      <c r="DN932" s="127" t="s">
        <v>153</v>
      </c>
      <c r="DO932" s="128" t="s">
        <v>153</v>
      </c>
      <c r="DP932" s="129" t="s">
        <v>153</v>
      </c>
      <c r="DQ932" s="130" t="s">
        <v>153</v>
      </c>
      <c r="DR932" s="131" t="s">
        <v>153</v>
      </c>
      <c r="DS932" s="132" t="s">
        <v>153</v>
      </c>
      <c r="DT932" s="133" t="s">
        <v>153</v>
      </c>
      <c r="DU932" s="134" t="s">
        <v>153</v>
      </c>
      <c r="DV932" s="135" t="s">
        <v>153</v>
      </c>
      <c r="DW932" s="136" t="s">
        <v>153</v>
      </c>
      <c r="DX932" s="137" t="s">
        <v>153</v>
      </c>
      <c r="DY932" s="138" t="s">
        <v>153</v>
      </c>
      <c r="DZ932" s="139" t="s">
        <v>191</v>
      </c>
      <c r="EA932" s="140">
        <v>44363</v>
      </c>
      <c r="EB932" s="141">
        <v>5359.55</v>
      </c>
      <c r="EC932" s="142">
        <v>39114</v>
      </c>
      <c r="ED932" s="143" t="s">
        <v>226</v>
      </c>
      <c r="EE932" s="278" t="str">
        <f>HYPERLINK("https://my.pitchbook.com?c=43641-28", "View company online")</f>
        <v>View company online</v>
      </c>
    </row>
    <row r="933" spans="1:135" x14ac:dyDescent="0.45">
      <c r="A933" s="144" t="s">
        <v>18403</v>
      </c>
      <c r="B933" s="145" t="s">
        <v>18404</v>
      </c>
      <c r="C933" s="146" t="s">
        <v>153</v>
      </c>
      <c r="D933" s="147" t="s">
        <v>153</v>
      </c>
      <c r="E933" s="148" t="s">
        <v>18405</v>
      </c>
      <c r="F933" s="149" t="s">
        <v>153</v>
      </c>
      <c r="G933" s="150" t="s">
        <v>18406</v>
      </c>
      <c r="H933" s="151" t="s">
        <v>18407</v>
      </c>
      <c r="I933" s="152" t="s">
        <v>18403</v>
      </c>
      <c r="J933" s="153" t="s">
        <v>18408</v>
      </c>
      <c r="K933" s="154" t="s">
        <v>198</v>
      </c>
      <c r="L933" s="155" t="s">
        <v>984</v>
      </c>
      <c r="M933" s="156" t="s">
        <v>3544</v>
      </c>
      <c r="N933" s="157" t="s">
        <v>18409</v>
      </c>
      <c r="O933" s="158" t="s">
        <v>399</v>
      </c>
      <c r="P933" s="159" t="s">
        <v>18410</v>
      </c>
      <c r="Q933" s="160" t="s">
        <v>564</v>
      </c>
      <c r="R933" s="161">
        <v>135</v>
      </c>
      <c r="S933" s="162" t="s">
        <v>290</v>
      </c>
      <c r="T933" s="163" t="s">
        <v>1392</v>
      </c>
      <c r="U933" s="164" t="s">
        <v>3170</v>
      </c>
      <c r="V933" s="165" t="s">
        <v>18411</v>
      </c>
      <c r="W933" s="166">
        <v>1400</v>
      </c>
      <c r="X933" s="167" t="s">
        <v>18412</v>
      </c>
      <c r="Y933" s="168" t="s">
        <v>153</v>
      </c>
      <c r="Z933" s="169" t="s">
        <v>153</v>
      </c>
      <c r="AA933" s="170">
        <v>1980</v>
      </c>
      <c r="AB933" s="171" t="s">
        <v>153</v>
      </c>
      <c r="AC933" s="172" t="s">
        <v>153</v>
      </c>
      <c r="AD933" s="173" t="s">
        <v>153</v>
      </c>
      <c r="AE933" s="174" t="s">
        <v>153</v>
      </c>
      <c r="AF933" s="175" t="s">
        <v>153</v>
      </c>
      <c r="AG933" s="176" t="s">
        <v>153</v>
      </c>
      <c r="AH933" s="177" t="s">
        <v>153</v>
      </c>
      <c r="AI933" s="178" t="s">
        <v>153</v>
      </c>
      <c r="AJ933" s="179" t="s">
        <v>153</v>
      </c>
      <c r="AK933" s="180" t="s">
        <v>153</v>
      </c>
      <c r="AL933" s="181" t="s">
        <v>153</v>
      </c>
      <c r="AM933" s="182" t="s">
        <v>153</v>
      </c>
      <c r="AN933" s="183" t="s">
        <v>168</v>
      </c>
      <c r="AO933" s="184" t="s">
        <v>18413</v>
      </c>
      <c r="AP933" s="185" t="s">
        <v>18414</v>
      </c>
      <c r="AQ933" s="186" t="s">
        <v>18415</v>
      </c>
      <c r="AR933" s="187" t="s">
        <v>153</v>
      </c>
      <c r="AS933" s="188" t="s">
        <v>18416</v>
      </c>
      <c r="AT933" s="189" t="s">
        <v>18417</v>
      </c>
      <c r="AU933" s="190" t="s">
        <v>18418</v>
      </c>
      <c r="AV933" s="191" t="s">
        <v>18419</v>
      </c>
      <c r="AW933" s="192" t="s">
        <v>18420</v>
      </c>
      <c r="AX933" s="193" t="s">
        <v>308</v>
      </c>
      <c r="AY933" s="194" t="s">
        <v>18421</v>
      </c>
      <c r="AZ933" s="195" t="s">
        <v>215</v>
      </c>
      <c r="BA933" s="196" t="s">
        <v>18416</v>
      </c>
      <c r="BB933" s="197" t="s">
        <v>18422</v>
      </c>
      <c r="BC933" s="198" t="s">
        <v>153</v>
      </c>
      <c r="BD933" s="199" t="s">
        <v>216</v>
      </c>
      <c r="BE933" s="200" t="s">
        <v>217</v>
      </c>
      <c r="BF933" s="201" t="s">
        <v>18423</v>
      </c>
      <c r="BG933" s="202" t="s">
        <v>153</v>
      </c>
      <c r="BH933" s="203" t="s">
        <v>153</v>
      </c>
      <c r="BI933" s="204" t="s">
        <v>18424</v>
      </c>
      <c r="BJ933" s="205" t="s">
        <v>18425</v>
      </c>
      <c r="BK933" s="206" t="s">
        <v>153</v>
      </c>
      <c r="BL933" s="207" t="s">
        <v>153</v>
      </c>
      <c r="BM933" s="208" t="s">
        <v>18426</v>
      </c>
      <c r="BN933" s="209" t="s">
        <v>153</v>
      </c>
      <c r="BO933" s="210" t="s">
        <v>153</v>
      </c>
      <c r="BP933" s="211" t="s">
        <v>18427</v>
      </c>
      <c r="BQ933" s="212">
        <v>40548</v>
      </c>
      <c r="BR933" s="213">
        <v>135</v>
      </c>
      <c r="BS933" s="214" t="s">
        <v>186</v>
      </c>
      <c r="BT933" s="215" t="s">
        <v>153</v>
      </c>
      <c r="BU933" s="216" t="s">
        <v>153</v>
      </c>
      <c r="BV933" s="217" t="s">
        <v>709</v>
      </c>
      <c r="BW933" s="218" t="s">
        <v>153</v>
      </c>
      <c r="BX933" s="219" t="s">
        <v>153</v>
      </c>
      <c r="BY933" s="220" t="s">
        <v>165</v>
      </c>
      <c r="BZ933" s="221" t="s">
        <v>153</v>
      </c>
      <c r="CA933" s="222" t="s">
        <v>190</v>
      </c>
      <c r="CB933" s="223">
        <v>44274</v>
      </c>
      <c r="CC933" s="224">
        <v>5342.52</v>
      </c>
      <c r="CD933" s="225" t="s">
        <v>186</v>
      </c>
      <c r="CE933" s="226">
        <v>5342.52</v>
      </c>
      <c r="CF933" s="227" t="s">
        <v>187</v>
      </c>
      <c r="CG933" s="228" t="s">
        <v>226</v>
      </c>
      <c r="CH933" s="229" t="s">
        <v>153</v>
      </c>
      <c r="CI933" s="230" t="s">
        <v>153</v>
      </c>
      <c r="CJ933" s="231" t="s">
        <v>225</v>
      </c>
      <c r="CK933" s="232">
        <v>44274</v>
      </c>
      <c r="CL933" s="233" t="s">
        <v>153</v>
      </c>
      <c r="CM933" s="234" t="s">
        <v>153</v>
      </c>
      <c r="CN933" s="235" t="s">
        <v>190</v>
      </c>
      <c r="CO933" s="236" t="s">
        <v>153</v>
      </c>
      <c r="CP933" s="237" t="s">
        <v>153</v>
      </c>
      <c r="CQ933" s="238" t="s">
        <v>153</v>
      </c>
      <c r="CR933" s="239" t="s">
        <v>153</v>
      </c>
      <c r="CS933" s="240" t="s">
        <v>153</v>
      </c>
      <c r="CT933" s="241" t="s">
        <v>153</v>
      </c>
      <c r="CU933" s="242" t="s">
        <v>153</v>
      </c>
      <c r="CV933" s="243" t="s">
        <v>153</v>
      </c>
      <c r="CW933" s="244" t="s">
        <v>153</v>
      </c>
      <c r="CX933" s="245" t="s">
        <v>153</v>
      </c>
      <c r="CY933" s="246" t="s">
        <v>153</v>
      </c>
      <c r="CZ933" s="247" t="s">
        <v>153</v>
      </c>
      <c r="DA933" s="248" t="s">
        <v>153</v>
      </c>
      <c r="DB933" s="249" t="s">
        <v>153</v>
      </c>
      <c r="DC933" s="250" t="s">
        <v>153</v>
      </c>
      <c r="DD933" s="251" t="s">
        <v>153</v>
      </c>
      <c r="DE933" s="252" t="s">
        <v>153</v>
      </c>
      <c r="DF933" s="253" t="s">
        <v>153</v>
      </c>
      <c r="DG933" s="254" t="s">
        <v>153</v>
      </c>
      <c r="DH933" s="255" t="s">
        <v>153</v>
      </c>
      <c r="DI933" s="256" t="s">
        <v>153</v>
      </c>
      <c r="DJ933" s="257" t="s">
        <v>153</v>
      </c>
      <c r="DK933" s="258" t="s">
        <v>153</v>
      </c>
      <c r="DL933" s="259" t="s">
        <v>153</v>
      </c>
      <c r="DM933" s="260" t="s">
        <v>153</v>
      </c>
      <c r="DN933" s="261" t="s">
        <v>153</v>
      </c>
      <c r="DO933" s="262" t="s">
        <v>153</v>
      </c>
      <c r="DP933" s="263" t="s">
        <v>153</v>
      </c>
      <c r="DQ933" s="264" t="s">
        <v>153</v>
      </c>
      <c r="DR933" s="265" t="s">
        <v>153</v>
      </c>
      <c r="DS933" s="266" t="s">
        <v>153</v>
      </c>
      <c r="DT933" s="267" t="s">
        <v>153</v>
      </c>
      <c r="DU933" s="268" t="s">
        <v>153</v>
      </c>
      <c r="DV933" s="269" t="s">
        <v>153</v>
      </c>
      <c r="DW933" s="270" t="s">
        <v>153</v>
      </c>
      <c r="DX933" s="271" t="s">
        <v>153</v>
      </c>
      <c r="DY933" s="272" t="s">
        <v>153</v>
      </c>
      <c r="DZ933" s="273" t="s">
        <v>191</v>
      </c>
      <c r="EA933" s="274">
        <v>44389</v>
      </c>
      <c r="EB933" s="275">
        <v>5342.52</v>
      </c>
      <c r="EC933" s="276">
        <v>44274</v>
      </c>
      <c r="ED933" s="277" t="s">
        <v>226</v>
      </c>
      <c r="EE933" s="279" t="str">
        <f>HYPERLINK("https://my.pitchbook.com?c=51456-16", "View company online")</f>
        <v>View company online</v>
      </c>
    </row>
    <row r="934" spans="1:135" x14ac:dyDescent="0.45">
      <c r="A934" s="10" t="s">
        <v>18428</v>
      </c>
      <c r="B934" s="11" t="s">
        <v>18429</v>
      </c>
      <c r="C934" s="12" t="s">
        <v>153</v>
      </c>
      <c r="D934" s="13" t="s">
        <v>153</v>
      </c>
      <c r="E934" s="14" t="s">
        <v>18430</v>
      </c>
      <c r="F934" s="15" t="s">
        <v>153</v>
      </c>
      <c r="G934" s="16" t="s">
        <v>18431</v>
      </c>
      <c r="H934" s="17" t="s">
        <v>153</v>
      </c>
      <c r="I934" s="18" t="s">
        <v>18428</v>
      </c>
      <c r="J934" s="19" t="s">
        <v>18432</v>
      </c>
      <c r="K934" s="20" t="s">
        <v>232</v>
      </c>
      <c r="L934" s="21" t="s">
        <v>362</v>
      </c>
      <c r="M934" s="22" t="s">
        <v>362</v>
      </c>
      <c r="N934" s="23" t="s">
        <v>18433</v>
      </c>
      <c r="O934" s="24" t="s">
        <v>153</v>
      </c>
      <c r="P934" s="25" t="s">
        <v>18434</v>
      </c>
      <c r="Q934" s="26" t="s">
        <v>204</v>
      </c>
      <c r="R934" s="27">
        <v>1078.55</v>
      </c>
      <c r="S934" s="28" t="s">
        <v>290</v>
      </c>
      <c r="T934" s="29" t="s">
        <v>205</v>
      </c>
      <c r="U934" s="30" t="s">
        <v>292</v>
      </c>
      <c r="V934" s="31" t="s">
        <v>18435</v>
      </c>
      <c r="W934" s="32">
        <v>1577</v>
      </c>
      <c r="X934" s="33" t="s">
        <v>18436</v>
      </c>
      <c r="Y934" s="34" t="s">
        <v>153</v>
      </c>
      <c r="Z934" s="35" t="s">
        <v>153</v>
      </c>
      <c r="AA934" s="36">
        <v>2005</v>
      </c>
      <c r="AB934" s="37" t="s">
        <v>153</v>
      </c>
      <c r="AC934" s="38" t="s">
        <v>153</v>
      </c>
      <c r="AD934" s="39" t="s">
        <v>153</v>
      </c>
      <c r="AE934" s="40" t="s">
        <v>153</v>
      </c>
      <c r="AF934" s="41" t="s">
        <v>153</v>
      </c>
      <c r="AG934" s="42" t="s">
        <v>153</v>
      </c>
      <c r="AH934" s="43" t="s">
        <v>153</v>
      </c>
      <c r="AI934" s="44" t="s">
        <v>153</v>
      </c>
      <c r="AJ934" s="45" t="s">
        <v>153</v>
      </c>
      <c r="AK934" s="46" t="s">
        <v>153</v>
      </c>
      <c r="AL934" s="47" t="s">
        <v>153</v>
      </c>
      <c r="AM934" s="48" t="s">
        <v>153</v>
      </c>
      <c r="AN934" s="49" t="s">
        <v>1595</v>
      </c>
      <c r="AO934" s="50" t="s">
        <v>18437</v>
      </c>
      <c r="AP934" s="51" t="s">
        <v>18438</v>
      </c>
      <c r="AQ934" s="52" t="s">
        <v>379</v>
      </c>
      <c r="AR934" s="53" t="s">
        <v>18439</v>
      </c>
      <c r="AS934" s="54" t="s">
        <v>153</v>
      </c>
      <c r="AT934" s="55" t="s">
        <v>10335</v>
      </c>
      <c r="AU934" s="56" t="s">
        <v>18440</v>
      </c>
      <c r="AV934" s="57" t="s">
        <v>153</v>
      </c>
      <c r="AW934" s="58" t="s">
        <v>10338</v>
      </c>
      <c r="AX934" s="59" t="s">
        <v>153</v>
      </c>
      <c r="AY934" s="60" t="s">
        <v>18441</v>
      </c>
      <c r="AZ934" s="61" t="s">
        <v>10338</v>
      </c>
      <c r="BA934" s="62" t="s">
        <v>153</v>
      </c>
      <c r="BB934" s="63" t="s">
        <v>153</v>
      </c>
      <c r="BC934" s="64" t="s">
        <v>153</v>
      </c>
      <c r="BD934" s="65" t="s">
        <v>180</v>
      </c>
      <c r="BE934" s="66" t="s">
        <v>181</v>
      </c>
      <c r="BF934" s="67" t="s">
        <v>18442</v>
      </c>
      <c r="BG934" s="68" t="s">
        <v>153</v>
      </c>
      <c r="BH934" s="69" t="s">
        <v>153</v>
      </c>
      <c r="BI934" s="70" t="s">
        <v>3091</v>
      </c>
      <c r="BJ934" s="71" t="s">
        <v>18443</v>
      </c>
      <c r="BK934" s="72" t="s">
        <v>153</v>
      </c>
      <c r="BL934" s="73" t="s">
        <v>153</v>
      </c>
      <c r="BM934" s="74" t="s">
        <v>18444</v>
      </c>
      <c r="BN934" s="75" t="s">
        <v>153</v>
      </c>
      <c r="BO934" s="76" t="s">
        <v>15092</v>
      </c>
      <c r="BP934" s="77" t="s">
        <v>18445</v>
      </c>
      <c r="BQ934" s="78">
        <v>39008</v>
      </c>
      <c r="BR934" s="79">
        <v>1078.55</v>
      </c>
      <c r="BS934" s="80" t="s">
        <v>186</v>
      </c>
      <c r="BT934" s="81">
        <v>6259.88</v>
      </c>
      <c r="BU934" s="82" t="s">
        <v>186</v>
      </c>
      <c r="BV934" s="83" t="s">
        <v>251</v>
      </c>
      <c r="BW934" s="84" t="s">
        <v>153</v>
      </c>
      <c r="BX934" s="85" t="s">
        <v>153</v>
      </c>
      <c r="BY934" s="86" t="s">
        <v>252</v>
      </c>
      <c r="BZ934" s="87" t="s">
        <v>153</v>
      </c>
      <c r="CA934" s="88" t="s">
        <v>190</v>
      </c>
      <c r="CB934" s="89">
        <v>42058</v>
      </c>
      <c r="CC934" s="90">
        <v>5331.1</v>
      </c>
      <c r="CD934" s="91" t="s">
        <v>186</v>
      </c>
      <c r="CE934" s="92">
        <v>5683.48</v>
      </c>
      <c r="CF934" s="93" t="s">
        <v>186</v>
      </c>
      <c r="CG934" s="94" t="s">
        <v>226</v>
      </c>
      <c r="CH934" s="95" t="s">
        <v>153</v>
      </c>
      <c r="CI934" s="96" t="s">
        <v>153</v>
      </c>
      <c r="CJ934" s="97" t="s">
        <v>225</v>
      </c>
      <c r="CK934" s="98">
        <v>42058</v>
      </c>
      <c r="CL934" s="99" t="s">
        <v>153</v>
      </c>
      <c r="CM934" s="100" t="s">
        <v>153</v>
      </c>
      <c r="CN934" s="101" t="s">
        <v>190</v>
      </c>
      <c r="CO934" s="102" t="s">
        <v>153</v>
      </c>
      <c r="CP934" s="103" t="s">
        <v>153</v>
      </c>
      <c r="CQ934" s="104" t="s">
        <v>153</v>
      </c>
      <c r="CR934" s="105" t="s">
        <v>153</v>
      </c>
      <c r="CS934" s="106" t="s">
        <v>153</v>
      </c>
      <c r="CT934" s="107" t="s">
        <v>153</v>
      </c>
      <c r="CU934" s="108" t="s">
        <v>153</v>
      </c>
      <c r="CV934" s="109" t="s">
        <v>153</v>
      </c>
      <c r="CW934" s="110" t="s">
        <v>153</v>
      </c>
      <c r="CX934" s="111" t="s">
        <v>153</v>
      </c>
      <c r="CY934" s="112" t="s">
        <v>153</v>
      </c>
      <c r="CZ934" s="113" t="s">
        <v>153</v>
      </c>
      <c r="DA934" s="114" t="s">
        <v>153</v>
      </c>
      <c r="DB934" s="115" t="s">
        <v>153</v>
      </c>
      <c r="DC934" s="116" t="s">
        <v>153</v>
      </c>
      <c r="DD934" s="117" t="s">
        <v>153</v>
      </c>
      <c r="DE934" s="118" t="s">
        <v>153</v>
      </c>
      <c r="DF934" s="119" t="s">
        <v>153</v>
      </c>
      <c r="DG934" s="120" t="s">
        <v>153</v>
      </c>
      <c r="DH934" s="121" t="s">
        <v>153</v>
      </c>
      <c r="DI934" s="122" t="s">
        <v>153</v>
      </c>
      <c r="DJ934" s="123" t="s">
        <v>153</v>
      </c>
      <c r="DK934" s="124" t="s">
        <v>153</v>
      </c>
      <c r="DL934" s="125" t="s">
        <v>153</v>
      </c>
      <c r="DM934" s="126" t="s">
        <v>153</v>
      </c>
      <c r="DN934" s="127" t="s">
        <v>153</v>
      </c>
      <c r="DO934" s="128" t="s">
        <v>153</v>
      </c>
      <c r="DP934" s="129" t="s">
        <v>153</v>
      </c>
      <c r="DQ934" s="130" t="s">
        <v>153</v>
      </c>
      <c r="DR934" s="131" t="s">
        <v>153</v>
      </c>
      <c r="DS934" s="132" t="s">
        <v>153</v>
      </c>
      <c r="DT934" s="133" t="s">
        <v>153</v>
      </c>
      <c r="DU934" s="134" t="s">
        <v>153</v>
      </c>
      <c r="DV934" s="135" t="s">
        <v>153</v>
      </c>
      <c r="DW934" s="136" t="s">
        <v>153</v>
      </c>
      <c r="DX934" s="137" t="s">
        <v>153</v>
      </c>
      <c r="DY934" s="138" t="s">
        <v>153</v>
      </c>
      <c r="DZ934" s="139" t="s">
        <v>191</v>
      </c>
      <c r="EA934" s="140">
        <v>44257</v>
      </c>
      <c r="EB934" s="141">
        <v>5683.48</v>
      </c>
      <c r="EC934" s="142">
        <v>42058</v>
      </c>
      <c r="ED934" s="143" t="s">
        <v>226</v>
      </c>
      <c r="EE934" s="278" t="str">
        <f>HYPERLINK("https://my.pitchbook.com?c=64051-12", "View company online")</f>
        <v>View company online</v>
      </c>
    </row>
    <row r="935" spans="1:135" x14ac:dyDescent="0.45">
      <c r="A935" s="144" t="s">
        <v>18446</v>
      </c>
      <c r="B935" s="145" t="s">
        <v>18447</v>
      </c>
      <c r="C935" s="146" t="s">
        <v>153</v>
      </c>
      <c r="D935" s="147" t="s">
        <v>153</v>
      </c>
      <c r="E935" s="148" t="s">
        <v>153</v>
      </c>
      <c r="F935" s="149" t="s">
        <v>153</v>
      </c>
      <c r="G935" s="150" t="s">
        <v>18448</v>
      </c>
      <c r="H935" s="151" t="s">
        <v>18449</v>
      </c>
      <c r="I935" s="152" t="s">
        <v>18446</v>
      </c>
      <c r="J935" s="153" t="s">
        <v>18450</v>
      </c>
      <c r="K935" s="154" t="s">
        <v>157</v>
      </c>
      <c r="L935" s="155" t="s">
        <v>817</v>
      </c>
      <c r="M935" s="156" t="s">
        <v>818</v>
      </c>
      <c r="N935" s="157" t="s">
        <v>819</v>
      </c>
      <c r="O935" s="158" t="s">
        <v>261</v>
      </c>
      <c r="P935" s="159" t="s">
        <v>18451</v>
      </c>
      <c r="Q935" s="160" t="s">
        <v>204</v>
      </c>
      <c r="R935" s="161" t="s">
        <v>153</v>
      </c>
      <c r="S935" s="162" t="s">
        <v>290</v>
      </c>
      <c r="T935" s="163" t="s">
        <v>291</v>
      </c>
      <c r="U935" s="164" t="s">
        <v>237</v>
      </c>
      <c r="V935" s="165" t="s">
        <v>18452</v>
      </c>
      <c r="W935" s="166">
        <v>20306</v>
      </c>
      <c r="X935" s="167" t="s">
        <v>18453</v>
      </c>
      <c r="Y935" s="168" t="s">
        <v>3097</v>
      </c>
      <c r="Z935" s="169" t="s">
        <v>18454</v>
      </c>
      <c r="AA935" s="170">
        <v>1881</v>
      </c>
      <c r="AB935" s="171" t="s">
        <v>153</v>
      </c>
      <c r="AC935" s="172" t="s">
        <v>428</v>
      </c>
      <c r="AD935" s="173" t="s">
        <v>537</v>
      </c>
      <c r="AE935" s="174">
        <v>8007.89</v>
      </c>
      <c r="AF935" s="175">
        <v>4606.3900000000003</v>
      </c>
      <c r="AG935" s="176">
        <v>638.35</v>
      </c>
      <c r="AH935" s="177">
        <v>25100.720000000001</v>
      </c>
      <c r="AI935" s="178">
        <v>1206.03</v>
      </c>
      <c r="AJ935" s="179">
        <v>913.07</v>
      </c>
      <c r="AK935" s="180">
        <v>27236.22</v>
      </c>
      <c r="AL935" s="181">
        <v>-1569.44</v>
      </c>
      <c r="AM935" s="182">
        <v>-8.2100000000000009</v>
      </c>
      <c r="AN935" s="183" t="s">
        <v>168</v>
      </c>
      <c r="AO935" s="184" t="s">
        <v>18455</v>
      </c>
      <c r="AP935" s="185" t="s">
        <v>18456</v>
      </c>
      <c r="AQ935" s="186" t="s">
        <v>18457</v>
      </c>
      <c r="AR935" s="187" t="s">
        <v>18458</v>
      </c>
      <c r="AS935" s="188" t="s">
        <v>18459</v>
      </c>
      <c r="AT935" s="189" t="s">
        <v>18460</v>
      </c>
      <c r="AU935" s="190" t="s">
        <v>18461</v>
      </c>
      <c r="AV935" s="191" t="s">
        <v>153</v>
      </c>
      <c r="AW935" s="192" t="s">
        <v>18462</v>
      </c>
      <c r="AX935" s="193" t="s">
        <v>153</v>
      </c>
      <c r="AY935" s="194" t="s">
        <v>18463</v>
      </c>
      <c r="AZ935" s="195" t="s">
        <v>352</v>
      </c>
      <c r="BA935" s="196" t="s">
        <v>18459</v>
      </c>
      <c r="BB935" s="197" t="s">
        <v>18464</v>
      </c>
      <c r="BC935" s="198" t="s">
        <v>18465</v>
      </c>
      <c r="BD935" s="199" t="s">
        <v>180</v>
      </c>
      <c r="BE935" s="200" t="s">
        <v>181</v>
      </c>
      <c r="BF935" s="201" t="s">
        <v>18466</v>
      </c>
      <c r="BG935" s="202" t="s">
        <v>18467</v>
      </c>
      <c r="BH935" s="203">
        <v>4</v>
      </c>
      <c r="BI935" s="204" t="s">
        <v>18468</v>
      </c>
      <c r="BJ935" s="205" t="s">
        <v>153</v>
      </c>
      <c r="BK935" s="206" t="s">
        <v>153</v>
      </c>
      <c r="BL935" s="207" t="s">
        <v>18469</v>
      </c>
      <c r="BM935" s="208" t="s">
        <v>153</v>
      </c>
      <c r="BN935" s="209" t="s">
        <v>153</v>
      </c>
      <c r="BO935" s="210" t="s">
        <v>18470</v>
      </c>
      <c r="BP935" s="211" t="s">
        <v>153</v>
      </c>
      <c r="BQ935" s="212">
        <v>10228</v>
      </c>
      <c r="BR935" s="213" t="s">
        <v>153</v>
      </c>
      <c r="BS935" s="214" t="s">
        <v>153</v>
      </c>
      <c r="BT935" s="215" t="s">
        <v>153</v>
      </c>
      <c r="BU935" s="216" t="s">
        <v>153</v>
      </c>
      <c r="BV935" s="217" t="s">
        <v>251</v>
      </c>
      <c r="BW935" s="218" t="s">
        <v>153</v>
      </c>
      <c r="BX935" s="219" t="s">
        <v>153</v>
      </c>
      <c r="BY935" s="220" t="s">
        <v>252</v>
      </c>
      <c r="BZ935" s="221" t="s">
        <v>153</v>
      </c>
      <c r="CA935" s="222" t="s">
        <v>190</v>
      </c>
      <c r="CB935" s="223">
        <v>37972</v>
      </c>
      <c r="CC935" s="224">
        <v>5320.78</v>
      </c>
      <c r="CD935" s="225" t="s">
        <v>186</v>
      </c>
      <c r="CE935" s="226">
        <v>12203.62</v>
      </c>
      <c r="CF935" s="227" t="s">
        <v>186</v>
      </c>
      <c r="CG935" s="228" t="s">
        <v>906</v>
      </c>
      <c r="CH935" s="229" t="s">
        <v>153</v>
      </c>
      <c r="CI935" s="230" t="s">
        <v>153</v>
      </c>
      <c r="CJ935" s="231" t="s">
        <v>153</v>
      </c>
      <c r="CK935" s="232">
        <v>37972</v>
      </c>
      <c r="CL935" s="233" t="s">
        <v>153</v>
      </c>
      <c r="CM935" s="234" t="s">
        <v>153</v>
      </c>
      <c r="CN935" s="235" t="s">
        <v>190</v>
      </c>
      <c r="CO935" s="236">
        <v>0.3</v>
      </c>
      <c r="CP935" s="237">
        <v>91</v>
      </c>
      <c r="CQ935" s="238">
        <v>-0.04</v>
      </c>
      <c r="CR935" s="239">
        <v>-12.53</v>
      </c>
      <c r="CS935" s="240">
        <v>0.46</v>
      </c>
      <c r="CT935" s="241">
        <v>92</v>
      </c>
      <c r="CU935" s="242">
        <v>0.15</v>
      </c>
      <c r="CV935" s="243">
        <v>89</v>
      </c>
      <c r="CW935" s="244">
        <v>0.71</v>
      </c>
      <c r="CX935" s="245">
        <v>80</v>
      </c>
      <c r="CY935" s="246">
        <v>0.21</v>
      </c>
      <c r="CZ935" s="247">
        <v>92</v>
      </c>
      <c r="DA935" s="248">
        <v>0.15</v>
      </c>
      <c r="DB935" s="249">
        <v>89</v>
      </c>
      <c r="DC935" s="250">
        <v>54.13</v>
      </c>
      <c r="DD935" s="251">
        <v>99</v>
      </c>
      <c r="DE935" s="252">
        <v>0.04</v>
      </c>
      <c r="DF935" s="253">
        <v>7.0000000000000007E-2</v>
      </c>
      <c r="DG935" s="254">
        <v>96.87</v>
      </c>
      <c r="DH935" s="255">
        <v>99</v>
      </c>
      <c r="DI935" s="256">
        <v>11.39</v>
      </c>
      <c r="DJ935" s="257">
        <v>87</v>
      </c>
      <c r="DK935" s="258">
        <v>45.74</v>
      </c>
      <c r="DL935" s="259">
        <v>95</v>
      </c>
      <c r="DM935" s="260">
        <v>148</v>
      </c>
      <c r="DN935" s="261">
        <v>100</v>
      </c>
      <c r="DO935" s="262">
        <v>11.39</v>
      </c>
      <c r="DP935" s="263">
        <v>87</v>
      </c>
      <c r="DQ935" s="264">
        <v>27051</v>
      </c>
      <c r="DR935" s="265">
        <v>265</v>
      </c>
      <c r="DS935" s="266">
        <v>0.99</v>
      </c>
      <c r="DT935" s="267">
        <v>2368</v>
      </c>
      <c r="DU935" s="268">
        <v>0</v>
      </c>
      <c r="DV935" s="269">
        <v>0</v>
      </c>
      <c r="DW935" s="270">
        <v>3575</v>
      </c>
      <c r="DX935" s="271">
        <v>7</v>
      </c>
      <c r="DY935" s="272">
        <v>0.2</v>
      </c>
      <c r="DZ935" s="273" t="s">
        <v>191</v>
      </c>
      <c r="EA935" s="274">
        <v>44402</v>
      </c>
      <c r="EB935" s="275">
        <v>12203.62</v>
      </c>
      <c r="EC935" s="276">
        <v>37972</v>
      </c>
      <c r="ED935" s="277" t="s">
        <v>906</v>
      </c>
      <c r="EE935" s="279" t="str">
        <f>HYPERLINK("https://my.pitchbook.com?c=59881-06", "View company online")</f>
        <v>View company online</v>
      </c>
    </row>
    <row r="936" spans="1:135" x14ac:dyDescent="0.45">
      <c r="A936" s="10" t="s">
        <v>18471</v>
      </c>
      <c r="B936" s="11" t="s">
        <v>18472</v>
      </c>
      <c r="C936" s="12" t="s">
        <v>153</v>
      </c>
      <c r="D936" s="13" t="s">
        <v>153</v>
      </c>
      <c r="E936" s="14" t="s">
        <v>18473</v>
      </c>
      <c r="F936" s="15" t="s">
        <v>18474</v>
      </c>
      <c r="G936" s="16" t="s">
        <v>18475</v>
      </c>
      <c r="H936" s="17" t="s">
        <v>18476</v>
      </c>
      <c r="I936" s="18" t="s">
        <v>18471</v>
      </c>
      <c r="J936" s="19" t="s">
        <v>18477</v>
      </c>
      <c r="K936" s="20" t="s">
        <v>198</v>
      </c>
      <c r="L936" s="21" t="s">
        <v>1589</v>
      </c>
      <c r="M936" s="22" t="s">
        <v>8618</v>
      </c>
      <c r="N936" s="23" t="s">
        <v>8619</v>
      </c>
      <c r="O936" s="24" t="s">
        <v>399</v>
      </c>
      <c r="P936" s="25" t="s">
        <v>18478</v>
      </c>
      <c r="Q936" s="26" t="s">
        <v>204</v>
      </c>
      <c r="R936" s="27" t="s">
        <v>153</v>
      </c>
      <c r="S936" s="28" t="s">
        <v>290</v>
      </c>
      <c r="T936" s="29" t="s">
        <v>205</v>
      </c>
      <c r="U936" s="30" t="s">
        <v>237</v>
      </c>
      <c r="V936" s="31" t="s">
        <v>153</v>
      </c>
      <c r="W936" s="32">
        <v>3469</v>
      </c>
      <c r="X936" s="33" t="s">
        <v>18479</v>
      </c>
      <c r="Y936" s="34" t="s">
        <v>153</v>
      </c>
      <c r="Z936" s="35" t="s">
        <v>153</v>
      </c>
      <c r="AA936" s="36">
        <v>1985</v>
      </c>
      <c r="AB936" s="37" t="s">
        <v>153</v>
      </c>
      <c r="AC936" s="38" t="s">
        <v>153</v>
      </c>
      <c r="AD936" s="39" t="s">
        <v>153</v>
      </c>
      <c r="AE936" s="40" t="s">
        <v>153</v>
      </c>
      <c r="AF936" s="41" t="s">
        <v>153</v>
      </c>
      <c r="AG936" s="42" t="s">
        <v>153</v>
      </c>
      <c r="AH936" s="43" t="s">
        <v>153</v>
      </c>
      <c r="AI936" s="44" t="s">
        <v>153</v>
      </c>
      <c r="AJ936" s="45" t="s">
        <v>153</v>
      </c>
      <c r="AK936" s="46" t="s">
        <v>153</v>
      </c>
      <c r="AL936" s="47" t="s">
        <v>153</v>
      </c>
      <c r="AM936" s="48" t="s">
        <v>153</v>
      </c>
      <c r="AN936" s="49" t="s">
        <v>403</v>
      </c>
      <c r="AO936" s="50" t="s">
        <v>18480</v>
      </c>
      <c r="AP936" s="51" t="s">
        <v>18481</v>
      </c>
      <c r="AQ936" s="52" t="s">
        <v>18482</v>
      </c>
      <c r="AR936" s="53" t="s">
        <v>153</v>
      </c>
      <c r="AS936" s="54" t="s">
        <v>153</v>
      </c>
      <c r="AT936" s="55" t="s">
        <v>18483</v>
      </c>
      <c r="AU936" s="56" t="s">
        <v>18484</v>
      </c>
      <c r="AV936" s="57" t="s">
        <v>153</v>
      </c>
      <c r="AW936" s="58" t="s">
        <v>18485</v>
      </c>
      <c r="AX936" s="59" t="s">
        <v>3712</v>
      </c>
      <c r="AY936" s="60" t="s">
        <v>18486</v>
      </c>
      <c r="AZ936" s="61" t="s">
        <v>1358</v>
      </c>
      <c r="BA936" s="62" t="s">
        <v>153</v>
      </c>
      <c r="BB936" s="63" t="s">
        <v>153</v>
      </c>
      <c r="BC936" s="64" t="s">
        <v>153</v>
      </c>
      <c r="BD936" s="65" t="s">
        <v>216</v>
      </c>
      <c r="BE936" s="66" t="s">
        <v>217</v>
      </c>
      <c r="BF936" s="67" t="s">
        <v>18487</v>
      </c>
      <c r="BG936" s="68" t="s">
        <v>153</v>
      </c>
      <c r="BH936" s="69" t="s">
        <v>153</v>
      </c>
      <c r="BI936" s="70" t="s">
        <v>1776</v>
      </c>
      <c r="BJ936" s="71" t="s">
        <v>153</v>
      </c>
      <c r="BK936" s="72" t="s">
        <v>153</v>
      </c>
      <c r="BL936" s="73" t="s">
        <v>153</v>
      </c>
      <c r="BM936" s="74" t="s">
        <v>153</v>
      </c>
      <c r="BN936" s="75" t="s">
        <v>153</v>
      </c>
      <c r="BO936" s="76" t="s">
        <v>153</v>
      </c>
      <c r="BP936" s="77" t="s">
        <v>18488</v>
      </c>
      <c r="BQ936" s="78">
        <v>33970</v>
      </c>
      <c r="BR936" s="79" t="s">
        <v>153</v>
      </c>
      <c r="BS936" s="80" t="s">
        <v>153</v>
      </c>
      <c r="BT936" s="81" t="s">
        <v>153</v>
      </c>
      <c r="BU936" s="82" t="s">
        <v>153</v>
      </c>
      <c r="BV936" s="83" t="s">
        <v>251</v>
      </c>
      <c r="BW936" s="84" t="s">
        <v>153</v>
      </c>
      <c r="BX936" s="85" t="s">
        <v>153</v>
      </c>
      <c r="BY936" s="86" t="s">
        <v>252</v>
      </c>
      <c r="BZ936" s="87" t="s">
        <v>153</v>
      </c>
      <c r="CA936" s="88" t="s">
        <v>190</v>
      </c>
      <c r="CB936" s="89">
        <v>39015</v>
      </c>
      <c r="CC936" s="90">
        <v>5300</v>
      </c>
      <c r="CD936" s="91" t="s">
        <v>186</v>
      </c>
      <c r="CE936" s="92">
        <v>5300</v>
      </c>
      <c r="CF936" s="93" t="s">
        <v>186</v>
      </c>
      <c r="CG936" s="94" t="s">
        <v>226</v>
      </c>
      <c r="CH936" s="95" t="s">
        <v>153</v>
      </c>
      <c r="CI936" s="96" t="s">
        <v>153</v>
      </c>
      <c r="CJ936" s="97" t="s">
        <v>225</v>
      </c>
      <c r="CK936" s="98">
        <v>39015</v>
      </c>
      <c r="CL936" s="99" t="s">
        <v>153</v>
      </c>
      <c r="CM936" s="100" t="s">
        <v>153</v>
      </c>
      <c r="CN936" s="101" t="s">
        <v>190</v>
      </c>
      <c r="CO936" s="102" t="s">
        <v>153</v>
      </c>
      <c r="CP936" s="103" t="s">
        <v>153</v>
      </c>
      <c r="CQ936" s="104" t="s">
        <v>153</v>
      </c>
      <c r="CR936" s="105" t="s">
        <v>153</v>
      </c>
      <c r="CS936" s="106" t="s">
        <v>153</v>
      </c>
      <c r="CT936" s="107" t="s">
        <v>153</v>
      </c>
      <c r="CU936" s="108" t="s">
        <v>153</v>
      </c>
      <c r="CV936" s="109" t="s">
        <v>153</v>
      </c>
      <c r="CW936" s="110" t="s">
        <v>153</v>
      </c>
      <c r="CX936" s="111" t="s">
        <v>153</v>
      </c>
      <c r="CY936" s="112" t="s">
        <v>153</v>
      </c>
      <c r="CZ936" s="113" t="s">
        <v>153</v>
      </c>
      <c r="DA936" s="114" t="s">
        <v>153</v>
      </c>
      <c r="DB936" s="115" t="s">
        <v>153</v>
      </c>
      <c r="DC936" s="116" t="s">
        <v>153</v>
      </c>
      <c r="DD936" s="117" t="s">
        <v>153</v>
      </c>
      <c r="DE936" s="118" t="s">
        <v>153</v>
      </c>
      <c r="DF936" s="119" t="s">
        <v>153</v>
      </c>
      <c r="DG936" s="120" t="s">
        <v>153</v>
      </c>
      <c r="DH936" s="121" t="s">
        <v>153</v>
      </c>
      <c r="DI936" s="122" t="s">
        <v>153</v>
      </c>
      <c r="DJ936" s="123" t="s">
        <v>153</v>
      </c>
      <c r="DK936" s="124" t="s">
        <v>153</v>
      </c>
      <c r="DL936" s="125" t="s">
        <v>153</v>
      </c>
      <c r="DM936" s="126" t="s">
        <v>153</v>
      </c>
      <c r="DN936" s="127" t="s">
        <v>153</v>
      </c>
      <c r="DO936" s="128" t="s">
        <v>153</v>
      </c>
      <c r="DP936" s="129" t="s">
        <v>153</v>
      </c>
      <c r="DQ936" s="130" t="s">
        <v>153</v>
      </c>
      <c r="DR936" s="131" t="s">
        <v>153</v>
      </c>
      <c r="DS936" s="132" t="s">
        <v>153</v>
      </c>
      <c r="DT936" s="133" t="s">
        <v>153</v>
      </c>
      <c r="DU936" s="134" t="s">
        <v>153</v>
      </c>
      <c r="DV936" s="135" t="s">
        <v>153</v>
      </c>
      <c r="DW936" s="136" t="s">
        <v>153</v>
      </c>
      <c r="DX936" s="137" t="s">
        <v>153</v>
      </c>
      <c r="DY936" s="138" t="s">
        <v>153</v>
      </c>
      <c r="DZ936" s="139" t="s">
        <v>191</v>
      </c>
      <c r="EA936" s="140">
        <v>44217</v>
      </c>
      <c r="EB936" s="141">
        <v>5300</v>
      </c>
      <c r="EC936" s="142">
        <v>39015</v>
      </c>
      <c r="ED936" s="143" t="s">
        <v>226</v>
      </c>
      <c r="EE936" s="278" t="str">
        <f>HYPERLINK("https://my.pitchbook.com?c=53499-25", "View company online")</f>
        <v>View company online</v>
      </c>
    </row>
    <row r="937" spans="1:135" x14ac:dyDescent="0.45">
      <c r="A937" s="144" t="s">
        <v>18489</v>
      </c>
      <c r="B937" s="145" t="s">
        <v>18490</v>
      </c>
      <c r="C937" s="146" t="s">
        <v>153</v>
      </c>
      <c r="D937" s="147" t="s">
        <v>153</v>
      </c>
      <c r="E937" s="148" t="s">
        <v>153</v>
      </c>
      <c r="F937" s="149" t="s">
        <v>153</v>
      </c>
      <c r="G937" s="150" t="s">
        <v>18491</v>
      </c>
      <c r="H937" s="151" t="s">
        <v>18492</v>
      </c>
      <c r="I937" s="152" t="s">
        <v>18489</v>
      </c>
      <c r="J937" s="153" t="s">
        <v>18493</v>
      </c>
      <c r="K937" s="154" t="s">
        <v>198</v>
      </c>
      <c r="L937" s="155" t="s">
        <v>984</v>
      </c>
      <c r="M937" s="156" t="s">
        <v>18494</v>
      </c>
      <c r="N937" s="157" t="s">
        <v>18495</v>
      </c>
      <c r="O937" s="158" t="s">
        <v>18496</v>
      </c>
      <c r="P937" s="159" t="s">
        <v>18497</v>
      </c>
      <c r="Q937" s="160" t="s">
        <v>289</v>
      </c>
      <c r="R937" s="161">
        <v>1266.9100000000001</v>
      </c>
      <c r="S937" s="162" t="s">
        <v>368</v>
      </c>
      <c r="T937" s="163" t="s">
        <v>291</v>
      </c>
      <c r="U937" s="164" t="s">
        <v>452</v>
      </c>
      <c r="V937" s="165" t="s">
        <v>18498</v>
      </c>
      <c r="W937" s="166">
        <v>2728</v>
      </c>
      <c r="X937" s="167" t="s">
        <v>18499</v>
      </c>
      <c r="Y937" s="168" t="s">
        <v>372</v>
      </c>
      <c r="Z937" s="169" t="s">
        <v>18500</v>
      </c>
      <c r="AA937" s="170">
        <v>2008</v>
      </c>
      <c r="AB937" s="171" t="s">
        <v>153</v>
      </c>
      <c r="AC937" s="172" t="s">
        <v>153</v>
      </c>
      <c r="AD937" s="173" t="s">
        <v>428</v>
      </c>
      <c r="AE937" s="174">
        <v>883.08</v>
      </c>
      <c r="AF937" s="175">
        <v>705.02</v>
      </c>
      <c r="AG937" s="176">
        <v>-145.12</v>
      </c>
      <c r="AH937" s="177">
        <v>3813.77</v>
      </c>
      <c r="AI937" s="178">
        <v>17.97</v>
      </c>
      <c r="AJ937" s="179">
        <v>-135.53</v>
      </c>
      <c r="AK937" s="180">
        <v>4684.82</v>
      </c>
      <c r="AL937" s="181">
        <v>153.88</v>
      </c>
      <c r="AM937" s="182">
        <v>8.06</v>
      </c>
      <c r="AN937" s="183" t="s">
        <v>2288</v>
      </c>
      <c r="AO937" s="184" t="s">
        <v>18501</v>
      </c>
      <c r="AP937" s="185" t="s">
        <v>18502</v>
      </c>
      <c r="AQ937" s="186" t="s">
        <v>512</v>
      </c>
      <c r="AR937" s="187" t="s">
        <v>18503</v>
      </c>
      <c r="AS937" s="188" t="s">
        <v>18504</v>
      </c>
      <c r="AT937" s="189" t="s">
        <v>2033</v>
      </c>
      <c r="AU937" s="190" t="s">
        <v>18505</v>
      </c>
      <c r="AV937" s="191" t="s">
        <v>153</v>
      </c>
      <c r="AW937" s="192" t="s">
        <v>2036</v>
      </c>
      <c r="AX937" s="193" t="s">
        <v>308</v>
      </c>
      <c r="AY937" s="194" t="s">
        <v>2037</v>
      </c>
      <c r="AZ937" s="195" t="s">
        <v>215</v>
      </c>
      <c r="BA937" s="196" t="s">
        <v>18504</v>
      </c>
      <c r="BB937" s="197" t="s">
        <v>18506</v>
      </c>
      <c r="BC937" s="198" t="s">
        <v>18507</v>
      </c>
      <c r="BD937" s="199" t="s">
        <v>216</v>
      </c>
      <c r="BE937" s="200" t="s">
        <v>217</v>
      </c>
      <c r="BF937" s="201" t="s">
        <v>18508</v>
      </c>
      <c r="BG937" s="202" t="s">
        <v>153</v>
      </c>
      <c r="BH937" s="203" t="s">
        <v>153</v>
      </c>
      <c r="BI937" s="204" t="s">
        <v>153</v>
      </c>
      <c r="BJ937" s="205" t="s">
        <v>18509</v>
      </c>
      <c r="BK937" s="206" t="s">
        <v>18510</v>
      </c>
      <c r="BL937" s="207" t="s">
        <v>153</v>
      </c>
      <c r="BM937" s="208" t="s">
        <v>18511</v>
      </c>
      <c r="BN937" s="209" t="s">
        <v>18512</v>
      </c>
      <c r="BO937" s="210" t="s">
        <v>18513</v>
      </c>
      <c r="BP937" s="211" t="s">
        <v>18514</v>
      </c>
      <c r="BQ937" s="212">
        <v>39888</v>
      </c>
      <c r="BR937" s="213">
        <v>5</v>
      </c>
      <c r="BS937" s="214" t="s">
        <v>186</v>
      </c>
      <c r="BT937" s="215">
        <v>14.28</v>
      </c>
      <c r="BU937" s="216" t="s">
        <v>186</v>
      </c>
      <c r="BV937" s="217" t="s">
        <v>471</v>
      </c>
      <c r="BW937" s="218" t="s">
        <v>1811</v>
      </c>
      <c r="BX937" s="219" t="s">
        <v>153</v>
      </c>
      <c r="BY937" s="220" t="s">
        <v>472</v>
      </c>
      <c r="BZ937" s="221" t="s">
        <v>153</v>
      </c>
      <c r="CA937" s="222" t="s">
        <v>190</v>
      </c>
      <c r="CB937" s="223">
        <v>44348</v>
      </c>
      <c r="CC937" s="224">
        <v>5300</v>
      </c>
      <c r="CD937" s="225" t="s">
        <v>186</v>
      </c>
      <c r="CE937" s="226">
        <v>5300</v>
      </c>
      <c r="CF937" s="227" t="s">
        <v>187</v>
      </c>
      <c r="CG937" s="228" t="s">
        <v>188</v>
      </c>
      <c r="CH937" s="229" t="s">
        <v>930</v>
      </c>
      <c r="CI937" s="230" t="s">
        <v>153</v>
      </c>
      <c r="CJ937" s="231" t="s">
        <v>165</v>
      </c>
      <c r="CK937" s="232">
        <v>44348</v>
      </c>
      <c r="CL937" s="233" t="s">
        <v>153</v>
      </c>
      <c r="CM937" s="234" t="s">
        <v>1607</v>
      </c>
      <c r="CN937" s="235" t="s">
        <v>1278</v>
      </c>
      <c r="CO937" s="236">
        <v>0.23</v>
      </c>
      <c r="CP937" s="237">
        <v>91</v>
      </c>
      <c r="CQ937" s="238">
        <v>0.03</v>
      </c>
      <c r="CR937" s="239">
        <v>14.08</v>
      </c>
      <c r="CS937" s="240">
        <v>0.75</v>
      </c>
      <c r="CT937" s="241">
        <v>94</v>
      </c>
      <c r="CU937" s="242">
        <v>-0.09</v>
      </c>
      <c r="CV937" s="243">
        <v>21</v>
      </c>
      <c r="CW937" s="244">
        <v>0.69</v>
      </c>
      <c r="CX937" s="245">
        <v>80</v>
      </c>
      <c r="CY937" s="246">
        <v>0.8</v>
      </c>
      <c r="CZ937" s="247">
        <v>96</v>
      </c>
      <c r="DA937" s="248">
        <v>-0.09</v>
      </c>
      <c r="DB937" s="249">
        <v>21</v>
      </c>
      <c r="DC937" s="250">
        <v>252.49</v>
      </c>
      <c r="DD937" s="251">
        <v>100</v>
      </c>
      <c r="DE937" s="252">
        <v>1.35</v>
      </c>
      <c r="DF937" s="253">
        <v>0.54</v>
      </c>
      <c r="DG937" s="254">
        <v>328.66</v>
      </c>
      <c r="DH937" s="255">
        <v>100</v>
      </c>
      <c r="DI937" s="256">
        <v>355.08</v>
      </c>
      <c r="DJ937" s="257">
        <v>99</v>
      </c>
      <c r="DK937" s="258">
        <v>110.31</v>
      </c>
      <c r="DL937" s="259">
        <v>97</v>
      </c>
      <c r="DM937" s="260">
        <v>547</v>
      </c>
      <c r="DN937" s="261">
        <v>100</v>
      </c>
      <c r="DO937" s="262">
        <v>355.08</v>
      </c>
      <c r="DP937" s="263">
        <v>99</v>
      </c>
      <c r="DQ937" s="264">
        <v>65269</v>
      </c>
      <c r="DR937" s="265">
        <v>531</v>
      </c>
      <c r="DS937" s="266">
        <v>0.82</v>
      </c>
      <c r="DT937" s="267">
        <v>8727</v>
      </c>
      <c r="DU937" s="268">
        <v>77</v>
      </c>
      <c r="DV937" s="269">
        <v>0.89</v>
      </c>
      <c r="DW937" s="270">
        <v>111495</v>
      </c>
      <c r="DX937" s="271">
        <v>-10</v>
      </c>
      <c r="DY937" s="272">
        <v>-0.01</v>
      </c>
      <c r="DZ937" s="273" t="s">
        <v>191</v>
      </c>
      <c r="EA937" s="274">
        <v>44401</v>
      </c>
      <c r="EB937" s="275">
        <v>5300</v>
      </c>
      <c r="EC937" s="276">
        <v>44348</v>
      </c>
      <c r="ED937" s="277" t="s">
        <v>188</v>
      </c>
      <c r="EE937" s="279" t="str">
        <f>HYPERLINK("https://my.pitchbook.com?c=51196-51", "View company online")</f>
        <v>View company online</v>
      </c>
    </row>
    <row r="938" spans="1:135" x14ac:dyDescent="0.45">
      <c r="A938" s="10" t="s">
        <v>18515</v>
      </c>
      <c r="B938" s="11" t="s">
        <v>18516</v>
      </c>
      <c r="C938" s="12" t="s">
        <v>153</v>
      </c>
      <c r="D938" s="13" t="s">
        <v>153</v>
      </c>
      <c r="E938" s="14" t="s">
        <v>18517</v>
      </c>
      <c r="F938" s="15" t="s">
        <v>153</v>
      </c>
      <c r="G938" s="16" t="s">
        <v>18518</v>
      </c>
      <c r="H938" s="17" t="s">
        <v>18519</v>
      </c>
      <c r="I938" s="18" t="s">
        <v>18515</v>
      </c>
      <c r="J938" s="19" t="s">
        <v>18520</v>
      </c>
      <c r="K938" s="20" t="s">
        <v>882</v>
      </c>
      <c r="L938" s="21" t="s">
        <v>1257</v>
      </c>
      <c r="M938" s="22" t="s">
        <v>5055</v>
      </c>
      <c r="N938" s="23" t="s">
        <v>18521</v>
      </c>
      <c r="O938" s="24" t="s">
        <v>18522</v>
      </c>
      <c r="P938" s="25" t="s">
        <v>18523</v>
      </c>
      <c r="Q938" s="26" t="s">
        <v>162</v>
      </c>
      <c r="R938" s="27" t="s">
        <v>153</v>
      </c>
      <c r="S938" s="28" t="s">
        <v>368</v>
      </c>
      <c r="T938" s="29" t="s">
        <v>291</v>
      </c>
      <c r="U938" s="30" t="s">
        <v>565</v>
      </c>
      <c r="V938" s="31" t="s">
        <v>18524</v>
      </c>
      <c r="W938" s="32">
        <v>2102</v>
      </c>
      <c r="X938" s="33" t="s">
        <v>18525</v>
      </c>
      <c r="Y938" s="34" t="s">
        <v>372</v>
      </c>
      <c r="Z938" s="35" t="s">
        <v>18526</v>
      </c>
      <c r="AA938" s="36" t="s">
        <v>153</v>
      </c>
      <c r="AB938" s="37" t="s">
        <v>153</v>
      </c>
      <c r="AC938" s="38" t="s">
        <v>428</v>
      </c>
      <c r="AD938" s="39" t="s">
        <v>671</v>
      </c>
      <c r="AE938" s="40">
        <v>1934</v>
      </c>
      <c r="AF938" s="41">
        <v>477</v>
      </c>
      <c r="AG938" s="42">
        <v>6</v>
      </c>
      <c r="AH938" s="43">
        <v>4313.2700000000004</v>
      </c>
      <c r="AI938" s="44">
        <v>324</v>
      </c>
      <c r="AJ938" s="45">
        <v>101</v>
      </c>
      <c r="AK938" s="46">
        <v>2660.8</v>
      </c>
      <c r="AL938" s="47">
        <v>2506</v>
      </c>
      <c r="AM938" s="48">
        <v>2.6</v>
      </c>
      <c r="AN938" s="49" t="s">
        <v>376</v>
      </c>
      <c r="AO938" s="50" t="s">
        <v>18527</v>
      </c>
      <c r="AP938" s="51" t="s">
        <v>18528</v>
      </c>
      <c r="AQ938" s="52" t="s">
        <v>2721</v>
      </c>
      <c r="AR938" s="53" t="s">
        <v>18529</v>
      </c>
      <c r="AS938" s="54" t="s">
        <v>18530</v>
      </c>
      <c r="AT938" s="55" t="s">
        <v>18531</v>
      </c>
      <c r="AU938" s="56" t="s">
        <v>18532</v>
      </c>
      <c r="AV938" s="57" t="s">
        <v>153</v>
      </c>
      <c r="AW938" s="58" t="s">
        <v>18533</v>
      </c>
      <c r="AX938" s="59" t="s">
        <v>273</v>
      </c>
      <c r="AY938" s="60" t="s">
        <v>18534</v>
      </c>
      <c r="AZ938" s="61" t="s">
        <v>215</v>
      </c>
      <c r="BA938" s="62" t="s">
        <v>18530</v>
      </c>
      <c r="BB938" s="63" t="s">
        <v>153</v>
      </c>
      <c r="BC938" s="64" t="s">
        <v>18535</v>
      </c>
      <c r="BD938" s="65" t="s">
        <v>216</v>
      </c>
      <c r="BE938" s="66" t="s">
        <v>217</v>
      </c>
      <c r="BF938" s="67" t="s">
        <v>18536</v>
      </c>
      <c r="BG938" s="68" t="s">
        <v>2880</v>
      </c>
      <c r="BH938" s="69">
        <v>1</v>
      </c>
      <c r="BI938" s="70" t="s">
        <v>153</v>
      </c>
      <c r="BJ938" s="71" t="s">
        <v>153</v>
      </c>
      <c r="BK938" s="72" t="s">
        <v>18537</v>
      </c>
      <c r="BL938" s="73" t="s">
        <v>2882</v>
      </c>
      <c r="BM938" s="74" t="s">
        <v>153</v>
      </c>
      <c r="BN938" s="75" t="s">
        <v>18538</v>
      </c>
      <c r="BO938" s="76" t="s">
        <v>18539</v>
      </c>
      <c r="BP938" s="77" t="s">
        <v>18540</v>
      </c>
      <c r="BQ938" s="78">
        <v>24228</v>
      </c>
      <c r="BR938" s="79" t="s">
        <v>153</v>
      </c>
      <c r="BS938" s="80" t="s">
        <v>153</v>
      </c>
      <c r="BT938" s="81" t="s">
        <v>153</v>
      </c>
      <c r="BU938" s="82" t="s">
        <v>153</v>
      </c>
      <c r="BV938" s="83" t="s">
        <v>251</v>
      </c>
      <c r="BW938" s="84" t="s">
        <v>153</v>
      </c>
      <c r="BX938" s="85" t="s">
        <v>153</v>
      </c>
      <c r="BY938" s="86" t="s">
        <v>252</v>
      </c>
      <c r="BZ938" s="87" t="s">
        <v>153</v>
      </c>
      <c r="CA938" s="88" t="s">
        <v>190</v>
      </c>
      <c r="CB938" s="89">
        <v>44391</v>
      </c>
      <c r="CC938" s="90">
        <v>5300</v>
      </c>
      <c r="CD938" s="91" t="s">
        <v>186</v>
      </c>
      <c r="CE938" s="92">
        <v>5300</v>
      </c>
      <c r="CF938" s="93" t="s">
        <v>187</v>
      </c>
      <c r="CG938" s="94" t="s">
        <v>188</v>
      </c>
      <c r="CH938" s="95" t="s">
        <v>5549</v>
      </c>
      <c r="CI938" s="96" t="s">
        <v>930</v>
      </c>
      <c r="CJ938" s="97" t="s">
        <v>165</v>
      </c>
      <c r="CK938" s="98">
        <v>44391</v>
      </c>
      <c r="CL938" s="99" t="s">
        <v>153</v>
      </c>
      <c r="CM938" s="100" t="s">
        <v>153</v>
      </c>
      <c r="CN938" s="101" t="s">
        <v>1278</v>
      </c>
      <c r="CO938" s="102">
        <v>-0.19</v>
      </c>
      <c r="CP938" s="103">
        <v>7</v>
      </c>
      <c r="CQ938" s="104">
        <v>-0.02</v>
      </c>
      <c r="CR938" s="105">
        <v>-13.89</v>
      </c>
      <c r="CS938" s="106">
        <v>-0.59</v>
      </c>
      <c r="CT938" s="107">
        <v>5</v>
      </c>
      <c r="CU938" s="108">
        <v>-0.05</v>
      </c>
      <c r="CV938" s="109">
        <v>32</v>
      </c>
      <c r="CW938" s="110">
        <v>-1.69</v>
      </c>
      <c r="CX938" s="111">
        <v>14</v>
      </c>
      <c r="CY938" s="112">
        <v>0.51</v>
      </c>
      <c r="CZ938" s="113">
        <v>94</v>
      </c>
      <c r="DA938" s="114">
        <v>-0.05</v>
      </c>
      <c r="DB938" s="115">
        <v>32</v>
      </c>
      <c r="DC938" s="116">
        <v>29.75</v>
      </c>
      <c r="DD938" s="117">
        <v>97</v>
      </c>
      <c r="DE938" s="118">
        <v>0.1</v>
      </c>
      <c r="DF938" s="119">
        <v>0.35</v>
      </c>
      <c r="DG938" s="120">
        <v>43.46</v>
      </c>
      <c r="DH938" s="121">
        <v>98</v>
      </c>
      <c r="DI938" s="122">
        <v>18.11</v>
      </c>
      <c r="DJ938" s="123">
        <v>91</v>
      </c>
      <c r="DK938" s="124">
        <v>14.42</v>
      </c>
      <c r="DL938" s="125">
        <v>89</v>
      </c>
      <c r="DM938" s="126">
        <v>72.5</v>
      </c>
      <c r="DN938" s="127">
        <v>99</v>
      </c>
      <c r="DO938" s="128">
        <v>18.11</v>
      </c>
      <c r="DP938" s="129">
        <v>91</v>
      </c>
      <c r="DQ938" s="130">
        <v>8691</v>
      </c>
      <c r="DR938" s="131">
        <v>-507</v>
      </c>
      <c r="DS938" s="132">
        <v>-5.51</v>
      </c>
      <c r="DT938" s="133">
        <v>1156</v>
      </c>
      <c r="DU938" s="134">
        <v>9</v>
      </c>
      <c r="DV938" s="135">
        <v>0.78</v>
      </c>
      <c r="DW938" s="136">
        <v>5685</v>
      </c>
      <c r="DX938" s="137">
        <v>4</v>
      </c>
      <c r="DY938" s="138">
        <v>7.0000000000000007E-2</v>
      </c>
      <c r="DZ938" s="139" t="s">
        <v>191</v>
      </c>
      <c r="EA938" s="140">
        <v>44400</v>
      </c>
      <c r="EB938" s="141">
        <v>5300</v>
      </c>
      <c r="EC938" s="142">
        <v>44391</v>
      </c>
      <c r="ED938" s="143" t="s">
        <v>188</v>
      </c>
      <c r="EE938" s="278" t="str">
        <f>HYPERLINK("https://my.pitchbook.com?c=41325-49", "View company online")</f>
        <v>View company online</v>
      </c>
    </row>
    <row r="939" spans="1:135" x14ac:dyDescent="0.45">
      <c r="A939" s="144" t="s">
        <v>18541</v>
      </c>
      <c r="B939" s="145" t="s">
        <v>18542</v>
      </c>
      <c r="C939" s="146" t="s">
        <v>153</v>
      </c>
      <c r="D939" s="147" t="s">
        <v>153</v>
      </c>
      <c r="E939" s="148" t="s">
        <v>18543</v>
      </c>
      <c r="F939" s="149" t="s">
        <v>18544</v>
      </c>
      <c r="G939" s="150" t="s">
        <v>18545</v>
      </c>
      <c r="H939" s="151" t="s">
        <v>153</v>
      </c>
      <c r="I939" s="152" t="s">
        <v>18541</v>
      </c>
      <c r="J939" s="153" t="s">
        <v>18546</v>
      </c>
      <c r="K939" s="154" t="s">
        <v>792</v>
      </c>
      <c r="L939" s="155" t="s">
        <v>841</v>
      </c>
      <c r="M939" s="156" t="s">
        <v>842</v>
      </c>
      <c r="N939" s="157" t="s">
        <v>843</v>
      </c>
      <c r="O939" s="158" t="s">
        <v>796</v>
      </c>
      <c r="P939" s="159" t="s">
        <v>18547</v>
      </c>
      <c r="Q939" s="160" t="s">
        <v>204</v>
      </c>
      <c r="R939" s="161" t="s">
        <v>153</v>
      </c>
      <c r="S939" s="162" t="s">
        <v>163</v>
      </c>
      <c r="T939" s="163" t="s">
        <v>205</v>
      </c>
      <c r="U939" s="164" t="s">
        <v>237</v>
      </c>
      <c r="V939" s="165" t="s">
        <v>18548</v>
      </c>
      <c r="W939" s="166" t="s">
        <v>153</v>
      </c>
      <c r="X939" s="167" t="s">
        <v>153</v>
      </c>
      <c r="Y939" s="168" t="s">
        <v>153</v>
      </c>
      <c r="Z939" s="169" t="s">
        <v>153</v>
      </c>
      <c r="AA939" s="170" t="s">
        <v>153</v>
      </c>
      <c r="AB939" s="171" t="s">
        <v>153</v>
      </c>
      <c r="AC939" s="172" t="s">
        <v>153</v>
      </c>
      <c r="AD939" s="173" t="s">
        <v>153</v>
      </c>
      <c r="AE939" s="174" t="s">
        <v>153</v>
      </c>
      <c r="AF939" s="175" t="s">
        <v>153</v>
      </c>
      <c r="AG939" s="176" t="s">
        <v>153</v>
      </c>
      <c r="AH939" s="177" t="s">
        <v>153</v>
      </c>
      <c r="AI939" s="178" t="s">
        <v>153</v>
      </c>
      <c r="AJ939" s="179" t="s">
        <v>153</v>
      </c>
      <c r="AK939" s="180" t="s">
        <v>153</v>
      </c>
      <c r="AL939" s="181" t="s">
        <v>153</v>
      </c>
      <c r="AM939" s="182" t="s">
        <v>153</v>
      </c>
      <c r="AN939" s="183" t="s">
        <v>153</v>
      </c>
      <c r="AO939" s="184" t="s">
        <v>153</v>
      </c>
      <c r="AP939" s="185" t="s">
        <v>153</v>
      </c>
      <c r="AQ939" s="186" t="s">
        <v>153</v>
      </c>
      <c r="AR939" s="187" t="s">
        <v>153</v>
      </c>
      <c r="AS939" s="188" t="s">
        <v>153</v>
      </c>
      <c r="AT939" s="189" t="s">
        <v>1124</v>
      </c>
      <c r="AU939" s="190" t="s">
        <v>6039</v>
      </c>
      <c r="AV939" s="191" t="s">
        <v>4698</v>
      </c>
      <c r="AW939" s="192" t="s">
        <v>1127</v>
      </c>
      <c r="AX939" s="193" t="s">
        <v>1128</v>
      </c>
      <c r="AY939" s="194" t="s">
        <v>1129</v>
      </c>
      <c r="AZ939" s="195" t="s">
        <v>215</v>
      </c>
      <c r="BA939" s="196" t="s">
        <v>153</v>
      </c>
      <c r="BB939" s="197" t="s">
        <v>153</v>
      </c>
      <c r="BC939" s="198" t="s">
        <v>153</v>
      </c>
      <c r="BD939" s="199" t="s">
        <v>216</v>
      </c>
      <c r="BE939" s="200" t="s">
        <v>217</v>
      </c>
      <c r="BF939" s="201" t="s">
        <v>18549</v>
      </c>
      <c r="BG939" s="202" t="s">
        <v>153</v>
      </c>
      <c r="BH939" s="203" t="s">
        <v>153</v>
      </c>
      <c r="BI939" s="204" t="s">
        <v>16061</v>
      </c>
      <c r="BJ939" s="205" t="s">
        <v>153</v>
      </c>
      <c r="BK939" s="206" t="s">
        <v>153</v>
      </c>
      <c r="BL939" s="207" t="s">
        <v>153</v>
      </c>
      <c r="BM939" s="208" t="s">
        <v>153</v>
      </c>
      <c r="BN939" s="209" t="s">
        <v>153</v>
      </c>
      <c r="BO939" s="210" t="s">
        <v>153</v>
      </c>
      <c r="BP939" s="211" t="s">
        <v>153</v>
      </c>
      <c r="BQ939" s="212">
        <v>34669</v>
      </c>
      <c r="BR939" s="213" t="s">
        <v>153</v>
      </c>
      <c r="BS939" s="214" t="s">
        <v>153</v>
      </c>
      <c r="BT939" s="215" t="s">
        <v>153</v>
      </c>
      <c r="BU939" s="216" t="s">
        <v>153</v>
      </c>
      <c r="BV939" s="217" t="s">
        <v>251</v>
      </c>
      <c r="BW939" s="218" t="s">
        <v>153</v>
      </c>
      <c r="BX939" s="219" t="s">
        <v>153</v>
      </c>
      <c r="BY939" s="220" t="s">
        <v>252</v>
      </c>
      <c r="BZ939" s="221" t="s">
        <v>153</v>
      </c>
      <c r="CA939" s="222" t="s">
        <v>190</v>
      </c>
      <c r="CB939" s="223">
        <v>37736</v>
      </c>
      <c r="CC939" s="224">
        <v>5300</v>
      </c>
      <c r="CD939" s="225" t="s">
        <v>186</v>
      </c>
      <c r="CE939" s="226">
        <v>5300</v>
      </c>
      <c r="CF939" s="227" t="s">
        <v>186</v>
      </c>
      <c r="CG939" s="228" t="s">
        <v>226</v>
      </c>
      <c r="CH939" s="229" t="s">
        <v>153</v>
      </c>
      <c r="CI939" s="230" t="s">
        <v>153</v>
      </c>
      <c r="CJ939" s="231" t="s">
        <v>225</v>
      </c>
      <c r="CK939" s="232">
        <v>37736</v>
      </c>
      <c r="CL939" s="233" t="s">
        <v>153</v>
      </c>
      <c r="CM939" s="234" t="s">
        <v>153</v>
      </c>
      <c r="CN939" s="235" t="s">
        <v>190</v>
      </c>
      <c r="CO939" s="236" t="s">
        <v>153</v>
      </c>
      <c r="CP939" s="237" t="s">
        <v>153</v>
      </c>
      <c r="CQ939" s="238" t="s">
        <v>153</v>
      </c>
      <c r="CR939" s="239" t="s">
        <v>153</v>
      </c>
      <c r="CS939" s="240" t="s">
        <v>153</v>
      </c>
      <c r="CT939" s="241" t="s">
        <v>153</v>
      </c>
      <c r="CU939" s="242" t="s">
        <v>153</v>
      </c>
      <c r="CV939" s="243" t="s">
        <v>153</v>
      </c>
      <c r="CW939" s="244" t="s">
        <v>153</v>
      </c>
      <c r="CX939" s="245" t="s">
        <v>153</v>
      </c>
      <c r="CY939" s="246" t="s">
        <v>153</v>
      </c>
      <c r="CZ939" s="247" t="s">
        <v>153</v>
      </c>
      <c r="DA939" s="248" t="s">
        <v>153</v>
      </c>
      <c r="DB939" s="249" t="s">
        <v>153</v>
      </c>
      <c r="DC939" s="250" t="s">
        <v>153</v>
      </c>
      <c r="DD939" s="251" t="s">
        <v>153</v>
      </c>
      <c r="DE939" s="252" t="s">
        <v>153</v>
      </c>
      <c r="DF939" s="253" t="s">
        <v>153</v>
      </c>
      <c r="DG939" s="254" t="s">
        <v>153</v>
      </c>
      <c r="DH939" s="255" t="s">
        <v>153</v>
      </c>
      <c r="DI939" s="256" t="s">
        <v>153</v>
      </c>
      <c r="DJ939" s="257" t="s">
        <v>153</v>
      </c>
      <c r="DK939" s="258" t="s">
        <v>153</v>
      </c>
      <c r="DL939" s="259" t="s">
        <v>153</v>
      </c>
      <c r="DM939" s="260" t="s">
        <v>153</v>
      </c>
      <c r="DN939" s="261" t="s">
        <v>153</v>
      </c>
      <c r="DO939" s="262" t="s">
        <v>153</v>
      </c>
      <c r="DP939" s="263" t="s">
        <v>153</v>
      </c>
      <c r="DQ939" s="264" t="s">
        <v>153</v>
      </c>
      <c r="DR939" s="265" t="s">
        <v>153</v>
      </c>
      <c r="DS939" s="266" t="s">
        <v>153</v>
      </c>
      <c r="DT939" s="267" t="s">
        <v>153</v>
      </c>
      <c r="DU939" s="268" t="s">
        <v>153</v>
      </c>
      <c r="DV939" s="269" t="s">
        <v>153</v>
      </c>
      <c r="DW939" s="270" t="s">
        <v>153</v>
      </c>
      <c r="DX939" s="271" t="s">
        <v>153</v>
      </c>
      <c r="DY939" s="272" t="s">
        <v>153</v>
      </c>
      <c r="DZ939" s="273" t="s">
        <v>191</v>
      </c>
      <c r="EA939" s="274">
        <v>43755</v>
      </c>
      <c r="EB939" s="275">
        <v>5300</v>
      </c>
      <c r="EC939" s="276">
        <v>37736</v>
      </c>
      <c r="ED939" s="277" t="s">
        <v>226</v>
      </c>
      <c r="EE939" s="279" t="str">
        <f>HYPERLINK("https://my.pitchbook.com?c=108728-92", "View company online")</f>
        <v>View company online</v>
      </c>
    </row>
    <row r="940" spans="1:135" x14ac:dyDescent="0.45">
      <c r="A940" s="10" t="s">
        <v>18550</v>
      </c>
      <c r="B940" s="11" t="s">
        <v>18551</v>
      </c>
      <c r="C940" s="12" t="s">
        <v>153</v>
      </c>
      <c r="D940" s="13" t="s">
        <v>153</v>
      </c>
      <c r="E940" s="14" t="s">
        <v>18552</v>
      </c>
      <c r="F940" s="15" t="s">
        <v>18553</v>
      </c>
      <c r="G940" s="16" t="s">
        <v>18554</v>
      </c>
      <c r="H940" s="17" t="s">
        <v>18555</v>
      </c>
      <c r="I940" s="18" t="s">
        <v>18550</v>
      </c>
      <c r="J940" s="19" t="s">
        <v>18556</v>
      </c>
      <c r="K940" s="20" t="s">
        <v>882</v>
      </c>
      <c r="L940" s="21" t="s">
        <v>883</v>
      </c>
      <c r="M940" s="22" t="s">
        <v>1615</v>
      </c>
      <c r="N940" s="23" t="s">
        <v>18557</v>
      </c>
      <c r="O940" s="24" t="s">
        <v>365</v>
      </c>
      <c r="P940" s="25" t="s">
        <v>18558</v>
      </c>
      <c r="Q940" s="26" t="s">
        <v>564</v>
      </c>
      <c r="R940" s="27" t="s">
        <v>153</v>
      </c>
      <c r="S940" s="28" t="s">
        <v>163</v>
      </c>
      <c r="T940" s="29" t="s">
        <v>164</v>
      </c>
      <c r="U940" s="30" t="s">
        <v>565</v>
      </c>
      <c r="V940" s="31" t="s">
        <v>18559</v>
      </c>
      <c r="W940" s="32">
        <v>18000</v>
      </c>
      <c r="X940" s="33" t="s">
        <v>18560</v>
      </c>
      <c r="Y940" s="34" t="s">
        <v>153</v>
      </c>
      <c r="Z940" s="35" t="s">
        <v>153</v>
      </c>
      <c r="AA940" s="36">
        <v>1958</v>
      </c>
      <c r="AB940" s="37" t="s">
        <v>8857</v>
      </c>
      <c r="AC940" s="38" t="s">
        <v>153</v>
      </c>
      <c r="AD940" s="39" t="s">
        <v>570</v>
      </c>
      <c r="AE940" s="40" t="s">
        <v>153</v>
      </c>
      <c r="AF940" s="41" t="s">
        <v>153</v>
      </c>
      <c r="AG940" s="42" t="s">
        <v>153</v>
      </c>
      <c r="AH940" s="43" t="s">
        <v>153</v>
      </c>
      <c r="AI940" s="44" t="s">
        <v>153</v>
      </c>
      <c r="AJ940" s="45" t="s">
        <v>153</v>
      </c>
      <c r="AK940" s="46" t="s">
        <v>153</v>
      </c>
      <c r="AL940" s="47" t="s">
        <v>153</v>
      </c>
      <c r="AM940" s="48" t="s">
        <v>153</v>
      </c>
      <c r="AN940" s="49" t="s">
        <v>1442</v>
      </c>
      <c r="AO940" s="50" t="s">
        <v>18561</v>
      </c>
      <c r="AP940" s="51" t="s">
        <v>18562</v>
      </c>
      <c r="AQ940" s="52" t="s">
        <v>12704</v>
      </c>
      <c r="AR940" s="53" t="s">
        <v>18563</v>
      </c>
      <c r="AS940" s="54" t="s">
        <v>153</v>
      </c>
      <c r="AT940" s="55" t="s">
        <v>18564</v>
      </c>
      <c r="AU940" s="56" t="s">
        <v>18565</v>
      </c>
      <c r="AV940" s="57" t="s">
        <v>18566</v>
      </c>
      <c r="AW940" s="58" t="s">
        <v>18567</v>
      </c>
      <c r="AX940" s="59" t="s">
        <v>408</v>
      </c>
      <c r="AY940" s="60" t="s">
        <v>18568</v>
      </c>
      <c r="AZ940" s="61" t="s">
        <v>215</v>
      </c>
      <c r="BA940" s="62" t="s">
        <v>153</v>
      </c>
      <c r="BB940" s="63" t="s">
        <v>153</v>
      </c>
      <c r="BC940" s="64" t="s">
        <v>18569</v>
      </c>
      <c r="BD940" s="65" t="s">
        <v>216</v>
      </c>
      <c r="BE940" s="66" t="s">
        <v>217</v>
      </c>
      <c r="BF940" s="67" t="s">
        <v>18570</v>
      </c>
      <c r="BG940" s="68" t="s">
        <v>153</v>
      </c>
      <c r="BH940" s="69" t="s">
        <v>153</v>
      </c>
      <c r="BI940" s="70" t="s">
        <v>8857</v>
      </c>
      <c r="BJ940" s="71" t="s">
        <v>18571</v>
      </c>
      <c r="BK940" s="72" t="s">
        <v>153</v>
      </c>
      <c r="BL940" s="73" t="s">
        <v>153</v>
      </c>
      <c r="BM940" s="74" t="s">
        <v>9754</v>
      </c>
      <c r="BN940" s="75" t="s">
        <v>153</v>
      </c>
      <c r="BO940" s="76" t="s">
        <v>153</v>
      </c>
      <c r="BP940" s="77" t="s">
        <v>153</v>
      </c>
      <c r="BQ940" s="78">
        <v>30317</v>
      </c>
      <c r="BR940" s="79" t="s">
        <v>153</v>
      </c>
      <c r="BS940" s="80" t="s">
        <v>153</v>
      </c>
      <c r="BT940" s="81" t="s">
        <v>153</v>
      </c>
      <c r="BU940" s="82" t="s">
        <v>153</v>
      </c>
      <c r="BV940" s="83" t="s">
        <v>251</v>
      </c>
      <c r="BW940" s="84" t="s">
        <v>153</v>
      </c>
      <c r="BX940" s="85" t="s">
        <v>153</v>
      </c>
      <c r="BY940" s="86" t="s">
        <v>252</v>
      </c>
      <c r="BZ940" s="87" t="s">
        <v>153</v>
      </c>
      <c r="CA940" s="88" t="s">
        <v>190</v>
      </c>
      <c r="CB940" s="89">
        <v>36371</v>
      </c>
      <c r="CC940" s="90">
        <v>5300</v>
      </c>
      <c r="CD940" s="91" t="s">
        <v>186</v>
      </c>
      <c r="CE940" s="92">
        <v>5300</v>
      </c>
      <c r="CF940" s="93" t="s">
        <v>186</v>
      </c>
      <c r="CG940" s="94" t="s">
        <v>226</v>
      </c>
      <c r="CH940" s="95" t="s">
        <v>153</v>
      </c>
      <c r="CI940" s="96" t="s">
        <v>153</v>
      </c>
      <c r="CJ940" s="97" t="s">
        <v>225</v>
      </c>
      <c r="CK940" s="98">
        <v>36371</v>
      </c>
      <c r="CL940" s="99" t="s">
        <v>153</v>
      </c>
      <c r="CM940" s="100" t="s">
        <v>153</v>
      </c>
      <c r="CN940" s="101" t="s">
        <v>190</v>
      </c>
      <c r="CO940" s="102" t="s">
        <v>153</v>
      </c>
      <c r="CP940" s="103" t="s">
        <v>153</v>
      </c>
      <c r="CQ940" s="104" t="s">
        <v>153</v>
      </c>
      <c r="CR940" s="105" t="s">
        <v>153</v>
      </c>
      <c r="CS940" s="106" t="s">
        <v>153</v>
      </c>
      <c r="CT940" s="107" t="s">
        <v>153</v>
      </c>
      <c r="CU940" s="108" t="s">
        <v>153</v>
      </c>
      <c r="CV940" s="109" t="s">
        <v>153</v>
      </c>
      <c r="CW940" s="110" t="s">
        <v>153</v>
      </c>
      <c r="CX940" s="111" t="s">
        <v>153</v>
      </c>
      <c r="CY940" s="112" t="s">
        <v>153</v>
      </c>
      <c r="CZ940" s="113" t="s">
        <v>153</v>
      </c>
      <c r="DA940" s="114" t="s">
        <v>153</v>
      </c>
      <c r="DB940" s="115" t="s">
        <v>153</v>
      </c>
      <c r="DC940" s="116" t="s">
        <v>153</v>
      </c>
      <c r="DD940" s="117" t="s">
        <v>153</v>
      </c>
      <c r="DE940" s="118" t="s">
        <v>153</v>
      </c>
      <c r="DF940" s="119" t="s">
        <v>153</v>
      </c>
      <c r="DG940" s="120" t="s">
        <v>153</v>
      </c>
      <c r="DH940" s="121" t="s">
        <v>153</v>
      </c>
      <c r="DI940" s="122" t="s">
        <v>153</v>
      </c>
      <c r="DJ940" s="123" t="s">
        <v>153</v>
      </c>
      <c r="DK940" s="124" t="s">
        <v>153</v>
      </c>
      <c r="DL940" s="125" t="s">
        <v>153</v>
      </c>
      <c r="DM940" s="126" t="s">
        <v>153</v>
      </c>
      <c r="DN940" s="127" t="s">
        <v>153</v>
      </c>
      <c r="DO940" s="128" t="s">
        <v>153</v>
      </c>
      <c r="DP940" s="129" t="s">
        <v>153</v>
      </c>
      <c r="DQ940" s="130" t="s">
        <v>153</v>
      </c>
      <c r="DR940" s="131" t="s">
        <v>153</v>
      </c>
      <c r="DS940" s="132" t="s">
        <v>153</v>
      </c>
      <c r="DT940" s="133" t="s">
        <v>153</v>
      </c>
      <c r="DU940" s="134" t="s">
        <v>153</v>
      </c>
      <c r="DV940" s="135" t="s">
        <v>153</v>
      </c>
      <c r="DW940" s="136" t="s">
        <v>153</v>
      </c>
      <c r="DX940" s="137" t="s">
        <v>153</v>
      </c>
      <c r="DY940" s="138" t="s">
        <v>153</v>
      </c>
      <c r="DZ940" s="139" t="s">
        <v>191</v>
      </c>
      <c r="EA940" s="140">
        <v>44280</v>
      </c>
      <c r="EB940" s="141">
        <v>5300</v>
      </c>
      <c r="EC940" s="142">
        <v>36371</v>
      </c>
      <c r="ED940" s="143" t="s">
        <v>226</v>
      </c>
      <c r="EE940" s="278" t="str">
        <f>HYPERLINK("https://my.pitchbook.com?c=85164-31", "View company online")</f>
        <v>View company online</v>
      </c>
    </row>
    <row r="941" spans="1:135" x14ac:dyDescent="0.45">
      <c r="A941" s="144" t="s">
        <v>18572</v>
      </c>
      <c r="B941" s="145" t="s">
        <v>18573</v>
      </c>
      <c r="C941" s="146" t="s">
        <v>153</v>
      </c>
      <c r="D941" s="147" t="s">
        <v>153</v>
      </c>
      <c r="E941" s="148" t="s">
        <v>153</v>
      </c>
      <c r="F941" s="149" t="s">
        <v>153</v>
      </c>
      <c r="G941" s="150" t="s">
        <v>18574</v>
      </c>
      <c r="H941" s="151" t="s">
        <v>153</v>
      </c>
      <c r="I941" s="152" t="s">
        <v>18572</v>
      </c>
      <c r="J941" s="153" t="s">
        <v>18575</v>
      </c>
      <c r="K941" s="154" t="s">
        <v>232</v>
      </c>
      <c r="L941" s="155" t="s">
        <v>362</v>
      </c>
      <c r="M941" s="156" t="s">
        <v>362</v>
      </c>
      <c r="N941" s="157" t="s">
        <v>1102</v>
      </c>
      <c r="O941" s="158" t="s">
        <v>153</v>
      </c>
      <c r="P941" s="159" t="s">
        <v>18576</v>
      </c>
      <c r="Q941" s="160" t="s">
        <v>204</v>
      </c>
      <c r="R941" s="161">
        <v>175</v>
      </c>
      <c r="S941" s="162" t="s">
        <v>163</v>
      </c>
      <c r="T941" s="163" t="s">
        <v>205</v>
      </c>
      <c r="U941" s="164" t="s">
        <v>237</v>
      </c>
      <c r="V941" s="165" t="s">
        <v>18577</v>
      </c>
      <c r="W941" s="166">
        <v>2514</v>
      </c>
      <c r="X941" s="167" t="s">
        <v>18578</v>
      </c>
      <c r="Y941" s="168" t="s">
        <v>153</v>
      </c>
      <c r="Z941" s="169" t="s">
        <v>153</v>
      </c>
      <c r="AA941" s="170">
        <v>1919</v>
      </c>
      <c r="AB941" s="171" t="s">
        <v>153</v>
      </c>
      <c r="AC941" s="172" t="s">
        <v>153</v>
      </c>
      <c r="AD941" s="173" t="s">
        <v>153</v>
      </c>
      <c r="AE941" s="174" t="s">
        <v>153</v>
      </c>
      <c r="AF941" s="175" t="s">
        <v>153</v>
      </c>
      <c r="AG941" s="176" t="s">
        <v>153</v>
      </c>
      <c r="AH941" s="177" t="s">
        <v>153</v>
      </c>
      <c r="AI941" s="178" t="s">
        <v>153</v>
      </c>
      <c r="AJ941" s="179" t="s">
        <v>153</v>
      </c>
      <c r="AK941" s="180" t="s">
        <v>153</v>
      </c>
      <c r="AL941" s="181" t="s">
        <v>153</v>
      </c>
      <c r="AM941" s="182" t="s">
        <v>153</v>
      </c>
      <c r="AN941" s="183" t="s">
        <v>16800</v>
      </c>
      <c r="AO941" s="184" t="s">
        <v>153</v>
      </c>
      <c r="AP941" s="185" t="s">
        <v>153</v>
      </c>
      <c r="AQ941" s="186" t="s">
        <v>153</v>
      </c>
      <c r="AR941" s="187" t="s">
        <v>153</v>
      </c>
      <c r="AS941" s="188" t="s">
        <v>153</v>
      </c>
      <c r="AT941" s="189" t="s">
        <v>780</v>
      </c>
      <c r="AU941" s="190" t="s">
        <v>18579</v>
      </c>
      <c r="AV941" s="191" t="s">
        <v>18580</v>
      </c>
      <c r="AW941" s="192" t="s">
        <v>782</v>
      </c>
      <c r="AX941" s="193" t="s">
        <v>783</v>
      </c>
      <c r="AY941" s="194" t="s">
        <v>13608</v>
      </c>
      <c r="AZ941" s="195" t="s">
        <v>215</v>
      </c>
      <c r="BA941" s="196" t="s">
        <v>153</v>
      </c>
      <c r="BB941" s="197" t="s">
        <v>153</v>
      </c>
      <c r="BC941" s="198" t="s">
        <v>153</v>
      </c>
      <c r="BD941" s="199" t="s">
        <v>216</v>
      </c>
      <c r="BE941" s="200" t="s">
        <v>217</v>
      </c>
      <c r="BF941" s="201" t="s">
        <v>18581</v>
      </c>
      <c r="BG941" s="202" t="s">
        <v>153</v>
      </c>
      <c r="BH941" s="203" t="s">
        <v>153</v>
      </c>
      <c r="BI941" s="204" t="s">
        <v>4717</v>
      </c>
      <c r="BJ941" s="205" t="s">
        <v>153</v>
      </c>
      <c r="BK941" s="206" t="s">
        <v>153</v>
      </c>
      <c r="BL941" s="207" t="s">
        <v>153</v>
      </c>
      <c r="BM941" s="208" t="s">
        <v>153</v>
      </c>
      <c r="BN941" s="209" t="s">
        <v>153</v>
      </c>
      <c r="BO941" s="210" t="s">
        <v>18582</v>
      </c>
      <c r="BP941" s="211" t="s">
        <v>153</v>
      </c>
      <c r="BQ941" s="212">
        <v>35916</v>
      </c>
      <c r="BR941" s="213">
        <v>175</v>
      </c>
      <c r="BS941" s="214" t="s">
        <v>153</v>
      </c>
      <c r="BT941" s="215">
        <v>175</v>
      </c>
      <c r="BU941" s="216" t="s">
        <v>153</v>
      </c>
      <c r="BV941" s="217" t="s">
        <v>251</v>
      </c>
      <c r="BW941" s="218" t="s">
        <v>153</v>
      </c>
      <c r="BX941" s="219" t="s">
        <v>153</v>
      </c>
      <c r="BY941" s="220" t="s">
        <v>252</v>
      </c>
      <c r="BZ941" s="221" t="s">
        <v>153</v>
      </c>
      <c r="CA941" s="222" t="s">
        <v>190</v>
      </c>
      <c r="CB941" s="223">
        <v>37189</v>
      </c>
      <c r="CC941" s="224">
        <v>5300</v>
      </c>
      <c r="CD941" s="225" t="s">
        <v>186</v>
      </c>
      <c r="CE941" s="226">
        <v>5300</v>
      </c>
      <c r="CF941" s="227" t="s">
        <v>186</v>
      </c>
      <c r="CG941" s="228" t="s">
        <v>226</v>
      </c>
      <c r="CH941" s="229" t="s">
        <v>153</v>
      </c>
      <c r="CI941" s="230" t="s">
        <v>153</v>
      </c>
      <c r="CJ941" s="231" t="s">
        <v>225</v>
      </c>
      <c r="CK941" s="232">
        <v>37189</v>
      </c>
      <c r="CL941" s="233" t="s">
        <v>153</v>
      </c>
      <c r="CM941" s="234" t="s">
        <v>153</v>
      </c>
      <c r="CN941" s="235" t="s">
        <v>190</v>
      </c>
      <c r="CO941" s="236" t="s">
        <v>153</v>
      </c>
      <c r="CP941" s="237" t="s">
        <v>153</v>
      </c>
      <c r="CQ941" s="238" t="s">
        <v>153</v>
      </c>
      <c r="CR941" s="239" t="s">
        <v>153</v>
      </c>
      <c r="CS941" s="240" t="s">
        <v>153</v>
      </c>
      <c r="CT941" s="241" t="s">
        <v>153</v>
      </c>
      <c r="CU941" s="242" t="s">
        <v>153</v>
      </c>
      <c r="CV941" s="243" t="s">
        <v>153</v>
      </c>
      <c r="CW941" s="244" t="s">
        <v>153</v>
      </c>
      <c r="CX941" s="245" t="s">
        <v>153</v>
      </c>
      <c r="CY941" s="246" t="s">
        <v>153</v>
      </c>
      <c r="CZ941" s="247" t="s">
        <v>153</v>
      </c>
      <c r="DA941" s="248" t="s">
        <v>153</v>
      </c>
      <c r="DB941" s="249" t="s">
        <v>153</v>
      </c>
      <c r="DC941" s="250" t="s">
        <v>153</v>
      </c>
      <c r="DD941" s="251" t="s">
        <v>153</v>
      </c>
      <c r="DE941" s="252" t="s">
        <v>153</v>
      </c>
      <c r="DF941" s="253" t="s">
        <v>153</v>
      </c>
      <c r="DG941" s="254" t="s">
        <v>153</v>
      </c>
      <c r="DH941" s="255" t="s">
        <v>153</v>
      </c>
      <c r="DI941" s="256" t="s">
        <v>153</v>
      </c>
      <c r="DJ941" s="257" t="s">
        <v>153</v>
      </c>
      <c r="DK941" s="258" t="s">
        <v>153</v>
      </c>
      <c r="DL941" s="259" t="s">
        <v>153</v>
      </c>
      <c r="DM941" s="260" t="s">
        <v>153</v>
      </c>
      <c r="DN941" s="261" t="s">
        <v>153</v>
      </c>
      <c r="DO941" s="262" t="s">
        <v>153</v>
      </c>
      <c r="DP941" s="263" t="s">
        <v>153</v>
      </c>
      <c r="DQ941" s="264" t="s">
        <v>153</v>
      </c>
      <c r="DR941" s="265" t="s">
        <v>153</v>
      </c>
      <c r="DS941" s="266" t="s">
        <v>153</v>
      </c>
      <c r="DT941" s="267" t="s">
        <v>153</v>
      </c>
      <c r="DU941" s="268" t="s">
        <v>153</v>
      </c>
      <c r="DV941" s="269" t="s">
        <v>153</v>
      </c>
      <c r="DW941" s="270" t="s">
        <v>153</v>
      </c>
      <c r="DX941" s="271" t="s">
        <v>153</v>
      </c>
      <c r="DY941" s="272" t="s">
        <v>153</v>
      </c>
      <c r="DZ941" s="273" t="s">
        <v>191</v>
      </c>
      <c r="EA941" s="274">
        <v>44147</v>
      </c>
      <c r="EB941" s="275">
        <v>5300</v>
      </c>
      <c r="EC941" s="276">
        <v>37189</v>
      </c>
      <c r="ED941" s="277" t="s">
        <v>226</v>
      </c>
      <c r="EE941" s="279" t="str">
        <f>HYPERLINK("https://my.pitchbook.com?c=10216-45", "View company online")</f>
        <v>View company online</v>
      </c>
    </row>
    <row r="942" spans="1:135" x14ac:dyDescent="0.45">
      <c r="A942" s="10" t="s">
        <v>18583</v>
      </c>
      <c r="B942" s="11" t="s">
        <v>18584</v>
      </c>
      <c r="C942" s="12" t="s">
        <v>153</v>
      </c>
      <c r="D942" s="13" t="s">
        <v>153</v>
      </c>
      <c r="E942" s="14" t="s">
        <v>18585</v>
      </c>
      <c r="F942" s="15" t="s">
        <v>153</v>
      </c>
      <c r="G942" s="16" t="s">
        <v>18586</v>
      </c>
      <c r="H942" s="17" t="s">
        <v>153</v>
      </c>
      <c r="I942" s="18" t="s">
        <v>18583</v>
      </c>
      <c r="J942" s="19" t="s">
        <v>18587</v>
      </c>
      <c r="K942" s="20" t="s">
        <v>257</v>
      </c>
      <c r="L942" s="21" t="s">
        <v>258</v>
      </c>
      <c r="M942" s="22" t="s">
        <v>259</v>
      </c>
      <c r="N942" s="23" t="s">
        <v>260</v>
      </c>
      <c r="O942" s="24" t="s">
        <v>153</v>
      </c>
      <c r="P942" s="25" t="s">
        <v>18588</v>
      </c>
      <c r="Q942" s="26" t="s">
        <v>204</v>
      </c>
      <c r="R942" s="27" t="s">
        <v>153</v>
      </c>
      <c r="S942" s="28" t="s">
        <v>163</v>
      </c>
      <c r="T942" s="29" t="s">
        <v>164</v>
      </c>
      <c r="U942" s="30" t="s">
        <v>206</v>
      </c>
      <c r="V942" s="31" t="s">
        <v>18589</v>
      </c>
      <c r="W942" s="32" t="s">
        <v>153</v>
      </c>
      <c r="X942" s="33" t="s">
        <v>153</v>
      </c>
      <c r="Y942" s="34" t="s">
        <v>153</v>
      </c>
      <c r="Z942" s="35" t="s">
        <v>153</v>
      </c>
      <c r="AA942" s="36">
        <v>1986</v>
      </c>
      <c r="AB942" s="37" t="s">
        <v>4728</v>
      </c>
      <c r="AC942" s="38" t="s">
        <v>153</v>
      </c>
      <c r="AD942" s="39" t="s">
        <v>153</v>
      </c>
      <c r="AE942" s="40" t="s">
        <v>153</v>
      </c>
      <c r="AF942" s="41" t="s">
        <v>153</v>
      </c>
      <c r="AG942" s="42" t="s">
        <v>153</v>
      </c>
      <c r="AH942" s="43" t="s">
        <v>153</v>
      </c>
      <c r="AI942" s="44" t="s">
        <v>153</v>
      </c>
      <c r="AJ942" s="45" t="s">
        <v>153</v>
      </c>
      <c r="AK942" s="46" t="s">
        <v>153</v>
      </c>
      <c r="AL942" s="47" t="s">
        <v>153</v>
      </c>
      <c r="AM942" s="48" t="s">
        <v>153</v>
      </c>
      <c r="AN942" s="49" t="s">
        <v>7002</v>
      </c>
      <c r="AO942" s="50" t="s">
        <v>18590</v>
      </c>
      <c r="AP942" s="51" t="s">
        <v>18591</v>
      </c>
      <c r="AQ942" s="52" t="s">
        <v>18592</v>
      </c>
      <c r="AR942" s="53" t="s">
        <v>18593</v>
      </c>
      <c r="AS942" s="54" t="s">
        <v>18594</v>
      </c>
      <c r="AT942" s="55" t="s">
        <v>18595</v>
      </c>
      <c r="AU942" s="56" t="s">
        <v>18596</v>
      </c>
      <c r="AV942" s="57" t="s">
        <v>153</v>
      </c>
      <c r="AW942" s="58" t="s">
        <v>18597</v>
      </c>
      <c r="AX942" s="59" t="s">
        <v>153</v>
      </c>
      <c r="AY942" s="60" t="s">
        <v>18598</v>
      </c>
      <c r="AZ942" s="61" t="s">
        <v>352</v>
      </c>
      <c r="BA942" s="62" t="s">
        <v>18599</v>
      </c>
      <c r="BB942" s="63" t="s">
        <v>18600</v>
      </c>
      <c r="BC942" s="64" t="s">
        <v>153</v>
      </c>
      <c r="BD942" s="65" t="s">
        <v>180</v>
      </c>
      <c r="BE942" s="66" t="s">
        <v>181</v>
      </c>
      <c r="BF942" s="67" t="s">
        <v>18601</v>
      </c>
      <c r="BG942" s="68" t="s">
        <v>153</v>
      </c>
      <c r="BH942" s="69" t="s">
        <v>153</v>
      </c>
      <c r="BI942" s="70" t="s">
        <v>4728</v>
      </c>
      <c r="BJ942" s="71" t="s">
        <v>153</v>
      </c>
      <c r="BK942" s="72" t="s">
        <v>153</v>
      </c>
      <c r="BL942" s="73" t="s">
        <v>153</v>
      </c>
      <c r="BM942" s="74" t="s">
        <v>153</v>
      </c>
      <c r="BN942" s="75" t="s">
        <v>153</v>
      </c>
      <c r="BO942" s="76" t="s">
        <v>153</v>
      </c>
      <c r="BP942" s="77" t="s">
        <v>153</v>
      </c>
      <c r="BQ942" s="78">
        <v>38404</v>
      </c>
      <c r="BR942" s="79">
        <v>5300</v>
      </c>
      <c r="BS942" s="80" t="s">
        <v>187</v>
      </c>
      <c r="BT942" s="81">
        <v>5300</v>
      </c>
      <c r="BU942" s="82" t="s">
        <v>187</v>
      </c>
      <c r="BV942" s="83" t="s">
        <v>226</v>
      </c>
      <c r="BW942" s="84" t="s">
        <v>153</v>
      </c>
      <c r="BX942" s="85" t="s">
        <v>153</v>
      </c>
      <c r="BY942" s="86" t="s">
        <v>225</v>
      </c>
      <c r="BZ942" s="87" t="s">
        <v>153</v>
      </c>
      <c r="CA942" s="88" t="s">
        <v>190</v>
      </c>
      <c r="CB942" s="89">
        <v>38404</v>
      </c>
      <c r="CC942" s="90">
        <v>5300</v>
      </c>
      <c r="CD942" s="91" t="s">
        <v>187</v>
      </c>
      <c r="CE942" s="92">
        <v>5300</v>
      </c>
      <c r="CF942" s="93" t="s">
        <v>187</v>
      </c>
      <c r="CG942" s="94" t="s">
        <v>226</v>
      </c>
      <c r="CH942" s="95" t="s">
        <v>153</v>
      </c>
      <c r="CI942" s="96" t="s">
        <v>153</v>
      </c>
      <c r="CJ942" s="97" t="s">
        <v>225</v>
      </c>
      <c r="CK942" s="98">
        <v>38404</v>
      </c>
      <c r="CL942" s="99" t="s">
        <v>153</v>
      </c>
      <c r="CM942" s="100" t="s">
        <v>153</v>
      </c>
      <c r="CN942" s="101" t="s">
        <v>190</v>
      </c>
      <c r="CO942" s="102">
        <v>0.32</v>
      </c>
      <c r="CP942" s="103">
        <v>92</v>
      </c>
      <c r="CQ942" s="104">
        <v>0.05</v>
      </c>
      <c r="CR942" s="105">
        <v>17.79</v>
      </c>
      <c r="CS942" s="106">
        <v>0.74</v>
      </c>
      <c r="CT942" s="107">
        <v>94</v>
      </c>
      <c r="CU942" s="108">
        <v>-0.09</v>
      </c>
      <c r="CV942" s="109">
        <v>21</v>
      </c>
      <c r="CW942" s="110" t="s">
        <v>153</v>
      </c>
      <c r="CX942" s="111" t="s">
        <v>153</v>
      </c>
      <c r="CY942" s="112">
        <v>0.74</v>
      </c>
      <c r="CZ942" s="113">
        <v>96</v>
      </c>
      <c r="DA942" s="114">
        <v>-0.09</v>
      </c>
      <c r="DB942" s="115">
        <v>21</v>
      </c>
      <c r="DC942" s="116">
        <v>54.8</v>
      </c>
      <c r="DD942" s="117">
        <v>99</v>
      </c>
      <c r="DE942" s="118">
        <v>0.55000000000000004</v>
      </c>
      <c r="DF942" s="119">
        <v>1.01</v>
      </c>
      <c r="DG942" s="120">
        <v>94.88</v>
      </c>
      <c r="DH942" s="121">
        <v>99</v>
      </c>
      <c r="DI942" s="122">
        <v>14.72</v>
      </c>
      <c r="DJ942" s="123">
        <v>90</v>
      </c>
      <c r="DK942" s="124" t="s">
        <v>153</v>
      </c>
      <c r="DL942" s="125" t="s">
        <v>153</v>
      </c>
      <c r="DM942" s="126">
        <v>94.88</v>
      </c>
      <c r="DN942" s="127">
        <v>99</v>
      </c>
      <c r="DO942" s="128">
        <v>14.72</v>
      </c>
      <c r="DP942" s="129">
        <v>90</v>
      </c>
      <c r="DQ942" s="130" t="s">
        <v>153</v>
      </c>
      <c r="DR942" s="131" t="s">
        <v>153</v>
      </c>
      <c r="DS942" s="132" t="s">
        <v>153</v>
      </c>
      <c r="DT942" s="133">
        <v>1511</v>
      </c>
      <c r="DU942" s="134">
        <v>18</v>
      </c>
      <c r="DV942" s="135">
        <v>1.21</v>
      </c>
      <c r="DW942" s="136">
        <v>4623</v>
      </c>
      <c r="DX942" s="137">
        <v>0</v>
      </c>
      <c r="DY942" s="138">
        <v>0</v>
      </c>
      <c r="DZ942" s="139" t="s">
        <v>191</v>
      </c>
      <c r="EA942" s="140">
        <v>44328</v>
      </c>
      <c r="EB942" s="141">
        <v>5300</v>
      </c>
      <c r="EC942" s="142">
        <v>38404</v>
      </c>
      <c r="ED942" s="143" t="s">
        <v>226</v>
      </c>
      <c r="EE942" s="278" t="str">
        <f>HYPERLINK("https://my.pitchbook.com?c=65643-85", "View company online")</f>
        <v>View company online</v>
      </c>
    </row>
    <row r="943" spans="1:135" x14ac:dyDescent="0.45">
      <c r="A943" s="144" t="s">
        <v>18602</v>
      </c>
      <c r="B943" s="145" t="s">
        <v>18603</v>
      </c>
      <c r="C943" s="146" t="s">
        <v>153</v>
      </c>
      <c r="D943" s="147" t="s">
        <v>153</v>
      </c>
      <c r="E943" s="148" t="s">
        <v>18604</v>
      </c>
      <c r="F943" s="149" t="s">
        <v>153</v>
      </c>
      <c r="G943" s="150" t="s">
        <v>18605</v>
      </c>
      <c r="H943" s="151" t="s">
        <v>153</v>
      </c>
      <c r="I943" s="152" t="s">
        <v>18602</v>
      </c>
      <c r="J943" s="153" t="s">
        <v>18606</v>
      </c>
      <c r="K943" s="154" t="s">
        <v>232</v>
      </c>
      <c r="L943" s="155" t="s">
        <v>1016</v>
      </c>
      <c r="M943" s="156" t="s">
        <v>165</v>
      </c>
      <c r="N943" s="157" t="s">
        <v>18607</v>
      </c>
      <c r="O943" s="158" t="s">
        <v>153</v>
      </c>
      <c r="P943" s="159" t="s">
        <v>18608</v>
      </c>
      <c r="Q943" s="160" t="s">
        <v>204</v>
      </c>
      <c r="R943" s="161" t="s">
        <v>153</v>
      </c>
      <c r="S943" s="162" t="s">
        <v>163</v>
      </c>
      <c r="T943" s="163" t="s">
        <v>164</v>
      </c>
      <c r="U943" s="164" t="s">
        <v>2000</v>
      </c>
      <c r="V943" s="165" t="s">
        <v>18609</v>
      </c>
      <c r="W943" s="166" t="s">
        <v>153</v>
      </c>
      <c r="X943" s="167" t="s">
        <v>153</v>
      </c>
      <c r="Y943" s="168" t="s">
        <v>153</v>
      </c>
      <c r="Z943" s="169" t="s">
        <v>153</v>
      </c>
      <c r="AA943" s="170">
        <v>1988</v>
      </c>
      <c r="AB943" s="171" t="s">
        <v>17494</v>
      </c>
      <c r="AC943" s="172" t="s">
        <v>153</v>
      </c>
      <c r="AD943" s="173" t="s">
        <v>153</v>
      </c>
      <c r="AE943" s="174" t="s">
        <v>153</v>
      </c>
      <c r="AF943" s="175" t="s">
        <v>153</v>
      </c>
      <c r="AG943" s="176" t="s">
        <v>153</v>
      </c>
      <c r="AH943" s="177" t="s">
        <v>153</v>
      </c>
      <c r="AI943" s="178" t="s">
        <v>153</v>
      </c>
      <c r="AJ943" s="179" t="s">
        <v>153</v>
      </c>
      <c r="AK943" s="180" t="s">
        <v>153</v>
      </c>
      <c r="AL943" s="181" t="s">
        <v>153</v>
      </c>
      <c r="AM943" s="182" t="s">
        <v>153</v>
      </c>
      <c r="AN943" s="183" t="s">
        <v>153</v>
      </c>
      <c r="AO943" s="184" t="s">
        <v>18610</v>
      </c>
      <c r="AP943" s="185" t="s">
        <v>18611</v>
      </c>
      <c r="AQ943" s="186" t="s">
        <v>18612</v>
      </c>
      <c r="AR943" s="187" t="s">
        <v>18613</v>
      </c>
      <c r="AS943" s="188" t="s">
        <v>18614</v>
      </c>
      <c r="AT943" s="189" t="s">
        <v>3124</v>
      </c>
      <c r="AU943" s="190" t="s">
        <v>18615</v>
      </c>
      <c r="AV943" s="191" t="s">
        <v>18616</v>
      </c>
      <c r="AW943" s="192" t="s">
        <v>3126</v>
      </c>
      <c r="AX943" s="193" t="s">
        <v>1128</v>
      </c>
      <c r="AY943" s="194" t="s">
        <v>3950</v>
      </c>
      <c r="AZ943" s="195" t="s">
        <v>215</v>
      </c>
      <c r="BA943" s="196" t="s">
        <v>18614</v>
      </c>
      <c r="BB943" s="197" t="s">
        <v>18617</v>
      </c>
      <c r="BC943" s="198" t="s">
        <v>18618</v>
      </c>
      <c r="BD943" s="199" t="s">
        <v>216</v>
      </c>
      <c r="BE943" s="200" t="s">
        <v>217</v>
      </c>
      <c r="BF943" s="201" t="s">
        <v>18619</v>
      </c>
      <c r="BG943" s="202" t="s">
        <v>153</v>
      </c>
      <c r="BH943" s="203" t="s">
        <v>153</v>
      </c>
      <c r="BI943" s="204" t="s">
        <v>17494</v>
      </c>
      <c r="BJ943" s="205" t="s">
        <v>18620</v>
      </c>
      <c r="BK943" s="206" t="s">
        <v>153</v>
      </c>
      <c r="BL943" s="207" t="s">
        <v>153</v>
      </c>
      <c r="BM943" s="208" t="s">
        <v>18621</v>
      </c>
      <c r="BN943" s="209" t="s">
        <v>153</v>
      </c>
      <c r="BO943" s="210" t="s">
        <v>18622</v>
      </c>
      <c r="BP943" s="211" t="s">
        <v>153</v>
      </c>
      <c r="BQ943" s="212">
        <v>39015</v>
      </c>
      <c r="BR943" s="213" t="s">
        <v>153</v>
      </c>
      <c r="BS943" s="214" t="s">
        <v>153</v>
      </c>
      <c r="BT943" s="215" t="s">
        <v>153</v>
      </c>
      <c r="BU943" s="216" t="s">
        <v>153</v>
      </c>
      <c r="BV943" s="217" t="s">
        <v>709</v>
      </c>
      <c r="BW943" s="218" t="s">
        <v>153</v>
      </c>
      <c r="BX943" s="219" t="s">
        <v>153</v>
      </c>
      <c r="BY943" s="220" t="s">
        <v>165</v>
      </c>
      <c r="BZ943" s="221" t="s">
        <v>153</v>
      </c>
      <c r="CA943" s="222" t="s">
        <v>190</v>
      </c>
      <c r="CB943" s="223">
        <v>42926</v>
      </c>
      <c r="CC943" s="224">
        <v>5300</v>
      </c>
      <c r="CD943" s="225" t="s">
        <v>186</v>
      </c>
      <c r="CE943" s="226" t="s">
        <v>153</v>
      </c>
      <c r="CF943" s="227" t="s">
        <v>153</v>
      </c>
      <c r="CG943" s="228" t="s">
        <v>225</v>
      </c>
      <c r="CH943" s="229" t="s">
        <v>225</v>
      </c>
      <c r="CI943" s="230" t="s">
        <v>153</v>
      </c>
      <c r="CJ943" s="231" t="s">
        <v>225</v>
      </c>
      <c r="CK943" s="232">
        <v>42926</v>
      </c>
      <c r="CL943" s="233" t="s">
        <v>153</v>
      </c>
      <c r="CM943" s="234" t="s">
        <v>153</v>
      </c>
      <c r="CN943" s="235" t="s">
        <v>394</v>
      </c>
      <c r="CO943" s="236">
        <v>0.06</v>
      </c>
      <c r="CP943" s="237">
        <v>88</v>
      </c>
      <c r="CQ943" s="238">
        <v>-0.25</v>
      </c>
      <c r="CR943" s="239">
        <v>-81.47</v>
      </c>
      <c r="CS943" s="240">
        <v>0.06</v>
      </c>
      <c r="CT943" s="241">
        <v>89</v>
      </c>
      <c r="CU943" s="242" t="s">
        <v>153</v>
      </c>
      <c r="CV943" s="243" t="s">
        <v>153</v>
      </c>
      <c r="CW943" s="244">
        <v>0.49</v>
      </c>
      <c r="CX943" s="245">
        <v>79</v>
      </c>
      <c r="CY943" s="246">
        <v>-0.37</v>
      </c>
      <c r="CZ943" s="247">
        <v>3</v>
      </c>
      <c r="DA943" s="248" t="s">
        <v>153</v>
      </c>
      <c r="DB943" s="249" t="s">
        <v>153</v>
      </c>
      <c r="DC943" s="250">
        <v>3.33</v>
      </c>
      <c r="DD943" s="251">
        <v>78</v>
      </c>
      <c r="DE943" s="252">
        <v>0</v>
      </c>
      <c r="DF943" s="253">
        <v>0</v>
      </c>
      <c r="DG943" s="254">
        <v>3.33</v>
      </c>
      <c r="DH943" s="255">
        <v>78</v>
      </c>
      <c r="DI943" s="256" t="s">
        <v>153</v>
      </c>
      <c r="DJ943" s="257" t="s">
        <v>153</v>
      </c>
      <c r="DK943" s="258">
        <v>1.97</v>
      </c>
      <c r="DL943" s="259">
        <v>64</v>
      </c>
      <c r="DM943" s="260">
        <v>4.6900000000000004</v>
      </c>
      <c r="DN943" s="261">
        <v>81</v>
      </c>
      <c r="DO943" s="262" t="s">
        <v>153</v>
      </c>
      <c r="DP943" s="263" t="s">
        <v>153</v>
      </c>
      <c r="DQ943" s="264">
        <v>1149</v>
      </c>
      <c r="DR943" s="265">
        <v>80</v>
      </c>
      <c r="DS943" s="266">
        <v>7.48</v>
      </c>
      <c r="DT943" s="267">
        <v>75</v>
      </c>
      <c r="DU943" s="268">
        <v>0</v>
      </c>
      <c r="DV943" s="269">
        <v>0</v>
      </c>
      <c r="DW943" s="270" t="s">
        <v>153</v>
      </c>
      <c r="DX943" s="271" t="s">
        <v>153</v>
      </c>
      <c r="DY943" s="272" t="s">
        <v>153</v>
      </c>
      <c r="DZ943" s="273" t="s">
        <v>191</v>
      </c>
      <c r="EA943" s="274">
        <v>44398</v>
      </c>
      <c r="EB943" s="275">
        <v>892.63</v>
      </c>
      <c r="EC943" s="276">
        <v>41263</v>
      </c>
      <c r="ED943" s="277" t="s">
        <v>906</v>
      </c>
      <c r="EE943" s="279" t="str">
        <f>HYPERLINK("https://my.pitchbook.com?c=10152-19", "View company online")</f>
        <v>View company online</v>
      </c>
    </row>
    <row r="944" spans="1:135" x14ac:dyDescent="0.45">
      <c r="A944" s="10" t="s">
        <v>18623</v>
      </c>
      <c r="B944" s="11" t="s">
        <v>18624</v>
      </c>
      <c r="C944" s="12" t="s">
        <v>153</v>
      </c>
      <c r="D944" s="13" t="s">
        <v>153</v>
      </c>
      <c r="E944" s="14" t="s">
        <v>18625</v>
      </c>
      <c r="F944" s="15" t="s">
        <v>18626</v>
      </c>
      <c r="G944" s="16" t="s">
        <v>18627</v>
      </c>
      <c r="H944" s="17" t="s">
        <v>18628</v>
      </c>
      <c r="I944" s="18" t="s">
        <v>18623</v>
      </c>
      <c r="J944" s="19" t="s">
        <v>18629</v>
      </c>
      <c r="K944" s="20" t="s">
        <v>198</v>
      </c>
      <c r="L944" s="21" t="s">
        <v>984</v>
      </c>
      <c r="M944" s="22" t="s">
        <v>18630</v>
      </c>
      <c r="N944" s="23" t="s">
        <v>18631</v>
      </c>
      <c r="O944" s="24" t="s">
        <v>18632</v>
      </c>
      <c r="P944" s="25" t="s">
        <v>18633</v>
      </c>
      <c r="Q944" s="26" t="s">
        <v>162</v>
      </c>
      <c r="R944" s="27">
        <v>774.33</v>
      </c>
      <c r="S944" s="28" t="s">
        <v>290</v>
      </c>
      <c r="T944" s="29" t="s">
        <v>1392</v>
      </c>
      <c r="U944" s="30" t="s">
        <v>2534</v>
      </c>
      <c r="V944" s="31" t="s">
        <v>18634</v>
      </c>
      <c r="W944" s="32">
        <v>2133</v>
      </c>
      <c r="X944" s="33" t="s">
        <v>18635</v>
      </c>
      <c r="Y944" s="34" t="s">
        <v>153</v>
      </c>
      <c r="Z944" s="35" t="s">
        <v>153</v>
      </c>
      <c r="AA944" s="36">
        <v>1938</v>
      </c>
      <c r="AB944" s="37" t="s">
        <v>153</v>
      </c>
      <c r="AC944" s="38" t="s">
        <v>153</v>
      </c>
      <c r="AD944" s="39" t="s">
        <v>153</v>
      </c>
      <c r="AE944" s="40">
        <v>876</v>
      </c>
      <c r="AF944" s="41" t="s">
        <v>153</v>
      </c>
      <c r="AG944" s="42" t="s">
        <v>153</v>
      </c>
      <c r="AH944" s="43" t="s">
        <v>153</v>
      </c>
      <c r="AI944" s="44">
        <v>250</v>
      </c>
      <c r="AJ944" s="45" t="s">
        <v>153</v>
      </c>
      <c r="AK944" s="46" t="s">
        <v>153</v>
      </c>
      <c r="AL944" s="47" t="s">
        <v>153</v>
      </c>
      <c r="AM944" s="48">
        <v>338</v>
      </c>
      <c r="AN944" s="49" t="s">
        <v>168</v>
      </c>
      <c r="AO944" s="50" t="s">
        <v>18636</v>
      </c>
      <c r="AP944" s="51" t="s">
        <v>18637</v>
      </c>
      <c r="AQ944" s="52" t="s">
        <v>171</v>
      </c>
      <c r="AR944" s="53" t="s">
        <v>153</v>
      </c>
      <c r="AS944" s="54" t="s">
        <v>18638</v>
      </c>
      <c r="AT944" s="55" t="s">
        <v>15697</v>
      </c>
      <c r="AU944" s="56" t="s">
        <v>18639</v>
      </c>
      <c r="AV944" s="57" t="s">
        <v>153</v>
      </c>
      <c r="AW944" s="58" t="s">
        <v>15700</v>
      </c>
      <c r="AX944" s="59" t="s">
        <v>6023</v>
      </c>
      <c r="AY944" s="60" t="s">
        <v>15701</v>
      </c>
      <c r="AZ944" s="61" t="s">
        <v>215</v>
      </c>
      <c r="BA944" s="62" t="s">
        <v>18638</v>
      </c>
      <c r="BB944" s="63" t="s">
        <v>153</v>
      </c>
      <c r="BC944" s="64" t="s">
        <v>18640</v>
      </c>
      <c r="BD944" s="65" t="s">
        <v>216</v>
      </c>
      <c r="BE944" s="66" t="s">
        <v>217</v>
      </c>
      <c r="BF944" s="67" t="s">
        <v>18641</v>
      </c>
      <c r="BG944" s="68" t="s">
        <v>18642</v>
      </c>
      <c r="BH944" s="69">
        <v>3</v>
      </c>
      <c r="BI944" s="70" t="s">
        <v>153</v>
      </c>
      <c r="BJ944" s="71" t="s">
        <v>18643</v>
      </c>
      <c r="BK944" s="72" t="s">
        <v>18644</v>
      </c>
      <c r="BL944" s="73" t="s">
        <v>18645</v>
      </c>
      <c r="BM944" s="74" t="s">
        <v>18646</v>
      </c>
      <c r="BN944" s="75" t="s">
        <v>18647</v>
      </c>
      <c r="BO944" s="76" t="s">
        <v>18648</v>
      </c>
      <c r="BP944" s="77" t="s">
        <v>18649</v>
      </c>
      <c r="BQ944" s="78" t="s">
        <v>153</v>
      </c>
      <c r="BR944" s="79" t="s">
        <v>153</v>
      </c>
      <c r="BS944" s="80" t="s">
        <v>153</v>
      </c>
      <c r="BT944" s="81" t="s">
        <v>153</v>
      </c>
      <c r="BU944" s="82" t="s">
        <v>153</v>
      </c>
      <c r="BV944" s="83" t="s">
        <v>251</v>
      </c>
      <c r="BW944" s="84" t="s">
        <v>153</v>
      </c>
      <c r="BX944" s="85" t="s">
        <v>153</v>
      </c>
      <c r="BY944" s="86" t="s">
        <v>252</v>
      </c>
      <c r="BZ944" s="87" t="s">
        <v>153</v>
      </c>
      <c r="CA944" s="88" t="s">
        <v>190</v>
      </c>
      <c r="CB944" s="89">
        <v>44333</v>
      </c>
      <c r="CC944" s="90">
        <v>5300</v>
      </c>
      <c r="CD944" s="91" t="s">
        <v>186</v>
      </c>
      <c r="CE944" s="92">
        <v>5300</v>
      </c>
      <c r="CF944" s="93" t="s">
        <v>186</v>
      </c>
      <c r="CG944" s="94" t="s">
        <v>226</v>
      </c>
      <c r="CH944" s="95" t="s">
        <v>153</v>
      </c>
      <c r="CI944" s="96" t="s">
        <v>153</v>
      </c>
      <c r="CJ944" s="97" t="s">
        <v>225</v>
      </c>
      <c r="CK944" s="98">
        <v>44333</v>
      </c>
      <c r="CL944" s="99" t="s">
        <v>153</v>
      </c>
      <c r="CM944" s="100" t="s">
        <v>153</v>
      </c>
      <c r="CN944" s="101" t="s">
        <v>1278</v>
      </c>
      <c r="CO944" s="102">
        <v>2.68</v>
      </c>
      <c r="CP944" s="103">
        <v>99</v>
      </c>
      <c r="CQ944" s="104">
        <v>-7.0000000000000007E-2</v>
      </c>
      <c r="CR944" s="105">
        <v>-2.5299999999999998</v>
      </c>
      <c r="CS944" s="106">
        <v>7.97</v>
      </c>
      <c r="CT944" s="107">
        <v>100</v>
      </c>
      <c r="CU944" s="108">
        <v>-0.06</v>
      </c>
      <c r="CV944" s="109">
        <v>29</v>
      </c>
      <c r="CW944" s="110">
        <v>15.22</v>
      </c>
      <c r="CX944" s="111">
        <v>100</v>
      </c>
      <c r="CY944" s="112">
        <v>0.73</v>
      </c>
      <c r="CZ944" s="113">
        <v>96</v>
      </c>
      <c r="DA944" s="114">
        <v>-0.06</v>
      </c>
      <c r="DB944" s="115">
        <v>29</v>
      </c>
      <c r="DC944" s="116">
        <v>661.28</v>
      </c>
      <c r="DD944" s="117">
        <v>100</v>
      </c>
      <c r="DE944" s="118">
        <v>-4.3600000000000003</v>
      </c>
      <c r="DF944" s="119">
        <v>-0.66</v>
      </c>
      <c r="DG944" s="120">
        <v>1832.46</v>
      </c>
      <c r="DH944" s="121">
        <v>100</v>
      </c>
      <c r="DI944" s="122">
        <v>93.73</v>
      </c>
      <c r="DJ944" s="123">
        <v>98</v>
      </c>
      <c r="DK944" s="124">
        <v>2973.87</v>
      </c>
      <c r="DL944" s="125">
        <v>100</v>
      </c>
      <c r="DM944" s="126">
        <v>691.06</v>
      </c>
      <c r="DN944" s="127">
        <v>100</v>
      </c>
      <c r="DO944" s="128">
        <v>93.73</v>
      </c>
      <c r="DP944" s="129">
        <v>98</v>
      </c>
      <c r="DQ944" s="130">
        <v>1756145</v>
      </c>
      <c r="DR944" s="131">
        <v>26975</v>
      </c>
      <c r="DS944" s="132">
        <v>1.56</v>
      </c>
      <c r="DT944" s="133">
        <v>11239</v>
      </c>
      <c r="DU944" s="134">
        <v>-292</v>
      </c>
      <c r="DV944" s="135">
        <v>-2.5299999999999998</v>
      </c>
      <c r="DW944" s="136">
        <v>29430</v>
      </c>
      <c r="DX944" s="137">
        <v>6</v>
      </c>
      <c r="DY944" s="138">
        <v>0.02</v>
      </c>
      <c r="DZ944" s="139" t="s">
        <v>191</v>
      </c>
      <c r="EA944" s="140">
        <v>44337</v>
      </c>
      <c r="EB944" s="141">
        <v>5300</v>
      </c>
      <c r="EC944" s="142">
        <v>44333</v>
      </c>
      <c r="ED944" s="143" t="s">
        <v>226</v>
      </c>
      <c r="EE944" s="278" t="str">
        <f>HYPERLINK("https://my.pitchbook.com?c=10494-19", "View company online")</f>
        <v>View company online</v>
      </c>
    </row>
    <row r="945" spans="1:135" x14ac:dyDescent="0.45">
      <c r="A945" s="144" t="s">
        <v>18650</v>
      </c>
      <c r="B945" s="145" t="s">
        <v>18651</v>
      </c>
      <c r="C945" s="146" t="s">
        <v>153</v>
      </c>
      <c r="D945" s="147" t="s">
        <v>153</v>
      </c>
      <c r="E945" s="148" t="s">
        <v>153</v>
      </c>
      <c r="F945" s="149" t="s">
        <v>153</v>
      </c>
      <c r="G945" s="150" t="s">
        <v>18652</v>
      </c>
      <c r="H945" s="151" t="s">
        <v>153</v>
      </c>
      <c r="I945" s="152" t="s">
        <v>18650</v>
      </c>
      <c r="J945" s="153" t="s">
        <v>18653</v>
      </c>
      <c r="K945" s="154" t="s">
        <v>232</v>
      </c>
      <c r="L945" s="155" t="s">
        <v>362</v>
      </c>
      <c r="M945" s="156" t="s">
        <v>363</v>
      </c>
      <c r="N945" s="157" t="s">
        <v>18654</v>
      </c>
      <c r="O945" s="158" t="s">
        <v>153</v>
      </c>
      <c r="P945" s="159" t="s">
        <v>18655</v>
      </c>
      <c r="Q945" s="160" t="s">
        <v>204</v>
      </c>
      <c r="R945" s="161" t="s">
        <v>153</v>
      </c>
      <c r="S945" s="162" t="s">
        <v>163</v>
      </c>
      <c r="T945" s="163" t="s">
        <v>1392</v>
      </c>
      <c r="U945" s="164" t="s">
        <v>206</v>
      </c>
      <c r="V945" s="165" t="s">
        <v>153</v>
      </c>
      <c r="W945" s="166" t="s">
        <v>153</v>
      </c>
      <c r="X945" s="167" t="s">
        <v>153</v>
      </c>
      <c r="Y945" s="168" t="s">
        <v>153</v>
      </c>
      <c r="Z945" s="169" t="s">
        <v>153</v>
      </c>
      <c r="AA945" s="170">
        <v>2008</v>
      </c>
      <c r="AB945" s="171" t="s">
        <v>153</v>
      </c>
      <c r="AC945" s="172" t="s">
        <v>153</v>
      </c>
      <c r="AD945" s="173" t="s">
        <v>153</v>
      </c>
      <c r="AE945" s="174">
        <v>0</v>
      </c>
      <c r="AF945" s="175" t="s">
        <v>153</v>
      </c>
      <c r="AG945" s="176" t="s">
        <v>153</v>
      </c>
      <c r="AH945" s="177" t="s">
        <v>153</v>
      </c>
      <c r="AI945" s="178" t="s">
        <v>153</v>
      </c>
      <c r="AJ945" s="179">
        <v>-1610.03</v>
      </c>
      <c r="AK945" s="180" t="s">
        <v>153</v>
      </c>
      <c r="AL945" s="181">
        <v>0</v>
      </c>
      <c r="AM945" s="182">
        <v>0</v>
      </c>
      <c r="AN945" s="183" t="s">
        <v>168</v>
      </c>
      <c r="AO945" s="184" t="s">
        <v>18656</v>
      </c>
      <c r="AP945" s="185" t="s">
        <v>18657</v>
      </c>
      <c r="AQ945" s="186" t="s">
        <v>5014</v>
      </c>
      <c r="AR945" s="187" t="s">
        <v>153</v>
      </c>
      <c r="AS945" s="188" t="s">
        <v>153</v>
      </c>
      <c r="AT945" s="189" t="s">
        <v>1071</v>
      </c>
      <c r="AU945" s="190" t="s">
        <v>17639</v>
      </c>
      <c r="AV945" s="191" t="s">
        <v>5520</v>
      </c>
      <c r="AW945" s="192" t="s">
        <v>1074</v>
      </c>
      <c r="AX945" s="193" t="s">
        <v>177</v>
      </c>
      <c r="AY945" s="194" t="s">
        <v>18658</v>
      </c>
      <c r="AZ945" s="195" t="s">
        <v>179</v>
      </c>
      <c r="BA945" s="196" t="s">
        <v>153</v>
      </c>
      <c r="BB945" s="197" t="s">
        <v>153</v>
      </c>
      <c r="BC945" s="198" t="s">
        <v>153</v>
      </c>
      <c r="BD945" s="199" t="s">
        <v>180</v>
      </c>
      <c r="BE945" s="200" t="s">
        <v>181</v>
      </c>
      <c r="BF945" s="201" t="s">
        <v>18659</v>
      </c>
      <c r="BG945" s="202" t="s">
        <v>18660</v>
      </c>
      <c r="BH945" s="203">
        <v>2</v>
      </c>
      <c r="BI945" s="204" t="s">
        <v>153</v>
      </c>
      <c r="BJ945" s="205" t="s">
        <v>153</v>
      </c>
      <c r="BK945" s="206" t="s">
        <v>18661</v>
      </c>
      <c r="BL945" s="207" t="s">
        <v>18662</v>
      </c>
      <c r="BM945" s="208" t="s">
        <v>153</v>
      </c>
      <c r="BN945" s="209" t="s">
        <v>18663</v>
      </c>
      <c r="BO945" s="210" t="s">
        <v>2579</v>
      </c>
      <c r="BP945" s="211" t="s">
        <v>153</v>
      </c>
      <c r="BQ945" s="212">
        <v>40143</v>
      </c>
      <c r="BR945" s="213">
        <v>3816.19</v>
      </c>
      <c r="BS945" s="214" t="s">
        <v>186</v>
      </c>
      <c r="BT945" s="215">
        <v>19080.97</v>
      </c>
      <c r="BU945" s="216" t="s">
        <v>186</v>
      </c>
      <c r="BV945" s="217" t="s">
        <v>906</v>
      </c>
      <c r="BW945" s="218" t="s">
        <v>153</v>
      </c>
      <c r="BX945" s="219" t="s">
        <v>153</v>
      </c>
      <c r="BY945" s="220" t="s">
        <v>225</v>
      </c>
      <c r="BZ945" s="221" t="s">
        <v>153</v>
      </c>
      <c r="CA945" s="222" t="s">
        <v>190</v>
      </c>
      <c r="CB945" s="223">
        <v>43289</v>
      </c>
      <c r="CC945" s="224">
        <v>5298.94</v>
      </c>
      <c r="CD945" s="225" t="s">
        <v>187</v>
      </c>
      <c r="CE945" s="226">
        <v>10814.16</v>
      </c>
      <c r="CF945" s="227" t="s">
        <v>187</v>
      </c>
      <c r="CG945" s="228" t="s">
        <v>906</v>
      </c>
      <c r="CH945" s="229" t="s">
        <v>153</v>
      </c>
      <c r="CI945" s="230" t="s">
        <v>153</v>
      </c>
      <c r="CJ945" s="231" t="s">
        <v>225</v>
      </c>
      <c r="CK945" s="232">
        <v>43289</v>
      </c>
      <c r="CL945" s="233" t="s">
        <v>153</v>
      </c>
      <c r="CM945" s="234" t="s">
        <v>153</v>
      </c>
      <c r="CN945" s="235" t="s">
        <v>394</v>
      </c>
      <c r="CO945" s="236" t="s">
        <v>153</v>
      </c>
      <c r="CP945" s="237" t="s">
        <v>153</v>
      </c>
      <c r="CQ945" s="238" t="s">
        <v>153</v>
      </c>
      <c r="CR945" s="239" t="s">
        <v>153</v>
      </c>
      <c r="CS945" s="240" t="s">
        <v>153</v>
      </c>
      <c r="CT945" s="241" t="s">
        <v>153</v>
      </c>
      <c r="CU945" s="242" t="s">
        <v>153</v>
      </c>
      <c r="CV945" s="243" t="s">
        <v>153</v>
      </c>
      <c r="CW945" s="244" t="s">
        <v>153</v>
      </c>
      <c r="CX945" s="245" t="s">
        <v>153</v>
      </c>
      <c r="CY945" s="246" t="s">
        <v>153</v>
      </c>
      <c r="CZ945" s="247" t="s">
        <v>153</v>
      </c>
      <c r="DA945" s="248" t="s">
        <v>153</v>
      </c>
      <c r="DB945" s="249" t="s">
        <v>153</v>
      </c>
      <c r="DC945" s="250" t="s">
        <v>153</v>
      </c>
      <c r="DD945" s="251" t="s">
        <v>153</v>
      </c>
      <c r="DE945" s="252" t="s">
        <v>153</v>
      </c>
      <c r="DF945" s="253" t="s">
        <v>153</v>
      </c>
      <c r="DG945" s="254" t="s">
        <v>153</v>
      </c>
      <c r="DH945" s="255" t="s">
        <v>153</v>
      </c>
      <c r="DI945" s="256" t="s">
        <v>153</v>
      </c>
      <c r="DJ945" s="257" t="s">
        <v>153</v>
      </c>
      <c r="DK945" s="258" t="s">
        <v>153</v>
      </c>
      <c r="DL945" s="259" t="s">
        <v>153</v>
      </c>
      <c r="DM945" s="260" t="s">
        <v>153</v>
      </c>
      <c r="DN945" s="261" t="s">
        <v>153</v>
      </c>
      <c r="DO945" s="262" t="s">
        <v>153</v>
      </c>
      <c r="DP945" s="263" t="s">
        <v>153</v>
      </c>
      <c r="DQ945" s="264" t="s">
        <v>153</v>
      </c>
      <c r="DR945" s="265" t="s">
        <v>153</v>
      </c>
      <c r="DS945" s="266" t="s">
        <v>153</v>
      </c>
      <c r="DT945" s="267" t="s">
        <v>153</v>
      </c>
      <c r="DU945" s="268" t="s">
        <v>153</v>
      </c>
      <c r="DV945" s="269" t="s">
        <v>153</v>
      </c>
      <c r="DW945" s="270" t="s">
        <v>153</v>
      </c>
      <c r="DX945" s="271" t="s">
        <v>153</v>
      </c>
      <c r="DY945" s="272" t="s">
        <v>153</v>
      </c>
      <c r="DZ945" s="273" t="s">
        <v>191</v>
      </c>
      <c r="EA945" s="274">
        <v>44147</v>
      </c>
      <c r="EB945" s="275">
        <v>10814.16</v>
      </c>
      <c r="EC945" s="276">
        <v>43289</v>
      </c>
      <c r="ED945" s="277" t="s">
        <v>906</v>
      </c>
      <c r="EE945" s="279" t="str">
        <f>HYPERLINK("https://my.pitchbook.com?c=122250-43", "View company online")</f>
        <v>View company online</v>
      </c>
    </row>
    <row r="946" spans="1:135" x14ac:dyDescent="0.45">
      <c r="A946" s="10" t="s">
        <v>18664</v>
      </c>
      <c r="B946" s="11" t="s">
        <v>18665</v>
      </c>
      <c r="C946" s="12" t="s">
        <v>153</v>
      </c>
      <c r="D946" s="13" t="s">
        <v>153</v>
      </c>
      <c r="E946" s="14" t="s">
        <v>18666</v>
      </c>
      <c r="F946" s="15" t="s">
        <v>153</v>
      </c>
      <c r="G946" s="16" t="s">
        <v>18667</v>
      </c>
      <c r="H946" s="17" t="s">
        <v>18668</v>
      </c>
      <c r="I946" s="18" t="s">
        <v>18664</v>
      </c>
      <c r="J946" s="19" t="s">
        <v>18669</v>
      </c>
      <c r="K946" s="20" t="s">
        <v>257</v>
      </c>
      <c r="L946" s="21" t="s">
        <v>530</v>
      </c>
      <c r="M946" s="22" t="s">
        <v>531</v>
      </c>
      <c r="N946" s="23" t="s">
        <v>10080</v>
      </c>
      <c r="O946" s="24" t="s">
        <v>153</v>
      </c>
      <c r="P946" s="25" t="s">
        <v>18670</v>
      </c>
      <c r="Q946" s="26" t="s">
        <v>204</v>
      </c>
      <c r="R946" s="27" t="s">
        <v>153</v>
      </c>
      <c r="S946" s="28" t="s">
        <v>163</v>
      </c>
      <c r="T946" s="29" t="s">
        <v>205</v>
      </c>
      <c r="U946" s="30" t="s">
        <v>369</v>
      </c>
      <c r="V946" s="31" t="s">
        <v>18671</v>
      </c>
      <c r="W946" s="32">
        <v>2600</v>
      </c>
      <c r="X946" s="33" t="s">
        <v>18672</v>
      </c>
      <c r="Y946" s="34" t="s">
        <v>153</v>
      </c>
      <c r="Z946" s="35" t="s">
        <v>153</v>
      </c>
      <c r="AA946" s="36">
        <v>1979</v>
      </c>
      <c r="AB946" s="37" t="s">
        <v>153</v>
      </c>
      <c r="AC946" s="38" t="s">
        <v>153</v>
      </c>
      <c r="AD946" s="39" t="s">
        <v>428</v>
      </c>
      <c r="AE946" s="40" t="s">
        <v>153</v>
      </c>
      <c r="AF946" s="41" t="s">
        <v>153</v>
      </c>
      <c r="AG946" s="42" t="s">
        <v>153</v>
      </c>
      <c r="AH946" s="43" t="s">
        <v>153</v>
      </c>
      <c r="AI946" s="44" t="s">
        <v>153</v>
      </c>
      <c r="AJ946" s="45" t="s">
        <v>153</v>
      </c>
      <c r="AK946" s="46" t="s">
        <v>153</v>
      </c>
      <c r="AL946" s="47" t="s">
        <v>153</v>
      </c>
      <c r="AM946" s="48" t="s">
        <v>153</v>
      </c>
      <c r="AN946" s="49" t="s">
        <v>918</v>
      </c>
      <c r="AO946" s="50" t="s">
        <v>18673</v>
      </c>
      <c r="AP946" s="51" t="s">
        <v>18674</v>
      </c>
      <c r="AQ946" s="52" t="s">
        <v>512</v>
      </c>
      <c r="AR946" s="53" t="s">
        <v>18675</v>
      </c>
      <c r="AS946" s="54" t="s">
        <v>153</v>
      </c>
      <c r="AT946" s="55" t="s">
        <v>9514</v>
      </c>
      <c r="AU946" s="56" t="s">
        <v>18676</v>
      </c>
      <c r="AV946" s="57" t="s">
        <v>18677</v>
      </c>
      <c r="AW946" s="58" t="s">
        <v>9516</v>
      </c>
      <c r="AX946" s="59" t="s">
        <v>308</v>
      </c>
      <c r="AY946" s="60" t="s">
        <v>18678</v>
      </c>
      <c r="AZ946" s="61" t="s">
        <v>215</v>
      </c>
      <c r="BA946" s="62" t="s">
        <v>153</v>
      </c>
      <c r="BB946" s="63" t="s">
        <v>153</v>
      </c>
      <c r="BC946" s="64" t="s">
        <v>153</v>
      </c>
      <c r="BD946" s="65" t="s">
        <v>216</v>
      </c>
      <c r="BE946" s="66" t="s">
        <v>217</v>
      </c>
      <c r="BF946" s="67" t="s">
        <v>18679</v>
      </c>
      <c r="BG946" s="68" t="s">
        <v>153</v>
      </c>
      <c r="BH946" s="69" t="s">
        <v>153</v>
      </c>
      <c r="BI946" s="70" t="s">
        <v>4180</v>
      </c>
      <c r="BJ946" s="71" t="s">
        <v>18680</v>
      </c>
      <c r="BK946" s="72" t="s">
        <v>153</v>
      </c>
      <c r="BL946" s="73" t="s">
        <v>153</v>
      </c>
      <c r="BM946" s="74" t="s">
        <v>18681</v>
      </c>
      <c r="BN946" s="75" t="s">
        <v>153</v>
      </c>
      <c r="BO946" s="76" t="s">
        <v>18682</v>
      </c>
      <c r="BP946" s="77" t="s">
        <v>18683</v>
      </c>
      <c r="BQ946" s="78">
        <v>34335</v>
      </c>
      <c r="BR946" s="79" t="s">
        <v>153</v>
      </c>
      <c r="BS946" s="80" t="s">
        <v>153</v>
      </c>
      <c r="BT946" s="81" t="s">
        <v>153</v>
      </c>
      <c r="BU946" s="82" t="s">
        <v>153</v>
      </c>
      <c r="BV946" s="83" t="s">
        <v>3319</v>
      </c>
      <c r="BW946" s="84" t="s">
        <v>153</v>
      </c>
      <c r="BX946" s="85" t="s">
        <v>153</v>
      </c>
      <c r="BY946" s="86" t="s">
        <v>225</v>
      </c>
      <c r="BZ946" s="87" t="s">
        <v>153</v>
      </c>
      <c r="CA946" s="88" t="s">
        <v>190</v>
      </c>
      <c r="CB946" s="89">
        <v>42453</v>
      </c>
      <c r="CC946" s="90">
        <v>5287</v>
      </c>
      <c r="CD946" s="91" t="s">
        <v>186</v>
      </c>
      <c r="CE946" s="92">
        <v>5287</v>
      </c>
      <c r="CF946" s="93" t="s">
        <v>187</v>
      </c>
      <c r="CG946" s="94" t="s">
        <v>226</v>
      </c>
      <c r="CH946" s="95" t="s">
        <v>153</v>
      </c>
      <c r="CI946" s="96" t="s">
        <v>153</v>
      </c>
      <c r="CJ946" s="97" t="s">
        <v>225</v>
      </c>
      <c r="CK946" s="98">
        <v>42453</v>
      </c>
      <c r="CL946" s="99" t="s">
        <v>153</v>
      </c>
      <c r="CM946" s="100" t="s">
        <v>153</v>
      </c>
      <c r="CN946" s="101" t="s">
        <v>190</v>
      </c>
      <c r="CO946" s="102">
        <v>-0.63</v>
      </c>
      <c r="CP946" s="103">
        <v>4</v>
      </c>
      <c r="CQ946" s="104">
        <v>0.01</v>
      </c>
      <c r="CR946" s="105">
        <v>2.31</v>
      </c>
      <c r="CS946" s="106" t="s">
        <v>153</v>
      </c>
      <c r="CT946" s="107" t="s">
        <v>153</v>
      </c>
      <c r="CU946" s="108" t="s">
        <v>153</v>
      </c>
      <c r="CV946" s="109" t="s">
        <v>153</v>
      </c>
      <c r="CW946" s="110" t="s">
        <v>153</v>
      </c>
      <c r="CX946" s="111" t="s">
        <v>153</v>
      </c>
      <c r="CY946" s="112" t="s">
        <v>153</v>
      </c>
      <c r="CZ946" s="113" t="s">
        <v>153</v>
      </c>
      <c r="DA946" s="114" t="s">
        <v>153</v>
      </c>
      <c r="DB946" s="115" t="s">
        <v>153</v>
      </c>
      <c r="DC946" s="116">
        <v>70.27</v>
      </c>
      <c r="DD946" s="117">
        <v>99</v>
      </c>
      <c r="DE946" s="118">
        <v>-0.22</v>
      </c>
      <c r="DF946" s="119">
        <v>-0.31</v>
      </c>
      <c r="DG946" s="120" t="s">
        <v>153</v>
      </c>
      <c r="DH946" s="121" t="s">
        <v>153</v>
      </c>
      <c r="DI946" s="122" t="s">
        <v>153</v>
      </c>
      <c r="DJ946" s="123" t="s">
        <v>153</v>
      </c>
      <c r="DK946" s="124" t="s">
        <v>153</v>
      </c>
      <c r="DL946" s="125" t="s">
        <v>153</v>
      </c>
      <c r="DM946" s="126" t="s">
        <v>153</v>
      </c>
      <c r="DN946" s="127" t="s">
        <v>153</v>
      </c>
      <c r="DO946" s="128" t="s">
        <v>153</v>
      </c>
      <c r="DP946" s="129" t="s">
        <v>153</v>
      </c>
      <c r="DQ946" s="130" t="s">
        <v>153</v>
      </c>
      <c r="DR946" s="131" t="s">
        <v>153</v>
      </c>
      <c r="DS946" s="132" t="s">
        <v>153</v>
      </c>
      <c r="DT946" s="133" t="s">
        <v>153</v>
      </c>
      <c r="DU946" s="134" t="s">
        <v>153</v>
      </c>
      <c r="DV946" s="135" t="s">
        <v>153</v>
      </c>
      <c r="DW946" s="136" t="s">
        <v>153</v>
      </c>
      <c r="DX946" s="137" t="s">
        <v>153</v>
      </c>
      <c r="DY946" s="138" t="s">
        <v>153</v>
      </c>
      <c r="DZ946" s="139" t="s">
        <v>191</v>
      </c>
      <c r="EA946" s="140">
        <v>44390</v>
      </c>
      <c r="EB946" s="141">
        <v>5287</v>
      </c>
      <c r="EC946" s="142">
        <v>42453</v>
      </c>
      <c r="ED946" s="143" t="s">
        <v>226</v>
      </c>
      <c r="EE946" s="278" t="str">
        <f>HYPERLINK("https://my.pitchbook.com?c=41065-12", "View company online")</f>
        <v>View company online</v>
      </c>
    </row>
    <row r="947" spans="1:135" x14ac:dyDescent="0.45">
      <c r="A947" s="144" t="s">
        <v>18684</v>
      </c>
      <c r="B947" s="145" t="s">
        <v>18685</v>
      </c>
      <c r="C947" s="146" t="s">
        <v>153</v>
      </c>
      <c r="D947" s="147" t="s">
        <v>153</v>
      </c>
      <c r="E947" s="148" t="s">
        <v>153</v>
      </c>
      <c r="F947" s="149" t="s">
        <v>153</v>
      </c>
      <c r="G947" s="150" t="s">
        <v>18686</v>
      </c>
      <c r="H947" s="151" t="s">
        <v>153</v>
      </c>
      <c r="I947" s="152" t="s">
        <v>18684</v>
      </c>
      <c r="J947" s="153" t="s">
        <v>18687</v>
      </c>
      <c r="K947" s="154" t="s">
        <v>257</v>
      </c>
      <c r="L947" s="155" t="s">
        <v>18688</v>
      </c>
      <c r="M947" s="156" t="s">
        <v>18688</v>
      </c>
      <c r="N947" s="157" t="s">
        <v>18689</v>
      </c>
      <c r="O947" s="158" t="s">
        <v>7996</v>
      </c>
      <c r="P947" s="159" t="s">
        <v>18690</v>
      </c>
      <c r="Q947" s="160" t="s">
        <v>204</v>
      </c>
      <c r="R947" s="161" t="s">
        <v>153</v>
      </c>
      <c r="S947" s="162" t="s">
        <v>290</v>
      </c>
      <c r="T947" s="163" t="s">
        <v>205</v>
      </c>
      <c r="U947" s="164" t="s">
        <v>206</v>
      </c>
      <c r="V947" s="165" t="s">
        <v>18691</v>
      </c>
      <c r="W947" s="166">
        <v>3000</v>
      </c>
      <c r="X947" s="167" t="s">
        <v>18692</v>
      </c>
      <c r="Y947" s="168" t="s">
        <v>153</v>
      </c>
      <c r="Z947" s="169" t="s">
        <v>153</v>
      </c>
      <c r="AA947" s="170">
        <v>2000</v>
      </c>
      <c r="AB947" s="171" t="s">
        <v>153</v>
      </c>
      <c r="AC947" s="172" t="s">
        <v>153</v>
      </c>
      <c r="AD947" s="173" t="s">
        <v>153</v>
      </c>
      <c r="AE947" s="174" t="s">
        <v>153</v>
      </c>
      <c r="AF947" s="175" t="s">
        <v>153</v>
      </c>
      <c r="AG947" s="176" t="s">
        <v>153</v>
      </c>
      <c r="AH947" s="177" t="s">
        <v>153</v>
      </c>
      <c r="AI947" s="178" t="s">
        <v>153</v>
      </c>
      <c r="AJ947" s="179" t="s">
        <v>153</v>
      </c>
      <c r="AK947" s="180" t="s">
        <v>153</v>
      </c>
      <c r="AL947" s="181" t="s">
        <v>153</v>
      </c>
      <c r="AM947" s="182" t="s">
        <v>153</v>
      </c>
      <c r="AN947" s="183" t="s">
        <v>209</v>
      </c>
      <c r="AO947" s="184" t="s">
        <v>153</v>
      </c>
      <c r="AP947" s="185" t="s">
        <v>153</v>
      </c>
      <c r="AQ947" s="186" t="s">
        <v>153</v>
      </c>
      <c r="AR947" s="187" t="s">
        <v>153</v>
      </c>
      <c r="AS947" s="188" t="s">
        <v>153</v>
      </c>
      <c r="AT947" s="189" t="s">
        <v>5856</v>
      </c>
      <c r="AU947" s="190" t="s">
        <v>18693</v>
      </c>
      <c r="AV947" s="191" t="s">
        <v>153</v>
      </c>
      <c r="AW947" s="192" t="s">
        <v>5859</v>
      </c>
      <c r="AX947" s="193" t="s">
        <v>153</v>
      </c>
      <c r="AY947" s="194" t="s">
        <v>153</v>
      </c>
      <c r="AZ947" s="195" t="s">
        <v>1426</v>
      </c>
      <c r="BA947" s="196" t="s">
        <v>153</v>
      </c>
      <c r="BB947" s="197" t="s">
        <v>153</v>
      </c>
      <c r="BC947" s="198" t="s">
        <v>153</v>
      </c>
      <c r="BD947" s="199" t="s">
        <v>180</v>
      </c>
      <c r="BE947" s="200" t="s">
        <v>181</v>
      </c>
      <c r="BF947" s="201" t="s">
        <v>18694</v>
      </c>
      <c r="BG947" s="202" t="s">
        <v>153</v>
      </c>
      <c r="BH947" s="203" t="s">
        <v>153</v>
      </c>
      <c r="BI947" s="204" t="s">
        <v>2408</v>
      </c>
      <c r="BJ947" s="205" t="s">
        <v>4728</v>
      </c>
      <c r="BK947" s="206" t="s">
        <v>153</v>
      </c>
      <c r="BL947" s="207" t="s">
        <v>153</v>
      </c>
      <c r="BM947" s="208" t="s">
        <v>13312</v>
      </c>
      <c r="BN947" s="209" t="s">
        <v>153</v>
      </c>
      <c r="BO947" s="210" t="s">
        <v>153</v>
      </c>
      <c r="BP947" s="211" t="s">
        <v>18695</v>
      </c>
      <c r="BQ947" s="212">
        <v>42005</v>
      </c>
      <c r="BR947" s="213">
        <v>5280</v>
      </c>
      <c r="BS947" s="214" t="s">
        <v>186</v>
      </c>
      <c r="BT947" s="215">
        <v>5280</v>
      </c>
      <c r="BU947" s="216" t="s">
        <v>187</v>
      </c>
      <c r="BV947" s="217" t="s">
        <v>226</v>
      </c>
      <c r="BW947" s="218" t="s">
        <v>729</v>
      </c>
      <c r="BX947" s="219" t="s">
        <v>153</v>
      </c>
      <c r="BY947" s="220" t="s">
        <v>225</v>
      </c>
      <c r="BZ947" s="221" t="s">
        <v>153</v>
      </c>
      <c r="CA947" s="222" t="s">
        <v>190</v>
      </c>
      <c r="CB947" s="223">
        <v>42005</v>
      </c>
      <c r="CC947" s="224">
        <v>5280</v>
      </c>
      <c r="CD947" s="225" t="s">
        <v>186</v>
      </c>
      <c r="CE947" s="226">
        <v>5280</v>
      </c>
      <c r="CF947" s="227" t="s">
        <v>187</v>
      </c>
      <c r="CG947" s="228" t="s">
        <v>226</v>
      </c>
      <c r="CH947" s="229" t="s">
        <v>729</v>
      </c>
      <c r="CI947" s="230" t="s">
        <v>153</v>
      </c>
      <c r="CJ947" s="231" t="s">
        <v>225</v>
      </c>
      <c r="CK947" s="232">
        <v>42005</v>
      </c>
      <c r="CL947" s="233" t="s">
        <v>153</v>
      </c>
      <c r="CM947" s="234" t="s">
        <v>153</v>
      </c>
      <c r="CN947" s="235" t="s">
        <v>190</v>
      </c>
      <c r="CO947" s="236" t="s">
        <v>153</v>
      </c>
      <c r="CP947" s="237" t="s">
        <v>153</v>
      </c>
      <c r="CQ947" s="238" t="s">
        <v>153</v>
      </c>
      <c r="CR947" s="239" t="s">
        <v>153</v>
      </c>
      <c r="CS947" s="240" t="s">
        <v>153</v>
      </c>
      <c r="CT947" s="241" t="s">
        <v>153</v>
      </c>
      <c r="CU947" s="242" t="s">
        <v>153</v>
      </c>
      <c r="CV947" s="243" t="s">
        <v>153</v>
      </c>
      <c r="CW947" s="244" t="s">
        <v>153</v>
      </c>
      <c r="CX947" s="245" t="s">
        <v>153</v>
      </c>
      <c r="CY947" s="246" t="s">
        <v>153</v>
      </c>
      <c r="CZ947" s="247" t="s">
        <v>153</v>
      </c>
      <c r="DA947" s="248" t="s">
        <v>153</v>
      </c>
      <c r="DB947" s="249" t="s">
        <v>153</v>
      </c>
      <c r="DC947" s="250" t="s">
        <v>153</v>
      </c>
      <c r="DD947" s="251" t="s">
        <v>153</v>
      </c>
      <c r="DE947" s="252" t="s">
        <v>153</v>
      </c>
      <c r="DF947" s="253" t="s">
        <v>153</v>
      </c>
      <c r="DG947" s="254" t="s">
        <v>153</v>
      </c>
      <c r="DH947" s="255" t="s">
        <v>153</v>
      </c>
      <c r="DI947" s="256" t="s">
        <v>153</v>
      </c>
      <c r="DJ947" s="257" t="s">
        <v>153</v>
      </c>
      <c r="DK947" s="258" t="s">
        <v>153</v>
      </c>
      <c r="DL947" s="259" t="s">
        <v>153</v>
      </c>
      <c r="DM947" s="260" t="s">
        <v>153</v>
      </c>
      <c r="DN947" s="261" t="s">
        <v>153</v>
      </c>
      <c r="DO947" s="262" t="s">
        <v>153</v>
      </c>
      <c r="DP947" s="263" t="s">
        <v>153</v>
      </c>
      <c r="DQ947" s="264" t="s">
        <v>153</v>
      </c>
      <c r="DR947" s="265" t="s">
        <v>153</v>
      </c>
      <c r="DS947" s="266" t="s">
        <v>153</v>
      </c>
      <c r="DT947" s="267" t="s">
        <v>153</v>
      </c>
      <c r="DU947" s="268" t="s">
        <v>153</v>
      </c>
      <c r="DV947" s="269" t="s">
        <v>153</v>
      </c>
      <c r="DW947" s="270" t="s">
        <v>153</v>
      </c>
      <c r="DX947" s="271" t="s">
        <v>153</v>
      </c>
      <c r="DY947" s="272" t="s">
        <v>153</v>
      </c>
      <c r="DZ947" s="273" t="s">
        <v>191</v>
      </c>
      <c r="EA947" s="274">
        <v>44147</v>
      </c>
      <c r="EB947" s="275">
        <v>5280</v>
      </c>
      <c r="EC947" s="276">
        <v>42005</v>
      </c>
      <c r="ED947" s="277" t="s">
        <v>226</v>
      </c>
      <c r="EE947" s="279" t="str">
        <f>HYPERLINK("https://my.pitchbook.com?c=63220-33", "View company online")</f>
        <v>View company online</v>
      </c>
    </row>
    <row r="948" spans="1:135" x14ac:dyDescent="0.45">
      <c r="A948" s="10" t="s">
        <v>18696</v>
      </c>
      <c r="B948" s="11" t="s">
        <v>18697</v>
      </c>
      <c r="C948" s="12" t="s">
        <v>153</v>
      </c>
      <c r="D948" s="13" t="s">
        <v>153</v>
      </c>
      <c r="E948" s="14" t="s">
        <v>18698</v>
      </c>
      <c r="F948" s="15" t="s">
        <v>18699</v>
      </c>
      <c r="G948" s="16" t="s">
        <v>18700</v>
      </c>
      <c r="H948" s="17" t="s">
        <v>153</v>
      </c>
      <c r="I948" s="18" t="s">
        <v>18696</v>
      </c>
      <c r="J948" s="19" t="s">
        <v>18701</v>
      </c>
      <c r="K948" s="20" t="s">
        <v>232</v>
      </c>
      <c r="L948" s="21" t="s">
        <v>362</v>
      </c>
      <c r="M948" s="22" t="s">
        <v>4656</v>
      </c>
      <c r="N948" s="23" t="s">
        <v>4657</v>
      </c>
      <c r="O948" s="24" t="s">
        <v>153</v>
      </c>
      <c r="P948" s="25" t="s">
        <v>18702</v>
      </c>
      <c r="Q948" s="26" t="s">
        <v>204</v>
      </c>
      <c r="R948" s="27" t="s">
        <v>153</v>
      </c>
      <c r="S948" s="28" t="s">
        <v>163</v>
      </c>
      <c r="T948" s="29" t="s">
        <v>164</v>
      </c>
      <c r="U948" s="30" t="s">
        <v>237</v>
      </c>
      <c r="V948" s="31" t="s">
        <v>18703</v>
      </c>
      <c r="W948" s="32" t="s">
        <v>153</v>
      </c>
      <c r="X948" s="33" t="s">
        <v>153</v>
      </c>
      <c r="Y948" s="34" t="s">
        <v>153</v>
      </c>
      <c r="Z948" s="35" t="s">
        <v>153</v>
      </c>
      <c r="AA948" s="36">
        <v>1980</v>
      </c>
      <c r="AB948" s="37" t="s">
        <v>18704</v>
      </c>
      <c r="AC948" s="38" t="s">
        <v>153</v>
      </c>
      <c r="AD948" s="39" t="s">
        <v>153</v>
      </c>
      <c r="AE948" s="40" t="s">
        <v>153</v>
      </c>
      <c r="AF948" s="41" t="s">
        <v>153</v>
      </c>
      <c r="AG948" s="42" t="s">
        <v>153</v>
      </c>
      <c r="AH948" s="43" t="s">
        <v>153</v>
      </c>
      <c r="AI948" s="44" t="s">
        <v>153</v>
      </c>
      <c r="AJ948" s="45" t="s">
        <v>153</v>
      </c>
      <c r="AK948" s="46" t="s">
        <v>153</v>
      </c>
      <c r="AL948" s="47" t="s">
        <v>153</v>
      </c>
      <c r="AM948" s="48" t="s">
        <v>153</v>
      </c>
      <c r="AN948" s="49" t="s">
        <v>153</v>
      </c>
      <c r="AO948" s="50" t="s">
        <v>18705</v>
      </c>
      <c r="AP948" s="51" t="s">
        <v>18706</v>
      </c>
      <c r="AQ948" s="52" t="s">
        <v>171</v>
      </c>
      <c r="AR948" s="53" t="s">
        <v>18707</v>
      </c>
      <c r="AS948" s="54" t="s">
        <v>18708</v>
      </c>
      <c r="AT948" s="55" t="s">
        <v>18709</v>
      </c>
      <c r="AU948" s="56" t="s">
        <v>18710</v>
      </c>
      <c r="AV948" s="57" t="s">
        <v>18711</v>
      </c>
      <c r="AW948" s="58" t="s">
        <v>18712</v>
      </c>
      <c r="AX948" s="59" t="s">
        <v>153</v>
      </c>
      <c r="AY948" s="60" t="s">
        <v>18713</v>
      </c>
      <c r="AZ948" s="61" t="s">
        <v>2121</v>
      </c>
      <c r="BA948" s="62" t="s">
        <v>18708</v>
      </c>
      <c r="BB948" s="63" t="s">
        <v>18714</v>
      </c>
      <c r="BC948" s="64" t="s">
        <v>153</v>
      </c>
      <c r="BD948" s="65" t="s">
        <v>180</v>
      </c>
      <c r="BE948" s="66" t="s">
        <v>684</v>
      </c>
      <c r="BF948" s="67" t="s">
        <v>18715</v>
      </c>
      <c r="BG948" s="68" t="s">
        <v>153</v>
      </c>
      <c r="BH948" s="69" t="s">
        <v>153</v>
      </c>
      <c r="BI948" s="70" t="s">
        <v>18704</v>
      </c>
      <c r="BJ948" s="71" t="s">
        <v>153</v>
      </c>
      <c r="BK948" s="72" t="s">
        <v>153</v>
      </c>
      <c r="BL948" s="73" t="s">
        <v>153</v>
      </c>
      <c r="BM948" s="74" t="s">
        <v>153</v>
      </c>
      <c r="BN948" s="75" t="s">
        <v>153</v>
      </c>
      <c r="BO948" s="76" t="s">
        <v>10590</v>
      </c>
      <c r="BP948" s="77" t="s">
        <v>10590</v>
      </c>
      <c r="BQ948" s="78">
        <v>38107</v>
      </c>
      <c r="BR948" s="79" t="s">
        <v>153</v>
      </c>
      <c r="BS948" s="80" t="s">
        <v>153</v>
      </c>
      <c r="BT948" s="81" t="s">
        <v>153</v>
      </c>
      <c r="BU948" s="82" t="s">
        <v>153</v>
      </c>
      <c r="BV948" s="83" t="s">
        <v>251</v>
      </c>
      <c r="BW948" s="84" t="s">
        <v>153</v>
      </c>
      <c r="BX948" s="85" t="s">
        <v>153</v>
      </c>
      <c r="BY948" s="86" t="s">
        <v>252</v>
      </c>
      <c r="BZ948" s="87" t="s">
        <v>153</v>
      </c>
      <c r="CA948" s="88" t="s">
        <v>190</v>
      </c>
      <c r="CB948" s="89">
        <v>39083</v>
      </c>
      <c r="CC948" s="90">
        <v>5274.3</v>
      </c>
      <c r="CD948" s="91" t="s">
        <v>186</v>
      </c>
      <c r="CE948" s="92">
        <v>5274.3</v>
      </c>
      <c r="CF948" s="93" t="s">
        <v>187</v>
      </c>
      <c r="CG948" s="94" t="s">
        <v>226</v>
      </c>
      <c r="CH948" s="95" t="s">
        <v>153</v>
      </c>
      <c r="CI948" s="96" t="s">
        <v>153</v>
      </c>
      <c r="CJ948" s="97" t="s">
        <v>225</v>
      </c>
      <c r="CK948" s="98">
        <v>39083</v>
      </c>
      <c r="CL948" s="99" t="s">
        <v>153</v>
      </c>
      <c r="CM948" s="100" t="s">
        <v>153</v>
      </c>
      <c r="CN948" s="101" t="s">
        <v>190</v>
      </c>
      <c r="CO948" s="102">
        <v>0</v>
      </c>
      <c r="CP948" s="103">
        <v>11</v>
      </c>
      <c r="CQ948" s="104">
        <v>0</v>
      </c>
      <c r="CR948" s="105">
        <v>0</v>
      </c>
      <c r="CS948" s="106">
        <v>0</v>
      </c>
      <c r="CT948" s="107">
        <v>8</v>
      </c>
      <c r="CU948" s="108" t="s">
        <v>153</v>
      </c>
      <c r="CV948" s="109" t="s">
        <v>153</v>
      </c>
      <c r="CW948" s="110" t="s">
        <v>153</v>
      </c>
      <c r="CX948" s="111" t="s">
        <v>153</v>
      </c>
      <c r="CY948" s="112">
        <v>0</v>
      </c>
      <c r="CZ948" s="113">
        <v>5</v>
      </c>
      <c r="DA948" s="114" t="s">
        <v>153</v>
      </c>
      <c r="DB948" s="115" t="s">
        <v>153</v>
      </c>
      <c r="DC948" s="116">
        <v>3.69</v>
      </c>
      <c r="DD948" s="117">
        <v>80</v>
      </c>
      <c r="DE948" s="118">
        <v>0</v>
      </c>
      <c r="DF948" s="119">
        <v>0</v>
      </c>
      <c r="DG948" s="120">
        <v>3.69</v>
      </c>
      <c r="DH948" s="121">
        <v>79</v>
      </c>
      <c r="DI948" s="122" t="s">
        <v>153</v>
      </c>
      <c r="DJ948" s="123" t="s">
        <v>153</v>
      </c>
      <c r="DK948" s="124" t="s">
        <v>153</v>
      </c>
      <c r="DL948" s="125" t="s">
        <v>153</v>
      </c>
      <c r="DM948" s="126">
        <v>3.69</v>
      </c>
      <c r="DN948" s="127">
        <v>78</v>
      </c>
      <c r="DO948" s="128" t="s">
        <v>153</v>
      </c>
      <c r="DP948" s="129" t="s">
        <v>153</v>
      </c>
      <c r="DQ948" s="130" t="s">
        <v>153</v>
      </c>
      <c r="DR948" s="131" t="s">
        <v>153</v>
      </c>
      <c r="DS948" s="132" t="s">
        <v>153</v>
      </c>
      <c r="DT948" s="133">
        <v>59</v>
      </c>
      <c r="DU948" s="134">
        <v>0</v>
      </c>
      <c r="DV948" s="135">
        <v>0</v>
      </c>
      <c r="DW948" s="136" t="s">
        <v>153</v>
      </c>
      <c r="DX948" s="137" t="s">
        <v>153</v>
      </c>
      <c r="DY948" s="138" t="s">
        <v>153</v>
      </c>
      <c r="DZ948" s="139" t="s">
        <v>191</v>
      </c>
      <c r="EA948" s="140">
        <v>43943</v>
      </c>
      <c r="EB948" s="141">
        <v>5274.3</v>
      </c>
      <c r="EC948" s="142">
        <v>39083</v>
      </c>
      <c r="ED948" s="143" t="s">
        <v>226</v>
      </c>
      <c r="EE948" s="278" t="str">
        <f>HYPERLINK("https://my.pitchbook.com?c=152092-36", "View company online")</f>
        <v>View company online</v>
      </c>
    </row>
    <row r="949" spans="1:135" x14ac:dyDescent="0.45">
      <c r="A949" s="144" t="s">
        <v>18716</v>
      </c>
      <c r="B949" s="145" t="s">
        <v>18717</v>
      </c>
      <c r="C949" s="146" t="s">
        <v>153</v>
      </c>
      <c r="D949" s="147" t="s">
        <v>153</v>
      </c>
      <c r="E949" s="148" t="s">
        <v>153</v>
      </c>
      <c r="F949" s="149" t="s">
        <v>18718</v>
      </c>
      <c r="G949" s="150" t="s">
        <v>153</v>
      </c>
      <c r="H949" s="151" t="s">
        <v>153</v>
      </c>
      <c r="I949" s="152" t="s">
        <v>18716</v>
      </c>
      <c r="J949" s="153" t="s">
        <v>18719</v>
      </c>
      <c r="K949" s="154" t="s">
        <v>157</v>
      </c>
      <c r="L949" s="155" t="s">
        <v>937</v>
      </c>
      <c r="M949" s="156" t="s">
        <v>12308</v>
      </c>
      <c r="N949" s="157" t="s">
        <v>12309</v>
      </c>
      <c r="O949" s="158" t="s">
        <v>153</v>
      </c>
      <c r="P949" s="159" t="s">
        <v>18720</v>
      </c>
      <c r="Q949" s="160" t="s">
        <v>12642</v>
      </c>
      <c r="R949" s="161" t="s">
        <v>153</v>
      </c>
      <c r="S949" s="162" t="s">
        <v>163</v>
      </c>
      <c r="T949" s="163" t="s">
        <v>1488</v>
      </c>
      <c r="U949" s="164" t="s">
        <v>165</v>
      </c>
      <c r="V949" s="165" t="s">
        <v>153</v>
      </c>
      <c r="W949" s="166">
        <v>7000</v>
      </c>
      <c r="X949" s="167" t="s">
        <v>18721</v>
      </c>
      <c r="Y949" s="168" t="s">
        <v>153</v>
      </c>
      <c r="Z949" s="169" t="s">
        <v>153</v>
      </c>
      <c r="AA949" s="170" t="s">
        <v>153</v>
      </c>
      <c r="AB949" s="171" t="s">
        <v>18722</v>
      </c>
      <c r="AC949" s="172" t="s">
        <v>153</v>
      </c>
      <c r="AD949" s="173" t="s">
        <v>153</v>
      </c>
      <c r="AE949" s="174" t="s">
        <v>153</v>
      </c>
      <c r="AF949" s="175" t="s">
        <v>153</v>
      </c>
      <c r="AG949" s="176" t="s">
        <v>153</v>
      </c>
      <c r="AH949" s="177" t="s">
        <v>153</v>
      </c>
      <c r="AI949" s="178" t="s">
        <v>153</v>
      </c>
      <c r="AJ949" s="179" t="s">
        <v>153</v>
      </c>
      <c r="AK949" s="180" t="s">
        <v>153</v>
      </c>
      <c r="AL949" s="181" t="s">
        <v>153</v>
      </c>
      <c r="AM949" s="182" t="s">
        <v>153</v>
      </c>
      <c r="AN949" s="183" t="s">
        <v>456</v>
      </c>
      <c r="AO949" s="184" t="s">
        <v>18723</v>
      </c>
      <c r="AP949" s="185" t="s">
        <v>18724</v>
      </c>
      <c r="AQ949" s="186" t="s">
        <v>171</v>
      </c>
      <c r="AR949" s="187" t="s">
        <v>153</v>
      </c>
      <c r="AS949" s="188" t="s">
        <v>18725</v>
      </c>
      <c r="AT949" s="189" t="s">
        <v>331</v>
      </c>
      <c r="AU949" s="190" t="s">
        <v>18726</v>
      </c>
      <c r="AV949" s="191" t="s">
        <v>18727</v>
      </c>
      <c r="AW949" s="192" t="s">
        <v>333</v>
      </c>
      <c r="AX949" s="193" t="s">
        <v>153</v>
      </c>
      <c r="AY949" s="194" t="s">
        <v>18728</v>
      </c>
      <c r="AZ949" s="195" t="s">
        <v>335</v>
      </c>
      <c r="BA949" s="196" t="s">
        <v>153</v>
      </c>
      <c r="BB949" s="197" t="s">
        <v>153</v>
      </c>
      <c r="BC949" s="198" t="s">
        <v>153</v>
      </c>
      <c r="BD949" s="199" t="s">
        <v>180</v>
      </c>
      <c r="BE949" s="200" t="s">
        <v>181</v>
      </c>
      <c r="BF949" s="201" t="s">
        <v>18729</v>
      </c>
      <c r="BG949" s="202" t="s">
        <v>18722</v>
      </c>
      <c r="BH949" s="203">
        <v>1</v>
      </c>
      <c r="BI949" s="204" t="s">
        <v>153</v>
      </c>
      <c r="BJ949" s="205" t="s">
        <v>153</v>
      </c>
      <c r="BK949" s="206" t="s">
        <v>12328</v>
      </c>
      <c r="BL949" s="207" t="s">
        <v>18730</v>
      </c>
      <c r="BM949" s="208" t="s">
        <v>153</v>
      </c>
      <c r="BN949" s="209" t="s">
        <v>12330</v>
      </c>
      <c r="BO949" s="210" t="s">
        <v>153</v>
      </c>
      <c r="BP949" s="211" t="s">
        <v>153</v>
      </c>
      <c r="BQ949" s="212">
        <v>44280</v>
      </c>
      <c r="BR949" s="213">
        <v>5267.86</v>
      </c>
      <c r="BS949" s="214" t="s">
        <v>187</v>
      </c>
      <c r="BT949" s="215">
        <v>5267.86</v>
      </c>
      <c r="BU949" s="216" t="s">
        <v>187</v>
      </c>
      <c r="BV949" s="217" t="s">
        <v>188</v>
      </c>
      <c r="BW949" s="218" t="s">
        <v>729</v>
      </c>
      <c r="BX949" s="219" t="s">
        <v>153</v>
      </c>
      <c r="BY949" s="220" t="s">
        <v>165</v>
      </c>
      <c r="BZ949" s="221" t="s">
        <v>153</v>
      </c>
      <c r="CA949" s="222" t="s">
        <v>1278</v>
      </c>
      <c r="CB949" s="223">
        <v>44280</v>
      </c>
      <c r="CC949" s="224">
        <v>5267.86</v>
      </c>
      <c r="CD949" s="225" t="s">
        <v>187</v>
      </c>
      <c r="CE949" s="226">
        <v>5267.86</v>
      </c>
      <c r="CF949" s="227" t="s">
        <v>187</v>
      </c>
      <c r="CG949" s="228" t="s">
        <v>188</v>
      </c>
      <c r="CH949" s="229" t="s">
        <v>729</v>
      </c>
      <c r="CI949" s="230" t="s">
        <v>153</v>
      </c>
      <c r="CJ949" s="231" t="s">
        <v>165</v>
      </c>
      <c r="CK949" s="232">
        <v>44280</v>
      </c>
      <c r="CL949" s="233" t="s">
        <v>153</v>
      </c>
      <c r="CM949" s="234" t="s">
        <v>153</v>
      </c>
      <c r="CN949" s="235" t="s">
        <v>1278</v>
      </c>
      <c r="CO949" s="236" t="s">
        <v>153</v>
      </c>
      <c r="CP949" s="237" t="s">
        <v>153</v>
      </c>
      <c r="CQ949" s="238" t="s">
        <v>153</v>
      </c>
      <c r="CR949" s="239" t="s">
        <v>153</v>
      </c>
      <c r="CS949" s="240" t="s">
        <v>153</v>
      </c>
      <c r="CT949" s="241" t="s">
        <v>153</v>
      </c>
      <c r="CU949" s="242" t="s">
        <v>153</v>
      </c>
      <c r="CV949" s="243" t="s">
        <v>153</v>
      </c>
      <c r="CW949" s="244" t="s">
        <v>153</v>
      </c>
      <c r="CX949" s="245" t="s">
        <v>153</v>
      </c>
      <c r="CY949" s="246" t="s">
        <v>153</v>
      </c>
      <c r="CZ949" s="247" t="s">
        <v>153</v>
      </c>
      <c r="DA949" s="248" t="s">
        <v>153</v>
      </c>
      <c r="DB949" s="249" t="s">
        <v>153</v>
      </c>
      <c r="DC949" s="250" t="s">
        <v>153</v>
      </c>
      <c r="DD949" s="251" t="s">
        <v>153</v>
      </c>
      <c r="DE949" s="252" t="s">
        <v>153</v>
      </c>
      <c r="DF949" s="253" t="s">
        <v>153</v>
      </c>
      <c r="DG949" s="254" t="s">
        <v>153</v>
      </c>
      <c r="DH949" s="255" t="s">
        <v>153</v>
      </c>
      <c r="DI949" s="256" t="s">
        <v>153</v>
      </c>
      <c r="DJ949" s="257" t="s">
        <v>153</v>
      </c>
      <c r="DK949" s="258" t="s">
        <v>153</v>
      </c>
      <c r="DL949" s="259" t="s">
        <v>153</v>
      </c>
      <c r="DM949" s="260" t="s">
        <v>153</v>
      </c>
      <c r="DN949" s="261" t="s">
        <v>153</v>
      </c>
      <c r="DO949" s="262" t="s">
        <v>153</v>
      </c>
      <c r="DP949" s="263" t="s">
        <v>153</v>
      </c>
      <c r="DQ949" s="264" t="s">
        <v>153</v>
      </c>
      <c r="DR949" s="265" t="s">
        <v>153</v>
      </c>
      <c r="DS949" s="266" t="s">
        <v>153</v>
      </c>
      <c r="DT949" s="267" t="s">
        <v>153</v>
      </c>
      <c r="DU949" s="268" t="s">
        <v>153</v>
      </c>
      <c r="DV949" s="269" t="s">
        <v>153</v>
      </c>
      <c r="DW949" s="270" t="s">
        <v>153</v>
      </c>
      <c r="DX949" s="271" t="s">
        <v>153</v>
      </c>
      <c r="DY949" s="272" t="s">
        <v>153</v>
      </c>
      <c r="DZ949" s="273" t="s">
        <v>191</v>
      </c>
      <c r="EA949" s="274">
        <v>44312</v>
      </c>
      <c r="EB949" s="275">
        <v>5267.86</v>
      </c>
      <c r="EC949" s="276">
        <v>44280</v>
      </c>
      <c r="ED949" s="277" t="s">
        <v>188</v>
      </c>
      <c r="EE949" s="279" t="str">
        <f>HYPERLINK("https://my.pitchbook.com?c=416549-71", "View company online")</f>
        <v>View company online</v>
      </c>
    </row>
    <row r="950" spans="1:135" x14ac:dyDescent="0.45">
      <c r="A950" s="10" t="s">
        <v>18731</v>
      </c>
      <c r="B950" s="11" t="s">
        <v>18732</v>
      </c>
      <c r="C950" s="12" t="s">
        <v>153</v>
      </c>
      <c r="D950" s="13" t="s">
        <v>153</v>
      </c>
      <c r="E950" s="14" t="s">
        <v>18733</v>
      </c>
      <c r="F950" s="15" t="s">
        <v>18734</v>
      </c>
      <c r="G950" s="16" t="s">
        <v>18735</v>
      </c>
      <c r="H950" s="17" t="s">
        <v>18736</v>
      </c>
      <c r="I950" s="18" t="s">
        <v>18731</v>
      </c>
      <c r="J950" s="19" t="s">
        <v>18737</v>
      </c>
      <c r="K950" s="20" t="s">
        <v>882</v>
      </c>
      <c r="L950" s="21" t="s">
        <v>1257</v>
      </c>
      <c r="M950" s="22" t="s">
        <v>5825</v>
      </c>
      <c r="N950" s="23" t="s">
        <v>18738</v>
      </c>
      <c r="O950" s="24" t="s">
        <v>1234</v>
      </c>
      <c r="P950" s="25" t="s">
        <v>18739</v>
      </c>
      <c r="Q950" s="26" t="s">
        <v>162</v>
      </c>
      <c r="R950" s="27">
        <v>538.75</v>
      </c>
      <c r="S950" s="28" t="s">
        <v>163</v>
      </c>
      <c r="T950" s="29" t="s">
        <v>291</v>
      </c>
      <c r="U950" s="30" t="s">
        <v>565</v>
      </c>
      <c r="V950" s="31" t="s">
        <v>18740</v>
      </c>
      <c r="W950" s="32">
        <v>533000</v>
      </c>
      <c r="X950" s="33" t="s">
        <v>18741</v>
      </c>
      <c r="Y950" s="34" t="s">
        <v>153</v>
      </c>
      <c r="Z950" s="35" t="s">
        <v>153</v>
      </c>
      <c r="AA950" s="36">
        <v>1901</v>
      </c>
      <c r="AB950" s="37" t="s">
        <v>18742</v>
      </c>
      <c r="AC950" s="38" t="s">
        <v>153</v>
      </c>
      <c r="AD950" s="39" t="s">
        <v>153</v>
      </c>
      <c r="AE950" s="40">
        <v>9413.1299999999992</v>
      </c>
      <c r="AF950" s="41">
        <v>1563.82</v>
      </c>
      <c r="AG950" s="42">
        <v>21.4</v>
      </c>
      <c r="AH950" s="43" t="s">
        <v>153</v>
      </c>
      <c r="AI950" s="44">
        <v>429.36</v>
      </c>
      <c r="AJ950" s="45">
        <v>303.45</v>
      </c>
      <c r="AK950" s="46" t="s">
        <v>153</v>
      </c>
      <c r="AL950" s="47">
        <v>1968.19</v>
      </c>
      <c r="AM950" s="48">
        <v>-2.19</v>
      </c>
      <c r="AN950" s="49" t="s">
        <v>3395</v>
      </c>
      <c r="AO950" s="50" t="s">
        <v>18743</v>
      </c>
      <c r="AP950" s="51" t="s">
        <v>18744</v>
      </c>
      <c r="AQ950" s="52" t="s">
        <v>379</v>
      </c>
      <c r="AR950" s="53" t="s">
        <v>18745</v>
      </c>
      <c r="AS950" s="54" t="s">
        <v>18746</v>
      </c>
      <c r="AT950" s="55" t="s">
        <v>1071</v>
      </c>
      <c r="AU950" s="56" t="s">
        <v>18747</v>
      </c>
      <c r="AV950" s="57" t="s">
        <v>18748</v>
      </c>
      <c r="AW950" s="58" t="s">
        <v>1074</v>
      </c>
      <c r="AX950" s="59" t="s">
        <v>177</v>
      </c>
      <c r="AY950" s="60" t="s">
        <v>18749</v>
      </c>
      <c r="AZ950" s="61" t="s">
        <v>179</v>
      </c>
      <c r="BA950" s="62" t="s">
        <v>18746</v>
      </c>
      <c r="BB950" s="63" t="s">
        <v>153</v>
      </c>
      <c r="BC950" s="64" t="s">
        <v>18750</v>
      </c>
      <c r="BD950" s="65" t="s">
        <v>180</v>
      </c>
      <c r="BE950" s="66" t="s">
        <v>181</v>
      </c>
      <c r="BF950" s="67" t="s">
        <v>18751</v>
      </c>
      <c r="BG950" s="68" t="s">
        <v>153</v>
      </c>
      <c r="BH950" s="69" t="s">
        <v>153</v>
      </c>
      <c r="BI950" s="70" t="s">
        <v>18742</v>
      </c>
      <c r="BJ950" s="71" t="s">
        <v>18752</v>
      </c>
      <c r="BK950" s="72" t="s">
        <v>18753</v>
      </c>
      <c r="BL950" s="73" t="s">
        <v>153</v>
      </c>
      <c r="BM950" s="74" t="s">
        <v>18754</v>
      </c>
      <c r="BN950" s="75" t="s">
        <v>18755</v>
      </c>
      <c r="BO950" s="76" t="s">
        <v>18756</v>
      </c>
      <c r="BP950" s="77" t="s">
        <v>18757</v>
      </c>
      <c r="BQ950" s="78">
        <v>25934</v>
      </c>
      <c r="BR950" s="79" t="s">
        <v>153</v>
      </c>
      <c r="BS950" s="80" t="s">
        <v>153</v>
      </c>
      <c r="BT950" s="81" t="s">
        <v>153</v>
      </c>
      <c r="BU950" s="82" t="s">
        <v>153</v>
      </c>
      <c r="BV950" s="83" t="s">
        <v>251</v>
      </c>
      <c r="BW950" s="84" t="s">
        <v>153</v>
      </c>
      <c r="BX950" s="85" t="s">
        <v>153</v>
      </c>
      <c r="BY950" s="86" t="s">
        <v>252</v>
      </c>
      <c r="BZ950" s="87" t="s">
        <v>153</v>
      </c>
      <c r="CA950" s="88" t="s">
        <v>190</v>
      </c>
      <c r="CB950" s="89">
        <v>44291</v>
      </c>
      <c r="CC950" s="90">
        <v>5261.02</v>
      </c>
      <c r="CD950" s="91" t="s">
        <v>186</v>
      </c>
      <c r="CE950" s="92">
        <v>5261.02</v>
      </c>
      <c r="CF950" s="93" t="s">
        <v>153</v>
      </c>
      <c r="CG950" s="94" t="s">
        <v>188</v>
      </c>
      <c r="CH950" s="95" t="s">
        <v>189</v>
      </c>
      <c r="CI950" s="96" t="s">
        <v>153</v>
      </c>
      <c r="CJ950" s="97" t="s">
        <v>165</v>
      </c>
      <c r="CK950" s="98">
        <v>44291</v>
      </c>
      <c r="CL950" s="99" t="s">
        <v>153</v>
      </c>
      <c r="CM950" s="100" t="s">
        <v>153</v>
      </c>
      <c r="CN950" s="101" t="s">
        <v>190</v>
      </c>
      <c r="CO950" s="102">
        <v>0.28999999999999998</v>
      </c>
      <c r="CP950" s="103">
        <v>91</v>
      </c>
      <c r="CQ950" s="104">
        <v>0</v>
      </c>
      <c r="CR950" s="105">
        <v>-0.18</v>
      </c>
      <c r="CS950" s="106">
        <v>0.77</v>
      </c>
      <c r="CT950" s="107">
        <v>94</v>
      </c>
      <c r="CU950" s="108">
        <v>0.09</v>
      </c>
      <c r="CV950" s="109">
        <v>85</v>
      </c>
      <c r="CW950" s="110">
        <v>1.31</v>
      </c>
      <c r="CX950" s="111">
        <v>83</v>
      </c>
      <c r="CY950" s="112">
        <v>0.23</v>
      </c>
      <c r="CZ950" s="113">
        <v>92</v>
      </c>
      <c r="DA950" s="114">
        <v>0.09</v>
      </c>
      <c r="DB950" s="115">
        <v>85</v>
      </c>
      <c r="DC950" s="116">
        <v>4889.49</v>
      </c>
      <c r="DD950" s="117">
        <v>100</v>
      </c>
      <c r="DE950" s="118">
        <v>0.03</v>
      </c>
      <c r="DF950" s="119">
        <v>0</v>
      </c>
      <c r="DG950" s="120">
        <v>196.77</v>
      </c>
      <c r="DH950" s="121">
        <v>100</v>
      </c>
      <c r="DI950" s="122">
        <v>66.290000000000006</v>
      </c>
      <c r="DJ950" s="123">
        <v>97</v>
      </c>
      <c r="DK950" s="124">
        <v>112.61</v>
      </c>
      <c r="DL950" s="125">
        <v>97</v>
      </c>
      <c r="DM950" s="126">
        <v>280.94</v>
      </c>
      <c r="DN950" s="127">
        <v>100</v>
      </c>
      <c r="DO950" s="128">
        <v>66.290000000000006</v>
      </c>
      <c r="DP950" s="129">
        <v>97</v>
      </c>
      <c r="DQ950" s="130">
        <v>66555</v>
      </c>
      <c r="DR950" s="131">
        <v>806</v>
      </c>
      <c r="DS950" s="132">
        <v>1.23</v>
      </c>
      <c r="DT950" s="133">
        <v>4500</v>
      </c>
      <c r="DU950" s="134">
        <v>-13</v>
      </c>
      <c r="DV950" s="135">
        <v>-0.28999999999999998</v>
      </c>
      <c r="DW950" s="136">
        <v>20810</v>
      </c>
      <c r="DX950" s="137">
        <v>24</v>
      </c>
      <c r="DY950" s="138">
        <v>0.12</v>
      </c>
      <c r="DZ950" s="139" t="s">
        <v>191</v>
      </c>
      <c r="EA950" s="140">
        <v>44401</v>
      </c>
      <c r="EB950" s="141">
        <v>5261.02</v>
      </c>
      <c r="EC950" s="142">
        <v>44291</v>
      </c>
      <c r="ED950" s="143" t="s">
        <v>188</v>
      </c>
      <c r="EE950" s="278" t="str">
        <f>HYPERLINK("https://my.pitchbook.com?c=16436-62", "View company online")</f>
        <v>View company online</v>
      </c>
    </row>
    <row r="951" spans="1:135" x14ac:dyDescent="0.45">
      <c r="A951" s="144" t="s">
        <v>18758</v>
      </c>
      <c r="B951" s="145" t="s">
        <v>18759</v>
      </c>
      <c r="C951" s="146" t="s">
        <v>153</v>
      </c>
      <c r="D951" s="147" t="s">
        <v>153</v>
      </c>
      <c r="E951" s="148" t="s">
        <v>153</v>
      </c>
      <c r="F951" s="149" t="s">
        <v>153</v>
      </c>
      <c r="G951" s="150" t="s">
        <v>18760</v>
      </c>
      <c r="H951" s="151" t="s">
        <v>18761</v>
      </c>
      <c r="I951" s="152" t="s">
        <v>18758</v>
      </c>
      <c r="J951" s="153" t="s">
        <v>18762</v>
      </c>
      <c r="K951" s="154" t="s">
        <v>157</v>
      </c>
      <c r="L951" s="155" t="s">
        <v>817</v>
      </c>
      <c r="M951" s="156" t="s">
        <v>1499</v>
      </c>
      <c r="N951" s="157" t="s">
        <v>2944</v>
      </c>
      <c r="O951" s="158" t="s">
        <v>153</v>
      </c>
      <c r="P951" s="159" t="s">
        <v>18763</v>
      </c>
      <c r="Q951" s="160" t="s">
        <v>204</v>
      </c>
      <c r="R951" s="161" t="s">
        <v>153</v>
      </c>
      <c r="S951" s="162" t="s">
        <v>290</v>
      </c>
      <c r="T951" s="163" t="s">
        <v>164</v>
      </c>
      <c r="U951" s="164" t="s">
        <v>237</v>
      </c>
      <c r="V951" s="165" t="s">
        <v>18764</v>
      </c>
      <c r="W951" s="166">
        <v>19000</v>
      </c>
      <c r="X951" s="167" t="s">
        <v>18765</v>
      </c>
      <c r="Y951" s="168" t="s">
        <v>153</v>
      </c>
      <c r="Z951" s="169" t="s">
        <v>153</v>
      </c>
      <c r="AA951" s="170">
        <v>1852</v>
      </c>
      <c r="AB951" s="171" t="s">
        <v>153</v>
      </c>
      <c r="AC951" s="172" t="s">
        <v>428</v>
      </c>
      <c r="AD951" s="173" t="s">
        <v>570</v>
      </c>
      <c r="AE951" s="174" t="s">
        <v>153</v>
      </c>
      <c r="AF951" s="175" t="s">
        <v>153</v>
      </c>
      <c r="AG951" s="176" t="s">
        <v>153</v>
      </c>
      <c r="AH951" s="177" t="s">
        <v>153</v>
      </c>
      <c r="AI951" s="178" t="s">
        <v>153</v>
      </c>
      <c r="AJ951" s="179" t="s">
        <v>153</v>
      </c>
      <c r="AK951" s="180" t="s">
        <v>153</v>
      </c>
      <c r="AL951" s="181" t="s">
        <v>153</v>
      </c>
      <c r="AM951" s="182" t="s">
        <v>153</v>
      </c>
      <c r="AN951" s="183" t="s">
        <v>5196</v>
      </c>
      <c r="AO951" s="184" t="s">
        <v>18766</v>
      </c>
      <c r="AP951" s="185" t="s">
        <v>18767</v>
      </c>
      <c r="AQ951" s="186" t="s">
        <v>18768</v>
      </c>
      <c r="AR951" s="187" t="s">
        <v>153</v>
      </c>
      <c r="AS951" s="188" t="s">
        <v>18769</v>
      </c>
      <c r="AT951" s="189" t="s">
        <v>649</v>
      </c>
      <c r="AU951" s="190" t="s">
        <v>18770</v>
      </c>
      <c r="AV951" s="191" t="s">
        <v>153</v>
      </c>
      <c r="AW951" s="192" t="s">
        <v>651</v>
      </c>
      <c r="AX951" s="193" t="s">
        <v>652</v>
      </c>
      <c r="AY951" s="194" t="s">
        <v>18771</v>
      </c>
      <c r="AZ951" s="195" t="s">
        <v>215</v>
      </c>
      <c r="BA951" s="196" t="s">
        <v>18769</v>
      </c>
      <c r="BB951" s="197" t="s">
        <v>18772</v>
      </c>
      <c r="BC951" s="198" t="s">
        <v>153</v>
      </c>
      <c r="BD951" s="199" t="s">
        <v>216</v>
      </c>
      <c r="BE951" s="200" t="s">
        <v>217</v>
      </c>
      <c r="BF951" s="201" t="s">
        <v>18773</v>
      </c>
      <c r="BG951" s="202" t="s">
        <v>153</v>
      </c>
      <c r="BH951" s="203" t="s">
        <v>153</v>
      </c>
      <c r="BI951" s="204" t="s">
        <v>3508</v>
      </c>
      <c r="BJ951" s="205" t="s">
        <v>153</v>
      </c>
      <c r="BK951" s="206" t="s">
        <v>153</v>
      </c>
      <c r="BL951" s="207" t="s">
        <v>153</v>
      </c>
      <c r="BM951" s="208" t="s">
        <v>153</v>
      </c>
      <c r="BN951" s="209" t="s">
        <v>153</v>
      </c>
      <c r="BO951" s="210" t="s">
        <v>18774</v>
      </c>
      <c r="BP951" s="211" t="s">
        <v>18775</v>
      </c>
      <c r="BQ951" s="212">
        <v>29329</v>
      </c>
      <c r="BR951" s="213" t="s">
        <v>153</v>
      </c>
      <c r="BS951" s="214" t="s">
        <v>153</v>
      </c>
      <c r="BT951" s="215" t="s">
        <v>153</v>
      </c>
      <c r="BU951" s="216" t="s">
        <v>153</v>
      </c>
      <c r="BV951" s="217" t="s">
        <v>251</v>
      </c>
      <c r="BW951" s="218" t="s">
        <v>153</v>
      </c>
      <c r="BX951" s="219" t="s">
        <v>153</v>
      </c>
      <c r="BY951" s="220" t="s">
        <v>252</v>
      </c>
      <c r="BZ951" s="221" t="s">
        <v>153</v>
      </c>
      <c r="CA951" s="222" t="s">
        <v>190</v>
      </c>
      <c r="CB951" s="223">
        <v>39770</v>
      </c>
      <c r="CC951" s="224">
        <v>5250</v>
      </c>
      <c r="CD951" s="225" t="s">
        <v>186</v>
      </c>
      <c r="CE951" s="226">
        <v>5250</v>
      </c>
      <c r="CF951" s="227" t="s">
        <v>186</v>
      </c>
      <c r="CG951" s="228" t="s">
        <v>226</v>
      </c>
      <c r="CH951" s="229" t="s">
        <v>153</v>
      </c>
      <c r="CI951" s="230" t="s">
        <v>153</v>
      </c>
      <c r="CJ951" s="231" t="s">
        <v>225</v>
      </c>
      <c r="CK951" s="232">
        <v>39770</v>
      </c>
      <c r="CL951" s="233" t="s">
        <v>153</v>
      </c>
      <c r="CM951" s="234" t="s">
        <v>153</v>
      </c>
      <c r="CN951" s="235" t="s">
        <v>190</v>
      </c>
      <c r="CO951" s="236">
        <v>1.32</v>
      </c>
      <c r="CP951" s="237">
        <v>97</v>
      </c>
      <c r="CQ951" s="238">
        <v>-0.01</v>
      </c>
      <c r="CR951" s="239">
        <v>-0.61</v>
      </c>
      <c r="CS951" s="240">
        <v>3.73</v>
      </c>
      <c r="CT951" s="241">
        <v>99</v>
      </c>
      <c r="CU951" s="242">
        <v>0.13</v>
      </c>
      <c r="CV951" s="243">
        <v>88</v>
      </c>
      <c r="CW951" s="244">
        <v>6.18</v>
      </c>
      <c r="CX951" s="245">
        <v>96</v>
      </c>
      <c r="CY951" s="246">
        <v>1.29</v>
      </c>
      <c r="CZ951" s="247">
        <v>98</v>
      </c>
      <c r="DA951" s="248">
        <v>0.13</v>
      </c>
      <c r="DB951" s="249">
        <v>88</v>
      </c>
      <c r="DC951" s="250">
        <v>322.82</v>
      </c>
      <c r="DD951" s="251">
        <v>100</v>
      </c>
      <c r="DE951" s="252">
        <v>0.78</v>
      </c>
      <c r="DF951" s="253">
        <v>0.24</v>
      </c>
      <c r="DG951" s="254">
        <v>272</v>
      </c>
      <c r="DH951" s="255">
        <v>100</v>
      </c>
      <c r="DI951" s="256">
        <v>182.93</v>
      </c>
      <c r="DJ951" s="257">
        <v>99</v>
      </c>
      <c r="DK951" s="258">
        <v>82.19</v>
      </c>
      <c r="DL951" s="259">
        <v>97</v>
      </c>
      <c r="DM951" s="260">
        <v>461.81</v>
      </c>
      <c r="DN951" s="261">
        <v>100</v>
      </c>
      <c r="DO951" s="262">
        <v>182.93</v>
      </c>
      <c r="DP951" s="263">
        <v>99</v>
      </c>
      <c r="DQ951" s="264">
        <v>47775</v>
      </c>
      <c r="DR951" s="265">
        <v>3538</v>
      </c>
      <c r="DS951" s="266">
        <v>8</v>
      </c>
      <c r="DT951" s="267">
        <v>7375</v>
      </c>
      <c r="DU951" s="268">
        <v>34</v>
      </c>
      <c r="DV951" s="269">
        <v>0.46</v>
      </c>
      <c r="DW951" s="270">
        <v>57417</v>
      </c>
      <c r="DX951" s="271">
        <v>79</v>
      </c>
      <c r="DY951" s="272">
        <v>0.14000000000000001</v>
      </c>
      <c r="DZ951" s="273" t="s">
        <v>191</v>
      </c>
      <c r="EA951" s="274">
        <v>44389</v>
      </c>
      <c r="EB951" s="275">
        <v>5250</v>
      </c>
      <c r="EC951" s="276">
        <v>39770</v>
      </c>
      <c r="ED951" s="277" t="s">
        <v>226</v>
      </c>
      <c r="EE951" s="279" t="str">
        <f>HYPERLINK("https://my.pitchbook.com?c=43056-82", "View company online")</f>
        <v>View company online</v>
      </c>
    </row>
    <row r="952" spans="1:135" x14ac:dyDescent="0.45">
      <c r="A952" s="10" t="s">
        <v>18776</v>
      </c>
      <c r="B952" s="11" t="s">
        <v>18777</v>
      </c>
      <c r="C952" s="12" t="s">
        <v>153</v>
      </c>
      <c r="D952" s="13" t="s">
        <v>153</v>
      </c>
      <c r="E952" s="14" t="s">
        <v>153</v>
      </c>
      <c r="F952" s="15" t="s">
        <v>153</v>
      </c>
      <c r="G952" s="16" t="s">
        <v>18778</v>
      </c>
      <c r="H952" s="17" t="s">
        <v>18779</v>
      </c>
      <c r="I952" s="18" t="s">
        <v>18776</v>
      </c>
      <c r="J952" s="19" t="s">
        <v>18780</v>
      </c>
      <c r="K952" s="20" t="s">
        <v>257</v>
      </c>
      <c r="L952" s="21" t="s">
        <v>258</v>
      </c>
      <c r="M952" s="22" t="s">
        <v>448</v>
      </c>
      <c r="N952" s="23" t="s">
        <v>5082</v>
      </c>
      <c r="O952" s="24" t="s">
        <v>450</v>
      </c>
      <c r="P952" s="25" t="s">
        <v>18781</v>
      </c>
      <c r="Q952" s="26" t="s">
        <v>1487</v>
      </c>
      <c r="R952" s="27" t="s">
        <v>153</v>
      </c>
      <c r="S952" s="28" t="s">
        <v>290</v>
      </c>
      <c r="T952" s="29" t="s">
        <v>1488</v>
      </c>
      <c r="U952" s="30" t="s">
        <v>206</v>
      </c>
      <c r="V952" s="31" t="s">
        <v>18782</v>
      </c>
      <c r="W952" s="32">
        <v>500</v>
      </c>
      <c r="X952" s="33" t="s">
        <v>18783</v>
      </c>
      <c r="Y952" s="34" t="s">
        <v>153</v>
      </c>
      <c r="Z952" s="35" t="s">
        <v>153</v>
      </c>
      <c r="AA952" s="36">
        <v>2002</v>
      </c>
      <c r="AB952" s="37" t="s">
        <v>153</v>
      </c>
      <c r="AC952" s="38" t="s">
        <v>18784</v>
      </c>
      <c r="AD952" s="39" t="s">
        <v>18784</v>
      </c>
      <c r="AE952" s="40" t="s">
        <v>153</v>
      </c>
      <c r="AF952" s="41" t="s">
        <v>153</v>
      </c>
      <c r="AG952" s="42" t="s">
        <v>153</v>
      </c>
      <c r="AH952" s="43" t="s">
        <v>153</v>
      </c>
      <c r="AI952" s="44" t="s">
        <v>153</v>
      </c>
      <c r="AJ952" s="45" t="s">
        <v>153</v>
      </c>
      <c r="AK952" s="46" t="s">
        <v>153</v>
      </c>
      <c r="AL952" s="47" t="s">
        <v>153</v>
      </c>
      <c r="AM952" s="48" t="s">
        <v>153</v>
      </c>
      <c r="AN952" s="49" t="s">
        <v>7002</v>
      </c>
      <c r="AO952" s="50" t="s">
        <v>18785</v>
      </c>
      <c r="AP952" s="51" t="s">
        <v>18786</v>
      </c>
      <c r="AQ952" s="52" t="s">
        <v>18787</v>
      </c>
      <c r="AR952" s="53" t="s">
        <v>18788</v>
      </c>
      <c r="AS952" s="54" t="s">
        <v>18789</v>
      </c>
      <c r="AT952" s="55" t="s">
        <v>5540</v>
      </c>
      <c r="AU952" s="56" t="s">
        <v>18790</v>
      </c>
      <c r="AV952" s="57" t="s">
        <v>153</v>
      </c>
      <c r="AW952" s="58" t="s">
        <v>5542</v>
      </c>
      <c r="AX952" s="59" t="s">
        <v>308</v>
      </c>
      <c r="AY952" s="60" t="s">
        <v>5543</v>
      </c>
      <c r="AZ952" s="61" t="s">
        <v>215</v>
      </c>
      <c r="BA952" s="62" t="s">
        <v>18789</v>
      </c>
      <c r="BB952" s="63" t="s">
        <v>153</v>
      </c>
      <c r="BC952" s="64" t="s">
        <v>153</v>
      </c>
      <c r="BD952" s="65" t="s">
        <v>216</v>
      </c>
      <c r="BE952" s="66" t="s">
        <v>217</v>
      </c>
      <c r="BF952" s="67" t="s">
        <v>18791</v>
      </c>
      <c r="BG952" s="68" t="s">
        <v>153</v>
      </c>
      <c r="BH952" s="69" t="s">
        <v>153</v>
      </c>
      <c r="BI952" s="70" t="s">
        <v>153</v>
      </c>
      <c r="BJ952" s="71" t="s">
        <v>153</v>
      </c>
      <c r="BK952" s="72" t="s">
        <v>18792</v>
      </c>
      <c r="BL952" s="73" t="s">
        <v>153</v>
      </c>
      <c r="BM952" s="74" t="s">
        <v>153</v>
      </c>
      <c r="BN952" s="75" t="s">
        <v>18793</v>
      </c>
      <c r="BO952" s="76" t="s">
        <v>18794</v>
      </c>
      <c r="BP952" s="77" t="s">
        <v>18795</v>
      </c>
      <c r="BQ952" s="78">
        <v>44403</v>
      </c>
      <c r="BR952" s="79">
        <v>5250</v>
      </c>
      <c r="BS952" s="80" t="s">
        <v>187</v>
      </c>
      <c r="BT952" s="81">
        <v>5250</v>
      </c>
      <c r="BU952" s="82" t="s">
        <v>187</v>
      </c>
      <c r="BV952" s="83" t="s">
        <v>226</v>
      </c>
      <c r="BW952" s="84" t="s">
        <v>153</v>
      </c>
      <c r="BX952" s="85" t="s">
        <v>153</v>
      </c>
      <c r="BY952" s="86" t="s">
        <v>225</v>
      </c>
      <c r="BZ952" s="87" t="s">
        <v>153</v>
      </c>
      <c r="CA952" s="88" t="s">
        <v>1278</v>
      </c>
      <c r="CB952" s="89">
        <v>44403</v>
      </c>
      <c r="CC952" s="90">
        <v>5250</v>
      </c>
      <c r="CD952" s="91" t="s">
        <v>187</v>
      </c>
      <c r="CE952" s="92">
        <v>5250</v>
      </c>
      <c r="CF952" s="93" t="s">
        <v>187</v>
      </c>
      <c r="CG952" s="94" t="s">
        <v>226</v>
      </c>
      <c r="CH952" s="95" t="s">
        <v>153</v>
      </c>
      <c r="CI952" s="96" t="s">
        <v>153</v>
      </c>
      <c r="CJ952" s="97" t="s">
        <v>225</v>
      </c>
      <c r="CK952" s="98">
        <v>44403</v>
      </c>
      <c r="CL952" s="99" t="s">
        <v>153</v>
      </c>
      <c r="CM952" s="100" t="s">
        <v>153</v>
      </c>
      <c r="CN952" s="101" t="s">
        <v>1278</v>
      </c>
      <c r="CO952" s="102">
        <v>0.17</v>
      </c>
      <c r="CP952" s="103">
        <v>90</v>
      </c>
      <c r="CQ952" s="104">
        <v>-0.04</v>
      </c>
      <c r="CR952" s="105">
        <v>-18.98</v>
      </c>
      <c r="CS952" s="106">
        <v>0.39</v>
      </c>
      <c r="CT952" s="107">
        <v>92</v>
      </c>
      <c r="CU952" s="108">
        <v>0.11</v>
      </c>
      <c r="CV952" s="109">
        <v>86</v>
      </c>
      <c r="CW952" s="110">
        <v>0.38</v>
      </c>
      <c r="CX952" s="111">
        <v>78</v>
      </c>
      <c r="CY952" s="112">
        <v>0.4</v>
      </c>
      <c r="CZ952" s="113">
        <v>94</v>
      </c>
      <c r="DA952" s="114">
        <v>0.11</v>
      </c>
      <c r="DB952" s="115">
        <v>86</v>
      </c>
      <c r="DC952" s="116">
        <v>34.49</v>
      </c>
      <c r="DD952" s="117">
        <v>98</v>
      </c>
      <c r="DE952" s="118">
        <v>0.06</v>
      </c>
      <c r="DF952" s="119">
        <v>0.18</v>
      </c>
      <c r="DG952" s="120">
        <v>93.34</v>
      </c>
      <c r="DH952" s="121">
        <v>99</v>
      </c>
      <c r="DI952" s="122">
        <v>9.82</v>
      </c>
      <c r="DJ952" s="123">
        <v>86</v>
      </c>
      <c r="DK952" s="124">
        <v>112.42</v>
      </c>
      <c r="DL952" s="125">
        <v>97</v>
      </c>
      <c r="DM952" s="126">
        <v>74.25</v>
      </c>
      <c r="DN952" s="127">
        <v>99</v>
      </c>
      <c r="DO952" s="128">
        <v>9.82</v>
      </c>
      <c r="DP952" s="129">
        <v>86</v>
      </c>
      <c r="DQ952" s="130">
        <v>66585</v>
      </c>
      <c r="DR952" s="131">
        <v>304</v>
      </c>
      <c r="DS952" s="132">
        <v>0.46</v>
      </c>
      <c r="DT952" s="133">
        <v>1186</v>
      </c>
      <c r="DU952" s="134">
        <v>4</v>
      </c>
      <c r="DV952" s="135">
        <v>0.34</v>
      </c>
      <c r="DW952" s="136">
        <v>3082</v>
      </c>
      <c r="DX952" s="137">
        <v>4</v>
      </c>
      <c r="DY952" s="138">
        <v>0.13</v>
      </c>
      <c r="DZ952" s="139" t="s">
        <v>191</v>
      </c>
      <c r="EA952" s="140">
        <v>44403</v>
      </c>
      <c r="EB952" s="141">
        <v>5250</v>
      </c>
      <c r="EC952" s="142">
        <v>44403</v>
      </c>
      <c r="ED952" s="143" t="s">
        <v>226</v>
      </c>
      <c r="EE952" s="278" t="str">
        <f>HYPERLINK("https://my.pitchbook.com?c=97057-00", "View company online")</f>
        <v>View company online</v>
      </c>
    </row>
    <row r="953" spans="1:135" x14ac:dyDescent="0.45">
      <c r="A953" s="144" t="s">
        <v>18796</v>
      </c>
      <c r="B953" s="145" t="s">
        <v>18797</v>
      </c>
      <c r="C953" s="146" t="s">
        <v>153</v>
      </c>
      <c r="D953" s="147" t="s">
        <v>153</v>
      </c>
      <c r="E953" s="148" t="s">
        <v>18798</v>
      </c>
      <c r="F953" s="149" t="s">
        <v>153</v>
      </c>
      <c r="G953" s="150" t="s">
        <v>18799</v>
      </c>
      <c r="H953" s="151" t="s">
        <v>18800</v>
      </c>
      <c r="I953" s="152" t="s">
        <v>18796</v>
      </c>
      <c r="J953" s="153" t="s">
        <v>18801</v>
      </c>
      <c r="K953" s="154" t="s">
        <v>559</v>
      </c>
      <c r="L953" s="155" t="s">
        <v>560</v>
      </c>
      <c r="M953" s="156" t="s">
        <v>3573</v>
      </c>
      <c r="N953" s="157" t="s">
        <v>18802</v>
      </c>
      <c r="O953" s="158" t="s">
        <v>6036</v>
      </c>
      <c r="P953" s="159" t="s">
        <v>18803</v>
      </c>
      <c r="Q953" s="160" t="s">
        <v>162</v>
      </c>
      <c r="R953" s="161">
        <v>2232.4899999999998</v>
      </c>
      <c r="S953" s="162" t="s">
        <v>163</v>
      </c>
      <c r="T953" s="163" t="s">
        <v>1392</v>
      </c>
      <c r="U953" s="164" t="s">
        <v>5464</v>
      </c>
      <c r="V953" s="165" t="s">
        <v>18804</v>
      </c>
      <c r="W953" s="166">
        <v>5000</v>
      </c>
      <c r="X953" s="167" t="s">
        <v>18805</v>
      </c>
      <c r="Y953" s="168" t="s">
        <v>153</v>
      </c>
      <c r="Z953" s="169" t="s">
        <v>153</v>
      </c>
      <c r="AA953" s="170">
        <v>1907</v>
      </c>
      <c r="AB953" s="171" t="s">
        <v>153</v>
      </c>
      <c r="AC953" s="172" t="s">
        <v>153</v>
      </c>
      <c r="AD953" s="173" t="s">
        <v>428</v>
      </c>
      <c r="AE953" s="174">
        <v>2800</v>
      </c>
      <c r="AF953" s="175" t="s">
        <v>153</v>
      </c>
      <c r="AG953" s="176" t="s">
        <v>153</v>
      </c>
      <c r="AH953" s="177" t="s">
        <v>153</v>
      </c>
      <c r="AI953" s="178" t="s">
        <v>153</v>
      </c>
      <c r="AJ953" s="179" t="s">
        <v>153</v>
      </c>
      <c r="AK953" s="180" t="s">
        <v>153</v>
      </c>
      <c r="AL953" s="181" t="s">
        <v>153</v>
      </c>
      <c r="AM953" s="182" t="s">
        <v>153</v>
      </c>
      <c r="AN953" s="183" t="s">
        <v>1765</v>
      </c>
      <c r="AO953" s="184" t="s">
        <v>18806</v>
      </c>
      <c r="AP953" s="185" t="s">
        <v>18807</v>
      </c>
      <c r="AQ953" s="186" t="s">
        <v>171</v>
      </c>
      <c r="AR953" s="187" t="s">
        <v>18808</v>
      </c>
      <c r="AS953" s="188" t="s">
        <v>18809</v>
      </c>
      <c r="AT953" s="189" t="s">
        <v>9618</v>
      </c>
      <c r="AU953" s="190" t="s">
        <v>18810</v>
      </c>
      <c r="AV953" s="191" t="s">
        <v>153</v>
      </c>
      <c r="AW953" s="192" t="s">
        <v>4255</v>
      </c>
      <c r="AX953" s="193" t="s">
        <v>9620</v>
      </c>
      <c r="AY953" s="194" t="s">
        <v>18811</v>
      </c>
      <c r="AZ953" s="195" t="s">
        <v>215</v>
      </c>
      <c r="BA953" s="196" t="s">
        <v>18809</v>
      </c>
      <c r="BB953" s="197" t="s">
        <v>153</v>
      </c>
      <c r="BC953" s="198" t="s">
        <v>153</v>
      </c>
      <c r="BD953" s="199" t="s">
        <v>216</v>
      </c>
      <c r="BE953" s="200" t="s">
        <v>217</v>
      </c>
      <c r="BF953" s="201" t="s">
        <v>18812</v>
      </c>
      <c r="BG953" s="202" t="s">
        <v>18813</v>
      </c>
      <c r="BH953" s="203">
        <v>1</v>
      </c>
      <c r="BI953" s="204" t="s">
        <v>153</v>
      </c>
      <c r="BJ953" s="205" t="s">
        <v>18814</v>
      </c>
      <c r="BK953" s="206" t="s">
        <v>18815</v>
      </c>
      <c r="BL953" s="207" t="s">
        <v>18816</v>
      </c>
      <c r="BM953" s="208" t="s">
        <v>18817</v>
      </c>
      <c r="BN953" s="209" t="s">
        <v>18818</v>
      </c>
      <c r="BO953" s="210" t="s">
        <v>153</v>
      </c>
      <c r="BP953" s="211" t="s">
        <v>18819</v>
      </c>
      <c r="BQ953" s="212">
        <v>41851</v>
      </c>
      <c r="BR953" s="213">
        <v>1800</v>
      </c>
      <c r="BS953" s="214" t="s">
        <v>186</v>
      </c>
      <c r="BT953" s="215">
        <v>1800</v>
      </c>
      <c r="BU953" s="216" t="s">
        <v>187</v>
      </c>
      <c r="BV953" s="217" t="s">
        <v>188</v>
      </c>
      <c r="BW953" s="218" t="s">
        <v>729</v>
      </c>
      <c r="BX953" s="219" t="s">
        <v>153</v>
      </c>
      <c r="BY953" s="220" t="s">
        <v>165</v>
      </c>
      <c r="BZ953" s="221" t="s">
        <v>18820</v>
      </c>
      <c r="CA953" s="222" t="s">
        <v>190</v>
      </c>
      <c r="CB953" s="223">
        <v>44383</v>
      </c>
      <c r="CC953" s="224">
        <v>5250</v>
      </c>
      <c r="CD953" s="225" t="s">
        <v>186</v>
      </c>
      <c r="CE953" s="226">
        <v>5250</v>
      </c>
      <c r="CF953" s="227" t="s">
        <v>186</v>
      </c>
      <c r="CG953" s="228" t="s">
        <v>188</v>
      </c>
      <c r="CH953" s="229" t="s">
        <v>5549</v>
      </c>
      <c r="CI953" s="230" t="s">
        <v>189</v>
      </c>
      <c r="CJ953" s="231" t="s">
        <v>165</v>
      </c>
      <c r="CK953" s="232">
        <v>44383</v>
      </c>
      <c r="CL953" s="233" t="s">
        <v>153</v>
      </c>
      <c r="CM953" s="234" t="s">
        <v>153</v>
      </c>
      <c r="CN953" s="235" t="s">
        <v>1278</v>
      </c>
      <c r="CO953" s="236">
        <v>0.61</v>
      </c>
      <c r="CP953" s="237">
        <v>94</v>
      </c>
      <c r="CQ953" s="238">
        <v>-0.02</v>
      </c>
      <c r="CR953" s="239">
        <v>-3.89</v>
      </c>
      <c r="CS953" s="240">
        <v>2.15</v>
      </c>
      <c r="CT953" s="241">
        <v>98</v>
      </c>
      <c r="CU953" s="242">
        <v>0.05</v>
      </c>
      <c r="CV953" s="243">
        <v>81</v>
      </c>
      <c r="CW953" s="244">
        <v>2.12</v>
      </c>
      <c r="CX953" s="245">
        <v>86</v>
      </c>
      <c r="CY953" s="246">
        <v>2.17</v>
      </c>
      <c r="CZ953" s="247">
        <v>100</v>
      </c>
      <c r="DA953" s="248">
        <v>0.05</v>
      </c>
      <c r="DB953" s="249">
        <v>81</v>
      </c>
      <c r="DC953" s="250">
        <v>51.04</v>
      </c>
      <c r="DD953" s="251">
        <v>99</v>
      </c>
      <c r="DE953" s="252">
        <v>0.04</v>
      </c>
      <c r="DF953" s="253">
        <v>0.08</v>
      </c>
      <c r="DG953" s="254">
        <v>14.11</v>
      </c>
      <c r="DH953" s="255">
        <v>94</v>
      </c>
      <c r="DI953" s="256">
        <v>3.88</v>
      </c>
      <c r="DJ953" s="257">
        <v>74</v>
      </c>
      <c r="DK953" s="258">
        <v>9.4700000000000006</v>
      </c>
      <c r="DL953" s="259">
        <v>85</v>
      </c>
      <c r="DM953" s="260">
        <v>18.75</v>
      </c>
      <c r="DN953" s="261">
        <v>95</v>
      </c>
      <c r="DO953" s="262">
        <v>3.88</v>
      </c>
      <c r="DP953" s="263">
        <v>74</v>
      </c>
      <c r="DQ953" s="264">
        <v>5616</v>
      </c>
      <c r="DR953" s="265">
        <v>-6</v>
      </c>
      <c r="DS953" s="266">
        <v>-0.11</v>
      </c>
      <c r="DT953" s="267">
        <v>298</v>
      </c>
      <c r="DU953" s="268">
        <v>4</v>
      </c>
      <c r="DV953" s="269">
        <v>1.36</v>
      </c>
      <c r="DW953" s="270">
        <v>1216</v>
      </c>
      <c r="DX953" s="271">
        <v>1</v>
      </c>
      <c r="DY953" s="272">
        <v>0.08</v>
      </c>
      <c r="DZ953" s="273" t="s">
        <v>191</v>
      </c>
      <c r="EA953" s="274">
        <v>44392</v>
      </c>
      <c r="EB953" s="275">
        <v>5250</v>
      </c>
      <c r="EC953" s="276">
        <v>44383</v>
      </c>
      <c r="ED953" s="277" t="s">
        <v>188</v>
      </c>
      <c r="EE953" s="279" t="str">
        <f>HYPERLINK("https://my.pitchbook.com?c=60509-44", "View company online")</f>
        <v>View company online</v>
      </c>
    </row>
    <row r="954" spans="1:135" x14ac:dyDescent="0.45">
      <c r="A954" s="10" t="s">
        <v>18821</v>
      </c>
      <c r="B954" s="11" t="s">
        <v>18822</v>
      </c>
      <c r="C954" s="12" t="s">
        <v>153</v>
      </c>
      <c r="D954" s="13" t="s">
        <v>153</v>
      </c>
      <c r="E954" s="14" t="s">
        <v>153</v>
      </c>
      <c r="F954" s="15" t="s">
        <v>153</v>
      </c>
      <c r="G954" s="16" t="s">
        <v>18823</v>
      </c>
      <c r="H954" s="17" t="s">
        <v>153</v>
      </c>
      <c r="I954" s="18" t="s">
        <v>18821</v>
      </c>
      <c r="J954" s="19" t="s">
        <v>18824</v>
      </c>
      <c r="K954" s="20" t="s">
        <v>198</v>
      </c>
      <c r="L954" s="21" t="s">
        <v>1846</v>
      </c>
      <c r="M954" s="22" t="s">
        <v>18825</v>
      </c>
      <c r="N954" s="23" t="s">
        <v>18826</v>
      </c>
      <c r="O954" s="24" t="s">
        <v>18827</v>
      </c>
      <c r="P954" s="25" t="s">
        <v>18828</v>
      </c>
      <c r="Q954" s="26" t="s">
        <v>204</v>
      </c>
      <c r="R954" s="27" t="s">
        <v>153</v>
      </c>
      <c r="S954" s="28" t="s">
        <v>290</v>
      </c>
      <c r="T954" s="29" t="s">
        <v>205</v>
      </c>
      <c r="U954" s="30" t="s">
        <v>237</v>
      </c>
      <c r="V954" s="31" t="s">
        <v>153</v>
      </c>
      <c r="W954" s="32">
        <v>6600</v>
      </c>
      <c r="X954" s="33" t="s">
        <v>18829</v>
      </c>
      <c r="Y954" s="34" t="s">
        <v>153</v>
      </c>
      <c r="Z954" s="35" t="s">
        <v>153</v>
      </c>
      <c r="AA954" s="36">
        <v>1977</v>
      </c>
      <c r="AB954" s="37" t="s">
        <v>153</v>
      </c>
      <c r="AC954" s="38" t="s">
        <v>153</v>
      </c>
      <c r="AD954" s="39" t="s">
        <v>153</v>
      </c>
      <c r="AE954" s="40" t="s">
        <v>153</v>
      </c>
      <c r="AF954" s="41" t="s">
        <v>153</v>
      </c>
      <c r="AG954" s="42" t="s">
        <v>153</v>
      </c>
      <c r="AH954" s="43" t="s">
        <v>153</v>
      </c>
      <c r="AI954" s="44" t="s">
        <v>153</v>
      </c>
      <c r="AJ954" s="45" t="s">
        <v>153</v>
      </c>
      <c r="AK954" s="46" t="s">
        <v>153</v>
      </c>
      <c r="AL954" s="47" t="s">
        <v>153</v>
      </c>
      <c r="AM954" s="48" t="s">
        <v>153</v>
      </c>
      <c r="AN954" s="49" t="s">
        <v>484</v>
      </c>
      <c r="AO954" s="50" t="s">
        <v>18830</v>
      </c>
      <c r="AP954" s="51" t="s">
        <v>18831</v>
      </c>
      <c r="AQ954" s="52" t="s">
        <v>13078</v>
      </c>
      <c r="AR954" s="53" t="s">
        <v>18832</v>
      </c>
      <c r="AS954" s="54" t="s">
        <v>18833</v>
      </c>
      <c r="AT954" s="55" t="s">
        <v>6752</v>
      </c>
      <c r="AU954" s="56" t="s">
        <v>18834</v>
      </c>
      <c r="AV954" s="57" t="s">
        <v>153</v>
      </c>
      <c r="AW954" s="58" t="s">
        <v>6754</v>
      </c>
      <c r="AX954" s="59" t="s">
        <v>5957</v>
      </c>
      <c r="AY954" s="60" t="s">
        <v>18835</v>
      </c>
      <c r="AZ954" s="61" t="s">
        <v>215</v>
      </c>
      <c r="BA954" s="62" t="s">
        <v>18833</v>
      </c>
      <c r="BB954" s="63" t="s">
        <v>18836</v>
      </c>
      <c r="BC954" s="64" t="s">
        <v>153</v>
      </c>
      <c r="BD954" s="65" t="s">
        <v>216</v>
      </c>
      <c r="BE954" s="66" t="s">
        <v>217</v>
      </c>
      <c r="BF954" s="67" t="s">
        <v>18837</v>
      </c>
      <c r="BG954" s="68" t="s">
        <v>153</v>
      </c>
      <c r="BH954" s="69" t="s">
        <v>153</v>
      </c>
      <c r="BI954" s="70" t="s">
        <v>8707</v>
      </c>
      <c r="BJ954" s="71" t="s">
        <v>153</v>
      </c>
      <c r="BK954" s="72" t="s">
        <v>153</v>
      </c>
      <c r="BL954" s="73" t="s">
        <v>153</v>
      </c>
      <c r="BM954" s="74" t="s">
        <v>153</v>
      </c>
      <c r="BN954" s="75" t="s">
        <v>153</v>
      </c>
      <c r="BO954" s="76" t="s">
        <v>18838</v>
      </c>
      <c r="BP954" s="77" t="s">
        <v>18839</v>
      </c>
      <c r="BQ954" s="78">
        <v>41812</v>
      </c>
      <c r="BR954" s="79">
        <v>5247</v>
      </c>
      <c r="BS954" s="80" t="s">
        <v>186</v>
      </c>
      <c r="BT954" s="81">
        <v>5247</v>
      </c>
      <c r="BU954" s="82" t="s">
        <v>186</v>
      </c>
      <c r="BV954" s="83" t="s">
        <v>226</v>
      </c>
      <c r="BW954" s="84" t="s">
        <v>153</v>
      </c>
      <c r="BX954" s="85" t="s">
        <v>153</v>
      </c>
      <c r="BY954" s="86" t="s">
        <v>225</v>
      </c>
      <c r="BZ954" s="87" t="s">
        <v>153</v>
      </c>
      <c r="CA954" s="88" t="s">
        <v>190</v>
      </c>
      <c r="CB954" s="89">
        <v>41812</v>
      </c>
      <c r="CC954" s="90">
        <v>5247</v>
      </c>
      <c r="CD954" s="91" t="s">
        <v>186</v>
      </c>
      <c r="CE954" s="92">
        <v>5247</v>
      </c>
      <c r="CF954" s="93" t="s">
        <v>186</v>
      </c>
      <c r="CG954" s="94" t="s">
        <v>226</v>
      </c>
      <c r="CH954" s="95" t="s">
        <v>153</v>
      </c>
      <c r="CI954" s="96" t="s">
        <v>153</v>
      </c>
      <c r="CJ954" s="97" t="s">
        <v>225</v>
      </c>
      <c r="CK954" s="98">
        <v>41812</v>
      </c>
      <c r="CL954" s="99" t="s">
        <v>153</v>
      </c>
      <c r="CM954" s="100" t="s">
        <v>153</v>
      </c>
      <c r="CN954" s="101" t="s">
        <v>190</v>
      </c>
      <c r="CO954" s="102" t="s">
        <v>153</v>
      </c>
      <c r="CP954" s="103" t="s">
        <v>153</v>
      </c>
      <c r="CQ954" s="104" t="s">
        <v>153</v>
      </c>
      <c r="CR954" s="105" t="s">
        <v>153</v>
      </c>
      <c r="CS954" s="106" t="s">
        <v>153</v>
      </c>
      <c r="CT954" s="107" t="s">
        <v>153</v>
      </c>
      <c r="CU954" s="108" t="s">
        <v>153</v>
      </c>
      <c r="CV954" s="109" t="s">
        <v>153</v>
      </c>
      <c r="CW954" s="110" t="s">
        <v>153</v>
      </c>
      <c r="CX954" s="111" t="s">
        <v>153</v>
      </c>
      <c r="CY954" s="112" t="s">
        <v>153</v>
      </c>
      <c r="CZ954" s="113" t="s">
        <v>153</v>
      </c>
      <c r="DA954" s="114" t="s">
        <v>153</v>
      </c>
      <c r="DB954" s="115" t="s">
        <v>153</v>
      </c>
      <c r="DC954" s="116" t="s">
        <v>153</v>
      </c>
      <c r="DD954" s="117" t="s">
        <v>153</v>
      </c>
      <c r="DE954" s="118" t="s">
        <v>153</v>
      </c>
      <c r="DF954" s="119" t="s">
        <v>153</v>
      </c>
      <c r="DG954" s="120" t="s">
        <v>153</v>
      </c>
      <c r="DH954" s="121" t="s">
        <v>153</v>
      </c>
      <c r="DI954" s="122" t="s">
        <v>153</v>
      </c>
      <c r="DJ954" s="123" t="s">
        <v>153</v>
      </c>
      <c r="DK954" s="124" t="s">
        <v>153</v>
      </c>
      <c r="DL954" s="125" t="s">
        <v>153</v>
      </c>
      <c r="DM954" s="126" t="s">
        <v>153</v>
      </c>
      <c r="DN954" s="127" t="s">
        <v>153</v>
      </c>
      <c r="DO954" s="128" t="s">
        <v>153</v>
      </c>
      <c r="DP954" s="129" t="s">
        <v>153</v>
      </c>
      <c r="DQ954" s="130" t="s">
        <v>153</v>
      </c>
      <c r="DR954" s="131" t="s">
        <v>153</v>
      </c>
      <c r="DS954" s="132" t="s">
        <v>153</v>
      </c>
      <c r="DT954" s="133" t="s">
        <v>153</v>
      </c>
      <c r="DU954" s="134" t="s">
        <v>153</v>
      </c>
      <c r="DV954" s="135" t="s">
        <v>153</v>
      </c>
      <c r="DW954" s="136" t="s">
        <v>153</v>
      </c>
      <c r="DX954" s="137" t="s">
        <v>153</v>
      </c>
      <c r="DY954" s="138" t="s">
        <v>153</v>
      </c>
      <c r="DZ954" s="139" t="s">
        <v>191</v>
      </c>
      <c r="EA954" s="140">
        <v>44294</v>
      </c>
      <c r="EB954" s="141">
        <v>5247</v>
      </c>
      <c r="EC954" s="142">
        <v>41812</v>
      </c>
      <c r="ED954" s="143" t="s">
        <v>226</v>
      </c>
      <c r="EE954" s="278" t="str">
        <f>HYPERLINK("https://my.pitchbook.com?c=25300-18", "View company online")</f>
        <v>View company online</v>
      </c>
    </row>
    <row r="955" spans="1:135" x14ac:dyDescent="0.45">
      <c r="A955" s="144" t="s">
        <v>18840</v>
      </c>
      <c r="B955" s="145" t="s">
        <v>18841</v>
      </c>
      <c r="C955" s="146" t="s">
        <v>153</v>
      </c>
      <c r="D955" s="147" t="s">
        <v>153</v>
      </c>
      <c r="E955" s="148" t="s">
        <v>153</v>
      </c>
      <c r="F955" s="149" t="s">
        <v>18842</v>
      </c>
      <c r="G955" s="150" t="s">
        <v>18843</v>
      </c>
      <c r="H955" s="151" t="s">
        <v>18844</v>
      </c>
      <c r="I955" s="152" t="s">
        <v>18840</v>
      </c>
      <c r="J955" s="153" t="s">
        <v>18845</v>
      </c>
      <c r="K955" s="154" t="s">
        <v>882</v>
      </c>
      <c r="L955" s="155" t="s">
        <v>1257</v>
      </c>
      <c r="M955" s="156" t="s">
        <v>5055</v>
      </c>
      <c r="N955" s="157" t="s">
        <v>7271</v>
      </c>
      <c r="O955" s="158" t="s">
        <v>1234</v>
      </c>
      <c r="P955" s="159" t="s">
        <v>18846</v>
      </c>
      <c r="Q955" s="160" t="s">
        <v>162</v>
      </c>
      <c r="R955" s="161" t="s">
        <v>153</v>
      </c>
      <c r="S955" s="162" t="s">
        <v>163</v>
      </c>
      <c r="T955" s="163" t="s">
        <v>1392</v>
      </c>
      <c r="U955" s="164" t="s">
        <v>165</v>
      </c>
      <c r="V955" s="165" t="s">
        <v>18847</v>
      </c>
      <c r="W955" s="166">
        <v>3200</v>
      </c>
      <c r="X955" s="167" t="s">
        <v>18848</v>
      </c>
      <c r="Y955" s="168" t="s">
        <v>153</v>
      </c>
      <c r="Z955" s="169" t="s">
        <v>153</v>
      </c>
      <c r="AA955" s="170">
        <v>1957</v>
      </c>
      <c r="AB955" s="171" t="s">
        <v>153</v>
      </c>
      <c r="AC955" s="172" t="s">
        <v>153</v>
      </c>
      <c r="AD955" s="173" t="s">
        <v>153</v>
      </c>
      <c r="AE955" s="174" t="s">
        <v>153</v>
      </c>
      <c r="AF955" s="175" t="s">
        <v>153</v>
      </c>
      <c r="AG955" s="176" t="s">
        <v>153</v>
      </c>
      <c r="AH955" s="177" t="s">
        <v>153</v>
      </c>
      <c r="AI955" s="178" t="s">
        <v>153</v>
      </c>
      <c r="AJ955" s="179" t="s">
        <v>153</v>
      </c>
      <c r="AK955" s="180" t="s">
        <v>153</v>
      </c>
      <c r="AL955" s="181" t="s">
        <v>153</v>
      </c>
      <c r="AM955" s="182" t="s">
        <v>153</v>
      </c>
      <c r="AN955" s="183" t="s">
        <v>1442</v>
      </c>
      <c r="AO955" s="184" t="s">
        <v>18849</v>
      </c>
      <c r="AP955" s="185" t="s">
        <v>18850</v>
      </c>
      <c r="AQ955" s="186" t="s">
        <v>2655</v>
      </c>
      <c r="AR955" s="187" t="s">
        <v>153</v>
      </c>
      <c r="AS955" s="188" t="s">
        <v>18851</v>
      </c>
      <c r="AT955" s="189" t="s">
        <v>18852</v>
      </c>
      <c r="AU955" s="190" t="s">
        <v>18853</v>
      </c>
      <c r="AV955" s="191" t="s">
        <v>18854</v>
      </c>
      <c r="AW955" s="192" t="s">
        <v>18855</v>
      </c>
      <c r="AX955" s="193" t="s">
        <v>177</v>
      </c>
      <c r="AY955" s="194" t="s">
        <v>18856</v>
      </c>
      <c r="AZ955" s="195" t="s">
        <v>179</v>
      </c>
      <c r="BA955" s="196" t="s">
        <v>18851</v>
      </c>
      <c r="BB955" s="197" t="s">
        <v>153</v>
      </c>
      <c r="BC955" s="198" t="s">
        <v>18857</v>
      </c>
      <c r="BD955" s="199" t="s">
        <v>180</v>
      </c>
      <c r="BE955" s="200" t="s">
        <v>181</v>
      </c>
      <c r="BF955" s="201" t="s">
        <v>18858</v>
      </c>
      <c r="BG955" s="202" t="s">
        <v>18859</v>
      </c>
      <c r="BH955" s="203">
        <v>2</v>
      </c>
      <c r="BI955" s="204" t="s">
        <v>153</v>
      </c>
      <c r="BJ955" s="205" t="s">
        <v>18860</v>
      </c>
      <c r="BK955" s="206" t="s">
        <v>153</v>
      </c>
      <c r="BL955" s="207" t="s">
        <v>18861</v>
      </c>
      <c r="BM955" s="208" t="s">
        <v>18862</v>
      </c>
      <c r="BN955" s="209" t="s">
        <v>153</v>
      </c>
      <c r="BO955" s="210" t="s">
        <v>18863</v>
      </c>
      <c r="BP955" s="211" t="s">
        <v>18864</v>
      </c>
      <c r="BQ955" s="212">
        <v>44020</v>
      </c>
      <c r="BR955" s="213">
        <v>5242.89</v>
      </c>
      <c r="BS955" s="214" t="s">
        <v>186</v>
      </c>
      <c r="BT955" s="215">
        <v>5271.89</v>
      </c>
      <c r="BU955" s="216" t="s">
        <v>187</v>
      </c>
      <c r="BV955" s="217" t="s">
        <v>188</v>
      </c>
      <c r="BW955" s="218" t="s">
        <v>153</v>
      </c>
      <c r="BX955" s="219" t="s">
        <v>153</v>
      </c>
      <c r="BY955" s="220" t="s">
        <v>165</v>
      </c>
      <c r="BZ955" s="221" t="s">
        <v>153</v>
      </c>
      <c r="CA955" s="222" t="s">
        <v>190</v>
      </c>
      <c r="CB955" s="223">
        <v>44020</v>
      </c>
      <c r="CC955" s="224">
        <v>5242.89</v>
      </c>
      <c r="CD955" s="225" t="s">
        <v>186</v>
      </c>
      <c r="CE955" s="226">
        <v>5271.89</v>
      </c>
      <c r="CF955" s="227" t="s">
        <v>187</v>
      </c>
      <c r="CG955" s="228" t="s">
        <v>188</v>
      </c>
      <c r="CH955" s="229" t="s">
        <v>153</v>
      </c>
      <c r="CI955" s="230" t="s">
        <v>153</v>
      </c>
      <c r="CJ955" s="231" t="s">
        <v>165</v>
      </c>
      <c r="CK955" s="232">
        <v>44020</v>
      </c>
      <c r="CL955" s="233" t="s">
        <v>153</v>
      </c>
      <c r="CM955" s="234" t="s">
        <v>153</v>
      </c>
      <c r="CN955" s="235" t="s">
        <v>190</v>
      </c>
      <c r="CO955" s="236">
        <v>0.14000000000000001</v>
      </c>
      <c r="CP955" s="237">
        <v>89</v>
      </c>
      <c r="CQ955" s="238">
        <v>-0.06</v>
      </c>
      <c r="CR955" s="239">
        <v>-28.83</v>
      </c>
      <c r="CS955" s="240">
        <v>0.28000000000000003</v>
      </c>
      <c r="CT955" s="241">
        <v>91</v>
      </c>
      <c r="CU955" s="242">
        <v>0</v>
      </c>
      <c r="CV955" s="243">
        <v>41</v>
      </c>
      <c r="CW955" s="244" t="s">
        <v>153</v>
      </c>
      <c r="CX955" s="245" t="s">
        <v>153</v>
      </c>
      <c r="CY955" s="246">
        <v>0.28000000000000003</v>
      </c>
      <c r="CZ955" s="247">
        <v>92</v>
      </c>
      <c r="DA955" s="248">
        <v>0</v>
      </c>
      <c r="DB955" s="249">
        <v>41</v>
      </c>
      <c r="DC955" s="250">
        <v>39.97</v>
      </c>
      <c r="DD955" s="251">
        <v>98</v>
      </c>
      <c r="DE955" s="252">
        <v>0.02</v>
      </c>
      <c r="DF955" s="253">
        <v>0.05</v>
      </c>
      <c r="DG955" s="254">
        <v>44.81</v>
      </c>
      <c r="DH955" s="255">
        <v>98</v>
      </c>
      <c r="DI955" s="256">
        <v>35.130000000000003</v>
      </c>
      <c r="DJ955" s="257">
        <v>95</v>
      </c>
      <c r="DK955" s="258" t="s">
        <v>153</v>
      </c>
      <c r="DL955" s="259" t="s">
        <v>153</v>
      </c>
      <c r="DM955" s="260">
        <v>44.81</v>
      </c>
      <c r="DN955" s="261">
        <v>98</v>
      </c>
      <c r="DO955" s="262">
        <v>35.130000000000003</v>
      </c>
      <c r="DP955" s="263">
        <v>95</v>
      </c>
      <c r="DQ955" s="264" t="s">
        <v>153</v>
      </c>
      <c r="DR955" s="265" t="s">
        <v>153</v>
      </c>
      <c r="DS955" s="266" t="s">
        <v>153</v>
      </c>
      <c r="DT955" s="267">
        <v>718</v>
      </c>
      <c r="DU955" s="268">
        <v>-3</v>
      </c>
      <c r="DV955" s="269">
        <v>-0.42</v>
      </c>
      <c r="DW955" s="270">
        <v>11029</v>
      </c>
      <c r="DX955" s="271">
        <v>1</v>
      </c>
      <c r="DY955" s="272">
        <v>0.01</v>
      </c>
      <c r="DZ955" s="273" t="s">
        <v>191</v>
      </c>
      <c r="EA955" s="274">
        <v>44264</v>
      </c>
      <c r="EB955" s="275">
        <v>5271.89</v>
      </c>
      <c r="EC955" s="276">
        <v>44020</v>
      </c>
      <c r="ED955" s="277" t="s">
        <v>188</v>
      </c>
      <c r="EE955" s="279" t="str">
        <f>HYPERLINK("https://my.pitchbook.com?c=115432-03", "View company online")</f>
        <v>View company online</v>
      </c>
    </row>
    <row r="956" spans="1:135" x14ac:dyDescent="0.45">
      <c r="A956" s="10" t="s">
        <v>18865</v>
      </c>
      <c r="B956" s="11" t="s">
        <v>18866</v>
      </c>
      <c r="C956" s="12" t="s">
        <v>153</v>
      </c>
      <c r="D956" s="13" t="s">
        <v>153</v>
      </c>
      <c r="E956" s="14" t="s">
        <v>153</v>
      </c>
      <c r="F956" s="15" t="s">
        <v>18867</v>
      </c>
      <c r="G956" s="16" t="s">
        <v>18868</v>
      </c>
      <c r="H956" s="17" t="s">
        <v>153</v>
      </c>
      <c r="I956" s="18" t="s">
        <v>18865</v>
      </c>
      <c r="J956" s="19" t="s">
        <v>18869</v>
      </c>
      <c r="K956" s="20" t="s">
        <v>792</v>
      </c>
      <c r="L956" s="21" t="s">
        <v>1516</v>
      </c>
      <c r="M956" s="22" t="s">
        <v>1516</v>
      </c>
      <c r="N956" s="23" t="s">
        <v>18870</v>
      </c>
      <c r="O956" s="24" t="s">
        <v>1119</v>
      </c>
      <c r="P956" s="25" t="s">
        <v>18871</v>
      </c>
      <c r="Q956" s="26" t="s">
        <v>564</v>
      </c>
      <c r="R956" s="27" t="s">
        <v>153</v>
      </c>
      <c r="S956" s="28" t="s">
        <v>163</v>
      </c>
      <c r="T956" s="29" t="s">
        <v>1392</v>
      </c>
      <c r="U956" s="30" t="s">
        <v>165</v>
      </c>
      <c r="V956" s="31" t="s">
        <v>153</v>
      </c>
      <c r="W956" s="32" t="s">
        <v>153</v>
      </c>
      <c r="X956" s="33" t="s">
        <v>153</v>
      </c>
      <c r="Y956" s="34" t="s">
        <v>153</v>
      </c>
      <c r="Z956" s="35" t="s">
        <v>153</v>
      </c>
      <c r="AA956" s="36">
        <v>2003</v>
      </c>
      <c r="AB956" s="37" t="s">
        <v>153</v>
      </c>
      <c r="AC956" s="38" t="s">
        <v>153</v>
      </c>
      <c r="AD956" s="39" t="s">
        <v>153</v>
      </c>
      <c r="AE956" s="40" t="s">
        <v>153</v>
      </c>
      <c r="AF956" s="41" t="s">
        <v>153</v>
      </c>
      <c r="AG956" s="42" t="s">
        <v>153</v>
      </c>
      <c r="AH956" s="43" t="s">
        <v>153</v>
      </c>
      <c r="AI956" s="44" t="s">
        <v>153</v>
      </c>
      <c r="AJ956" s="45" t="s">
        <v>153</v>
      </c>
      <c r="AK956" s="46" t="s">
        <v>153</v>
      </c>
      <c r="AL956" s="47" t="s">
        <v>153</v>
      </c>
      <c r="AM956" s="48" t="s">
        <v>153</v>
      </c>
      <c r="AN956" s="49" t="s">
        <v>153</v>
      </c>
      <c r="AO956" s="50" t="s">
        <v>153</v>
      </c>
      <c r="AP956" s="51" t="s">
        <v>153</v>
      </c>
      <c r="AQ956" s="52" t="s">
        <v>153</v>
      </c>
      <c r="AR956" s="53" t="s">
        <v>153</v>
      </c>
      <c r="AS956" s="54" t="s">
        <v>153</v>
      </c>
      <c r="AT956" s="55" t="s">
        <v>18872</v>
      </c>
      <c r="AU956" s="56" t="s">
        <v>153</v>
      </c>
      <c r="AV956" s="57" t="s">
        <v>153</v>
      </c>
      <c r="AW956" s="58" t="s">
        <v>18873</v>
      </c>
      <c r="AX956" s="59" t="s">
        <v>153</v>
      </c>
      <c r="AY956" s="60" t="s">
        <v>153</v>
      </c>
      <c r="AZ956" s="61" t="s">
        <v>808</v>
      </c>
      <c r="BA956" s="62" t="s">
        <v>153</v>
      </c>
      <c r="BB956" s="63" t="s">
        <v>153</v>
      </c>
      <c r="BC956" s="64" t="s">
        <v>153</v>
      </c>
      <c r="BD956" s="65" t="s">
        <v>180</v>
      </c>
      <c r="BE956" s="66" t="s">
        <v>809</v>
      </c>
      <c r="BF956" s="67" t="s">
        <v>18874</v>
      </c>
      <c r="BG956" s="68" t="s">
        <v>153</v>
      </c>
      <c r="BH956" s="69" t="s">
        <v>153</v>
      </c>
      <c r="BI956" s="70" t="s">
        <v>153</v>
      </c>
      <c r="BJ956" s="71" t="s">
        <v>18875</v>
      </c>
      <c r="BK956" s="72" t="s">
        <v>153</v>
      </c>
      <c r="BL956" s="73" t="s">
        <v>153</v>
      </c>
      <c r="BM956" s="74" t="s">
        <v>153</v>
      </c>
      <c r="BN956" s="75" t="s">
        <v>153</v>
      </c>
      <c r="BO956" s="76" t="s">
        <v>153</v>
      </c>
      <c r="BP956" s="77" t="s">
        <v>153</v>
      </c>
      <c r="BQ956" s="78">
        <v>42342</v>
      </c>
      <c r="BR956" s="79">
        <v>5237.75</v>
      </c>
      <c r="BS956" s="80" t="s">
        <v>186</v>
      </c>
      <c r="BT956" s="81">
        <v>5237.75</v>
      </c>
      <c r="BU956" s="82" t="s">
        <v>186</v>
      </c>
      <c r="BV956" s="83" t="s">
        <v>188</v>
      </c>
      <c r="BW956" s="84" t="s">
        <v>1525</v>
      </c>
      <c r="BX956" s="85" t="s">
        <v>153</v>
      </c>
      <c r="BY956" s="86" t="s">
        <v>165</v>
      </c>
      <c r="BZ956" s="87" t="s">
        <v>153</v>
      </c>
      <c r="CA956" s="88" t="s">
        <v>190</v>
      </c>
      <c r="CB956" s="89">
        <v>42342</v>
      </c>
      <c r="CC956" s="90">
        <v>5237.75</v>
      </c>
      <c r="CD956" s="91" t="s">
        <v>186</v>
      </c>
      <c r="CE956" s="92">
        <v>5237.75</v>
      </c>
      <c r="CF956" s="93" t="s">
        <v>186</v>
      </c>
      <c r="CG956" s="94" t="s">
        <v>188</v>
      </c>
      <c r="CH956" s="95" t="s">
        <v>1525</v>
      </c>
      <c r="CI956" s="96" t="s">
        <v>153</v>
      </c>
      <c r="CJ956" s="97" t="s">
        <v>165</v>
      </c>
      <c r="CK956" s="98">
        <v>42342</v>
      </c>
      <c r="CL956" s="99" t="s">
        <v>153</v>
      </c>
      <c r="CM956" s="100" t="s">
        <v>153</v>
      </c>
      <c r="CN956" s="101" t="s">
        <v>190</v>
      </c>
      <c r="CO956" s="102" t="s">
        <v>153</v>
      </c>
      <c r="CP956" s="103" t="s">
        <v>153</v>
      </c>
      <c r="CQ956" s="104" t="s">
        <v>153</v>
      </c>
      <c r="CR956" s="105" t="s">
        <v>153</v>
      </c>
      <c r="CS956" s="106" t="s">
        <v>153</v>
      </c>
      <c r="CT956" s="107" t="s">
        <v>153</v>
      </c>
      <c r="CU956" s="108" t="s">
        <v>153</v>
      </c>
      <c r="CV956" s="109" t="s">
        <v>153</v>
      </c>
      <c r="CW956" s="110" t="s">
        <v>153</v>
      </c>
      <c r="CX956" s="111" t="s">
        <v>153</v>
      </c>
      <c r="CY956" s="112" t="s">
        <v>153</v>
      </c>
      <c r="CZ956" s="113" t="s">
        <v>153</v>
      </c>
      <c r="DA956" s="114" t="s">
        <v>153</v>
      </c>
      <c r="DB956" s="115" t="s">
        <v>153</v>
      </c>
      <c r="DC956" s="116" t="s">
        <v>153</v>
      </c>
      <c r="DD956" s="117" t="s">
        <v>153</v>
      </c>
      <c r="DE956" s="118" t="s">
        <v>153</v>
      </c>
      <c r="DF956" s="119" t="s">
        <v>153</v>
      </c>
      <c r="DG956" s="120" t="s">
        <v>153</v>
      </c>
      <c r="DH956" s="121" t="s">
        <v>153</v>
      </c>
      <c r="DI956" s="122" t="s">
        <v>153</v>
      </c>
      <c r="DJ956" s="123" t="s">
        <v>153</v>
      </c>
      <c r="DK956" s="124" t="s">
        <v>153</v>
      </c>
      <c r="DL956" s="125" t="s">
        <v>153</v>
      </c>
      <c r="DM956" s="126" t="s">
        <v>153</v>
      </c>
      <c r="DN956" s="127" t="s">
        <v>153</v>
      </c>
      <c r="DO956" s="128" t="s">
        <v>153</v>
      </c>
      <c r="DP956" s="129" t="s">
        <v>153</v>
      </c>
      <c r="DQ956" s="130" t="s">
        <v>153</v>
      </c>
      <c r="DR956" s="131" t="s">
        <v>153</v>
      </c>
      <c r="DS956" s="132" t="s">
        <v>153</v>
      </c>
      <c r="DT956" s="133" t="s">
        <v>153</v>
      </c>
      <c r="DU956" s="134" t="s">
        <v>153</v>
      </c>
      <c r="DV956" s="135" t="s">
        <v>153</v>
      </c>
      <c r="DW956" s="136" t="s">
        <v>153</v>
      </c>
      <c r="DX956" s="137" t="s">
        <v>153</v>
      </c>
      <c r="DY956" s="138" t="s">
        <v>153</v>
      </c>
      <c r="DZ956" s="139" t="s">
        <v>191</v>
      </c>
      <c r="EA956" s="140">
        <v>44147</v>
      </c>
      <c r="EB956" s="141">
        <v>5237.75</v>
      </c>
      <c r="EC956" s="142">
        <v>42342</v>
      </c>
      <c r="ED956" s="143" t="s">
        <v>188</v>
      </c>
      <c r="EE956" s="278" t="str">
        <f>HYPERLINK("https://my.pitchbook.com?c=149011-30", "View company online")</f>
        <v>View company online</v>
      </c>
    </row>
    <row r="957" spans="1:135" x14ac:dyDescent="0.45">
      <c r="A957" s="144" t="s">
        <v>18876</v>
      </c>
      <c r="B957" s="145" t="s">
        <v>18877</v>
      </c>
      <c r="C957" s="146" t="s">
        <v>153</v>
      </c>
      <c r="D957" s="147" t="s">
        <v>153</v>
      </c>
      <c r="E957" s="148" t="s">
        <v>18878</v>
      </c>
      <c r="F957" s="149" t="s">
        <v>18879</v>
      </c>
      <c r="G957" s="150" t="s">
        <v>18880</v>
      </c>
      <c r="H957" s="151" t="s">
        <v>18881</v>
      </c>
      <c r="I957" s="152" t="s">
        <v>18876</v>
      </c>
      <c r="J957" s="153" t="s">
        <v>18882</v>
      </c>
      <c r="K957" s="154" t="s">
        <v>157</v>
      </c>
      <c r="L957" s="155" t="s">
        <v>937</v>
      </c>
      <c r="M957" s="156" t="s">
        <v>18883</v>
      </c>
      <c r="N957" s="157" t="s">
        <v>18884</v>
      </c>
      <c r="O957" s="158" t="s">
        <v>261</v>
      </c>
      <c r="P957" s="159" t="s">
        <v>18885</v>
      </c>
      <c r="Q957" s="160" t="s">
        <v>204</v>
      </c>
      <c r="R957" s="161" t="s">
        <v>153</v>
      </c>
      <c r="S957" s="162" t="s">
        <v>290</v>
      </c>
      <c r="T957" s="163" t="s">
        <v>1392</v>
      </c>
      <c r="U957" s="164" t="s">
        <v>237</v>
      </c>
      <c r="V957" s="165" t="s">
        <v>18886</v>
      </c>
      <c r="W957" s="166">
        <v>9489</v>
      </c>
      <c r="X957" s="167" t="s">
        <v>18887</v>
      </c>
      <c r="Y957" s="168" t="s">
        <v>153</v>
      </c>
      <c r="Z957" s="169" t="s">
        <v>153</v>
      </c>
      <c r="AA957" s="170">
        <v>1950</v>
      </c>
      <c r="AB957" s="171" t="s">
        <v>153</v>
      </c>
      <c r="AC957" s="172" t="s">
        <v>153</v>
      </c>
      <c r="AD957" s="173" t="s">
        <v>153</v>
      </c>
      <c r="AE957" s="174" t="s">
        <v>153</v>
      </c>
      <c r="AF957" s="175" t="s">
        <v>153</v>
      </c>
      <c r="AG957" s="176" t="s">
        <v>153</v>
      </c>
      <c r="AH957" s="177" t="s">
        <v>153</v>
      </c>
      <c r="AI957" s="178" t="s">
        <v>153</v>
      </c>
      <c r="AJ957" s="179" t="s">
        <v>153</v>
      </c>
      <c r="AK957" s="180" t="s">
        <v>153</v>
      </c>
      <c r="AL957" s="181" t="s">
        <v>153</v>
      </c>
      <c r="AM957" s="182" t="s">
        <v>153</v>
      </c>
      <c r="AN957" s="183" t="s">
        <v>1442</v>
      </c>
      <c r="AO957" s="184" t="s">
        <v>18888</v>
      </c>
      <c r="AP957" s="185" t="s">
        <v>18889</v>
      </c>
      <c r="AQ957" s="186" t="s">
        <v>512</v>
      </c>
      <c r="AR957" s="187" t="s">
        <v>18890</v>
      </c>
      <c r="AS957" s="188" t="s">
        <v>18891</v>
      </c>
      <c r="AT957" s="189" t="s">
        <v>18395</v>
      </c>
      <c r="AU957" s="190" t="s">
        <v>18892</v>
      </c>
      <c r="AV957" s="191" t="s">
        <v>11887</v>
      </c>
      <c r="AW957" s="192" t="s">
        <v>18397</v>
      </c>
      <c r="AX957" s="193" t="s">
        <v>153</v>
      </c>
      <c r="AY957" s="194" t="s">
        <v>18893</v>
      </c>
      <c r="AZ957" s="195" t="s">
        <v>18399</v>
      </c>
      <c r="BA957" s="196" t="s">
        <v>18891</v>
      </c>
      <c r="BB957" s="197" t="s">
        <v>153</v>
      </c>
      <c r="BC957" s="198" t="s">
        <v>18894</v>
      </c>
      <c r="BD957" s="199" t="s">
        <v>180</v>
      </c>
      <c r="BE957" s="200" t="s">
        <v>2051</v>
      </c>
      <c r="BF957" s="201" t="s">
        <v>18895</v>
      </c>
      <c r="BG957" s="202" t="s">
        <v>18896</v>
      </c>
      <c r="BH957" s="203">
        <v>3</v>
      </c>
      <c r="BI957" s="204" t="s">
        <v>153</v>
      </c>
      <c r="BJ957" s="205" t="s">
        <v>18897</v>
      </c>
      <c r="BK957" s="206" t="s">
        <v>153</v>
      </c>
      <c r="BL957" s="207" t="s">
        <v>18898</v>
      </c>
      <c r="BM957" s="208" t="s">
        <v>18899</v>
      </c>
      <c r="BN957" s="209" t="s">
        <v>153</v>
      </c>
      <c r="BO957" s="210" t="s">
        <v>18900</v>
      </c>
      <c r="BP957" s="211" t="s">
        <v>18901</v>
      </c>
      <c r="BQ957" s="212">
        <v>28198</v>
      </c>
      <c r="BR957" s="213" t="s">
        <v>153</v>
      </c>
      <c r="BS957" s="214" t="s">
        <v>153</v>
      </c>
      <c r="BT957" s="215" t="s">
        <v>153</v>
      </c>
      <c r="BU957" s="216" t="s">
        <v>153</v>
      </c>
      <c r="BV957" s="217" t="s">
        <v>251</v>
      </c>
      <c r="BW957" s="218" t="s">
        <v>153</v>
      </c>
      <c r="BX957" s="219" t="s">
        <v>153</v>
      </c>
      <c r="BY957" s="220" t="s">
        <v>252</v>
      </c>
      <c r="BZ957" s="221" t="s">
        <v>153</v>
      </c>
      <c r="CA957" s="222" t="s">
        <v>190</v>
      </c>
      <c r="CB957" s="223">
        <v>43441</v>
      </c>
      <c r="CC957" s="224">
        <v>5224.63</v>
      </c>
      <c r="CD957" s="225" t="s">
        <v>187</v>
      </c>
      <c r="CE957" s="226">
        <v>5224.63</v>
      </c>
      <c r="CF957" s="227" t="s">
        <v>187</v>
      </c>
      <c r="CG957" s="228" t="s">
        <v>226</v>
      </c>
      <c r="CH957" s="229" t="s">
        <v>153</v>
      </c>
      <c r="CI957" s="230" t="s">
        <v>153</v>
      </c>
      <c r="CJ957" s="231" t="s">
        <v>225</v>
      </c>
      <c r="CK957" s="232">
        <v>43441</v>
      </c>
      <c r="CL957" s="233" t="s">
        <v>153</v>
      </c>
      <c r="CM957" s="234" t="s">
        <v>153</v>
      </c>
      <c r="CN957" s="235" t="s">
        <v>190</v>
      </c>
      <c r="CO957" s="236">
        <v>-0.66</v>
      </c>
      <c r="CP957" s="237">
        <v>4</v>
      </c>
      <c r="CQ957" s="238">
        <v>-0.05</v>
      </c>
      <c r="CR957" s="239">
        <v>-7.52</v>
      </c>
      <c r="CS957" s="240">
        <v>-1.3</v>
      </c>
      <c r="CT957" s="241">
        <v>3</v>
      </c>
      <c r="CU957" s="242">
        <v>-0.01</v>
      </c>
      <c r="CV957" s="243">
        <v>40</v>
      </c>
      <c r="CW957" s="244">
        <v>-3.06</v>
      </c>
      <c r="CX957" s="245">
        <v>9</v>
      </c>
      <c r="CY957" s="246">
        <v>0.45</v>
      </c>
      <c r="CZ957" s="247">
        <v>94</v>
      </c>
      <c r="DA957" s="248">
        <v>-0.01</v>
      </c>
      <c r="DB957" s="249">
        <v>40</v>
      </c>
      <c r="DC957" s="250">
        <v>38.35</v>
      </c>
      <c r="DD957" s="251">
        <v>98</v>
      </c>
      <c r="DE957" s="252">
        <v>-0.2</v>
      </c>
      <c r="DF957" s="253">
        <v>-0.52</v>
      </c>
      <c r="DG957" s="254">
        <v>71.23</v>
      </c>
      <c r="DH957" s="255">
        <v>99</v>
      </c>
      <c r="DI957" s="256">
        <v>5.47</v>
      </c>
      <c r="DJ957" s="257">
        <v>79</v>
      </c>
      <c r="DK957" s="258">
        <v>17.91</v>
      </c>
      <c r="DL957" s="259">
        <v>90</v>
      </c>
      <c r="DM957" s="260">
        <v>124.56</v>
      </c>
      <c r="DN957" s="261">
        <v>100</v>
      </c>
      <c r="DO957" s="262">
        <v>5.47</v>
      </c>
      <c r="DP957" s="263">
        <v>79</v>
      </c>
      <c r="DQ957" s="264">
        <v>10539</v>
      </c>
      <c r="DR957" s="265">
        <v>289</v>
      </c>
      <c r="DS957" s="266">
        <v>2.82</v>
      </c>
      <c r="DT957" s="267">
        <v>1998</v>
      </c>
      <c r="DU957" s="268">
        <v>-5</v>
      </c>
      <c r="DV957" s="269">
        <v>-0.25</v>
      </c>
      <c r="DW957" s="270">
        <v>1719</v>
      </c>
      <c r="DX957" s="271">
        <v>1</v>
      </c>
      <c r="DY957" s="272">
        <v>0.06</v>
      </c>
      <c r="DZ957" s="273" t="s">
        <v>191</v>
      </c>
      <c r="EA957" s="274">
        <v>44217</v>
      </c>
      <c r="EB957" s="275">
        <v>5224.63</v>
      </c>
      <c r="EC957" s="276">
        <v>43441</v>
      </c>
      <c r="ED957" s="277" t="s">
        <v>226</v>
      </c>
      <c r="EE957" s="279" t="str">
        <f>HYPERLINK("https://my.pitchbook.com?c=59076-10", "View company online")</f>
        <v>View company online</v>
      </c>
    </row>
    <row r="958" spans="1:135" x14ac:dyDescent="0.45">
      <c r="A958" s="10" t="s">
        <v>18902</v>
      </c>
      <c r="B958" s="11" t="s">
        <v>18903</v>
      </c>
      <c r="C958" s="12" t="s">
        <v>153</v>
      </c>
      <c r="D958" s="13" t="s">
        <v>153</v>
      </c>
      <c r="E958" s="14" t="s">
        <v>18904</v>
      </c>
      <c r="F958" s="15" t="s">
        <v>153</v>
      </c>
      <c r="G958" s="16" t="s">
        <v>18905</v>
      </c>
      <c r="H958" s="17" t="s">
        <v>18906</v>
      </c>
      <c r="I958" s="18" t="s">
        <v>18902</v>
      </c>
      <c r="J958" s="19" t="s">
        <v>18907</v>
      </c>
      <c r="K958" s="20" t="s">
        <v>882</v>
      </c>
      <c r="L958" s="21" t="s">
        <v>883</v>
      </c>
      <c r="M958" s="22" t="s">
        <v>1615</v>
      </c>
      <c r="N958" s="23" t="s">
        <v>18908</v>
      </c>
      <c r="O958" s="24" t="s">
        <v>18909</v>
      </c>
      <c r="P958" s="25" t="s">
        <v>18910</v>
      </c>
      <c r="Q958" s="26" t="s">
        <v>162</v>
      </c>
      <c r="R958" s="27" t="s">
        <v>153</v>
      </c>
      <c r="S958" s="28" t="s">
        <v>290</v>
      </c>
      <c r="T958" s="29" t="s">
        <v>1392</v>
      </c>
      <c r="U958" s="30" t="s">
        <v>565</v>
      </c>
      <c r="V958" s="31" t="s">
        <v>18911</v>
      </c>
      <c r="W958" s="32">
        <v>10000</v>
      </c>
      <c r="X958" s="33" t="s">
        <v>18912</v>
      </c>
      <c r="Y958" s="34" t="s">
        <v>153</v>
      </c>
      <c r="Z958" s="35" t="s">
        <v>153</v>
      </c>
      <c r="AA958" s="36">
        <v>1934</v>
      </c>
      <c r="AB958" s="37" t="s">
        <v>153</v>
      </c>
      <c r="AC958" s="38" t="s">
        <v>153</v>
      </c>
      <c r="AD958" s="39" t="s">
        <v>5112</v>
      </c>
      <c r="AE958" s="40" t="s">
        <v>153</v>
      </c>
      <c r="AF958" s="41" t="s">
        <v>153</v>
      </c>
      <c r="AG958" s="42" t="s">
        <v>153</v>
      </c>
      <c r="AH958" s="43" t="s">
        <v>153</v>
      </c>
      <c r="AI958" s="44" t="s">
        <v>153</v>
      </c>
      <c r="AJ958" s="45" t="s">
        <v>153</v>
      </c>
      <c r="AK958" s="46" t="s">
        <v>153</v>
      </c>
      <c r="AL958" s="47" t="s">
        <v>153</v>
      </c>
      <c r="AM958" s="48" t="s">
        <v>153</v>
      </c>
      <c r="AN958" s="49" t="s">
        <v>509</v>
      </c>
      <c r="AO958" s="50" t="s">
        <v>18913</v>
      </c>
      <c r="AP958" s="51" t="s">
        <v>18914</v>
      </c>
      <c r="AQ958" s="52" t="s">
        <v>512</v>
      </c>
      <c r="AR958" s="53" t="s">
        <v>18915</v>
      </c>
      <c r="AS958" s="54" t="s">
        <v>153</v>
      </c>
      <c r="AT958" s="55" t="s">
        <v>18916</v>
      </c>
      <c r="AU958" s="56" t="s">
        <v>18917</v>
      </c>
      <c r="AV958" s="57" t="s">
        <v>18918</v>
      </c>
      <c r="AW958" s="58" t="s">
        <v>18919</v>
      </c>
      <c r="AX958" s="59" t="s">
        <v>177</v>
      </c>
      <c r="AY958" s="60" t="s">
        <v>18920</v>
      </c>
      <c r="AZ958" s="61" t="s">
        <v>179</v>
      </c>
      <c r="BA958" s="62" t="s">
        <v>153</v>
      </c>
      <c r="BB958" s="63" t="s">
        <v>153</v>
      </c>
      <c r="BC958" s="64" t="s">
        <v>18921</v>
      </c>
      <c r="BD958" s="65" t="s">
        <v>180</v>
      </c>
      <c r="BE958" s="66" t="s">
        <v>181</v>
      </c>
      <c r="BF958" s="67" t="s">
        <v>18922</v>
      </c>
      <c r="BG958" s="68" t="s">
        <v>18923</v>
      </c>
      <c r="BH958" s="69">
        <v>2</v>
      </c>
      <c r="BI958" s="70" t="s">
        <v>153</v>
      </c>
      <c r="BJ958" s="71" t="s">
        <v>153</v>
      </c>
      <c r="BK958" s="72" t="s">
        <v>153</v>
      </c>
      <c r="BL958" s="73" t="s">
        <v>18924</v>
      </c>
      <c r="BM958" s="74" t="s">
        <v>153</v>
      </c>
      <c r="BN958" s="75" t="s">
        <v>153</v>
      </c>
      <c r="BO958" s="76" t="s">
        <v>18925</v>
      </c>
      <c r="BP958" s="77" t="s">
        <v>18926</v>
      </c>
      <c r="BQ958" s="78">
        <v>19725</v>
      </c>
      <c r="BR958" s="79" t="s">
        <v>153</v>
      </c>
      <c r="BS958" s="80" t="s">
        <v>153</v>
      </c>
      <c r="BT958" s="81" t="s">
        <v>153</v>
      </c>
      <c r="BU958" s="82" t="s">
        <v>153</v>
      </c>
      <c r="BV958" s="83" t="s">
        <v>251</v>
      </c>
      <c r="BW958" s="84" t="s">
        <v>153</v>
      </c>
      <c r="BX958" s="85" t="s">
        <v>153</v>
      </c>
      <c r="BY958" s="86" t="s">
        <v>252</v>
      </c>
      <c r="BZ958" s="87" t="s">
        <v>153</v>
      </c>
      <c r="CA958" s="88" t="s">
        <v>190</v>
      </c>
      <c r="CB958" s="89">
        <v>43850</v>
      </c>
      <c r="CC958" s="90">
        <v>5224.4399999999996</v>
      </c>
      <c r="CD958" s="91" t="s">
        <v>186</v>
      </c>
      <c r="CE958" s="92">
        <v>5224.4399999999996</v>
      </c>
      <c r="CF958" s="93" t="s">
        <v>187</v>
      </c>
      <c r="CG958" s="94" t="s">
        <v>188</v>
      </c>
      <c r="CH958" s="95" t="s">
        <v>930</v>
      </c>
      <c r="CI958" s="96" t="s">
        <v>153</v>
      </c>
      <c r="CJ958" s="97" t="s">
        <v>165</v>
      </c>
      <c r="CK958" s="98">
        <v>43850</v>
      </c>
      <c r="CL958" s="99" t="s">
        <v>153</v>
      </c>
      <c r="CM958" s="100" t="s">
        <v>18927</v>
      </c>
      <c r="CN958" s="101" t="s">
        <v>190</v>
      </c>
      <c r="CO958" s="102">
        <v>0.27</v>
      </c>
      <c r="CP958" s="103">
        <v>91</v>
      </c>
      <c r="CQ958" s="104">
        <v>7.0000000000000007E-2</v>
      </c>
      <c r="CR958" s="105">
        <v>37.35</v>
      </c>
      <c r="CS958" s="106">
        <v>0.53</v>
      </c>
      <c r="CT958" s="107">
        <v>93</v>
      </c>
      <c r="CU958" s="108" t="s">
        <v>153</v>
      </c>
      <c r="CV958" s="109" t="s">
        <v>153</v>
      </c>
      <c r="CW958" s="110">
        <v>1.24</v>
      </c>
      <c r="CX958" s="111">
        <v>83</v>
      </c>
      <c r="CY958" s="112">
        <v>-0.18</v>
      </c>
      <c r="CZ958" s="113">
        <v>4</v>
      </c>
      <c r="DA958" s="114" t="s">
        <v>153</v>
      </c>
      <c r="DB958" s="115" t="s">
        <v>153</v>
      </c>
      <c r="DC958" s="116">
        <v>44.33</v>
      </c>
      <c r="DD958" s="117">
        <v>98</v>
      </c>
      <c r="DE958" s="118">
        <v>0.8</v>
      </c>
      <c r="DF958" s="119">
        <v>1.83</v>
      </c>
      <c r="DG958" s="120">
        <v>88.62</v>
      </c>
      <c r="DH958" s="121">
        <v>99</v>
      </c>
      <c r="DI958" s="122" t="s">
        <v>153</v>
      </c>
      <c r="DJ958" s="123" t="s">
        <v>153</v>
      </c>
      <c r="DK958" s="124">
        <v>12.98</v>
      </c>
      <c r="DL958" s="125">
        <v>88</v>
      </c>
      <c r="DM958" s="126">
        <v>164.25</v>
      </c>
      <c r="DN958" s="127">
        <v>100</v>
      </c>
      <c r="DO958" s="128" t="s">
        <v>153</v>
      </c>
      <c r="DP958" s="129" t="s">
        <v>153</v>
      </c>
      <c r="DQ958" s="130">
        <v>7710</v>
      </c>
      <c r="DR958" s="131">
        <v>-36</v>
      </c>
      <c r="DS958" s="132">
        <v>-0.46</v>
      </c>
      <c r="DT958" s="133">
        <v>2607</v>
      </c>
      <c r="DU958" s="134">
        <v>55</v>
      </c>
      <c r="DV958" s="135">
        <v>2.16</v>
      </c>
      <c r="DW958" s="136">
        <v>7567</v>
      </c>
      <c r="DX958" s="137">
        <v>3</v>
      </c>
      <c r="DY958" s="138">
        <v>0.04</v>
      </c>
      <c r="DZ958" s="139" t="s">
        <v>191</v>
      </c>
      <c r="EA958" s="140">
        <v>44398</v>
      </c>
      <c r="EB958" s="141">
        <v>5224.4399999999996</v>
      </c>
      <c r="EC958" s="142">
        <v>43850</v>
      </c>
      <c r="ED958" s="143" t="s">
        <v>188</v>
      </c>
      <c r="EE958" s="278" t="str">
        <f>HYPERLINK("https://my.pitchbook.com?c=35018-56", "View company online")</f>
        <v>View company online</v>
      </c>
    </row>
    <row r="959" spans="1:135" x14ac:dyDescent="0.45">
      <c r="A959" s="144" t="s">
        <v>18928</v>
      </c>
      <c r="B959" s="145" t="s">
        <v>18929</v>
      </c>
      <c r="C959" s="146" t="s">
        <v>153</v>
      </c>
      <c r="D959" s="147" t="s">
        <v>153</v>
      </c>
      <c r="E959" s="148" t="s">
        <v>153</v>
      </c>
      <c r="F959" s="149" t="s">
        <v>153</v>
      </c>
      <c r="G959" s="150" t="s">
        <v>153</v>
      </c>
      <c r="H959" s="151" t="s">
        <v>153</v>
      </c>
      <c r="I959" s="152" t="s">
        <v>18928</v>
      </c>
      <c r="J959" s="153" t="s">
        <v>18930</v>
      </c>
      <c r="K959" s="154" t="s">
        <v>882</v>
      </c>
      <c r="L959" s="155" t="s">
        <v>2888</v>
      </c>
      <c r="M959" s="156" t="s">
        <v>2889</v>
      </c>
      <c r="N959" s="157" t="s">
        <v>18931</v>
      </c>
      <c r="O959" s="158" t="s">
        <v>153</v>
      </c>
      <c r="P959" s="159" t="s">
        <v>18932</v>
      </c>
      <c r="Q959" s="160" t="s">
        <v>204</v>
      </c>
      <c r="R959" s="161" t="s">
        <v>153</v>
      </c>
      <c r="S959" s="162" t="s">
        <v>153</v>
      </c>
      <c r="T959" s="163" t="s">
        <v>205</v>
      </c>
      <c r="U959" s="164" t="s">
        <v>206</v>
      </c>
      <c r="V959" s="165" t="s">
        <v>153</v>
      </c>
      <c r="W959" s="166" t="s">
        <v>153</v>
      </c>
      <c r="X959" s="167" t="s">
        <v>153</v>
      </c>
      <c r="Y959" s="168" t="s">
        <v>153</v>
      </c>
      <c r="Z959" s="169" t="s">
        <v>153</v>
      </c>
      <c r="AA959" s="170" t="s">
        <v>153</v>
      </c>
      <c r="AB959" s="171" t="s">
        <v>153</v>
      </c>
      <c r="AC959" s="172" t="s">
        <v>153</v>
      </c>
      <c r="AD959" s="173" t="s">
        <v>153</v>
      </c>
      <c r="AE959" s="174" t="s">
        <v>153</v>
      </c>
      <c r="AF959" s="175" t="s">
        <v>153</v>
      </c>
      <c r="AG959" s="176" t="s">
        <v>153</v>
      </c>
      <c r="AH959" s="177" t="s">
        <v>153</v>
      </c>
      <c r="AI959" s="178" t="s">
        <v>153</v>
      </c>
      <c r="AJ959" s="179" t="s">
        <v>153</v>
      </c>
      <c r="AK959" s="180" t="s">
        <v>153</v>
      </c>
      <c r="AL959" s="181" t="s">
        <v>153</v>
      </c>
      <c r="AM959" s="182" t="s">
        <v>153</v>
      </c>
      <c r="AN959" s="183" t="s">
        <v>153</v>
      </c>
      <c r="AO959" s="184" t="s">
        <v>153</v>
      </c>
      <c r="AP959" s="185" t="s">
        <v>153</v>
      </c>
      <c r="AQ959" s="186" t="s">
        <v>153</v>
      </c>
      <c r="AR959" s="187" t="s">
        <v>153</v>
      </c>
      <c r="AS959" s="188" t="s">
        <v>153</v>
      </c>
      <c r="AT959" s="189" t="s">
        <v>18933</v>
      </c>
      <c r="AU959" s="190" t="s">
        <v>18934</v>
      </c>
      <c r="AV959" s="191" t="s">
        <v>18935</v>
      </c>
      <c r="AW959" s="192" t="s">
        <v>18936</v>
      </c>
      <c r="AX959" s="193" t="s">
        <v>6770</v>
      </c>
      <c r="AY959" s="194" t="s">
        <v>18937</v>
      </c>
      <c r="AZ959" s="195" t="s">
        <v>179</v>
      </c>
      <c r="BA959" s="196" t="s">
        <v>18938</v>
      </c>
      <c r="BB959" s="197" t="s">
        <v>153</v>
      </c>
      <c r="BC959" s="198" t="s">
        <v>153</v>
      </c>
      <c r="BD959" s="199" t="s">
        <v>180</v>
      </c>
      <c r="BE959" s="200" t="s">
        <v>181</v>
      </c>
      <c r="BF959" s="201" t="s">
        <v>18939</v>
      </c>
      <c r="BG959" s="202" t="s">
        <v>153</v>
      </c>
      <c r="BH959" s="203" t="s">
        <v>153</v>
      </c>
      <c r="BI959" s="204" t="s">
        <v>14596</v>
      </c>
      <c r="BJ959" s="205" t="s">
        <v>12751</v>
      </c>
      <c r="BK959" s="206" t="s">
        <v>153</v>
      </c>
      <c r="BL959" s="207" t="s">
        <v>153</v>
      </c>
      <c r="BM959" s="208" t="s">
        <v>12753</v>
      </c>
      <c r="BN959" s="209" t="s">
        <v>153</v>
      </c>
      <c r="BO959" s="210" t="s">
        <v>153</v>
      </c>
      <c r="BP959" s="211" t="s">
        <v>153</v>
      </c>
      <c r="BQ959" s="212">
        <v>40999</v>
      </c>
      <c r="BR959" s="213">
        <v>5221.59</v>
      </c>
      <c r="BS959" s="214" t="s">
        <v>186</v>
      </c>
      <c r="BT959" s="215">
        <v>5221.59</v>
      </c>
      <c r="BU959" s="216" t="s">
        <v>186</v>
      </c>
      <c r="BV959" s="217" t="s">
        <v>1524</v>
      </c>
      <c r="BW959" s="218" t="s">
        <v>1525</v>
      </c>
      <c r="BX959" s="219" t="s">
        <v>1526</v>
      </c>
      <c r="BY959" s="220" t="s">
        <v>225</v>
      </c>
      <c r="BZ959" s="221" t="s">
        <v>153</v>
      </c>
      <c r="CA959" s="222" t="s">
        <v>190</v>
      </c>
      <c r="CB959" s="223">
        <v>40999</v>
      </c>
      <c r="CC959" s="224">
        <v>5221.59</v>
      </c>
      <c r="CD959" s="225" t="s">
        <v>186</v>
      </c>
      <c r="CE959" s="226">
        <v>5221.59</v>
      </c>
      <c r="CF959" s="227" t="s">
        <v>186</v>
      </c>
      <c r="CG959" s="228" t="s">
        <v>1524</v>
      </c>
      <c r="CH959" s="229" t="s">
        <v>1525</v>
      </c>
      <c r="CI959" s="230" t="s">
        <v>1526</v>
      </c>
      <c r="CJ959" s="231" t="s">
        <v>225</v>
      </c>
      <c r="CK959" s="232">
        <v>40999</v>
      </c>
      <c r="CL959" s="233" t="s">
        <v>153</v>
      </c>
      <c r="CM959" s="234" t="s">
        <v>153</v>
      </c>
      <c r="CN959" s="235" t="s">
        <v>190</v>
      </c>
      <c r="CO959" s="236" t="s">
        <v>153</v>
      </c>
      <c r="CP959" s="237" t="s">
        <v>153</v>
      </c>
      <c r="CQ959" s="238" t="s">
        <v>153</v>
      </c>
      <c r="CR959" s="239" t="s">
        <v>153</v>
      </c>
      <c r="CS959" s="240" t="s">
        <v>153</v>
      </c>
      <c r="CT959" s="241" t="s">
        <v>153</v>
      </c>
      <c r="CU959" s="242" t="s">
        <v>153</v>
      </c>
      <c r="CV959" s="243" t="s">
        <v>153</v>
      </c>
      <c r="CW959" s="244" t="s">
        <v>153</v>
      </c>
      <c r="CX959" s="245" t="s">
        <v>153</v>
      </c>
      <c r="CY959" s="246" t="s">
        <v>153</v>
      </c>
      <c r="CZ959" s="247" t="s">
        <v>153</v>
      </c>
      <c r="DA959" s="248" t="s">
        <v>153</v>
      </c>
      <c r="DB959" s="249" t="s">
        <v>153</v>
      </c>
      <c r="DC959" s="250" t="s">
        <v>153</v>
      </c>
      <c r="DD959" s="251" t="s">
        <v>153</v>
      </c>
      <c r="DE959" s="252" t="s">
        <v>153</v>
      </c>
      <c r="DF959" s="253" t="s">
        <v>153</v>
      </c>
      <c r="DG959" s="254" t="s">
        <v>153</v>
      </c>
      <c r="DH959" s="255" t="s">
        <v>153</v>
      </c>
      <c r="DI959" s="256" t="s">
        <v>153</v>
      </c>
      <c r="DJ959" s="257" t="s">
        <v>153</v>
      </c>
      <c r="DK959" s="258" t="s">
        <v>153</v>
      </c>
      <c r="DL959" s="259" t="s">
        <v>153</v>
      </c>
      <c r="DM959" s="260" t="s">
        <v>153</v>
      </c>
      <c r="DN959" s="261" t="s">
        <v>153</v>
      </c>
      <c r="DO959" s="262" t="s">
        <v>153</v>
      </c>
      <c r="DP959" s="263" t="s">
        <v>153</v>
      </c>
      <c r="DQ959" s="264" t="s">
        <v>153</v>
      </c>
      <c r="DR959" s="265" t="s">
        <v>153</v>
      </c>
      <c r="DS959" s="266" t="s">
        <v>153</v>
      </c>
      <c r="DT959" s="267" t="s">
        <v>153</v>
      </c>
      <c r="DU959" s="268" t="s">
        <v>153</v>
      </c>
      <c r="DV959" s="269" t="s">
        <v>153</v>
      </c>
      <c r="DW959" s="270" t="s">
        <v>153</v>
      </c>
      <c r="DX959" s="271" t="s">
        <v>153</v>
      </c>
      <c r="DY959" s="272" t="s">
        <v>153</v>
      </c>
      <c r="DZ959" s="273" t="s">
        <v>191</v>
      </c>
      <c r="EA959" s="274">
        <v>44147</v>
      </c>
      <c r="EB959" s="275">
        <v>5221.59</v>
      </c>
      <c r="EC959" s="276">
        <v>40999</v>
      </c>
      <c r="ED959" s="277" t="s">
        <v>1524</v>
      </c>
      <c r="EE959" s="279" t="str">
        <f>HYPERLINK("https://my.pitchbook.com?c=125989-30", "View company online")</f>
        <v>View company online</v>
      </c>
    </row>
    <row r="960" spans="1:135" x14ac:dyDescent="0.45">
      <c r="A960" s="10" t="s">
        <v>18940</v>
      </c>
      <c r="B960" s="11" t="s">
        <v>18941</v>
      </c>
      <c r="C960" s="12" t="s">
        <v>153</v>
      </c>
      <c r="D960" s="13" t="s">
        <v>153</v>
      </c>
      <c r="E960" s="14" t="s">
        <v>153</v>
      </c>
      <c r="F960" s="15" t="s">
        <v>18942</v>
      </c>
      <c r="G960" s="16" t="s">
        <v>18943</v>
      </c>
      <c r="H960" s="17" t="s">
        <v>153</v>
      </c>
      <c r="I960" s="18" t="s">
        <v>18940</v>
      </c>
      <c r="J960" s="19" t="s">
        <v>18944</v>
      </c>
      <c r="K960" s="20" t="s">
        <v>257</v>
      </c>
      <c r="L960" s="21" t="s">
        <v>258</v>
      </c>
      <c r="M960" s="22" t="s">
        <v>259</v>
      </c>
      <c r="N960" s="23" t="s">
        <v>3345</v>
      </c>
      <c r="O960" s="24" t="s">
        <v>261</v>
      </c>
      <c r="P960" s="25" t="s">
        <v>18945</v>
      </c>
      <c r="Q960" s="26" t="s">
        <v>289</v>
      </c>
      <c r="R960" s="27">
        <v>56</v>
      </c>
      <c r="S960" s="28" t="s">
        <v>290</v>
      </c>
      <c r="T960" s="29" t="s">
        <v>205</v>
      </c>
      <c r="U960" s="30" t="s">
        <v>482</v>
      </c>
      <c r="V960" s="31" t="s">
        <v>153</v>
      </c>
      <c r="W960" s="32">
        <v>1022</v>
      </c>
      <c r="X960" s="33" t="s">
        <v>18946</v>
      </c>
      <c r="Y960" s="34" t="s">
        <v>153</v>
      </c>
      <c r="Z960" s="35" t="s">
        <v>153</v>
      </c>
      <c r="AA960" s="36">
        <v>1987</v>
      </c>
      <c r="AB960" s="37" t="s">
        <v>153</v>
      </c>
      <c r="AC960" s="38" t="s">
        <v>153</v>
      </c>
      <c r="AD960" s="39" t="s">
        <v>153</v>
      </c>
      <c r="AE960" s="40" t="s">
        <v>153</v>
      </c>
      <c r="AF960" s="41" t="s">
        <v>153</v>
      </c>
      <c r="AG960" s="42" t="s">
        <v>153</v>
      </c>
      <c r="AH960" s="43" t="s">
        <v>153</v>
      </c>
      <c r="AI960" s="44" t="s">
        <v>153</v>
      </c>
      <c r="AJ960" s="45" t="s">
        <v>153</v>
      </c>
      <c r="AK960" s="46" t="s">
        <v>153</v>
      </c>
      <c r="AL960" s="47" t="s">
        <v>153</v>
      </c>
      <c r="AM960" s="48" t="s">
        <v>153</v>
      </c>
      <c r="AN960" s="49" t="s">
        <v>7306</v>
      </c>
      <c r="AO960" s="50" t="s">
        <v>18947</v>
      </c>
      <c r="AP960" s="51" t="s">
        <v>18948</v>
      </c>
      <c r="AQ960" s="52" t="s">
        <v>8727</v>
      </c>
      <c r="AR960" s="53" t="s">
        <v>18949</v>
      </c>
      <c r="AS960" s="54" t="s">
        <v>18950</v>
      </c>
      <c r="AT960" s="55" t="s">
        <v>5540</v>
      </c>
      <c r="AU960" s="56" t="s">
        <v>18951</v>
      </c>
      <c r="AV960" s="57" t="s">
        <v>153</v>
      </c>
      <c r="AW960" s="58" t="s">
        <v>5542</v>
      </c>
      <c r="AX960" s="59" t="s">
        <v>308</v>
      </c>
      <c r="AY960" s="60" t="s">
        <v>5543</v>
      </c>
      <c r="AZ960" s="61" t="s">
        <v>215</v>
      </c>
      <c r="BA960" s="62" t="s">
        <v>153</v>
      </c>
      <c r="BB960" s="63" t="s">
        <v>153</v>
      </c>
      <c r="BC960" s="64" t="s">
        <v>153</v>
      </c>
      <c r="BD960" s="65" t="s">
        <v>216</v>
      </c>
      <c r="BE960" s="66" t="s">
        <v>217</v>
      </c>
      <c r="BF960" s="67" t="s">
        <v>18952</v>
      </c>
      <c r="BG960" s="68" t="s">
        <v>153</v>
      </c>
      <c r="BH960" s="69" t="s">
        <v>153</v>
      </c>
      <c r="BI960" s="70" t="s">
        <v>455</v>
      </c>
      <c r="BJ960" s="71" t="s">
        <v>18953</v>
      </c>
      <c r="BK960" s="72" t="s">
        <v>153</v>
      </c>
      <c r="BL960" s="73" t="s">
        <v>153</v>
      </c>
      <c r="BM960" s="74" t="s">
        <v>18954</v>
      </c>
      <c r="BN960" s="75" t="s">
        <v>153</v>
      </c>
      <c r="BO960" s="76" t="s">
        <v>18955</v>
      </c>
      <c r="BP960" s="77" t="s">
        <v>18956</v>
      </c>
      <c r="BQ960" s="78">
        <v>33086</v>
      </c>
      <c r="BR960" s="79" t="s">
        <v>153</v>
      </c>
      <c r="BS960" s="80" t="s">
        <v>153</v>
      </c>
      <c r="BT960" s="81" t="s">
        <v>153</v>
      </c>
      <c r="BU960" s="82" t="s">
        <v>153</v>
      </c>
      <c r="BV960" s="83" t="s">
        <v>471</v>
      </c>
      <c r="BW960" s="84" t="s">
        <v>153</v>
      </c>
      <c r="BX960" s="85" t="s">
        <v>153</v>
      </c>
      <c r="BY960" s="86" t="s">
        <v>472</v>
      </c>
      <c r="BZ960" s="87" t="s">
        <v>153</v>
      </c>
      <c r="CA960" s="88" t="s">
        <v>190</v>
      </c>
      <c r="CB960" s="89">
        <v>41129</v>
      </c>
      <c r="CC960" s="90">
        <v>5218</v>
      </c>
      <c r="CD960" s="91" t="s">
        <v>186</v>
      </c>
      <c r="CE960" s="92">
        <v>5218</v>
      </c>
      <c r="CF960" s="93" t="s">
        <v>186</v>
      </c>
      <c r="CG960" s="94" t="s">
        <v>226</v>
      </c>
      <c r="CH960" s="95" t="s">
        <v>153</v>
      </c>
      <c r="CI960" s="96" t="s">
        <v>153</v>
      </c>
      <c r="CJ960" s="97" t="s">
        <v>225</v>
      </c>
      <c r="CK960" s="98">
        <v>41129</v>
      </c>
      <c r="CL960" s="99" t="s">
        <v>153</v>
      </c>
      <c r="CM960" s="100" t="s">
        <v>153</v>
      </c>
      <c r="CN960" s="101" t="s">
        <v>190</v>
      </c>
      <c r="CO960" s="102" t="s">
        <v>153</v>
      </c>
      <c r="CP960" s="103" t="s">
        <v>153</v>
      </c>
      <c r="CQ960" s="104" t="s">
        <v>153</v>
      </c>
      <c r="CR960" s="105" t="s">
        <v>153</v>
      </c>
      <c r="CS960" s="106" t="s">
        <v>153</v>
      </c>
      <c r="CT960" s="107" t="s">
        <v>153</v>
      </c>
      <c r="CU960" s="108" t="s">
        <v>153</v>
      </c>
      <c r="CV960" s="109" t="s">
        <v>153</v>
      </c>
      <c r="CW960" s="110" t="s">
        <v>153</v>
      </c>
      <c r="CX960" s="111" t="s">
        <v>153</v>
      </c>
      <c r="CY960" s="112" t="s">
        <v>153</v>
      </c>
      <c r="CZ960" s="113" t="s">
        <v>153</v>
      </c>
      <c r="DA960" s="114" t="s">
        <v>153</v>
      </c>
      <c r="DB960" s="115" t="s">
        <v>153</v>
      </c>
      <c r="DC960" s="116" t="s">
        <v>153</v>
      </c>
      <c r="DD960" s="117" t="s">
        <v>153</v>
      </c>
      <c r="DE960" s="118" t="s">
        <v>153</v>
      </c>
      <c r="DF960" s="119" t="s">
        <v>153</v>
      </c>
      <c r="DG960" s="120" t="s">
        <v>153</v>
      </c>
      <c r="DH960" s="121" t="s">
        <v>153</v>
      </c>
      <c r="DI960" s="122" t="s">
        <v>153</v>
      </c>
      <c r="DJ960" s="123" t="s">
        <v>153</v>
      </c>
      <c r="DK960" s="124" t="s">
        <v>153</v>
      </c>
      <c r="DL960" s="125" t="s">
        <v>153</v>
      </c>
      <c r="DM960" s="126" t="s">
        <v>153</v>
      </c>
      <c r="DN960" s="127" t="s">
        <v>153</v>
      </c>
      <c r="DO960" s="128" t="s">
        <v>153</v>
      </c>
      <c r="DP960" s="129" t="s">
        <v>153</v>
      </c>
      <c r="DQ960" s="130" t="s">
        <v>153</v>
      </c>
      <c r="DR960" s="131" t="s">
        <v>153</v>
      </c>
      <c r="DS960" s="132" t="s">
        <v>153</v>
      </c>
      <c r="DT960" s="133" t="s">
        <v>153</v>
      </c>
      <c r="DU960" s="134" t="s">
        <v>153</v>
      </c>
      <c r="DV960" s="135" t="s">
        <v>153</v>
      </c>
      <c r="DW960" s="136" t="s">
        <v>153</v>
      </c>
      <c r="DX960" s="137" t="s">
        <v>153</v>
      </c>
      <c r="DY960" s="138" t="s">
        <v>153</v>
      </c>
      <c r="DZ960" s="139" t="s">
        <v>191</v>
      </c>
      <c r="EA960" s="140">
        <v>44349</v>
      </c>
      <c r="EB960" s="141">
        <v>5218</v>
      </c>
      <c r="EC960" s="142">
        <v>41129</v>
      </c>
      <c r="ED960" s="143" t="s">
        <v>226</v>
      </c>
      <c r="EE960" s="278" t="str">
        <f>HYPERLINK("https://my.pitchbook.com?c=41155-84", "View company online")</f>
        <v>View company online</v>
      </c>
    </row>
    <row r="961" spans="1:135" x14ac:dyDescent="0.45">
      <c r="A961" s="144" t="s">
        <v>18957</v>
      </c>
      <c r="B961" s="145" t="s">
        <v>18958</v>
      </c>
      <c r="C961" s="146" t="s">
        <v>153</v>
      </c>
      <c r="D961" s="147" t="s">
        <v>153</v>
      </c>
      <c r="E961" s="148" t="s">
        <v>153</v>
      </c>
      <c r="F961" s="149" t="s">
        <v>18959</v>
      </c>
      <c r="G961" s="150" t="s">
        <v>18960</v>
      </c>
      <c r="H961" s="151" t="s">
        <v>153</v>
      </c>
      <c r="I961" s="152" t="s">
        <v>18957</v>
      </c>
      <c r="J961" s="153" t="s">
        <v>18961</v>
      </c>
      <c r="K961" s="154" t="s">
        <v>198</v>
      </c>
      <c r="L961" s="155" t="s">
        <v>199</v>
      </c>
      <c r="M961" s="156" t="s">
        <v>2967</v>
      </c>
      <c r="N961" s="157" t="s">
        <v>18962</v>
      </c>
      <c r="O961" s="158" t="s">
        <v>153</v>
      </c>
      <c r="P961" s="159" t="s">
        <v>18963</v>
      </c>
      <c r="Q961" s="160" t="s">
        <v>204</v>
      </c>
      <c r="R961" s="161" t="s">
        <v>153</v>
      </c>
      <c r="S961" s="162" t="s">
        <v>163</v>
      </c>
      <c r="T961" s="163" t="s">
        <v>205</v>
      </c>
      <c r="U961" s="164" t="s">
        <v>206</v>
      </c>
      <c r="V961" s="165" t="s">
        <v>18964</v>
      </c>
      <c r="W961" s="166" t="s">
        <v>153</v>
      </c>
      <c r="X961" s="167" t="s">
        <v>153</v>
      </c>
      <c r="Y961" s="168" t="s">
        <v>153</v>
      </c>
      <c r="Z961" s="169" t="s">
        <v>153</v>
      </c>
      <c r="AA961" s="170">
        <v>1974</v>
      </c>
      <c r="AB961" s="171" t="s">
        <v>153</v>
      </c>
      <c r="AC961" s="172" t="s">
        <v>153</v>
      </c>
      <c r="AD961" s="173" t="s">
        <v>153</v>
      </c>
      <c r="AE961" s="174" t="s">
        <v>153</v>
      </c>
      <c r="AF961" s="175" t="s">
        <v>153</v>
      </c>
      <c r="AG961" s="176" t="s">
        <v>153</v>
      </c>
      <c r="AH961" s="177" t="s">
        <v>153</v>
      </c>
      <c r="AI961" s="178" t="s">
        <v>153</v>
      </c>
      <c r="AJ961" s="179" t="s">
        <v>153</v>
      </c>
      <c r="AK961" s="180" t="s">
        <v>153</v>
      </c>
      <c r="AL961" s="181" t="s">
        <v>153</v>
      </c>
      <c r="AM961" s="182" t="s">
        <v>153</v>
      </c>
      <c r="AN961" s="183" t="s">
        <v>153</v>
      </c>
      <c r="AO961" s="184" t="s">
        <v>153</v>
      </c>
      <c r="AP961" s="185" t="s">
        <v>153</v>
      </c>
      <c r="AQ961" s="186" t="s">
        <v>153</v>
      </c>
      <c r="AR961" s="187" t="s">
        <v>153</v>
      </c>
      <c r="AS961" s="188" t="s">
        <v>153</v>
      </c>
      <c r="AT961" s="189" t="s">
        <v>6058</v>
      </c>
      <c r="AU961" s="190" t="s">
        <v>18965</v>
      </c>
      <c r="AV961" s="191" t="s">
        <v>18966</v>
      </c>
      <c r="AW961" s="192" t="s">
        <v>6061</v>
      </c>
      <c r="AX961" s="193" t="s">
        <v>2727</v>
      </c>
      <c r="AY961" s="194" t="s">
        <v>6062</v>
      </c>
      <c r="AZ961" s="195" t="s">
        <v>215</v>
      </c>
      <c r="BA961" s="196" t="s">
        <v>153</v>
      </c>
      <c r="BB961" s="197" t="s">
        <v>153</v>
      </c>
      <c r="BC961" s="198" t="s">
        <v>153</v>
      </c>
      <c r="BD961" s="199" t="s">
        <v>216</v>
      </c>
      <c r="BE961" s="200" t="s">
        <v>217</v>
      </c>
      <c r="BF961" s="201" t="s">
        <v>18967</v>
      </c>
      <c r="BG961" s="202" t="s">
        <v>153</v>
      </c>
      <c r="BH961" s="203" t="s">
        <v>153</v>
      </c>
      <c r="BI961" s="204" t="s">
        <v>519</v>
      </c>
      <c r="BJ961" s="205" t="s">
        <v>402</v>
      </c>
      <c r="BK961" s="206" t="s">
        <v>153</v>
      </c>
      <c r="BL961" s="207" t="s">
        <v>153</v>
      </c>
      <c r="BM961" s="208" t="s">
        <v>1333</v>
      </c>
      <c r="BN961" s="209" t="s">
        <v>153</v>
      </c>
      <c r="BO961" s="210" t="s">
        <v>3230</v>
      </c>
      <c r="BP961" s="211" t="s">
        <v>153</v>
      </c>
      <c r="BQ961" s="212" t="s">
        <v>153</v>
      </c>
      <c r="BR961" s="213" t="s">
        <v>153</v>
      </c>
      <c r="BS961" s="214" t="s">
        <v>153</v>
      </c>
      <c r="BT961" s="215" t="s">
        <v>153</v>
      </c>
      <c r="BU961" s="216" t="s">
        <v>153</v>
      </c>
      <c r="BV961" s="217" t="s">
        <v>226</v>
      </c>
      <c r="BW961" s="218" t="s">
        <v>153</v>
      </c>
      <c r="BX961" s="219" t="s">
        <v>153</v>
      </c>
      <c r="BY961" s="220" t="s">
        <v>225</v>
      </c>
      <c r="BZ961" s="221" t="s">
        <v>153</v>
      </c>
      <c r="CA961" s="222" t="s">
        <v>190</v>
      </c>
      <c r="CB961" s="223">
        <v>36543</v>
      </c>
      <c r="CC961" s="224">
        <v>5210</v>
      </c>
      <c r="CD961" s="225" t="s">
        <v>186</v>
      </c>
      <c r="CE961" s="226">
        <v>5210</v>
      </c>
      <c r="CF961" s="227" t="s">
        <v>187</v>
      </c>
      <c r="CG961" s="228" t="s">
        <v>226</v>
      </c>
      <c r="CH961" s="229" t="s">
        <v>153</v>
      </c>
      <c r="CI961" s="230" t="s">
        <v>153</v>
      </c>
      <c r="CJ961" s="231" t="s">
        <v>225</v>
      </c>
      <c r="CK961" s="232">
        <v>36543</v>
      </c>
      <c r="CL961" s="233" t="s">
        <v>153</v>
      </c>
      <c r="CM961" s="234" t="s">
        <v>153</v>
      </c>
      <c r="CN961" s="235" t="s">
        <v>190</v>
      </c>
      <c r="CO961" s="236" t="s">
        <v>153</v>
      </c>
      <c r="CP961" s="237" t="s">
        <v>153</v>
      </c>
      <c r="CQ961" s="238" t="s">
        <v>153</v>
      </c>
      <c r="CR961" s="239" t="s">
        <v>153</v>
      </c>
      <c r="CS961" s="240" t="s">
        <v>153</v>
      </c>
      <c r="CT961" s="241" t="s">
        <v>153</v>
      </c>
      <c r="CU961" s="242" t="s">
        <v>153</v>
      </c>
      <c r="CV961" s="243" t="s">
        <v>153</v>
      </c>
      <c r="CW961" s="244" t="s">
        <v>153</v>
      </c>
      <c r="CX961" s="245" t="s">
        <v>153</v>
      </c>
      <c r="CY961" s="246" t="s">
        <v>153</v>
      </c>
      <c r="CZ961" s="247" t="s">
        <v>153</v>
      </c>
      <c r="DA961" s="248" t="s">
        <v>153</v>
      </c>
      <c r="DB961" s="249" t="s">
        <v>153</v>
      </c>
      <c r="DC961" s="250" t="s">
        <v>153</v>
      </c>
      <c r="DD961" s="251" t="s">
        <v>153</v>
      </c>
      <c r="DE961" s="252" t="s">
        <v>153</v>
      </c>
      <c r="DF961" s="253" t="s">
        <v>153</v>
      </c>
      <c r="DG961" s="254" t="s">
        <v>153</v>
      </c>
      <c r="DH961" s="255" t="s">
        <v>153</v>
      </c>
      <c r="DI961" s="256" t="s">
        <v>153</v>
      </c>
      <c r="DJ961" s="257" t="s">
        <v>153</v>
      </c>
      <c r="DK961" s="258" t="s">
        <v>153</v>
      </c>
      <c r="DL961" s="259" t="s">
        <v>153</v>
      </c>
      <c r="DM961" s="260" t="s">
        <v>153</v>
      </c>
      <c r="DN961" s="261" t="s">
        <v>153</v>
      </c>
      <c r="DO961" s="262" t="s">
        <v>153</v>
      </c>
      <c r="DP961" s="263" t="s">
        <v>153</v>
      </c>
      <c r="DQ961" s="264" t="s">
        <v>153</v>
      </c>
      <c r="DR961" s="265" t="s">
        <v>153</v>
      </c>
      <c r="DS961" s="266" t="s">
        <v>153</v>
      </c>
      <c r="DT961" s="267" t="s">
        <v>153</v>
      </c>
      <c r="DU961" s="268" t="s">
        <v>153</v>
      </c>
      <c r="DV961" s="269" t="s">
        <v>153</v>
      </c>
      <c r="DW961" s="270" t="s">
        <v>153</v>
      </c>
      <c r="DX961" s="271" t="s">
        <v>153</v>
      </c>
      <c r="DY961" s="272" t="s">
        <v>153</v>
      </c>
      <c r="DZ961" s="273" t="s">
        <v>191</v>
      </c>
      <c r="EA961" s="274">
        <v>44210</v>
      </c>
      <c r="EB961" s="275">
        <v>5210</v>
      </c>
      <c r="EC961" s="276">
        <v>36543</v>
      </c>
      <c r="ED961" s="277" t="s">
        <v>226</v>
      </c>
      <c r="EE961" s="279" t="str">
        <f>HYPERLINK("https://my.pitchbook.com?c=126942-31", "View company online")</f>
        <v>View company online</v>
      </c>
    </row>
    <row r="962" spans="1:135" x14ac:dyDescent="0.45">
      <c r="A962" s="10" t="s">
        <v>18968</v>
      </c>
      <c r="B962" s="11" t="s">
        <v>18969</v>
      </c>
      <c r="C962" s="12" t="s">
        <v>153</v>
      </c>
      <c r="D962" s="13" t="s">
        <v>153</v>
      </c>
      <c r="E962" s="14" t="s">
        <v>153</v>
      </c>
      <c r="F962" s="15" t="s">
        <v>18970</v>
      </c>
      <c r="G962" s="16" t="s">
        <v>18971</v>
      </c>
      <c r="H962" s="17" t="s">
        <v>18972</v>
      </c>
      <c r="I962" s="18" t="s">
        <v>18968</v>
      </c>
      <c r="J962" s="19" t="s">
        <v>18973</v>
      </c>
      <c r="K962" s="20" t="s">
        <v>257</v>
      </c>
      <c r="L962" s="21" t="s">
        <v>258</v>
      </c>
      <c r="M962" s="22" t="s">
        <v>448</v>
      </c>
      <c r="N962" s="23" t="s">
        <v>5082</v>
      </c>
      <c r="O962" s="24" t="s">
        <v>450</v>
      </c>
      <c r="P962" s="25" t="s">
        <v>18974</v>
      </c>
      <c r="Q962" s="26" t="s">
        <v>204</v>
      </c>
      <c r="R962" s="27">
        <v>799.27</v>
      </c>
      <c r="S962" s="28" t="s">
        <v>290</v>
      </c>
      <c r="T962" s="29" t="s">
        <v>205</v>
      </c>
      <c r="U962" s="30" t="s">
        <v>292</v>
      </c>
      <c r="V962" s="31" t="s">
        <v>18975</v>
      </c>
      <c r="W962" s="32">
        <v>270</v>
      </c>
      <c r="X962" s="33" t="s">
        <v>18976</v>
      </c>
      <c r="Y962" s="34" t="s">
        <v>153</v>
      </c>
      <c r="Z962" s="35" t="s">
        <v>153</v>
      </c>
      <c r="AA962" s="36">
        <v>1991</v>
      </c>
      <c r="AB962" s="37" t="s">
        <v>153</v>
      </c>
      <c r="AC962" s="38" t="s">
        <v>153</v>
      </c>
      <c r="AD962" s="39" t="s">
        <v>153</v>
      </c>
      <c r="AE962" s="40" t="s">
        <v>153</v>
      </c>
      <c r="AF962" s="41" t="s">
        <v>153</v>
      </c>
      <c r="AG962" s="42" t="s">
        <v>153</v>
      </c>
      <c r="AH962" s="43" t="s">
        <v>153</v>
      </c>
      <c r="AI962" s="44" t="s">
        <v>153</v>
      </c>
      <c r="AJ962" s="45" t="s">
        <v>153</v>
      </c>
      <c r="AK962" s="46" t="s">
        <v>153</v>
      </c>
      <c r="AL962" s="47" t="s">
        <v>153</v>
      </c>
      <c r="AM962" s="48" t="s">
        <v>153</v>
      </c>
      <c r="AN962" s="49" t="s">
        <v>1570</v>
      </c>
      <c r="AO962" s="50" t="s">
        <v>18977</v>
      </c>
      <c r="AP962" s="51" t="s">
        <v>18978</v>
      </c>
      <c r="AQ962" s="52" t="s">
        <v>2655</v>
      </c>
      <c r="AR962" s="53" t="s">
        <v>18979</v>
      </c>
      <c r="AS962" s="54" t="s">
        <v>18980</v>
      </c>
      <c r="AT962" s="55" t="s">
        <v>3450</v>
      </c>
      <c r="AU962" s="56" t="s">
        <v>18981</v>
      </c>
      <c r="AV962" s="57" t="s">
        <v>153</v>
      </c>
      <c r="AW962" s="58" t="s">
        <v>3452</v>
      </c>
      <c r="AX962" s="59" t="s">
        <v>385</v>
      </c>
      <c r="AY962" s="60" t="s">
        <v>18982</v>
      </c>
      <c r="AZ962" s="61" t="s">
        <v>215</v>
      </c>
      <c r="BA962" s="62" t="s">
        <v>153</v>
      </c>
      <c r="BB962" s="63" t="s">
        <v>153</v>
      </c>
      <c r="BC962" s="64" t="s">
        <v>153</v>
      </c>
      <c r="BD962" s="65" t="s">
        <v>216</v>
      </c>
      <c r="BE962" s="66" t="s">
        <v>217</v>
      </c>
      <c r="BF962" s="67" t="s">
        <v>18983</v>
      </c>
      <c r="BG962" s="68" t="s">
        <v>18984</v>
      </c>
      <c r="BH962" s="69">
        <v>1</v>
      </c>
      <c r="BI962" s="70" t="s">
        <v>763</v>
      </c>
      <c r="BJ962" s="71" t="s">
        <v>18985</v>
      </c>
      <c r="BK962" s="72" t="s">
        <v>18986</v>
      </c>
      <c r="BL962" s="73" t="s">
        <v>153</v>
      </c>
      <c r="BM962" s="74" t="s">
        <v>18987</v>
      </c>
      <c r="BN962" s="75" t="s">
        <v>18988</v>
      </c>
      <c r="BO962" s="76" t="s">
        <v>18989</v>
      </c>
      <c r="BP962" s="77" t="s">
        <v>18990</v>
      </c>
      <c r="BQ962" s="78">
        <v>33689</v>
      </c>
      <c r="BR962" s="79">
        <v>46</v>
      </c>
      <c r="BS962" s="80" t="s">
        <v>186</v>
      </c>
      <c r="BT962" s="81" t="s">
        <v>153</v>
      </c>
      <c r="BU962" s="82" t="s">
        <v>153</v>
      </c>
      <c r="BV962" s="83" t="s">
        <v>471</v>
      </c>
      <c r="BW962" s="84" t="s">
        <v>153</v>
      </c>
      <c r="BX962" s="85" t="s">
        <v>153</v>
      </c>
      <c r="BY962" s="86" t="s">
        <v>472</v>
      </c>
      <c r="BZ962" s="87" t="s">
        <v>153</v>
      </c>
      <c r="CA962" s="88" t="s">
        <v>190</v>
      </c>
      <c r="CB962" s="89">
        <v>42782</v>
      </c>
      <c r="CC962" s="90">
        <v>5200</v>
      </c>
      <c r="CD962" s="91" t="s">
        <v>186</v>
      </c>
      <c r="CE962" s="92">
        <v>5200</v>
      </c>
      <c r="CF962" s="93" t="s">
        <v>186</v>
      </c>
      <c r="CG962" s="94" t="s">
        <v>226</v>
      </c>
      <c r="CH962" s="95" t="s">
        <v>153</v>
      </c>
      <c r="CI962" s="96" t="s">
        <v>153</v>
      </c>
      <c r="CJ962" s="97" t="s">
        <v>225</v>
      </c>
      <c r="CK962" s="98">
        <v>42782</v>
      </c>
      <c r="CL962" s="99" t="s">
        <v>153</v>
      </c>
      <c r="CM962" s="100" t="s">
        <v>153</v>
      </c>
      <c r="CN962" s="101" t="s">
        <v>190</v>
      </c>
      <c r="CO962" s="102" t="s">
        <v>153</v>
      </c>
      <c r="CP962" s="103" t="s">
        <v>153</v>
      </c>
      <c r="CQ962" s="104" t="s">
        <v>153</v>
      </c>
      <c r="CR962" s="105" t="s">
        <v>153</v>
      </c>
      <c r="CS962" s="106" t="s">
        <v>153</v>
      </c>
      <c r="CT962" s="107" t="s">
        <v>153</v>
      </c>
      <c r="CU962" s="108" t="s">
        <v>153</v>
      </c>
      <c r="CV962" s="109" t="s">
        <v>153</v>
      </c>
      <c r="CW962" s="110" t="s">
        <v>153</v>
      </c>
      <c r="CX962" s="111" t="s">
        <v>153</v>
      </c>
      <c r="CY962" s="112" t="s">
        <v>153</v>
      </c>
      <c r="CZ962" s="113" t="s">
        <v>153</v>
      </c>
      <c r="DA962" s="114" t="s">
        <v>153</v>
      </c>
      <c r="DB962" s="115" t="s">
        <v>153</v>
      </c>
      <c r="DC962" s="116" t="s">
        <v>153</v>
      </c>
      <c r="DD962" s="117" t="s">
        <v>153</v>
      </c>
      <c r="DE962" s="118" t="s">
        <v>153</v>
      </c>
      <c r="DF962" s="119" t="s">
        <v>153</v>
      </c>
      <c r="DG962" s="120" t="s">
        <v>153</v>
      </c>
      <c r="DH962" s="121" t="s">
        <v>153</v>
      </c>
      <c r="DI962" s="122" t="s">
        <v>153</v>
      </c>
      <c r="DJ962" s="123" t="s">
        <v>153</v>
      </c>
      <c r="DK962" s="124" t="s">
        <v>153</v>
      </c>
      <c r="DL962" s="125" t="s">
        <v>153</v>
      </c>
      <c r="DM962" s="126" t="s">
        <v>153</v>
      </c>
      <c r="DN962" s="127" t="s">
        <v>153</v>
      </c>
      <c r="DO962" s="128" t="s">
        <v>153</v>
      </c>
      <c r="DP962" s="129" t="s">
        <v>153</v>
      </c>
      <c r="DQ962" s="130" t="s">
        <v>153</v>
      </c>
      <c r="DR962" s="131" t="s">
        <v>153</v>
      </c>
      <c r="DS962" s="132" t="s">
        <v>153</v>
      </c>
      <c r="DT962" s="133" t="s">
        <v>153</v>
      </c>
      <c r="DU962" s="134" t="s">
        <v>153</v>
      </c>
      <c r="DV962" s="135" t="s">
        <v>153</v>
      </c>
      <c r="DW962" s="136" t="s">
        <v>153</v>
      </c>
      <c r="DX962" s="137" t="s">
        <v>153</v>
      </c>
      <c r="DY962" s="138" t="s">
        <v>153</v>
      </c>
      <c r="DZ962" s="139" t="s">
        <v>191</v>
      </c>
      <c r="EA962" s="140">
        <v>44368</v>
      </c>
      <c r="EB962" s="141">
        <v>5200</v>
      </c>
      <c r="EC962" s="142">
        <v>42782</v>
      </c>
      <c r="ED962" s="143" t="s">
        <v>226</v>
      </c>
      <c r="EE962" s="278" t="str">
        <f>HYPERLINK("https://my.pitchbook.com?c=41217-40", "View company online")</f>
        <v>View company online</v>
      </c>
    </row>
    <row r="963" spans="1:135" x14ac:dyDescent="0.45">
      <c r="A963" s="144" t="s">
        <v>18991</v>
      </c>
      <c r="B963" s="145" t="s">
        <v>18992</v>
      </c>
      <c r="C963" s="146" t="s">
        <v>153</v>
      </c>
      <c r="D963" s="147" t="s">
        <v>153</v>
      </c>
      <c r="E963" s="148" t="s">
        <v>153</v>
      </c>
      <c r="F963" s="149" t="s">
        <v>18993</v>
      </c>
      <c r="G963" s="150" t="s">
        <v>18994</v>
      </c>
      <c r="H963" s="151" t="s">
        <v>18995</v>
      </c>
      <c r="I963" s="152" t="s">
        <v>18991</v>
      </c>
      <c r="J963" s="153" t="s">
        <v>18996</v>
      </c>
      <c r="K963" s="154" t="s">
        <v>559</v>
      </c>
      <c r="L963" s="155" t="s">
        <v>3055</v>
      </c>
      <c r="M963" s="156" t="s">
        <v>3056</v>
      </c>
      <c r="N963" s="157" t="s">
        <v>18997</v>
      </c>
      <c r="O963" s="158" t="s">
        <v>261</v>
      </c>
      <c r="P963" s="159" t="s">
        <v>18998</v>
      </c>
      <c r="Q963" s="160" t="s">
        <v>204</v>
      </c>
      <c r="R963" s="161">
        <v>0.01</v>
      </c>
      <c r="S963" s="162" t="s">
        <v>290</v>
      </c>
      <c r="T963" s="163" t="s">
        <v>205</v>
      </c>
      <c r="U963" s="164" t="s">
        <v>482</v>
      </c>
      <c r="V963" s="165" t="s">
        <v>18999</v>
      </c>
      <c r="W963" s="166">
        <v>16000</v>
      </c>
      <c r="X963" s="167" t="s">
        <v>19000</v>
      </c>
      <c r="Y963" s="168" t="s">
        <v>153</v>
      </c>
      <c r="Z963" s="169" t="s">
        <v>153</v>
      </c>
      <c r="AA963" s="170">
        <v>1857</v>
      </c>
      <c r="AB963" s="171" t="s">
        <v>153</v>
      </c>
      <c r="AC963" s="172" t="s">
        <v>153</v>
      </c>
      <c r="AD963" s="173" t="s">
        <v>428</v>
      </c>
      <c r="AE963" s="174" t="s">
        <v>153</v>
      </c>
      <c r="AF963" s="175" t="s">
        <v>153</v>
      </c>
      <c r="AG963" s="176" t="s">
        <v>153</v>
      </c>
      <c r="AH963" s="177" t="s">
        <v>153</v>
      </c>
      <c r="AI963" s="178" t="s">
        <v>153</v>
      </c>
      <c r="AJ963" s="179" t="s">
        <v>153</v>
      </c>
      <c r="AK963" s="180" t="s">
        <v>153</v>
      </c>
      <c r="AL963" s="181" t="s">
        <v>153</v>
      </c>
      <c r="AM963" s="182" t="s">
        <v>153</v>
      </c>
      <c r="AN963" s="183" t="s">
        <v>1620</v>
      </c>
      <c r="AO963" s="184" t="s">
        <v>153</v>
      </c>
      <c r="AP963" s="185" t="s">
        <v>153</v>
      </c>
      <c r="AQ963" s="186" t="s">
        <v>153</v>
      </c>
      <c r="AR963" s="187" t="s">
        <v>153</v>
      </c>
      <c r="AS963" s="188" t="s">
        <v>153</v>
      </c>
      <c r="AT963" s="189" t="s">
        <v>8004</v>
      </c>
      <c r="AU963" s="190" t="s">
        <v>19001</v>
      </c>
      <c r="AV963" s="191" t="s">
        <v>153</v>
      </c>
      <c r="AW963" s="192" t="s">
        <v>8006</v>
      </c>
      <c r="AX963" s="193" t="s">
        <v>2422</v>
      </c>
      <c r="AY963" s="194" t="s">
        <v>19002</v>
      </c>
      <c r="AZ963" s="195" t="s">
        <v>215</v>
      </c>
      <c r="BA963" s="196" t="s">
        <v>153</v>
      </c>
      <c r="BB963" s="197" t="s">
        <v>153</v>
      </c>
      <c r="BC963" s="198" t="s">
        <v>153</v>
      </c>
      <c r="BD963" s="199" t="s">
        <v>216</v>
      </c>
      <c r="BE963" s="200" t="s">
        <v>217</v>
      </c>
      <c r="BF963" s="201" t="s">
        <v>19003</v>
      </c>
      <c r="BG963" s="202" t="s">
        <v>153</v>
      </c>
      <c r="BH963" s="203" t="s">
        <v>153</v>
      </c>
      <c r="BI963" s="204" t="s">
        <v>19004</v>
      </c>
      <c r="BJ963" s="205" t="s">
        <v>19005</v>
      </c>
      <c r="BK963" s="206" t="s">
        <v>153</v>
      </c>
      <c r="BL963" s="207" t="s">
        <v>153</v>
      </c>
      <c r="BM963" s="208" t="s">
        <v>19006</v>
      </c>
      <c r="BN963" s="209" t="s">
        <v>153</v>
      </c>
      <c r="BO963" s="210" t="s">
        <v>19007</v>
      </c>
      <c r="BP963" s="211" t="s">
        <v>19008</v>
      </c>
      <c r="BQ963" s="212">
        <v>28503</v>
      </c>
      <c r="BR963" s="213" t="s">
        <v>153</v>
      </c>
      <c r="BS963" s="214" t="s">
        <v>153</v>
      </c>
      <c r="BT963" s="215" t="s">
        <v>153</v>
      </c>
      <c r="BU963" s="216" t="s">
        <v>153</v>
      </c>
      <c r="BV963" s="217" t="s">
        <v>251</v>
      </c>
      <c r="BW963" s="218" t="s">
        <v>153</v>
      </c>
      <c r="BX963" s="219" t="s">
        <v>153</v>
      </c>
      <c r="BY963" s="220" t="s">
        <v>252</v>
      </c>
      <c r="BZ963" s="221" t="s">
        <v>153</v>
      </c>
      <c r="CA963" s="222" t="s">
        <v>190</v>
      </c>
      <c r="CB963" s="223">
        <v>43627</v>
      </c>
      <c r="CC963" s="224">
        <v>5200</v>
      </c>
      <c r="CD963" s="225" t="s">
        <v>186</v>
      </c>
      <c r="CE963" s="226">
        <v>7323.94</v>
      </c>
      <c r="CF963" s="227" t="s">
        <v>187</v>
      </c>
      <c r="CG963" s="228" t="s">
        <v>226</v>
      </c>
      <c r="CH963" s="229" t="s">
        <v>153</v>
      </c>
      <c r="CI963" s="230" t="s">
        <v>153</v>
      </c>
      <c r="CJ963" s="231" t="s">
        <v>225</v>
      </c>
      <c r="CK963" s="232">
        <v>43627</v>
      </c>
      <c r="CL963" s="233" t="s">
        <v>153</v>
      </c>
      <c r="CM963" s="234" t="s">
        <v>153</v>
      </c>
      <c r="CN963" s="235" t="s">
        <v>190</v>
      </c>
      <c r="CO963" s="236" t="s">
        <v>153</v>
      </c>
      <c r="CP963" s="237" t="s">
        <v>153</v>
      </c>
      <c r="CQ963" s="238" t="s">
        <v>153</v>
      </c>
      <c r="CR963" s="239" t="s">
        <v>153</v>
      </c>
      <c r="CS963" s="240" t="s">
        <v>153</v>
      </c>
      <c r="CT963" s="241" t="s">
        <v>153</v>
      </c>
      <c r="CU963" s="242" t="s">
        <v>153</v>
      </c>
      <c r="CV963" s="243" t="s">
        <v>153</v>
      </c>
      <c r="CW963" s="244" t="s">
        <v>153</v>
      </c>
      <c r="CX963" s="245" t="s">
        <v>153</v>
      </c>
      <c r="CY963" s="246" t="s">
        <v>153</v>
      </c>
      <c r="CZ963" s="247" t="s">
        <v>153</v>
      </c>
      <c r="DA963" s="248" t="s">
        <v>153</v>
      </c>
      <c r="DB963" s="249" t="s">
        <v>153</v>
      </c>
      <c r="DC963" s="250" t="s">
        <v>153</v>
      </c>
      <c r="DD963" s="251" t="s">
        <v>153</v>
      </c>
      <c r="DE963" s="252" t="s">
        <v>153</v>
      </c>
      <c r="DF963" s="253" t="s">
        <v>153</v>
      </c>
      <c r="DG963" s="254" t="s">
        <v>153</v>
      </c>
      <c r="DH963" s="255" t="s">
        <v>153</v>
      </c>
      <c r="DI963" s="256" t="s">
        <v>153</v>
      </c>
      <c r="DJ963" s="257" t="s">
        <v>153</v>
      </c>
      <c r="DK963" s="258" t="s">
        <v>153</v>
      </c>
      <c r="DL963" s="259" t="s">
        <v>153</v>
      </c>
      <c r="DM963" s="260" t="s">
        <v>153</v>
      </c>
      <c r="DN963" s="261" t="s">
        <v>153</v>
      </c>
      <c r="DO963" s="262" t="s">
        <v>153</v>
      </c>
      <c r="DP963" s="263" t="s">
        <v>153</v>
      </c>
      <c r="DQ963" s="264" t="s">
        <v>153</v>
      </c>
      <c r="DR963" s="265" t="s">
        <v>153</v>
      </c>
      <c r="DS963" s="266" t="s">
        <v>153</v>
      </c>
      <c r="DT963" s="267" t="s">
        <v>153</v>
      </c>
      <c r="DU963" s="268" t="s">
        <v>153</v>
      </c>
      <c r="DV963" s="269" t="s">
        <v>153</v>
      </c>
      <c r="DW963" s="270" t="s">
        <v>153</v>
      </c>
      <c r="DX963" s="271" t="s">
        <v>153</v>
      </c>
      <c r="DY963" s="272" t="s">
        <v>153</v>
      </c>
      <c r="DZ963" s="273" t="s">
        <v>191</v>
      </c>
      <c r="EA963" s="274">
        <v>44293</v>
      </c>
      <c r="EB963" s="275">
        <v>7323.94</v>
      </c>
      <c r="EC963" s="276">
        <v>43627</v>
      </c>
      <c r="ED963" s="277" t="s">
        <v>226</v>
      </c>
      <c r="EE963" s="279" t="str">
        <f>HYPERLINK("https://my.pitchbook.com?c=54047-17", "View company online")</f>
        <v>View company online</v>
      </c>
    </row>
    <row r="964" spans="1:135" x14ac:dyDescent="0.45">
      <c r="A964" s="10" t="s">
        <v>19009</v>
      </c>
      <c r="B964" s="11" t="s">
        <v>19010</v>
      </c>
      <c r="C964" s="12" t="s">
        <v>153</v>
      </c>
      <c r="D964" s="13" t="s">
        <v>153</v>
      </c>
      <c r="E964" s="14" t="s">
        <v>153</v>
      </c>
      <c r="F964" s="15" t="s">
        <v>19011</v>
      </c>
      <c r="G964" s="16" t="s">
        <v>19012</v>
      </c>
      <c r="H964" s="17" t="s">
        <v>19013</v>
      </c>
      <c r="I964" s="18" t="s">
        <v>19009</v>
      </c>
      <c r="J964" s="19" t="s">
        <v>19014</v>
      </c>
      <c r="K964" s="20" t="s">
        <v>559</v>
      </c>
      <c r="L964" s="21" t="s">
        <v>1345</v>
      </c>
      <c r="M964" s="22" t="s">
        <v>19015</v>
      </c>
      <c r="N964" s="23" t="s">
        <v>19016</v>
      </c>
      <c r="O964" s="24" t="s">
        <v>261</v>
      </c>
      <c r="P964" s="25" t="s">
        <v>19017</v>
      </c>
      <c r="Q964" s="26" t="s">
        <v>204</v>
      </c>
      <c r="R964" s="27" t="s">
        <v>153</v>
      </c>
      <c r="S964" s="28" t="s">
        <v>163</v>
      </c>
      <c r="T964" s="29" t="s">
        <v>164</v>
      </c>
      <c r="U964" s="30" t="s">
        <v>206</v>
      </c>
      <c r="V964" s="31" t="s">
        <v>19018</v>
      </c>
      <c r="W964" s="32">
        <v>20000</v>
      </c>
      <c r="X964" s="33" t="s">
        <v>19019</v>
      </c>
      <c r="Y964" s="34" t="s">
        <v>153</v>
      </c>
      <c r="Z964" s="35" t="s">
        <v>153</v>
      </c>
      <c r="AA964" s="36">
        <v>1888</v>
      </c>
      <c r="AB964" s="37" t="s">
        <v>19020</v>
      </c>
      <c r="AC964" s="38" t="s">
        <v>428</v>
      </c>
      <c r="AD964" s="39" t="s">
        <v>4965</v>
      </c>
      <c r="AE964" s="40" t="s">
        <v>153</v>
      </c>
      <c r="AF964" s="41" t="s">
        <v>153</v>
      </c>
      <c r="AG964" s="42" t="s">
        <v>153</v>
      </c>
      <c r="AH964" s="43" t="s">
        <v>153</v>
      </c>
      <c r="AI964" s="44" t="s">
        <v>153</v>
      </c>
      <c r="AJ964" s="45" t="s">
        <v>153</v>
      </c>
      <c r="AK964" s="46" t="s">
        <v>153</v>
      </c>
      <c r="AL964" s="47" t="s">
        <v>153</v>
      </c>
      <c r="AM964" s="48" t="s">
        <v>153</v>
      </c>
      <c r="AN964" s="49" t="s">
        <v>456</v>
      </c>
      <c r="AO964" s="50" t="s">
        <v>19021</v>
      </c>
      <c r="AP964" s="51" t="s">
        <v>19022</v>
      </c>
      <c r="AQ964" s="52" t="s">
        <v>19023</v>
      </c>
      <c r="AR964" s="53" t="s">
        <v>19024</v>
      </c>
      <c r="AS964" s="54" t="s">
        <v>19025</v>
      </c>
      <c r="AT964" s="55" t="s">
        <v>1071</v>
      </c>
      <c r="AU964" s="56" t="s">
        <v>19026</v>
      </c>
      <c r="AV964" s="57" t="s">
        <v>153</v>
      </c>
      <c r="AW964" s="58" t="s">
        <v>1074</v>
      </c>
      <c r="AX964" s="59" t="s">
        <v>177</v>
      </c>
      <c r="AY964" s="60" t="s">
        <v>19027</v>
      </c>
      <c r="AZ964" s="61" t="s">
        <v>179</v>
      </c>
      <c r="BA964" s="62" t="s">
        <v>19028</v>
      </c>
      <c r="BB964" s="63" t="s">
        <v>153</v>
      </c>
      <c r="BC964" s="64" t="s">
        <v>153</v>
      </c>
      <c r="BD964" s="65" t="s">
        <v>180</v>
      </c>
      <c r="BE964" s="66" t="s">
        <v>181</v>
      </c>
      <c r="BF964" s="67" t="s">
        <v>19029</v>
      </c>
      <c r="BG964" s="68" t="s">
        <v>19030</v>
      </c>
      <c r="BH964" s="69">
        <v>1</v>
      </c>
      <c r="BI964" s="70" t="s">
        <v>19020</v>
      </c>
      <c r="BJ964" s="71" t="s">
        <v>153</v>
      </c>
      <c r="BK964" s="72" t="s">
        <v>153</v>
      </c>
      <c r="BL964" s="73" t="s">
        <v>19031</v>
      </c>
      <c r="BM964" s="74" t="s">
        <v>153</v>
      </c>
      <c r="BN964" s="75" t="s">
        <v>153</v>
      </c>
      <c r="BO964" s="76" t="s">
        <v>153</v>
      </c>
      <c r="BP964" s="77" t="s">
        <v>153</v>
      </c>
      <c r="BQ964" s="78">
        <v>40851</v>
      </c>
      <c r="BR964" s="79">
        <v>5200</v>
      </c>
      <c r="BS964" s="80" t="s">
        <v>186</v>
      </c>
      <c r="BT964" s="81">
        <v>13000</v>
      </c>
      <c r="BU964" s="82" t="s">
        <v>187</v>
      </c>
      <c r="BV964" s="83" t="s">
        <v>226</v>
      </c>
      <c r="BW964" s="84" t="s">
        <v>153</v>
      </c>
      <c r="BX964" s="85" t="s">
        <v>153</v>
      </c>
      <c r="BY964" s="86" t="s">
        <v>225</v>
      </c>
      <c r="BZ964" s="87" t="s">
        <v>153</v>
      </c>
      <c r="CA964" s="88" t="s">
        <v>190</v>
      </c>
      <c r="CB964" s="89">
        <v>40851</v>
      </c>
      <c r="CC964" s="90">
        <v>5200</v>
      </c>
      <c r="CD964" s="91" t="s">
        <v>186</v>
      </c>
      <c r="CE964" s="92">
        <v>13000</v>
      </c>
      <c r="CF964" s="93" t="s">
        <v>187</v>
      </c>
      <c r="CG964" s="94" t="s">
        <v>226</v>
      </c>
      <c r="CH964" s="95" t="s">
        <v>153</v>
      </c>
      <c r="CI964" s="96" t="s">
        <v>153</v>
      </c>
      <c r="CJ964" s="97" t="s">
        <v>225</v>
      </c>
      <c r="CK964" s="98">
        <v>40851</v>
      </c>
      <c r="CL964" s="99" t="s">
        <v>153</v>
      </c>
      <c r="CM964" s="100" t="s">
        <v>153</v>
      </c>
      <c r="CN964" s="101" t="s">
        <v>190</v>
      </c>
      <c r="CO964" s="102">
        <v>0.28000000000000003</v>
      </c>
      <c r="CP964" s="103">
        <v>91</v>
      </c>
      <c r="CQ964" s="104">
        <v>0</v>
      </c>
      <c r="CR964" s="105">
        <v>-0.28999999999999998</v>
      </c>
      <c r="CS964" s="106">
        <v>0.75</v>
      </c>
      <c r="CT964" s="107">
        <v>94</v>
      </c>
      <c r="CU964" s="108">
        <v>0.09</v>
      </c>
      <c r="CV964" s="109">
        <v>85</v>
      </c>
      <c r="CW964" s="110">
        <v>1</v>
      </c>
      <c r="CX964" s="111">
        <v>82</v>
      </c>
      <c r="CY964" s="112">
        <v>0.49</v>
      </c>
      <c r="CZ964" s="113">
        <v>94</v>
      </c>
      <c r="DA964" s="114">
        <v>0.09</v>
      </c>
      <c r="DB964" s="115">
        <v>85</v>
      </c>
      <c r="DC964" s="116">
        <v>241.19</v>
      </c>
      <c r="DD964" s="117">
        <v>100</v>
      </c>
      <c r="DE964" s="118">
        <v>0.43</v>
      </c>
      <c r="DF964" s="119">
        <v>0.18</v>
      </c>
      <c r="DG964" s="120">
        <v>101.43</v>
      </c>
      <c r="DH964" s="121">
        <v>99</v>
      </c>
      <c r="DI964" s="122">
        <v>81.599999999999994</v>
      </c>
      <c r="DJ964" s="123">
        <v>97</v>
      </c>
      <c r="DK964" s="124">
        <v>25.67</v>
      </c>
      <c r="DL964" s="125">
        <v>92</v>
      </c>
      <c r="DM964" s="126">
        <v>177.19</v>
      </c>
      <c r="DN964" s="127">
        <v>100</v>
      </c>
      <c r="DO964" s="128">
        <v>81.599999999999994</v>
      </c>
      <c r="DP964" s="129">
        <v>97</v>
      </c>
      <c r="DQ964" s="130">
        <v>15238</v>
      </c>
      <c r="DR964" s="131">
        <v>-49</v>
      </c>
      <c r="DS964" s="132">
        <v>-0.32</v>
      </c>
      <c r="DT964" s="133">
        <v>2824</v>
      </c>
      <c r="DU964" s="134">
        <v>27</v>
      </c>
      <c r="DV964" s="135">
        <v>0.97</v>
      </c>
      <c r="DW964" s="136">
        <v>25607</v>
      </c>
      <c r="DX964" s="137">
        <v>41</v>
      </c>
      <c r="DY964" s="138">
        <v>0.16</v>
      </c>
      <c r="DZ964" s="139" t="s">
        <v>191</v>
      </c>
      <c r="EA964" s="140">
        <v>44392</v>
      </c>
      <c r="EB964" s="141">
        <v>13000</v>
      </c>
      <c r="EC964" s="142">
        <v>40851</v>
      </c>
      <c r="ED964" s="143" t="s">
        <v>226</v>
      </c>
      <c r="EE964" s="278" t="str">
        <f>HYPERLINK("https://my.pitchbook.com?c=98437-87", "View company online")</f>
        <v>View company online</v>
      </c>
    </row>
    <row r="965" spans="1:135" x14ac:dyDescent="0.45">
      <c r="A965" s="144" t="s">
        <v>19032</v>
      </c>
      <c r="B965" s="145" t="s">
        <v>19033</v>
      </c>
      <c r="C965" s="146" t="s">
        <v>153</v>
      </c>
      <c r="D965" s="147" t="s">
        <v>153</v>
      </c>
      <c r="E965" s="148" t="s">
        <v>19034</v>
      </c>
      <c r="F965" s="149" t="s">
        <v>19035</v>
      </c>
      <c r="G965" s="150" t="s">
        <v>19036</v>
      </c>
      <c r="H965" s="151" t="s">
        <v>19037</v>
      </c>
      <c r="I965" s="152" t="s">
        <v>19032</v>
      </c>
      <c r="J965" s="153" t="s">
        <v>19038</v>
      </c>
      <c r="K965" s="154" t="s">
        <v>232</v>
      </c>
      <c r="L965" s="155" t="s">
        <v>233</v>
      </c>
      <c r="M965" s="156" t="s">
        <v>234</v>
      </c>
      <c r="N965" s="157" t="s">
        <v>235</v>
      </c>
      <c r="O965" s="158" t="s">
        <v>153</v>
      </c>
      <c r="P965" s="159" t="s">
        <v>19039</v>
      </c>
      <c r="Q965" s="160" t="s">
        <v>204</v>
      </c>
      <c r="R965" s="161">
        <v>238</v>
      </c>
      <c r="S965" s="162" t="s">
        <v>290</v>
      </c>
      <c r="T965" s="163" t="s">
        <v>164</v>
      </c>
      <c r="U965" s="164" t="s">
        <v>369</v>
      </c>
      <c r="V965" s="165" t="s">
        <v>19040</v>
      </c>
      <c r="W965" s="166">
        <v>875</v>
      </c>
      <c r="X965" s="167" t="s">
        <v>19041</v>
      </c>
      <c r="Y965" s="168" t="s">
        <v>153</v>
      </c>
      <c r="Z965" s="169" t="s">
        <v>153</v>
      </c>
      <c r="AA965" s="170">
        <v>1864</v>
      </c>
      <c r="AB965" s="171" t="s">
        <v>19042</v>
      </c>
      <c r="AC965" s="172" t="s">
        <v>153</v>
      </c>
      <c r="AD965" s="173" t="s">
        <v>537</v>
      </c>
      <c r="AE965" s="174">
        <v>206.18</v>
      </c>
      <c r="AF965" s="175" t="s">
        <v>153</v>
      </c>
      <c r="AG965" s="176">
        <v>12.62</v>
      </c>
      <c r="AH965" s="177" t="s">
        <v>153</v>
      </c>
      <c r="AI965" s="178" t="s">
        <v>153</v>
      </c>
      <c r="AJ965" s="179" t="s">
        <v>153</v>
      </c>
      <c r="AK965" s="180">
        <v>1309.48</v>
      </c>
      <c r="AL965" s="181">
        <v>11063.2</v>
      </c>
      <c r="AM965" s="182">
        <v>23.71</v>
      </c>
      <c r="AN965" s="183" t="s">
        <v>376</v>
      </c>
      <c r="AO965" s="184" t="s">
        <v>19043</v>
      </c>
      <c r="AP965" s="185" t="s">
        <v>19044</v>
      </c>
      <c r="AQ965" s="186" t="s">
        <v>19045</v>
      </c>
      <c r="AR965" s="187" t="s">
        <v>19046</v>
      </c>
      <c r="AS965" s="188" t="s">
        <v>19047</v>
      </c>
      <c r="AT965" s="189" t="s">
        <v>19048</v>
      </c>
      <c r="AU965" s="190" t="s">
        <v>19049</v>
      </c>
      <c r="AV965" s="191" t="s">
        <v>19050</v>
      </c>
      <c r="AW965" s="192" t="s">
        <v>19051</v>
      </c>
      <c r="AX965" s="193" t="s">
        <v>436</v>
      </c>
      <c r="AY965" s="194" t="s">
        <v>19052</v>
      </c>
      <c r="AZ965" s="195" t="s">
        <v>215</v>
      </c>
      <c r="BA965" s="196" t="s">
        <v>19047</v>
      </c>
      <c r="BB965" s="197" t="s">
        <v>19053</v>
      </c>
      <c r="BC965" s="198" t="s">
        <v>153</v>
      </c>
      <c r="BD965" s="199" t="s">
        <v>216</v>
      </c>
      <c r="BE965" s="200" t="s">
        <v>217</v>
      </c>
      <c r="BF965" s="201" t="s">
        <v>19054</v>
      </c>
      <c r="BG965" s="202" t="s">
        <v>153</v>
      </c>
      <c r="BH965" s="203" t="s">
        <v>153</v>
      </c>
      <c r="BI965" s="204" t="s">
        <v>19042</v>
      </c>
      <c r="BJ965" s="205" t="s">
        <v>5201</v>
      </c>
      <c r="BK965" s="206" t="s">
        <v>153</v>
      </c>
      <c r="BL965" s="207" t="s">
        <v>153</v>
      </c>
      <c r="BM965" s="208" t="s">
        <v>5202</v>
      </c>
      <c r="BN965" s="209" t="s">
        <v>153</v>
      </c>
      <c r="BO965" s="210" t="s">
        <v>19055</v>
      </c>
      <c r="BP965" s="211" t="s">
        <v>153</v>
      </c>
      <c r="BQ965" s="212">
        <v>35242</v>
      </c>
      <c r="BR965" s="213" t="s">
        <v>153</v>
      </c>
      <c r="BS965" s="214" t="s">
        <v>153</v>
      </c>
      <c r="BT965" s="215" t="s">
        <v>153</v>
      </c>
      <c r="BU965" s="216" t="s">
        <v>153</v>
      </c>
      <c r="BV965" s="217" t="s">
        <v>251</v>
      </c>
      <c r="BW965" s="218" t="s">
        <v>153</v>
      </c>
      <c r="BX965" s="219" t="s">
        <v>153</v>
      </c>
      <c r="BY965" s="220" t="s">
        <v>252</v>
      </c>
      <c r="BZ965" s="221" t="s">
        <v>153</v>
      </c>
      <c r="CA965" s="222" t="s">
        <v>190</v>
      </c>
      <c r="CB965" s="223">
        <v>36917</v>
      </c>
      <c r="CC965" s="224">
        <v>5200</v>
      </c>
      <c r="CD965" s="225" t="s">
        <v>186</v>
      </c>
      <c r="CE965" s="226">
        <v>5200</v>
      </c>
      <c r="CF965" s="227" t="s">
        <v>186</v>
      </c>
      <c r="CG965" s="228" t="s">
        <v>226</v>
      </c>
      <c r="CH965" s="229" t="s">
        <v>153</v>
      </c>
      <c r="CI965" s="230" t="s">
        <v>153</v>
      </c>
      <c r="CJ965" s="231" t="s">
        <v>225</v>
      </c>
      <c r="CK965" s="232">
        <v>36917</v>
      </c>
      <c r="CL965" s="233" t="s">
        <v>153</v>
      </c>
      <c r="CM965" s="234" t="s">
        <v>153</v>
      </c>
      <c r="CN965" s="235" t="s">
        <v>190</v>
      </c>
      <c r="CO965" s="236">
        <v>-0.1</v>
      </c>
      <c r="CP965" s="237">
        <v>8</v>
      </c>
      <c r="CQ965" s="238">
        <v>-0.28000000000000003</v>
      </c>
      <c r="CR965" s="239">
        <v>-156.93</v>
      </c>
      <c r="CS965" s="240">
        <v>-0.49</v>
      </c>
      <c r="CT965" s="241">
        <v>5</v>
      </c>
      <c r="CU965" s="242">
        <v>0.28000000000000003</v>
      </c>
      <c r="CV965" s="243">
        <v>93</v>
      </c>
      <c r="CW965" s="244">
        <v>-0.1</v>
      </c>
      <c r="CX965" s="245">
        <v>21</v>
      </c>
      <c r="CY965" s="246">
        <v>-0.88</v>
      </c>
      <c r="CZ965" s="247">
        <v>2</v>
      </c>
      <c r="DA965" s="248">
        <v>0.28000000000000003</v>
      </c>
      <c r="DB965" s="249">
        <v>93</v>
      </c>
      <c r="DC965" s="250">
        <v>18.71</v>
      </c>
      <c r="DD965" s="251">
        <v>96</v>
      </c>
      <c r="DE965" s="252">
        <v>-1.34</v>
      </c>
      <c r="DF965" s="253">
        <v>-6.68</v>
      </c>
      <c r="DG965" s="254">
        <v>35.700000000000003</v>
      </c>
      <c r="DH965" s="255">
        <v>98</v>
      </c>
      <c r="DI965" s="256">
        <v>1.71</v>
      </c>
      <c r="DJ965" s="257">
        <v>60</v>
      </c>
      <c r="DK965" s="258">
        <v>26.53</v>
      </c>
      <c r="DL965" s="259">
        <v>92</v>
      </c>
      <c r="DM965" s="260">
        <v>44.88</v>
      </c>
      <c r="DN965" s="261">
        <v>98</v>
      </c>
      <c r="DO965" s="262">
        <v>1.71</v>
      </c>
      <c r="DP965" s="263">
        <v>60</v>
      </c>
      <c r="DQ965" s="264">
        <v>15916</v>
      </c>
      <c r="DR965" s="265">
        <v>-682</v>
      </c>
      <c r="DS965" s="266">
        <v>-4.1100000000000003</v>
      </c>
      <c r="DT965" s="267">
        <v>753</v>
      </c>
      <c r="DU965" s="268">
        <v>-61</v>
      </c>
      <c r="DV965" s="269">
        <v>-7.49</v>
      </c>
      <c r="DW965" s="270">
        <v>537</v>
      </c>
      <c r="DX965" s="271">
        <v>2</v>
      </c>
      <c r="DY965" s="272">
        <v>0.37</v>
      </c>
      <c r="DZ965" s="273" t="s">
        <v>191</v>
      </c>
      <c r="EA965" s="274">
        <v>44387</v>
      </c>
      <c r="EB965" s="275">
        <v>5200</v>
      </c>
      <c r="EC965" s="276">
        <v>36917</v>
      </c>
      <c r="ED965" s="277" t="s">
        <v>226</v>
      </c>
      <c r="EE965" s="279" t="str">
        <f>HYPERLINK("https://my.pitchbook.com?c=101313-19", "View company online")</f>
        <v>View company online</v>
      </c>
    </row>
    <row r="966" spans="1:135" x14ac:dyDescent="0.45">
      <c r="A966" s="10" t="s">
        <v>19056</v>
      </c>
      <c r="B966" s="11" t="s">
        <v>19057</v>
      </c>
      <c r="C966" s="12" t="s">
        <v>153</v>
      </c>
      <c r="D966" s="13" t="s">
        <v>153</v>
      </c>
      <c r="E966" s="14" t="s">
        <v>153</v>
      </c>
      <c r="F966" s="15" t="s">
        <v>153</v>
      </c>
      <c r="G966" s="16" t="s">
        <v>153</v>
      </c>
      <c r="H966" s="17" t="s">
        <v>153</v>
      </c>
      <c r="I966" s="18" t="s">
        <v>19056</v>
      </c>
      <c r="J966" s="19" t="s">
        <v>19058</v>
      </c>
      <c r="K966" s="20" t="s">
        <v>882</v>
      </c>
      <c r="L966" s="21" t="s">
        <v>883</v>
      </c>
      <c r="M966" s="22" t="s">
        <v>1369</v>
      </c>
      <c r="N966" s="23" t="s">
        <v>19059</v>
      </c>
      <c r="O966" s="24" t="s">
        <v>365</v>
      </c>
      <c r="P966" s="25" t="s">
        <v>19060</v>
      </c>
      <c r="Q966" s="26" t="s">
        <v>204</v>
      </c>
      <c r="R966" s="27" t="s">
        <v>153</v>
      </c>
      <c r="S966" s="28" t="s">
        <v>8608</v>
      </c>
      <c r="T966" s="29" t="s">
        <v>1392</v>
      </c>
      <c r="U966" s="30" t="s">
        <v>206</v>
      </c>
      <c r="V966" s="31" t="s">
        <v>153</v>
      </c>
      <c r="W966" s="32" t="s">
        <v>153</v>
      </c>
      <c r="X966" s="33" t="s">
        <v>153</v>
      </c>
      <c r="Y966" s="34" t="s">
        <v>153</v>
      </c>
      <c r="Z966" s="35" t="s">
        <v>153</v>
      </c>
      <c r="AA966" s="36" t="s">
        <v>153</v>
      </c>
      <c r="AB966" s="37" t="s">
        <v>153</v>
      </c>
      <c r="AC966" s="38" t="s">
        <v>153</v>
      </c>
      <c r="AD966" s="39" t="s">
        <v>153</v>
      </c>
      <c r="AE966" s="40" t="s">
        <v>153</v>
      </c>
      <c r="AF966" s="41" t="s">
        <v>153</v>
      </c>
      <c r="AG966" s="42" t="s">
        <v>153</v>
      </c>
      <c r="AH966" s="43" t="s">
        <v>153</v>
      </c>
      <c r="AI966" s="44" t="s">
        <v>153</v>
      </c>
      <c r="AJ966" s="45" t="s">
        <v>153</v>
      </c>
      <c r="AK966" s="46" t="s">
        <v>153</v>
      </c>
      <c r="AL966" s="47" t="s">
        <v>153</v>
      </c>
      <c r="AM966" s="48" t="s">
        <v>153</v>
      </c>
      <c r="AN966" s="49" t="s">
        <v>153</v>
      </c>
      <c r="AO966" s="50" t="s">
        <v>153</v>
      </c>
      <c r="AP966" s="51" t="s">
        <v>153</v>
      </c>
      <c r="AQ966" s="52" t="s">
        <v>153</v>
      </c>
      <c r="AR966" s="53" t="s">
        <v>153</v>
      </c>
      <c r="AS966" s="54" t="s">
        <v>153</v>
      </c>
      <c r="AT966" s="55" t="s">
        <v>3761</v>
      </c>
      <c r="AU966" s="56" t="s">
        <v>153</v>
      </c>
      <c r="AV966" s="57" t="s">
        <v>153</v>
      </c>
      <c r="AW966" s="58" t="s">
        <v>153</v>
      </c>
      <c r="AX966" s="59" t="s">
        <v>153</v>
      </c>
      <c r="AY966" s="60" t="s">
        <v>153</v>
      </c>
      <c r="AZ966" s="61" t="s">
        <v>3761</v>
      </c>
      <c r="BA966" s="62" t="s">
        <v>153</v>
      </c>
      <c r="BB966" s="63" t="s">
        <v>153</v>
      </c>
      <c r="BC966" s="64" t="s">
        <v>153</v>
      </c>
      <c r="BD966" s="65" t="s">
        <v>1406</v>
      </c>
      <c r="BE966" s="66" t="s">
        <v>1407</v>
      </c>
      <c r="BF966" s="67" t="s">
        <v>19061</v>
      </c>
      <c r="BG966" s="68" t="s">
        <v>19062</v>
      </c>
      <c r="BH966" s="69">
        <v>3</v>
      </c>
      <c r="BI966" s="70" t="s">
        <v>153</v>
      </c>
      <c r="BJ966" s="71" t="s">
        <v>153</v>
      </c>
      <c r="BK966" s="72" t="s">
        <v>153</v>
      </c>
      <c r="BL966" s="73" t="s">
        <v>19063</v>
      </c>
      <c r="BM966" s="74" t="s">
        <v>153</v>
      </c>
      <c r="BN966" s="75" t="s">
        <v>153</v>
      </c>
      <c r="BO966" s="76" t="s">
        <v>153</v>
      </c>
      <c r="BP966" s="77" t="s">
        <v>153</v>
      </c>
      <c r="BQ966" s="78">
        <v>42921</v>
      </c>
      <c r="BR966" s="79">
        <v>5200</v>
      </c>
      <c r="BS966" s="80" t="s">
        <v>186</v>
      </c>
      <c r="BT966" s="81" t="s">
        <v>153</v>
      </c>
      <c r="BU966" s="82" t="s">
        <v>153</v>
      </c>
      <c r="BV966" s="83" t="s">
        <v>224</v>
      </c>
      <c r="BW966" s="84" t="s">
        <v>153</v>
      </c>
      <c r="BX966" s="85" t="s">
        <v>153</v>
      </c>
      <c r="BY966" s="86" t="s">
        <v>321</v>
      </c>
      <c r="BZ966" s="87" t="s">
        <v>153</v>
      </c>
      <c r="CA966" s="88" t="s">
        <v>190</v>
      </c>
      <c r="CB966" s="89">
        <v>42921</v>
      </c>
      <c r="CC966" s="90">
        <v>5200</v>
      </c>
      <c r="CD966" s="91" t="s">
        <v>186</v>
      </c>
      <c r="CE966" s="92" t="s">
        <v>153</v>
      </c>
      <c r="CF966" s="93" t="s">
        <v>153</v>
      </c>
      <c r="CG966" s="94" t="s">
        <v>224</v>
      </c>
      <c r="CH966" s="95" t="s">
        <v>153</v>
      </c>
      <c r="CI966" s="96" t="s">
        <v>153</v>
      </c>
      <c r="CJ966" s="97" t="s">
        <v>321</v>
      </c>
      <c r="CK966" s="98">
        <v>42921</v>
      </c>
      <c r="CL966" s="99" t="s">
        <v>153</v>
      </c>
      <c r="CM966" s="100" t="s">
        <v>153</v>
      </c>
      <c r="CN966" s="101" t="s">
        <v>190</v>
      </c>
      <c r="CO966" s="102" t="s">
        <v>153</v>
      </c>
      <c r="CP966" s="103" t="s">
        <v>153</v>
      </c>
      <c r="CQ966" s="104" t="s">
        <v>153</v>
      </c>
      <c r="CR966" s="105" t="s">
        <v>153</v>
      </c>
      <c r="CS966" s="106" t="s">
        <v>153</v>
      </c>
      <c r="CT966" s="107" t="s">
        <v>153</v>
      </c>
      <c r="CU966" s="108" t="s">
        <v>153</v>
      </c>
      <c r="CV966" s="109" t="s">
        <v>153</v>
      </c>
      <c r="CW966" s="110" t="s">
        <v>153</v>
      </c>
      <c r="CX966" s="111" t="s">
        <v>153</v>
      </c>
      <c r="CY966" s="112" t="s">
        <v>153</v>
      </c>
      <c r="CZ966" s="113" t="s">
        <v>153</v>
      </c>
      <c r="DA966" s="114" t="s">
        <v>153</v>
      </c>
      <c r="DB966" s="115" t="s">
        <v>153</v>
      </c>
      <c r="DC966" s="116" t="s">
        <v>153</v>
      </c>
      <c r="DD966" s="117" t="s">
        <v>153</v>
      </c>
      <c r="DE966" s="118" t="s">
        <v>153</v>
      </c>
      <c r="DF966" s="119" t="s">
        <v>153</v>
      </c>
      <c r="DG966" s="120" t="s">
        <v>153</v>
      </c>
      <c r="DH966" s="121" t="s">
        <v>153</v>
      </c>
      <c r="DI966" s="122" t="s">
        <v>153</v>
      </c>
      <c r="DJ966" s="123" t="s">
        <v>153</v>
      </c>
      <c r="DK966" s="124" t="s">
        <v>153</v>
      </c>
      <c r="DL966" s="125" t="s">
        <v>153</v>
      </c>
      <c r="DM966" s="126" t="s">
        <v>153</v>
      </c>
      <c r="DN966" s="127" t="s">
        <v>153</v>
      </c>
      <c r="DO966" s="128" t="s">
        <v>153</v>
      </c>
      <c r="DP966" s="129" t="s">
        <v>153</v>
      </c>
      <c r="DQ966" s="130" t="s">
        <v>153</v>
      </c>
      <c r="DR966" s="131" t="s">
        <v>153</v>
      </c>
      <c r="DS966" s="132" t="s">
        <v>153</v>
      </c>
      <c r="DT966" s="133" t="s">
        <v>153</v>
      </c>
      <c r="DU966" s="134" t="s">
        <v>153</v>
      </c>
      <c r="DV966" s="135" t="s">
        <v>153</v>
      </c>
      <c r="DW966" s="136" t="s">
        <v>153</v>
      </c>
      <c r="DX966" s="137" t="s">
        <v>153</v>
      </c>
      <c r="DY966" s="138" t="s">
        <v>153</v>
      </c>
      <c r="DZ966" s="139" t="s">
        <v>191</v>
      </c>
      <c r="EA966" s="140">
        <v>43879</v>
      </c>
      <c r="EB966" s="141" t="s">
        <v>153</v>
      </c>
      <c r="EC966" s="142" t="s">
        <v>153</v>
      </c>
      <c r="ED966" s="143" t="s">
        <v>153</v>
      </c>
      <c r="EE966" s="278" t="str">
        <f>HYPERLINK("https://my.pitchbook.com?c=183051-28", "View company online")</f>
        <v>View company online</v>
      </c>
    </row>
    <row r="967" spans="1:135" x14ac:dyDescent="0.45">
      <c r="A967" s="144" t="s">
        <v>19064</v>
      </c>
      <c r="B967" s="145" t="s">
        <v>19065</v>
      </c>
      <c r="C967" s="146" t="s">
        <v>153</v>
      </c>
      <c r="D967" s="147" t="s">
        <v>153</v>
      </c>
      <c r="E967" s="148" t="s">
        <v>153</v>
      </c>
      <c r="F967" s="149" t="s">
        <v>19066</v>
      </c>
      <c r="G967" s="150" t="s">
        <v>153</v>
      </c>
      <c r="H967" s="151" t="s">
        <v>19067</v>
      </c>
      <c r="I967" s="152" t="s">
        <v>19064</v>
      </c>
      <c r="J967" s="153" t="s">
        <v>19068</v>
      </c>
      <c r="K967" s="154" t="s">
        <v>232</v>
      </c>
      <c r="L967" s="155" t="s">
        <v>362</v>
      </c>
      <c r="M967" s="156" t="s">
        <v>4656</v>
      </c>
      <c r="N967" s="157" t="s">
        <v>4657</v>
      </c>
      <c r="O967" s="158" t="s">
        <v>153</v>
      </c>
      <c r="P967" s="159" t="s">
        <v>19069</v>
      </c>
      <c r="Q967" s="160" t="s">
        <v>204</v>
      </c>
      <c r="R967" s="161">
        <v>600</v>
      </c>
      <c r="S967" s="162" t="s">
        <v>290</v>
      </c>
      <c r="T967" s="163" t="s">
        <v>205</v>
      </c>
      <c r="U967" s="164" t="s">
        <v>1706</v>
      </c>
      <c r="V967" s="165" t="s">
        <v>19070</v>
      </c>
      <c r="W967" s="166">
        <v>36</v>
      </c>
      <c r="X967" s="167" t="s">
        <v>19071</v>
      </c>
      <c r="Y967" s="168" t="s">
        <v>153</v>
      </c>
      <c r="Z967" s="169" t="s">
        <v>153</v>
      </c>
      <c r="AA967" s="170">
        <v>1998</v>
      </c>
      <c r="AB967" s="171" t="s">
        <v>19072</v>
      </c>
      <c r="AC967" s="172" t="s">
        <v>153</v>
      </c>
      <c r="AD967" s="173" t="s">
        <v>153</v>
      </c>
      <c r="AE967" s="174" t="s">
        <v>153</v>
      </c>
      <c r="AF967" s="175" t="s">
        <v>153</v>
      </c>
      <c r="AG967" s="176" t="s">
        <v>153</v>
      </c>
      <c r="AH967" s="177" t="s">
        <v>153</v>
      </c>
      <c r="AI967" s="178" t="s">
        <v>153</v>
      </c>
      <c r="AJ967" s="179" t="s">
        <v>153</v>
      </c>
      <c r="AK967" s="180" t="s">
        <v>153</v>
      </c>
      <c r="AL967" s="181" t="s">
        <v>153</v>
      </c>
      <c r="AM967" s="182" t="s">
        <v>153</v>
      </c>
      <c r="AN967" s="183" t="s">
        <v>538</v>
      </c>
      <c r="AO967" s="184" t="s">
        <v>19073</v>
      </c>
      <c r="AP967" s="185" t="s">
        <v>19074</v>
      </c>
      <c r="AQ967" s="186" t="s">
        <v>19075</v>
      </c>
      <c r="AR967" s="187" t="s">
        <v>153</v>
      </c>
      <c r="AS967" s="188" t="s">
        <v>19076</v>
      </c>
      <c r="AT967" s="189" t="s">
        <v>19077</v>
      </c>
      <c r="AU967" s="190" t="s">
        <v>19078</v>
      </c>
      <c r="AV967" s="191" t="s">
        <v>19079</v>
      </c>
      <c r="AW967" s="192" t="s">
        <v>19080</v>
      </c>
      <c r="AX967" s="193" t="s">
        <v>5957</v>
      </c>
      <c r="AY967" s="194" t="s">
        <v>19081</v>
      </c>
      <c r="AZ967" s="195" t="s">
        <v>215</v>
      </c>
      <c r="BA967" s="196" t="s">
        <v>19082</v>
      </c>
      <c r="BB967" s="197" t="s">
        <v>19083</v>
      </c>
      <c r="BC967" s="198" t="s">
        <v>153</v>
      </c>
      <c r="BD967" s="199" t="s">
        <v>216</v>
      </c>
      <c r="BE967" s="200" t="s">
        <v>217</v>
      </c>
      <c r="BF967" s="201" t="s">
        <v>19084</v>
      </c>
      <c r="BG967" s="202" t="s">
        <v>153</v>
      </c>
      <c r="BH967" s="203" t="s">
        <v>153</v>
      </c>
      <c r="BI967" s="204" t="s">
        <v>19072</v>
      </c>
      <c r="BJ967" s="205" t="s">
        <v>19085</v>
      </c>
      <c r="BK967" s="206" t="s">
        <v>2879</v>
      </c>
      <c r="BL967" s="207" t="s">
        <v>153</v>
      </c>
      <c r="BM967" s="208" t="s">
        <v>19086</v>
      </c>
      <c r="BN967" s="209" t="s">
        <v>2881</v>
      </c>
      <c r="BO967" s="210" t="s">
        <v>19087</v>
      </c>
      <c r="BP967" s="211" t="s">
        <v>19088</v>
      </c>
      <c r="BQ967" s="212">
        <v>35909</v>
      </c>
      <c r="BR967" s="213" t="s">
        <v>153</v>
      </c>
      <c r="BS967" s="214" t="s">
        <v>153</v>
      </c>
      <c r="BT967" s="215" t="s">
        <v>153</v>
      </c>
      <c r="BU967" s="216" t="s">
        <v>153</v>
      </c>
      <c r="BV967" s="217" t="s">
        <v>251</v>
      </c>
      <c r="BW967" s="218" t="s">
        <v>153</v>
      </c>
      <c r="BX967" s="219" t="s">
        <v>153</v>
      </c>
      <c r="BY967" s="220" t="s">
        <v>252</v>
      </c>
      <c r="BZ967" s="221" t="s">
        <v>153</v>
      </c>
      <c r="CA967" s="222" t="s">
        <v>190</v>
      </c>
      <c r="CB967" s="223">
        <v>43434</v>
      </c>
      <c r="CC967" s="224">
        <v>5200</v>
      </c>
      <c r="CD967" s="225" t="s">
        <v>186</v>
      </c>
      <c r="CE967" s="226">
        <v>5200</v>
      </c>
      <c r="CF967" s="227" t="s">
        <v>186</v>
      </c>
      <c r="CG967" s="228" t="s">
        <v>226</v>
      </c>
      <c r="CH967" s="229" t="s">
        <v>153</v>
      </c>
      <c r="CI967" s="230" t="s">
        <v>153</v>
      </c>
      <c r="CJ967" s="231" t="s">
        <v>225</v>
      </c>
      <c r="CK967" s="232">
        <v>43434</v>
      </c>
      <c r="CL967" s="233" t="s">
        <v>153</v>
      </c>
      <c r="CM967" s="234" t="s">
        <v>153</v>
      </c>
      <c r="CN967" s="235" t="s">
        <v>190</v>
      </c>
      <c r="CO967" s="236" t="s">
        <v>153</v>
      </c>
      <c r="CP967" s="237" t="s">
        <v>153</v>
      </c>
      <c r="CQ967" s="238" t="s">
        <v>153</v>
      </c>
      <c r="CR967" s="239" t="s">
        <v>153</v>
      </c>
      <c r="CS967" s="240" t="s">
        <v>153</v>
      </c>
      <c r="CT967" s="241" t="s">
        <v>153</v>
      </c>
      <c r="CU967" s="242" t="s">
        <v>153</v>
      </c>
      <c r="CV967" s="243" t="s">
        <v>153</v>
      </c>
      <c r="CW967" s="244" t="s">
        <v>153</v>
      </c>
      <c r="CX967" s="245" t="s">
        <v>153</v>
      </c>
      <c r="CY967" s="246" t="s">
        <v>153</v>
      </c>
      <c r="CZ967" s="247" t="s">
        <v>153</v>
      </c>
      <c r="DA967" s="248" t="s">
        <v>153</v>
      </c>
      <c r="DB967" s="249" t="s">
        <v>153</v>
      </c>
      <c r="DC967" s="250" t="s">
        <v>153</v>
      </c>
      <c r="DD967" s="251" t="s">
        <v>153</v>
      </c>
      <c r="DE967" s="252" t="s">
        <v>153</v>
      </c>
      <c r="DF967" s="253" t="s">
        <v>153</v>
      </c>
      <c r="DG967" s="254" t="s">
        <v>153</v>
      </c>
      <c r="DH967" s="255" t="s">
        <v>153</v>
      </c>
      <c r="DI967" s="256" t="s">
        <v>153</v>
      </c>
      <c r="DJ967" s="257" t="s">
        <v>153</v>
      </c>
      <c r="DK967" s="258" t="s">
        <v>153</v>
      </c>
      <c r="DL967" s="259" t="s">
        <v>153</v>
      </c>
      <c r="DM967" s="260" t="s">
        <v>153</v>
      </c>
      <c r="DN967" s="261" t="s">
        <v>153</v>
      </c>
      <c r="DO967" s="262" t="s">
        <v>153</v>
      </c>
      <c r="DP967" s="263" t="s">
        <v>153</v>
      </c>
      <c r="DQ967" s="264" t="s">
        <v>153</v>
      </c>
      <c r="DR967" s="265" t="s">
        <v>153</v>
      </c>
      <c r="DS967" s="266" t="s">
        <v>153</v>
      </c>
      <c r="DT967" s="267" t="s">
        <v>153</v>
      </c>
      <c r="DU967" s="268" t="s">
        <v>153</v>
      </c>
      <c r="DV967" s="269" t="s">
        <v>153</v>
      </c>
      <c r="DW967" s="270" t="s">
        <v>153</v>
      </c>
      <c r="DX967" s="271" t="s">
        <v>153</v>
      </c>
      <c r="DY967" s="272" t="s">
        <v>153</v>
      </c>
      <c r="DZ967" s="273" t="s">
        <v>191</v>
      </c>
      <c r="EA967" s="274">
        <v>44257</v>
      </c>
      <c r="EB967" s="275">
        <v>5200</v>
      </c>
      <c r="EC967" s="276">
        <v>43434</v>
      </c>
      <c r="ED967" s="277" t="s">
        <v>226</v>
      </c>
      <c r="EE967" s="279" t="str">
        <f>HYPERLINK("https://my.pitchbook.com?c=11080-09", "View company online")</f>
        <v>View company online</v>
      </c>
    </row>
    <row r="968" spans="1:135" x14ac:dyDescent="0.45">
      <c r="A968" s="10" t="s">
        <v>19089</v>
      </c>
      <c r="B968" s="11" t="s">
        <v>19090</v>
      </c>
      <c r="C968" s="12" t="s">
        <v>153</v>
      </c>
      <c r="D968" s="13" t="s">
        <v>153</v>
      </c>
      <c r="E968" s="14" t="s">
        <v>153</v>
      </c>
      <c r="F968" s="15" t="s">
        <v>19091</v>
      </c>
      <c r="G968" s="16" t="s">
        <v>153</v>
      </c>
      <c r="H968" s="17" t="s">
        <v>19092</v>
      </c>
      <c r="I968" s="18" t="s">
        <v>19089</v>
      </c>
      <c r="J968" s="19" t="s">
        <v>19093</v>
      </c>
      <c r="K968" s="20" t="s">
        <v>257</v>
      </c>
      <c r="L968" s="21" t="s">
        <v>478</v>
      </c>
      <c r="M968" s="22" t="s">
        <v>2670</v>
      </c>
      <c r="N968" s="23" t="s">
        <v>19094</v>
      </c>
      <c r="O968" s="24" t="s">
        <v>153</v>
      </c>
      <c r="P968" s="25" t="s">
        <v>19095</v>
      </c>
      <c r="Q968" s="26" t="s">
        <v>289</v>
      </c>
      <c r="R968" s="27" t="s">
        <v>153</v>
      </c>
      <c r="S968" s="28" t="s">
        <v>163</v>
      </c>
      <c r="T968" s="29" t="s">
        <v>164</v>
      </c>
      <c r="U968" s="30" t="s">
        <v>941</v>
      </c>
      <c r="V968" s="31" t="s">
        <v>19096</v>
      </c>
      <c r="W968" s="32">
        <v>22000</v>
      </c>
      <c r="X968" s="33" t="s">
        <v>19097</v>
      </c>
      <c r="Y968" s="34" t="s">
        <v>153</v>
      </c>
      <c r="Z968" s="35" t="s">
        <v>153</v>
      </c>
      <c r="AA968" s="36">
        <v>1954</v>
      </c>
      <c r="AB968" s="37" t="s">
        <v>3080</v>
      </c>
      <c r="AC968" s="38" t="s">
        <v>153</v>
      </c>
      <c r="AD968" s="39" t="s">
        <v>570</v>
      </c>
      <c r="AE968" s="40" t="s">
        <v>153</v>
      </c>
      <c r="AF968" s="41" t="s">
        <v>153</v>
      </c>
      <c r="AG968" s="42" t="s">
        <v>153</v>
      </c>
      <c r="AH968" s="43" t="s">
        <v>153</v>
      </c>
      <c r="AI968" s="44" t="s">
        <v>153</v>
      </c>
      <c r="AJ968" s="45" t="s">
        <v>153</v>
      </c>
      <c r="AK968" s="46" t="s">
        <v>153</v>
      </c>
      <c r="AL968" s="47" t="s">
        <v>153</v>
      </c>
      <c r="AM968" s="48" t="s">
        <v>153</v>
      </c>
      <c r="AN968" s="49" t="s">
        <v>1195</v>
      </c>
      <c r="AO968" s="50" t="s">
        <v>19098</v>
      </c>
      <c r="AP968" s="51" t="s">
        <v>19099</v>
      </c>
      <c r="AQ968" s="52" t="s">
        <v>19100</v>
      </c>
      <c r="AR968" s="53" t="s">
        <v>19101</v>
      </c>
      <c r="AS968" s="54" t="s">
        <v>19102</v>
      </c>
      <c r="AT968" s="55" t="s">
        <v>4791</v>
      </c>
      <c r="AU968" s="56" t="s">
        <v>19103</v>
      </c>
      <c r="AV968" s="57" t="s">
        <v>153</v>
      </c>
      <c r="AW968" s="58" t="s">
        <v>4793</v>
      </c>
      <c r="AX968" s="59" t="s">
        <v>385</v>
      </c>
      <c r="AY968" s="60" t="s">
        <v>19104</v>
      </c>
      <c r="AZ968" s="61" t="s">
        <v>215</v>
      </c>
      <c r="BA968" s="62" t="s">
        <v>19102</v>
      </c>
      <c r="BB968" s="63" t="s">
        <v>153</v>
      </c>
      <c r="BC968" s="64" t="s">
        <v>153</v>
      </c>
      <c r="BD968" s="65" t="s">
        <v>216</v>
      </c>
      <c r="BE968" s="66" t="s">
        <v>217</v>
      </c>
      <c r="BF968" s="67" t="s">
        <v>19105</v>
      </c>
      <c r="BG968" s="68" t="s">
        <v>153</v>
      </c>
      <c r="BH968" s="69" t="s">
        <v>153</v>
      </c>
      <c r="BI968" s="70" t="s">
        <v>3080</v>
      </c>
      <c r="BJ968" s="71" t="s">
        <v>19106</v>
      </c>
      <c r="BK968" s="72" t="s">
        <v>153</v>
      </c>
      <c r="BL968" s="73" t="s">
        <v>153</v>
      </c>
      <c r="BM968" s="74" t="s">
        <v>19107</v>
      </c>
      <c r="BN968" s="75" t="s">
        <v>153</v>
      </c>
      <c r="BO968" s="76" t="s">
        <v>19108</v>
      </c>
      <c r="BP968" s="77" t="s">
        <v>7937</v>
      </c>
      <c r="BQ968" s="78" t="s">
        <v>153</v>
      </c>
      <c r="BR968" s="79" t="s">
        <v>153</v>
      </c>
      <c r="BS968" s="80" t="s">
        <v>153</v>
      </c>
      <c r="BT968" s="81" t="s">
        <v>153</v>
      </c>
      <c r="BU968" s="82" t="s">
        <v>153</v>
      </c>
      <c r="BV968" s="83" t="s">
        <v>471</v>
      </c>
      <c r="BW968" s="84" t="s">
        <v>153</v>
      </c>
      <c r="BX968" s="85" t="s">
        <v>153</v>
      </c>
      <c r="BY968" s="86" t="s">
        <v>472</v>
      </c>
      <c r="BZ968" s="87" t="s">
        <v>153</v>
      </c>
      <c r="CA968" s="88" t="s">
        <v>190</v>
      </c>
      <c r="CB968" s="89">
        <v>40374</v>
      </c>
      <c r="CC968" s="90">
        <v>5200</v>
      </c>
      <c r="CD968" s="91" t="s">
        <v>186</v>
      </c>
      <c r="CE968" s="92">
        <v>5200</v>
      </c>
      <c r="CF968" s="93" t="s">
        <v>186</v>
      </c>
      <c r="CG968" s="94" t="s">
        <v>226</v>
      </c>
      <c r="CH968" s="95" t="s">
        <v>153</v>
      </c>
      <c r="CI968" s="96" t="s">
        <v>153</v>
      </c>
      <c r="CJ968" s="97" t="s">
        <v>225</v>
      </c>
      <c r="CK968" s="98">
        <v>40374</v>
      </c>
      <c r="CL968" s="99" t="s">
        <v>153</v>
      </c>
      <c r="CM968" s="100" t="s">
        <v>153</v>
      </c>
      <c r="CN968" s="101" t="s">
        <v>190</v>
      </c>
      <c r="CO968" s="102" t="s">
        <v>153</v>
      </c>
      <c r="CP968" s="103" t="s">
        <v>153</v>
      </c>
      <c r="CQ968" s="104" t="s">
        <v>153</v>
      </c>
      <c r="CR968" s="105" t="s">
        <v>153</v>
      </c>
      <c r="CS968" s="106" t="s">
        <v>153</v>
      </c>
      <c r="CT968" s="107" t="s">
        <v>153</v>
      </c>
      <c r="CU968" s="108" t="s">
        <v>153</v>
      </c>
      <c r="CV968" s="109" t="s">
        <v>153</v>
      </c>
      <c r="CW968" s="110" t="s">
        <v>153</v>
      </c>
      <c r="CX968" s="111" t="s">
        <v>153</v>
      </c>
      <c r="CY968" s="112" t="s">
        <v>153</v>
      </c>
      <c r="CZ968" s="113" t="s">
        <v>153</v>
      </c>
      <c r="DA968" s="114" t="s">
        <v>153</v>
      </c>
      <c r="DB968" s="115" t="s">
        <v>153</v>
      </c>
      <c r="DC968" s="116" t="s">
        <v>153</v>
      </c>
      <c r="DD968" s="117" t="s">
        <v>153</v>
      </c>
      <c r="DE968" s="118" t="s">
        <v>153</v>
      </c>
      <c r="DF968" s="119" t="s">
        <v>153</v>
      </c>
      <c r="DG968" s="120" t="s">
        <v>153</v>
      </c>
      <c r="DH968" s="121" t="s">
        <v>153</v>
      </c>
      <c r="DI968" s="122" t="s">
        <v>153</v>
      </c>
      <c r="DJ968" s="123" t="s">
        <v>153</v>
      </c>
      <c r="DK968" s="124" t="s">
        <v>153</v>
      </c>
      <c r="DL968" s="125" t="s">
        <v>153</v>
      </c>
      <c r="DM968" s="126" t="s">
        <v>153</v>
      </c>
      <c r="DN968" s="127" t="s">
        <v>153</v>
      </c>
      <c r="DO968" s="128" t="s">
        <v>153</v>
      </c>
      <c r="DP968" s="129" t="s">
        <v>153</v>
      </c>
      <c r="DQ968" s="130" t="s">
        <v>153</v>
      </c>
      <c r="DR968" s="131" t="s">
        <v>153</v>
      </c>
      <c r="DS968" s="132" t="s">
        <v>153</v>
      </c>
      <c r="DT968" s="133" t="s">
        <v>153</v>
      </c>
      <c r="DU968" s="134" t="s">
        <v>153</v>
      </c>
      <c r="DV968" s="135" t="s">
        <v>153</v>
      </c>
      <c r="DW968" s="136" t="s">
        <v>153</v>
      </c>
      <c r="DX968" s="137" t="s">
        <v>153</v>
      </c>
      <c r="DY968" s="138" t="s">
        <v>153</v>
      </c>
      <c r="DZ968" s="139" t="s">
        <v>191</v>
      </c>
      <c r="EA968" s="140">
        <v>44260</v>
      </c>
      <c r="EB968" s="141">
        <v>5200</v>
      </c>
      <c r="EC968" s="142">
        <v>40374</v>
      </c>
      <c r="ED968" s="143" t="s">
        <v>226</v>
      </c>
      <c r="EE968" s="278" t="str">
        <f>HYPERLINK("https://my.pitchbook.com?c=41191-75", "View company online")</f>
        <v>View company online</v>
      </c>
    </row>
    <row r="969" spans="1:135" x14ac:dyDescent="0.45">
      <c r="A969" s="144" t="s">
        <v>19109</v>
      </c>
      <c r="B969" s="145" t="s">
        <v>19110</v>
      </c>
      <c r="C969" s="146" t="s">
        <v>153</v>
      </c>
      <c r="D969" s="147" t="s">
        <v>153</v>
      </c>
      <c r="E969" s="148" t="s">
        <v>153</v>
      </c>
      <c r="F969" s="149" t="s">
        <v>19111</v>
      </c>
      <c r="G969" s="150" t="s">
        <v>19112</v>
      </c>
      <c r="H969" s="151" t="s">
        <v>153</v>
      </c>
      <c r="I969" s="152" t="s">
        <v>19109</v>
      </c>
      <c r="J969" s="153" t="s">
        <v>19113</v>
      </c>
      <c r="K969" s="154" t="s">
        <v>257</v>
      </c>
      <c r="L969" s="155" t="s">
        <v>258</v>
      </c>
      <c r="M969" s="156" t="s">
        <v>448</v>
      </c>
      <c r="N969" s="157" t="s">
        <v>1138</v>
      </c>
      <c r="O969" s="158" t="s">
        <v>450</v>
      </c>
      <c r="P969" s="159" t="s">
        <v>19114</v>
      </c>
      <c r="Q969" s="160" t="s">
        <v>289</v>
      </c>
      <c r="R969" s="161">
        <v>40</v>
      </c>
      <c r="S969" s="162" t="s">
        <v>163</v>
      </c>
      <c r="T969" s="163" t="s">
        <v>205</v>
      </c>
      <c r="U969" s="164" t="s">
        <v>941</v>
      </c>
      <c r="V969" s="165" t="s">
        <v>19115</v>
      </c>
      <c r="W969" s="166">
        <v>365</v>
      </c>
      <c r="X969" s="167" t="s">
        <v>19116</v>
      </c>
      <c r="Y969" s="168" t="s">
        <v>153</v>
      </c>
      <c r="Z969" s="169" t="s">
        <v>153</v>
      </c>
      <c r="AA969" s="170">
        <v>1986</v>
      </c>
      <c r="AB969" s="171" t="s">
        <v>153</v>
      </c>
      <c r="AC969" s="172" t="s">
        <v>153</v>
      </c>
      <c r="AD969" s="173" t="s">
        <v>153</v>
      </c>
      <c r="AE969" s="174" t="s">
        <v>153</v>
      </c>
      <c r="AF969" s="175" t="s">
        <v>153</v>
      </c>
      <c r="AG969" s="176" t="s">
        <v>153</v>
      </c>
      <c r="AH969" s="177" t="s">
        <v>153</v>
      </c>
      <c r="AI969" s="178" t="s">
        <v>153</v>
      </c>
      <c r="AJ969" s="179" t="s">
        <v>153</v>
      </c>
      <c r="AK969" s="180" t="s">
        <v>153</v>
      </c>
      <c r="AL969" s="181" t="s">
        <v>153</v>
      </c>
      <c r="AM969" s="182" t="s">
        <v>153</v>
      </c>
      <c r="AN969" s="183" t="s">
        <v>484</v>
      </c>
      <c r="AO969" s="184" t="s">
        <v>153</v>
      </c>
      <c r="AP969" s="185" t="s">
        <v>153</v>
      </c>
      <c r="AQ969" s="186" t="s">
        <v>153</v>
      </c>
      <c r="AR969" s="187" t="s">
        <v>153</v>
      </c>
      <c r="AS969" s="188" t="s">
        <v>153</v>
      </c>
      <c r="AT969" s="189" t="s">
        <v>19117</v>
      </c>
      <c r="AU969" s="190" t="s">
        <v>19118</v>
      </c>
      <c r="AV969" s="191" t="s">
        <v>153</v>
      </c>
      <c r="AW969" s="192" t="s">
        <v>19119</v>
      </c>
      <c r="AX969" s="193" t="s">
        <v>273</v>
      </c>
      <c r="AY969" s="194" t="s">
        <v>19120</v>
      </c>
      <c r="AZ969" s="195" t="s">
        <v>215</v>
      </c>
      <c r="BA969" s="196" t="s">
        <v>153</v>
      </c>
      <c r="BB969" s="197" t="s">
        <v>153</v>
      </c>
      <c r="BC969" s="198" t="s">
        <v>153</v>
      </c>
      <c r="BD969" s="199" t="s">
        <v>216</v>
      </c>
      <c r="BE969" s="200" t="s">
        <v>217</v>
      </c>
      <c r="BF969" s="201" t="s">
        <v>19121</v>
      </c>
      <c r="BG969" s="202" t="s">
        <v>153</v>
      </c>
      <c r="BH969" s="203" t="s">
        <v>153</v>
      </c>
      <c r="BI969" s="204" t="s">
        <v>750</v>
      </c>
      <c r="BJ969" s="205" t="s">
        <v>19122</v>
      </c>
      <c r="BK969" s="206" t="s">
        <v>153</v>
      </c>
      <c r="BL969" s="207" t="s">
        <v>153</v>
      </c>
      <c r="BM969" s="208" t="s">
        <v>19123</v>
      </c>
      <c r="BN969" s="209" t="s">
        <v>153</v>
      </c>
      <c r="BO969" s="210" t="s">
        <v>19124</v>
      </c>
      <c r="BP969" s="211" t="s">
        <v>19125</v>
      </c>
      <c r="BQ969" s="212" t="s">
        <v>153</v>
      </c>
      <c r="BR969" s="213" t="s">
        <v>153</v>
      </c>
      <c r="BS969" s="214" t="s">
        <v>153</v>
      </c>
      <c r="BT969" s="215" t="s">
        <v>153</v>
      </c>
      <c r="BU969" s="216" t="s">
        <v>153</v>
      </c>
      <c r="BV969" s="217" t="s">
        <v>471</v>
      </c>
      <c r="BW969" s="218" t="s">
        <v>153</v>
      </c>
      <c r="BX969" s="219" t="s">
        <v>153</v>
      </c>
      <c r="BY969" s="220" t="s">
        <v>472</v>
      </c>
      <c r="BZ969" s="221" t="s">
        <v>153</v>
      </c>
      <c r="CA969" s="222" t="s">
        <v>190</v>
      </c>
      <c r="CB969" s="223">
        <v>42056</v>
      </c>
      <c r="CC969" s="224">
        <v>5200</v>
      </c>
      <c r="CD969" s="225" t="s">
        <v>186</v>
      </c>
      <c r="CE969" s="226">
        <v>5200</v>
      </c>
      <c r="CF969" s="227" t="s">
        <v>186</v>
      </c>
      <c r="CG969" s="228" t="s">
        <v>226</v>
      </c>
      <c r="CH969" s="229" t="s">
        <v>153</v>
      </c>
      <c r="CI969" s="230" t="s">
        <v>153</v>
      </c>
      <c r="CJ969" s="231" t="s">
        <v>225</v>
      </c>
      <c r="CK969" s="232">
        <v>42056</v>
      </c>
      <c r="CL969" s="233" t="s">
        <v>153</v>
      </c>
      <c r="CM969" s="234" t="s">
        <v>153</v>
      </c>
      <c r="CN969" s="235" t="s">
        <v>190</v>
      </c>
      <c r="CO969" s="236" t="s">
        <v>153</v>
      </c>
      <c r="CP969" s="237" t="s">
        <v>153</v>
      </c>
      <c r="CQ969" s="238" t="s">
        <v>153</v>
      </c>
      <c r="CR969" s="239" t="s">
        <v>153</v>
      </c>
      <c r="CS969" s="240" t="s">
        <v>153</v>
      </c>
      <c r="CT969" s="241" t="s">
        <v>153</v>
      </c>
      <c r="CU969" s="242" t="s">
        <v>153</v>
      </c>
      <c r="CV969" s="243" t="s">
        <v>153</v>
      </c>
      <c r="CW969" s="244" t="s">
        <v>153</v>
      </c>
      <c r="CX969" s="245" t="s">
        <v>153</v>
      </c>
      <c r="CY969" s="246" t="s">
        <v>153</v>
      </c>
      <c r="CZ969" s="247" t="s">
        <v>153</v>
      </c>
      <c r="DA969" s="248" t="s">
        <v>153</v>
      </c>
      <c r="DB969" s="249" t="s">
        <v>153</v>
      </c>
      <c r="DC969" s="250" t="s">
        <v>153</v>
      </c>
      <c r="DD969" s="251" t="s">
        <v>153</v>
      </c>
      <c r="DE969" s="252" t="s">
        <v>153</v>
      </c>
      <c r="DF969" s="253" t="s">
        <v>153</v>
      </c>
      <c r="DG969" s="254" t="s">
        <v>153</v>
      </c>
      <c r="DH969" s="255" t="s">
        <v>153</v>
      </c>
      <c r="DI969" s="256" t="s">
        <v>153</v>
      </c>
      <c r="DJ969" s="257" t="s">
        <v>153</v>
      </c>
      <c r="DK969" s="258" t="s">
        <v>153</v>
      </c>
      <c r="DL969" s="259" t="s">
        <v>153</v>
      </c>
      <c r="DM969" s="260" t="s">
        <v>153</v>
      </c>
      <c r="DN969" s="261" t="s">
        <v>153</v>
      </c>
      <c r="DO969" s="262" t="s">
        <v>153</v>
      </c>
      <c r="DP969" s="263" t="s">
        <v>153</v>
      </c>
      <c r="DQ969" s="264" t="s">
        <v>153</v>
      </c>
      <c r="DR969" s="265" t="s">
        <v>153</v>
      </c>
      <c r="DS969" s="266" t="s">
        <v>153</v>
      </c>
      <c r="DT969" s="267" t="s">
        <v>153</v>
      </c>
      <c r="DU969" s="268" t="s">
        <v>153</v>
      </c>
      <c r="DV969" s="269" t="s">
        <v>153</v>
      </c>
      <c r="DW969" s="270" t="s">
        <v>153</v>
      </c>
      <c r="DX969" s="271" t="s">
        <v>153</v>
      </c>
      <c r="DY969" s="272" t="s">
        <v>153</v>
      </c>
      <c r="DZ969" s="273" t="s">
        <v>191</v>
      </c>
      <c r="EA969" s="274">
        <v>44299</v>
      </c>
      <c r="EB969" s="275">
        <v>5200</v>
      </c>
      <c r="EC969" s="276">
        <v>42056</v>
      </c>
      <c r="ED969" s="277" t="s">
        <v>226</v>
      </c>
      <c r="EE969" s="279" t="str">
        <f>HYPERLINK("https://my.pitchbook.com?c=40744-81", "View company online")</f>
        <v>View company online</v>
      </c>
    </row>
    <row r="970" spans="1:135" x14ac:dyDescent="0.45">
      <c r="A970" s="10" t="s">
        <v>19126</v>
      </c>
      <c r="B970" s="11" t="s">
        <v>19127</v>
      </c>
      <c r="C970" s="12" t="s">
        <v>153</v>
      </c>
      <c r="D970" s="13" t="s">
        <v>153</v>
      </c>
      <c r="E970" s="14" t="s">
        <v>153</v>
      </c>
      <c r="F970" s="15" t="s">
        <v>19128</v>
      </c>
      <c r="G970" s="16" t="s">
        <v>19129</v>
      </c>
      <c r="H970" s="17" t="s">
        <v>153</v>
      </c>
      <c r="I970" s="18" t="s">
        <v>19126</v>
      </c>
      <c r="J970" s="19" t="s">
        <v>19130</v>
      </c>
      <c r="K970" s="20" t="s">
        <v>882</v>
      </c>
      <c r="L970" s="21" t="s">
        <v>1231</v>
      </c>
      <c r="M970" s="22" t="s">
        <v>1997</v>
      </c>
      <c r="N970" s="23" t="s">
        <v>19131</v>
      </c>
      <c r="O970" s="24" t="s">
        <v>1234</v>
      </c>
      <c r="P970" s="25" t="s">
        <v>19132</v>
      </c>
      <c r="Q970" s="26" t="s">
        <v>162</v>
      </c>
      <c r="R970" s="27">
        <v>50</v>
      </c>
      <c r="S970" s="28" t="s">
        <v>290</v>
      </c>
      <c r="T970" s="29" t="s">
        <v>205</v>
      </c>
      <c r="U970" s="30" t="s">
        <v>5464</v>
      </c>
      <c r="V970" s="31" t="s">
        <v>19133</v>
      </c>
      <c r="W970" s="32" t="s">
        <v>153</v>
      </c>
      <c r="X970" s="33" t="s">
        <v>153</v>
      </c>
      <c r="Y970" s="34" t="s">
        <v>153</v>
      </c>
      <c r="Z970" s="35" t="s">
        <v>153</v>
      </c>
      <c r="AA970" s="36">
        <v>1988</v>
      </c>
      <c r="AB970" s="37" t="s">
        <v>153</v>
      </c>
      <c r="AC970" s="38" t="s">
        <v>153</v>
      </c>
      <c r="AD970" s="39" t="s">
        <v>153</v>
      </c>
      <c r="AE970" s="40" t="s">
        <v>153</v>
      </c>
      <c r="AF970" s="41" t="s">
        <v>153</v>
      </c>
      <c r="AG970" s="42" t="s">
        <v>153</v>
      </c>
      <c r="AH970" s="43" t="s">
        <v>153</v>
      </c>
      <c r="AI970" s="44" t="s">
        <v>153</v>
      </c>
      <c r="AJ970" s="45" t="s">
        <v>153</v>
      </c>
      <c r="AK970" s="46" t="s">
        <v>153</v>
      </c>
      <c r="AL970" s="47" t="s">
        <v>153</v>
      </c>
      <c r="AM970" s="48" t="s">
        <v>153</v>
      </c>
      <c r="AN970" s="49" t="s">
        <v>153</v>
      </c>
      <c r="AO970" s="50" t="s">
        <v>19134</v>
      </c>
      <c r="AP970" s="51" t="s">
        <v>19135</v>
      </c>
      <c r="AQ970" s="52" t="s">
        <v>19136</v>
      </c>
      <c r="AR970" s="53" t="s">
        <v>153</v>
      </c>
      <c r="AS970" s="54" t="s">
        <v>19137</v>
      </c>
      <c r="AT970" s="55" t="s">
        <v>997</v>
      </c>
      <c r="AU970" s="56" t="s">
        <v>19138</v>
      </c>
      <c r="AV970" s="57" t="s">
        <v>19139</v>
      </c>
      <c r="AW970" s="58" t="s">
        <v>999</v>
      </c>
      <c r="AX970" s="59" t="s">
        <v>308</v>
      </c>
      <c r="AY970" s="60" t="s">
        <v>19140</v>
      </c>
      <c r="AZ970" s="61" t="s">
        <v>215</v>
      </c>
      <c r="BA970" s="62" t="s">
        <v>19137</v>
      </c>
      <c r="BB970" s="63" t="s">
        <v>19141</v>
      </c>
      <c r="BC970" s="64" t="s">
        <v>19142</v>
      </c>
      <c r="BD970" s="65" t="s">
        <v>216</v>
      </c>
      <c r="BE970" s="66" t="s">
        <v>217</v>
      </c>
      <c r="BF970" s="67" t="s">
        <v>19143</v>
      </c>
      <c r="BG970" s="68" t="s">
        <v>153</v>
      </c>
      <c r="BH970" s="69" t="s">
        <v>153</v>
      </c>
      <c r="BI970" s="70" t="s">
        <v>19144</v>
      </c>
      <c r="BJ970" s="71" t="s">
        <v>3110</v>
      </c>
      <c r="BK970" s="72" t="s">
        <v>19145</v>
      </c>
      <c r="BL970" s="73" t="s">
        <v>153</v>
      </c>
      <c r="BM970" s="74" t="s">
        <v>3111</v>
      </c>
      <c r="BN970" s="75" t="s">
        <v>19146</v>
      </c>
      <c r="BO970" s="76" t="s">
        <v>153</v>
      </c>
      <c r="BP970" s="77" t="s">
        <v>19147</v>
      </c>
      <c r="BQ970" s="78">
        <v>38047</v>
      </c>
      <c r="BR970" s="79">
        <v>250</v>
      </c>
      <c r="BS970" s="80" t="s">
        <v>186</v>
      </c>
      <c r="BT970" s="81">
        <v>250</v>
      </c>
      <c r="BU970" s="82" t="s">
        <v>186</v>
      </c>
      <c r="BV970" s="83" t="s">
        <v>188</v>
      </c>
      <c r="BW970" s="84" t="s">
        <v>153</v>
      </c>
      <c r="BX970" s="85" t="s">
        <v>153</v>
      </c>
      <c r="BY970" s="86" t="s">
        <v>165</v>
      </c>
      <c r="BZ970" s="87" t="s">
        <v>153</v>
      </c>
      <c r="CA970" s="88" t="s">
        <v>190</v>
      </c>
      <c r="CB970" s="89">
        <v>39213</v>
      </c>
      <c r="CC970" s="90">
        <v>5200</v>
      </c>
      <c r="CD970" s="91" t="s">
        <v>186</v>
      </c>
      <c r="CE970" s="92">
        <v>5200</v>
      </c>
      <c r="CF970" s="93" t="s">
        <v>186</v>
      </c>
      <c r="CG970" s="94" t="s">
        <v>188</v>
      </c>
      <c r="CH970" s="95" t="s">
        <v>5549</v>
      </c>
      <c r="CI970" s="96" t="s">
        <v>189</v>
      </c>
      <c r="CJ970" s="97" t="s">
        <v>165</v>
      </c>
      <c r="CK970" s="98">
        <v>39213</v>
      </c>
      <c r="CL970" s="99" t="s">
        <v>153</v>
      </c>
      <c r="CM970" s="100" t="s">
        <v>153</v>
      </c>
      <c r="CN970" s="101" t="s">
        <v>190</v>
      </c>
      <c r="CO970" s="102" t="s">
        <v>153</v>
      </c>
      <c r="CP970" s="103" t="s">
        <v>153</v>
      </c>
      <c r="CQ970" s="104" t="s">
        <v>153</v>
      </c>
      <c r="CR970" s="105" t="s">
        <v>153</v>
      </c>
      <c r="CS970" s="106" t="s">
        <v>153</v>
      </c>
      <c r="CT970" s="107" t="s">
        <v>153</v>
      </c>
      <c r="CU970" s="108" t="s">
        <v>153</v>
      </c>
      <c r="CV970" s="109" t="s">
        <v>153</v>
      </c>
      <c r="CW970" s="110" t="s">
        <v>153</v>
      </c>
      <c r="CX970" s="111" t="s">
        <v>153</v>
      </c>
      <c r="CY970" s="112" t="s">
        <v>153</v>
      </c>
      <c r="CZ970" s="113" t="s">
        <v>153</v>
      </c>
      <c r="DA970" s="114" t="s">
        <v>153</v>
      </c>
      <c r="DB970" s="115" t="s">
        <v>153</v>
      </c>
      <c r="DC970" s="116" t="s">
        <v>153</v>
      </c>
      <c r="DD970" s="117" t="s">
        <v>153</v>
      </c>
      <c r="DE970" s="118" t="s">
        <v>153</v>
      </c>
      <c r="DF970" s="119" t="s">
        <v>153</v>
      </c>
      <c r="DG970" s="120" t="s">
        <v>153</v>
      </c>
      <c r="DH970" s="121" t="s">
        <v>153</v>
      </c>
      <c r="DI970" s="122" t="s">
        <v>153</v>
      </c>
      <c r="DJ970" s="123" t="s">
        <v>153</v>
      </c>
      <c r="DK970" s="124" t="s">
        <v>153</v>
      </c>
      <c r="DL970" s="125" t="s">
        <v>153</v>
      </c>
      <c r="DM970" s="126" t="s">
        <v>153</v>
      </c>
      <c r="DN970" s="127" t="s">
        <v>153</v>
      </c>
      <c r="DO970" s="128" t="s">
        <v>153</v>
      </c>
      <c r="DP970" s="129" t="s">
        <v>153</v>
      </c>
      <c r="DQ970" s="130" t="s">
        <v>153</v>
      </c>
      <c r="DR970" s="131" t="s">
        <v>153</v>
      </c>
      <c r="DS970" s="132" t="s">
        <v>153</v>
      </c>
      <c r="DT970" s="133" t="s">
        <v>153</v>
      </c>
      <c r="DU970" s="134" t="s">
        <v>153</v>
      </c>
      <c r="DV970" s="135" t="s">
        <v>153</v>
      </c>
      <c r="DW970" s="136" t="s">
        <v>153</v>
      </c>
      <c r="DX970" s="137" t="s">
        <v>153</v>
      </c>
      <c r="DY970" s="138" t="s">
        <v>153</v>
      </c>
      <c r="DZ970" s="139" t="s">
        <v>191</v>
      </c>
      <c r="EA970" s="140">
        <v>44147</v>
      </c>
      <c r="EB970" s="141">
        <v>5200</v>
      </c>
      <c r="EC970" s="142">
        <v>39213</v>
      </c>
      <c r="ED970" s="143" t="s">
        <v>188</v>
      </c>
      <c r="EE970" s="278" t="str">
        <f>HYPERLINK("https://my.pitchbook.com?c=10253-35", "View company online")</f>
        <v>View company online</v>
      </c>
    </row>
    <row r="971" spans="1:135" x14ac:dyDescent="0.45">
      <c r="A971" s="144" t="s">
        <v>19148</v>
      </c>
      <c r="B971" s="145" t="s">
        <v>19149</v>
      </c>
      <c r="C971" s="146" t="s">
        <v>153</v>
      </c>
      <c r="D971" s="147" t="s">
        <v>153</v>
      </c>
      <c r="E971" s="148" t="s">
        <v>153</v>
      </c>
      <c r="F971" s="149" t="s">
        <v>153</v>
      </c>
      <c r="G971" s="150" t="s">
        <v>19150</v>
      </c>
      <c r="H971" s="151" t="s">
        <v>153</v>
      </c>
      <c r="I971" s="152" t="s">
        <v>19148</v>
      </c>
      <c r="J971" s="153" t="s">
        <v>19151</v>
      </c>
      <c r="K971" s="154" t="s">
        <v>882</v>
      </c>
      <c r="L971" s="155" t="s">
        <v>2888</v>
      </c>
      <c r="M971" s="156" t="s">
        <v>2889</v>
      </c>
      <c r="N971" s="157" t="s">
        <v>19152</v>
      </c>
      <c r="O971" s="158" t="s">
        <v>796</v>
      </c>
      <c r="P971" s="159" t="s">
        <v>19153</v>
      </c>
      <c r="Q971" s="160" t="s">
        <v>162</v>
      </c>
      <c r="R971" s="161" t="s">
        <v>153</v>
      </c>
      <c r="S971" s="162" t="s">
        <v>163</v>
      </c>
      <c r="T971" s="163" t="s">
        <v>1392</v>
      </c>
      <c r="U971" s="164" t="s">
        <v>165</v>
      </c>
      <c r="V971" s="165" t="s">
        <v>153</v>
      </c>
      <c r="W971" s="166" t="s">
        <v>153</v>
      </c>
      <c r="X971" s="167" t="s">
        <v>153</v>
      </c>
      <c r="Y971" s="168" t="s">
        <v>153</v>
      </c>
      <c r="Z971" s="169" t="s">
        <v>153</v>
      </c>
      <c r="AA971" s="170" t="s">
        <v>153</v>
      </c>
      <c r="AB971" s="171" t="s">
        <v>153</v>
      </c>
      <c r="AC971" s="172" t="s">
        <v>153</v>
      </c>
      <c r="AD971" s="173" t="s">
        <v>153</v>
      </c>
      <c r="AE971" s="174" t="s">
        <v>153</v>
      </c>
      <c r="AF971" s="175" t="s">
        <v>153</v>
      </c>
      <c r="AG971" s="176" t="s">
        <v>153</v>
      </c>
      <c r="AH971" s="177" t="s">
        <v>153</v>
      </c>
      <c r="AI971" s="178" t="s">
        <v>153</v>
      </c>
      <c r="AJ971" s="179" t="s">
        <v>153</v>
      </c>
      <c r="AK971" s="180" t="s">
        <v>153</v>
      </c>
      <c r="AL971" s="181" t="s">
        <v>153</v>
      </c>
      <c r="AM971" s="182" t="s">
        <v>153</v>
      </c>
      <c r="AN971" s="183" t="s">
        <v>153</v>
      </c>
      <c r="AO971" s="184" t="s">
        <v>153</v>
      </c>
      <c r="AP971" s="185" t="s">
        <v>153</v>
      </c>
      <c r="AQ971" s="186" t="s">
        <v>153</v>
      </c>
      <c r="AR971" s="187" t="s">
        <v>153</v>
      </c>
      <c r="AS971" s="188" t="s">
        <v>153</v>
      </c>
      <c r="AT971" s="189" t="s">
        <v>19154</v>
      </c>
      <c r="AU971" s="190" t="s">
        <v>153</v>
      </c>
      <c r="AV971" s="191" t="s">
        <v>153</v>
      </c>
      <c r="AW971" s="192" t="s">
        <v>19155</v>
      </c>
      <c r="AX971" s="193" t="s">
        <v>153</v>
      </c>
      <c r="AY971" s="194" t="s">
        <v>153</v>
      </c>
      <c r="AZ971" s="195" t="s">
        <v>3002</v>
      </c>
      <c r="BA971" s="196" t="s">
        <v>153</v>
      </c>
      <c r="BB971" s="197" t="s">
        <v>153</v>
      </c>
      <c r="BC971" s="198" t="s">
        <v>153</v>
      </c>
      <c r="BD971" s="199" t="s">
        <v>216</v>
      </c>
      <c r="BE971" s="200" t="s">
        <v>3004</v>
      </c>
      <c r="BF971" s="201" t="s">
        <v>19156</v>
      </c>
      <c r="BG971" s="202" t="s">
        <v>19157</v>
      </c>
      <c r="BH971" s="203">
        <v>3</v>
      </c>
      <c r="BI971" s="204" t="s">
        <v>153</v>
      </c>
      <c r="BJ971" s="205" t="s">
        <v>19158</v>
      </c>
      <c r="BK971" s="206" t="s">
        <v>153</v>
      </c>
      <c r="BL971" s="207" t="s">
        <v>19159</v>
      </c>
      <c r="BM971" s="208" t="s">
        <v>19160</v>
      </c>
      <c r="BN971" s="209" t="s">
        <v>153</v>
      </c>
      <c r="BO971" s="210" t="s">
        <v>153</v>
      </c>
      <c r="BP971" s="211" t="s">
        <v>153</v>
      </c>
      <c r="BQ971" s="212">
        <v>42636</v>
      </c>
      <c r="BR971" s="213">
        <v>5200</v>
      </c>
      <c r="BS971" s="214" t="s">
        <v>186</v>
      </c>
      <c r="BT971" s="215">
        <v>5770</v>
      </c>
      <c r="BU971" s="216" t="s">
        <v>186</v>
      </c>
      <c r="BV971" s="217" t="s">
        <v>188</v>
      </c>
      <c r="BW971" s="218" t="s">
        <v>1525</v>
      </c>
      <c r="BX971" s="219" t="s">
        <v>153</v>
      </c>
      <c r="BY971" s="220" t="s">
        <v>165</v>
      </c>
      <c r="BZ971" s="221" t="s">
        <v>153</v>
      </c>
      <c r="CA971" s="222" t="s">
        <v>190</v>
      </c>
      <c r="CB971" s="223">
        <v>42636</v>
      </c>
      <c r="CC971" s="224">
        <v>5200</v>
      </c>
      <c r="CD971" s="225" t="s">
        <v>186</v>
      </c>
      <c r="CE971" s="226">
        <v>5770</v>
      </c>
      <c r="CF971" s="227" t="s">
        <v>186</v>
      </c>
      <c r="CG971" s="228" t="s">
        <v>188</v>
      </c>
      <c r="CH971" s="229" t="s">
        <v>1525</v>
      </c>
      <c r="CI971" s="230" t="s">
        <v>153</v>
      </c>
      <c r="CJ971" s="231" t="s">
        <v>165</v>
      </c>
      <c r="CK971" s="232">
        <v>42636</v>
      </c>
      <c r="CL971" s="233" t="s">
        <v>153</v>
      </c>
      <c r="CM971" s="234" t="s">
        <v>153</v>
      </c>
      <c r="CN971" s="235" t="s">
        <v>190</v>
      </c>
      <c r="CO971" s="236" t="s">
        <v>153</v>
      </c>
      <c r="CP971" s="237" t="s">
        <v>153</v>
      </c>
      <c r="CQ971" s="238" t="s">
        <v>153</v>
      </c>
      <c r="CR971" s="239" t="s">
        <v>153</v>
      </c>
      <c r="CS971" s="240" t="s">
        <v>153</v>
      </c>
      <c r="CT971" s="241" t="s">
        <v>153</v>
      </c>
      <c r="CU971" s="242" t="s">
        <v>153</v>
      </c>
      <c r="CV971" s="243" t="s">
        <v>153</v>
      </c>
      <c r="CW971" s="244" t="s">
        <v>153</v>
      </c>
      <c r="CX971" s="245" t="s">
        <v>153</v>
      </c>
      <c r="CY971" s="246" t="s">
        <v>153</v>
      </c>
      <c r="CZ971" s="247" t="s">
        <v>153</v>
      </c>
      <c r="DA971" s="248" t="s">
        <v>153</v>
      </c>
      <c r="DB971" s="249" t="s">
        <v>153</v>
      </c>
      <c r="DC971" s="250" t="s">
        <v>153</v>
      </c>
      <c r="DD971" s="251" t="s">
        <v>153</v>
      </c>
      <c r="DE971" s="252" t="s">
        <v>153</v>
      </c>
      <c r="DF971" s="253" t="s">
        <v>153</v>
      </c>
      <c r="DG971" s="254" t="s">
        <v>153</v>
      </c>
      <c r="DH971" s="255" t="s">
        <v>153</v>
      </c>
      <c r="DI971" s="256" t="s">
        <v>153</v>
      </c>
      <c r="DJ971" s="257" t="s">
        <v>153</v>
      </c>
      <c r="DK971" s="258" t="s">
        <v>153</v>
      </c>
      <c r="DL971" s="259" t="s">
        <v>153</v>
      </c>
      <c r="DM971" s="260" t="s">
        <v>153</v>
      </c>
      <c r="DN971" s="261" t="s">
        <v>153</v>
      </c>
      <c r="DO971" s="262" t="s">
        <v>153</v>
      </c>
      <c r="DP971" s="263" t="s">
        <v>153</v>
      </c>
      <c r="DQ971" s="264" t="s">
        <v>153</v>
      </c>
      <c r="DR971" s="265" t="s">
        <v>153</v>
      </c>
      <c r="DS971" s="266" t="s">
        <v>153</v>
      </c>
      <c r="DT971" s="267" t="s">
        <v>153</v>
      </c>
      <c r="DU971" s="268" t="s">
        <v>153</v>
      </c>
      <c r="DV971" s="269" t="s">
        <v>153</v>
      </c>
      <c r="DW971" s="270" t="s">
        <v>153</v>
      </c>
      <c r="DX971" s="271" t="s">
        <v>153</v>
      </c>
      <c r="DY971" s="272" t="s">
        <v>153</v>
      </c>
      <c r="DZ971" s="273" t="s">
        <v>191</v>
      </c>
      <c r="EA971" s="274">
        <v>44029</v>
      </c>
      <c r="EB971" s="275">
        <v>5770</v>
      </c>
      <c r="EC971" s="276">
        <v>42636</v>
      </c>
      <c r="ED971" s="277" t="s">
        <v>188</v>
      </c>
      <c r="EE971" s="279" t="str">
        <f>HYPERLINK("https://my.pitchbook.com?c=437167-63", "View company online")</f>
        <v>View company online</v>
      </c>
    </row>
    <row r="972" spans="1:135" x14ac:dyDescent="0.45">
      <c r="A972" s="10" t="s">
        <v>19161</v>
      </c>
      <c r="B972" s="11" t="s">
        <v>19162</v>
      </c>
      <c r="C972" s="12" t="s">
        <v>153</v>
      </c>
      <c r="D972" s="13" t="s">
        <v>153</v>
      </c>
      <c r="E972" s="14" t="s">
        <v>153</v>
      </c>
      <c r="F972" s="15" t="s">
        <v>153</v>
      </c>
      <c r="G972" s="16" t="s">
        <v>153</v>
      </c>
      <c r="H972" s="17" t="s">
        <v>153</v>
      </c>
      <c r="I972" s="18" t="s">
        <v>19161</v>
      </c>
      <c r="J972" s="19" t="s">
        <v>19163</v>
      </c>
      <c r="K972" s="20" t="s">
        <v>559</v>
      </c>
      <c r="L972" s="21" t="s">
        <v>1345</v>
      </c>
      <c r="M972" s="22" t="s">
        <v>3286</v>
      </c>
      <c r="N972" s="23" t="s">
        <v>19164</v>
      </c>
      <c r="O972" s="24" t="s">
        <v>261</v>
      </c>
      <c r="P972" s="25" t="s">
        <v>19165</v>
      </c>
      <c r="Q972" s="26" t="s">
        <v>204</v>
      </c>
      <c r="R972" s="27" t="s">
        <v>153</v>
      </c>
      <c r="S972" s="28" t="s">
        <v>163</v>
      </c>
      <c r="T972" s="29" t="s">
        <v>1392</v>
      </c>
      <c r="U972" s="30" t="s">
        <v>206</v>
      </c>
      <c r="V972" s="31" t="s">
        <v>19166</v>
      </c>
      <c r="W972" s="32" t="s">
        <v>153</v>
      </c>
      <c r="X972" s="33" t="s">
        <v>153</v>
      </c>
      <c r="Y972" s="34" t="s">
        <v>153</v>
      </c>
      <c r="Z972" s="35" t="s">
        <v>153</v>
      </c>
      <c r="AA972" s="36">
        <v>2018</v>
      </c>
      <c r="AB972" s="37" t="s">
        <v>153</v>
      </c>
      <c r="AC972" s="38" t="s">
        <v>153</v>
      </c>
      <c r="AD972" s="39" t="s">
        <v>153</v>
      </c>
      <c r="AE972" s="40" t="s">
        <v>153</v>
      </c>
      <c r="AF972" s="41" t="s">
        <v>153</v>
      </c>
      <c r="AG972" s="42" t="s">
        <v>153</v>
      </c>
      <c r="AH972" s="43" t="s">
        <v>153</v>
      </c>
      <c r="AI972" s="44" t="s">
        <v>153</v>
      </c>
      <c r="AJ972" s="45" t="s">
        <v>153</v>
      </c>
      <c r="AK972" s="46" t="s">
        <v>153</v>
      </c>
      <c r="AL972" s="47" t="s">
        <v>153</v>
      </c>
      <c r="AM972" s="48" t="s">
        <v>153</v>
      </c>
      <c r="AN972" s="49" t="s">
        <v>153</v>
      </c>
      <c r="AO972" s="50" t="s">
        <v>153</v>
      </c>
      <c r="AP972" s="51" t="s">
        <v>153</v>
      </c>
      <c r="AQ972" s="52" t="s">
        <v>153</v>
      </c>
      <c r="AR972" s="53" t="s">
        <v>153</v>
      </c>
      <c r="AS972" s="54" t="s">
        <v>153</v>
      </c>
      <c r="AT972" s="55" t="s">
        <v>19167</v>
      </c>
      <c r="AU972" s="56" t="s">
        <v>19168</v>
      </c>
      <c r="AV972" s="57" t="s">
        <v>19169</v>
      </c>
      <c r="AW972" s="58" t="s">
        <v>19170</v>
      </c>
      <c r="AX972" s="59" t="s">
        <v>177</v>
      </c>
      <c r="AY972" s="60" t="s">
        <v>153</v>
      </c>
      <c r="AZ972" s="61" t="s">
        <v>179</v>
      </c>
      <c r="BA972" s="62" t="s">
        <v>153</v>
      </c>
      <c r="BB972" s="63" t="s">
        <v>153</v>
      </c>
      <c r="BC972" s="64" t="s">
        <v>19171</v>
      </c>
      <c r="BD972" s="65" t="s">
        <v>180</v>
      </c>
      <c r="BE972" s="66" t="s">
        <v>181</v>
      </c>
      <c r="BF972" s="67" t="s">
        <v>19172</v>
      </c>
      <c r="BG972" s="68" t="s">
        <v>19173</v>
      </c>
      <c r="BH972" s="69">
        <v>2</v>
      </c>
      <c r="BI972" s="70" t="s">
        <v>153</v>
      </c>
      <c r="BJ972" s="71" t="s">
        <v>153</v>
      </c>
      <c r="BK972" s="72" t="s">
        <v>153</v>
      </c>
      <c r="BL972" s="73" t="s">
        <v>153</v>
      </c>
      <c r="BM972" s="74" t="s">
        <v>153</v>
      </c>
      <c r="BN972" s="75" t="s">
        <v>153</v>
      </c>
      <c r="BO972" s="76" t="s">
        <v>153</v>
      </c>
      <c r="BP972" s="77" t="s">
        <v>153</v>
      </c>
      <c r="BQ972" s="78">
        <v>43238</v>
      </c>
      <c r="BR972" s="79">
        <v>5200</v>
      </c>
      <c r="BS972" s="80" t="s">
        <v>186</v>
      </c>
      <c r="BT972" s="81" t="s">
        <v>153</v>
      </c>
      <c r="BU972" s="82" t="s">
        <v>153</v>
      </c>
      <c r="BV972" s="83" t="s">
        <v>224</v>
      </c>
      <c r="BW972" s="84" t="s">
        <v>153</v>
      </c>
      <c r="BX972" s="85" t="s">
        <v>153</v>
      </c>
      <c r="BY972" s="86" t="s">
        <v>321</v>
      </c>
      <c r="BZ972" s="87" t="s">
        <v>153</v>
      </c>
      <c r="CA972" s="88" t="s">
        <v>190</v>
      </c>
      <c r="CB972" s="89">
        <v>43238</v>
      </c>
      <c r="CC972" s="90">
        <v>5200</v>
      </c>
      <c r="CD972" s="91" t="s">
        <v>186</v>
      </c>
      <c r="CE972" s="92" t="s">
        <v>153</v>
      </c>
      <c r="CF972" s="93" t="s">
        <v>153</v>
      </c>
      <c r="CG972" s="94" t="s">
        <v>224</v>
      </c>
      <c r="CH972" s="95" t="s">
        <v>153</v>
      </c>
      <c r="CI972" s="96" t="s">
        <v>153</v>
      </c>
      <c r="CJ972" s="97" t="s">
        <v>321</v>
      </c>
      <c r="CK972" s="98">
        <v>43238</v>
      </c>
      <c r="CL972" s="99" t="s">
        <v>153</v>
      </c>
      <c r="CM972" s="100" t="s">
        <v>153</v>
      </c>
      <c r="CN972" s="101" t="s">
        <v>190</v>
      </c>
      <c r="CO972" s="102" t="s">
        <v>153</v>
      </c>
      <c r="CP972" s="103" t="s">
        <v>153</v>
      </c>
      <c r="CQ972" s="104" t="s">
        <v>153</v>
      </c>
      <c r="CR972" s="105" t="s">
        <v>153</v>
      </c>
      <c r="CS972" s="106" t="s">
        <v>153</v>
      </c>
      <c r="CT972" s="107" t="s">
        <v>153</v>
      </c>
      <c r="CU972" s="108" t="s">
        <v>153</v>
      </c>
      <c r="CV972" s="109" t="s">
        <v>153</v>
      </c>
      <c r="CW972" s="110" t="s">
        <v>153</v>
      </c>
      <c r="CX972" s="111" t="s">
        <v>153</v>
      </c>
      <c r="CY972" s="112" t="s">
        <v>153</v>
      </c>
      <c r="CZ972" s="113" t="s">
        <v>153</v>
      </c>
      <c r="DA972" s="114" t="s">
        <v>153</v>
      </c>
      <c r="DB972" s="115" t="s">
        <v>153</v>
      </c>
      <c r="DC972" s="116" t="s">
        <v>153</v>
      </c>
      <c r="DD972" s="117" t="s">
        <v>153</v>
      </c>
      <c r="DE972" s="118" t="s">
        <v>153</v>
      </c>
      <c r="DF972" s="119" t="s">
        <v>153</v>
      </c>
      <c r="DG972" s="120" t="s">
        <v>153</v>
      </c>
      <c r="DH972" s="121" t="s">
        <v>153</v>
      </c>
      <c r="DI972" s="122" t="s">
        <v>153</v>
      </c>
      <c r="DJ972" s="123" t="s">
        <v>153</v>
      </c>
      <c r="DK972" s="124" t="s">
        <v>153</v>
      </c>
      <c r="DL972" s="125" t="s">
        <v>153</v>
      </c>
      <c r="DM972" s="126" t="s">
        <v>153</v>
      </c>
      <c r="DN972" s="127" t="s">
        <v>153</v>
      </c>
      <c r="DO972" s="128" t="s">
        <v>153</v>
      </c>
      <c r="DP972" s="129" t="s">
        <v>153</v>
      </c>
      <c r="DQ972" s="130" t="s">
        <v>153</v>
      </c>
      <c r="DR972" s="131" t="s">
        <v>153</v>
      </c>
      <c r="DS972" s="132" t="s">
        <v>153</v>
      </c>
      <c r="DT972" s="133" t="s">
        <v>153</v>
      </c>
      <c r="DU972" s="134" t="s">
        <v>153</v>
      </c>
      <c r="DV972" s="135" t="s">
        <v>153</v>
      </c>
      <c r="DW972" s="136" t="s">
        <v>153</v>
      </c>
      <c r="DX972" s="137" t="s">
        <v>153</v>
      </c>
      <c r="DY972" s="138" t="s">
        <v>153</v>
      </c>
      <c r="DZ972" s="139" t="s">
        <v>191</v>
      </c>
      <c r="EA972" s="140">
        <v>43438</v>
      </c>
      <c r="EB972" s="141" t="s">
        <v>153</v>
      </c>
      <c r="EC972" s="142" t="s">
        <v>153</v>
      </c>
      <c r="ED972" s="143" t="s">
        <v>153</v>
      </c>
      <c r="EE972" s="278" t="str">
        <f>HYPERLINK("https://my.pitchbook.com?c=234594-46", "View company online")</f>
        <v>View company online</v>
      </c>
    </row>
    <row r="973" spans="1:135" x14ac:dyDescent="0.45">
      <c r="A973" s="144" t="s">
        <v>19174</v>
      </c>
      <c r="B973" s="145" t="s">
        <v>19175</v>
      </c>
      <c r="C973" s="146" t="s">
        <v>153</v>
      </c>
      <c r="D973" s="147" t="s">
        <v>153</v>
      </c>
      <c r="E973" s="148" t="s">
        <v>153</v>
      </c>
      <c r="F973" s="149" t="s">
        <v>153</v>
      </c>
      <c r="G973" s="150" t="s">
        <v>153</v>
      </c>
      <c r="H973" s="151" t="s">
        <v>153</v>
      </c>
      <c r="I973" s="152" t="s">
        <v>19174</v>
      </c>
      <c r="J973" s="153" t="s">
        <v>19176</v>
      </c>
      <c r="K973" s="154" t="s">
        <v>198</v>
      </c>
      <c r="L973" s="155" t="s">
        <v>199</v>
      </c>
      <c r="M973" s="156" t="s">
        <v>344</v>
      </c>
      <c r="N973" s="157" t="s">
        <v>1283</v>
      </c>
      <c r="O973" s="158" t="s">
        <v>202</v>
      </c>
      <c r="P973" s="159" t="s">
        <v>19177</v>
      </c>
      <c r="Q973" s="160" t="s">
        <v>204</v>
      </c>
      <c r="R973" s="161" t="s">
        <v>153</v>
      </c>
      <c r="S973" s="162" t="s">
        <v>163</v>
      </c>
      <c r="T973" s="163" t="s">
        <v>205</v>
      </c>
      <c r="U973" s="164" t="s">
        <v>206</v>
      </c>
      <c r="V973" s="165" t="s">
        <v>153</v>
      </c>
      <c r="W973" s="166">
        <v>11000</v>
      </c>
      <c r="X973" s="167" t="s">
        <v>19178</v>
      </c>
      <c r="Y973" s="168" t="s">
        <v>153</v>
      </c>
      <c r="Z973" s="169" t="s">
        <v>153</v>
      </c>
      <c r="AA973" s="170" t="s">
        <v>153</v>
      </c>
      <c r="AB973" s="171" t="s">
        <v>19179</v>
      </c>
      <c r="AC973" s="172" t="s">
        <v>153</v>
      </c>
      <c r="AD973" s="173" t="s">
        <v>153</v>
      </c>
      <c r="AE973" s="174" t="s">
        <v>153</v>
      </c>
      <c r="AF973" s="175" t="s">
        <v>153</v>
      </c>
      <c r="AG973" s="176" t="s">
        <v>153</v>
      </c>
      <c r="AH973" s="177" t="s">
        <v>153</v>
      </c>
      <c r="AI973" s="178" t="s">
        <v>153</v>
      </c>
      <c r="AJ973" s="179" t="s">
        <v>153</v>
      </c>
      <c r="AK973" s="180" t="s">
        <v>153</v>
      </c>
      <c r="AL973" s="181" t="s">
        <v>153</v>
      </c>
      <c r="AM973" s="182" t="s">
        <v>153</v>
      </c>
      <c r="AN973" s="183" t="s">
        <v>153</v>
      </c>
      <c r="AO973" s="184" t="s">
        <v>153</v>
      </c>
      <c r="AP973" s="185" t="s">
        <v>153</v>
      </c>
      <c r="AQ973" s="186" t="s">
        <v>153</v>
      </c>
      <c r="AR973" s="187" t="s">
        <v>153</v>
      </c>
      <c r="AS973" s="188" t="s">
        <v>153</v>
      </c>
      <c r="AT973" s="189" t="s">
        <v>19180</v>
      </c>
      <c r="AU973" s="190" t="s">
        <v>19181</v>
      </c>
      <c r="AV973" s="191" t="s">
        <v>153</v>
      </c>
      <c r="AW973" s="192" t="s">
        <v>19182</v>
      </c>
      <c r="AX973" s="193" t="s">
        <v>273</v>
      </c>
      <c r="AY973" s="194" t="s">
        <v>19183</v>
      </c>
      <c r="AZ973" s="195" t="s">
        <v>215</v>
      </c>
      <c r="BA973" s="196" t="s">
        <v>153</v>
      </c>
      <c r="BB973" s="197" t="s">
        <v>153</v>
      </c>
      <c r="BC973" s="198" t="s">
        <v>153</v>
      </c>
      <c r="BD973" s="199" t="s">
        <v>216</v>
      </c>
      <c r="BE973" s="200" t="s">
        <v>217</v>
      </c>
      <c r="BF973" s="201" t="s">
        <v>19184</v>
      </c>
      <c r="BG973" s="202" t="s">
        <v>153</v>
      </c>
      <c r="BH973" s="203" t="s">
        <v>153</v>
      </c>
      <c r="BI973" s="204" t="s">
        <v>19179</v>
      </c>
      <c r="BJ973" s="205" t="s">
        <v>219</v>
      </c>
      <c r="BK973" s="206" t="s">
        <v>153</v>
      </c>
      <c r="BL973" s="207" t="s">
        <v>153</v>
      </c>
      <c r="BM973" s="208" t="s">
        <v>13909</v>
      </c>
      <c r="BN973" s="209" t="s">
        <v>153</v>
      </c>
      <c r="BO973" s="210" t="s">
        <v>153</v>
      </c>
      <c r="BP973" s="211" t="s">
        <v>14094</v>
      </c>
      <c r="BQ973" s="212">
        <v>40360</v>
      </c>
      <c r="BR973" s="213">
        <v>5200</v>
      </c>
      <c r="BS973" s="214" t="s">
        <v>186</v>
      </c>
      <c r="BT973" s="215">
        <v>5200</v>
      </c>
      <c r="BU973" s="216" t="s">
        <v>186</v>
      </c>
      <c r="BV973" s="217" t="s">
        <v>226</v>
      </c>
      <c r="BW973" s="218" t="s">
        <v>729</v>
      </c>
      <c r="BX973" s="219" t="s">
        <v>153</v>
      </c>
      <c r="BY973" s="220" t="s">
        <v>225</v>
      </c>
      <c r="BZ973" s="221" t="s">
        <v>153</v>
      </c>
      <c r="CA973" s="222" t="s">
        <v>190</v>
      </c>
      <c r="CB973" s="223">
        <v>40360</v>
      </c>
      <c r="CC973" s="224">
        <v>5200</v>
      </c>
      <c r="CD973" s="225" t="s">
        <v>186</v>
      </c>
      <c r="CE973" s="226">
        <v>5200</v>
      </c>
      <c r="CF973" s="227" t="s">
        <v>186</v>
      </c>
      <c r="CG973" s="228" t="s">
        <v>226</v>
      </c>
      <c r="CH973" s="229" t="s">
        <v>729</v>
      </c>
      <c r="CI973" s="230" t="s">
        <v>153</v>
      </c>
      <c r="CJ973" s="231" t="s">
        <v>225</v>
      </c>
      <c r="CK973" s="232">
        <v>40360</v>
      </c>
      <c r="CL973" s="233" t="s">
        <v>153</v>
      </c>
      <c r="CM973" s="234" t="s">
        <v>153</v>
      </c>
      <c r="CN973" s="235" t="s">
        <v>190</v>
      </c>
      <c r="CO973" s="236" t="s">
        <v>153</v>
      </c>
      <c r="CP973" s="237" t="s">
        <v>153</v>
      </c>
      <c r="CQ973" s="238" t="s">
        <v>153</v>
      </c>
      <c r="CR973" s="239" t="s">
        <v>153</v>
      </c>
      <c r="CS973" s="240" t="s">
        <v>153</v>
      </c>
      <c r="CT973" s="241" t="s">
        <v>153</v>
      </c>
      <c r="CU973" s="242" t="s">
        <v>153</v>
      </c>
      <c r="CV973" s="243" t="s">
        <v>153</v>
      </c>
      <c r="CW973" s="244" t="s">
        <v>153</v>
      </c>
      <c r="CX973" s="245" t="s">
        <v>153</v>
      </c>
      <c r="CY973" s="246" t="s">
        <v>153</v>
      </c>
      <c r="CZ973" s="247" t="s">
        <v>153</v>
      </c>
      <c r="DA973" s="248" t="s">
        <v>153</v>
      </c>
      <c r="DB973" s="249" t="s">
        <v>153</v>
      </c>
      <c r="DC973" s="250" t="s">
        <v>153</v>
      </c>
      <c r="DD973" s="251" t="s">
        <v>153</v>
      </c>
      <c r="DE973" s="252" t="s">
        <v>153</v>
      </c>
      <c r="DF973" s="253" t="s">
        <v>153</v>
      </c>
      <c r="DG973" s="254" t="s">
        <v>153</v>
      </c>
      <c r="DH973" s="255" t="s">
        <v>153</v>
      </c>
      <c r="DI973" s="256" t="s">
        <v>153</v>
      </c>
      <c r="DJ973" s="257" t="s">
        <v>153</v>
      </c>
      <c r="DK973" s="258" t="s">
        <v>153</v>
      </c>
      <c r="DL973" s="259" t="s">
        <v>153</v>
      </c>
      <c r="DM973" s="260" t="s">
        <v>153</v>
      </c>
      <c r="DN973" s="261" t="s">
        <v>153</v>
      </c>
      <c r="DO973" s="262" t="s">
        <v>153</v>
      </c>
      <c r="DP973" s="263" t="s">
        <v>153</v>
      </c>
      <c r="DQ973" s="264" t="s">
        <v>153</v>
      </c>
      <c r="DR973" s="265" t="s">
        <v>153</v>
      </c>
      <c r="DS973" s="266" t="s">
        <v>153</v>
      </c>
      <c r="DT973" s="267" t="s">
        <v>153</v>
      </c>
      <c r="DU973" s="268" t="s">
        <v>153</v>
      </c>
      <c r="DV973" s="269" t="s">
        <v>153</v>
      </c>
      <c r="DW973" s="270" t="s">
        <v>153</v>
      </c>
      <c r="DX973" s="271" t="s">
        <v>153</v>
      </c>
      <c r="DY973" s="272" t="s">
        <v>153</v>
      </c>
      <c r="DZ973" s="273" t="s">
        <v>191</v>
      </c>
      <c r="EA973" s="274">
        <v>44147</v>
      </c>
      <c r="EB973" s="275">
        <v>5200</v>
      </c>
      <c r="EC973" s="276">
        <v>40360</v>
      </c>
      <c r="ED973" s="277" t="s">
        <v>226</v>
      </c>
      <c r="EE973" s="279" t="str">
        <f>HYPERLINK("https://my.pitchbook.com?c=121271-50", "View company online")</f>
        <v>View company online</v>
      </c>
    </row>
    <row r="974" spans="1:135" x14ac:dyDescent="0.45">
      <c r="A974" s="10" t="s">
        <v>19185</v>
      </c>
      <c r="B974" s="11" t="s">
        <v>19186</v>
      </c>
      <c r="C974" s="12" t="s">
        <v>153</v>
      </c>
      <c r="D974" s="13" t="s">
        <v>153</v>
      </c>
      <c r="E974" s="14" t="s">
        <v>153</v>
      </c>
      <c r="F974" s="15" t="s">
        <v>153</v>
      </c>
      <c r="G974" s="16" t="s">
        <v>153</v>
      </c>
      <c r="H974" s="17" t="s">
        <v>153</v>
      </c>
      <c r="I974" s="18" t="s">
        <v>19185</v>
      </c>
      <c r="J974" s="19" t="s">
        <v>19187</v>
      </c>
      <c r="K974" s="20" t="s">
        <v>882</v>
      </c>
      <c r="L974" s="21" t="s">
        <v>2888</v>
      </c>
      <c r="M974" s="22" t="s">
        <v>2889</v>
      </c>
      <c r="N974" s="23" t="s">
        <v>3484</v>
      </c>
      <c r="O974" s="24" t="s">
        <v>153</v>
      </c>
      <c r="P974" s="25" t="s">
        <v>19188</v>
      </c>
      <c r="Q974" s="26" t="s">
        <v>204</v>
      </c>
      <c r="R974" s="27" t="s">
        <v>153</v>
      </c>
      <c r="S974" s="28" t="s">
        <v>153</v>
      </c>
      <c r="T974" s="29" t="s">
        <v>205</v>
      </c>
      <c r="U974" s="30" t="s">
        <v>206</v>
      </c>
      <c r="V974" s="31" t="s">
        <v>153</v>
      </c>
      <c r="W974" s="32" t="s">
        <v>153</v>
      </c>
      <c r="X974" s="33" t="s">
        <v>153</v>
      </c>
      <c r="Y974" s="34" t="s">
        <v>153</v>
      </c>
      <c r="Z974" s="35" t="s">
        <v>153</v>
      </c>
      <c r="AA974" s="36" t="s">
        <v>153</v>
      </c>
      <c r="AB974" s="37" t="s">
        <v>153</v>
      </c>
      <c r="AC974" s="38" t="s">
        <v>153</v>
      </c>
      <c r="AD974" s="39" t="s">
        <v>153</v>
      </c>
      <c r="AE974" s="40" t="s">
        <v>153</v>
      </c>
      <c r="AF974" s="41" t="s">
        <v>153</v>
      </c>
      <c r="AG974" s="42" t="s">
        <v>153</v>
      </c>
      <c r="AH974" s="43" t="s">
        <v>153</v>
      </c>
      <c r="AI974" s="44" t="s">
        <v>153</v>
      </c>
      <c r="AJ974" s="45" t="s">
        <v>153</v>
      </c>
      <c r="AK974" s="46" t="s">
        <v>153</v>
      </c>
      <c r="AL974" s="47" t="s">
        <v>153</v>
      </c>
      <c r="AM974" s="48" t="s">
        <v>153</v>
      </c>
      <c r="AN974" s="49" t="s">
        <v>918</v>
      </c>
      <c r="AO974" s="50" t="s">
        <v>19189</v>
      </c>
      <c r="AP974" s="51" t="s">
        <v>19190</v>
      </c>
      <c r="AQ974" s="52" t="s">
        <v>19191</v>
      </c>
      <c r="AR974" s="53" t="s">
        <v>153</v>
      </c>
      <c r="AS974" s="54" t="s">
        <v>153</v>
      </c>
      <c r="AT974" s="55" t="s">
        <v>17873</v>
      </c>
      <c r="AU974" s="56" t="s">
        <v>153</v>
      </c>
      <c r="AV974" s="57" t="s">
        <v>153</v>
      </c>
      <c r="AW974" s="58" t="s">
        <v>17875</v>
      </c>
      <c r="AX974" s="59" t="s">
        <v>17876</v>
      </c>
      <c r="AY974" s="60" t="s">
        <v>153</v>
      </c>
      <c r="AZ974" s="61" t="s">
        <v>215</v>
      </c>
      <c r="BA974" s="62" t="s">
        <v>153</v>
      </c>
      <c r="BB974" s="63" t="s">
        <v>153</v>
      </c>
      <c r="BC974" s="64" t="s">
        <v>153</v>
      </c>
      <c r="BD974" s="65" t="s">
        <v>216</v>
      </c>
      <c r="BE974" s="66" t="s">
        <v>217</v>
      </c>
      <c r="BF974" s="67" t="s">
        <v>19192</v>
      </c>
      <c r="BG974" s="68" t="s">
        <v>153</v>
      </c>
      <c r="BH974" s="69" t="s">
        <v>153</v>
      </c>
      <c r="BI974" s="70" t="s">
        <v>5358</v>
      </c>
      <c r="BJ974" s="71" t="s">
        <v>19193</v>
      </c>
      <c r="BK974" s="72" t="s">
        <v>153</v>
      </c>
      <c r="BL974" s="73" t="s">
        <v>153</v>
      </c>
      <c r="BM974" s="74" t="s">
        <v>19194</v>
      </c>
      <c r="BN974" s="75" t="s">
        <v>153</v>
      </c>
      <c r="BO974" s="76" t="s">
        <v>153</v>
      </c>
      <c r="BP974" s="77" t="s">
        <v>153</v>
      </c>
      <c r="BQ974" s="78">
        <v>43003</v>
      </c>
      <c r="BR974" s="79">
        <v>5200</v>
      </c>
      <c r="BS974" s="80" t="s">
        <v>153</v>
      </c>
      <c r="BT974" s="81">
        <v>5200</v>
      </c>
      <c r="BU974" s="82" t="s">
        <v>153</v>
      </c>
      <c r="BV974" s="83" t="s">
        <v>1524</v>
      </c>
      <c r="BW974" s="84" t="s">
        <v>1525</v>
      </c>
      <c r="BX974" s="85" t="s">
        <v>1526</v>
      </c>
      <c r="BY974" s="86" t="s">
        <v>225</v>
      </c>
      <c r="BZ974" s="87" t="s">
        <v>153</v>
      </c>
      <c r="CA974" s="88" t="s">
        <v>190</v>
      </c>
      <c r="CB974" s="89">
        <v>43003</v>
      </c>
      <c r="CC974" s="90">
        <v>5200</v>
      </c>
      <c r="CD974" s="91" t="s">
        <v>153</v>
      </c>
      <c r="CE974" s="92">
        <v>5200</v>
      </c>
      <c r="CF974" s="93" t="s">
        <v>153</v>
      </c>
      <c r="CG974" s="94" t="s">
        <v>1524</v>
      </c>
      <c r="CH974" s="95" t="s">
        <v>1525</v>
      </c>
      <c r="CI974" s="96" t="s">
        <v>1526</v>
      </c>
      <c r="CJ974" s="97" t="s">
        <v>225</v>
      </c>
      <c r="CK974" s="98">
        <v>43003</v>
      </c>
      <c r="CL974" s="99" t="s">
        <v>153</v>
      </c>
      <c r="CM974" s="100" t="s">
        <v>153</v>
      </c>
      <c r="CN974" s="101" t="s">
        <v>190</v>
      </c>
      <c r="CO974" s="102" t="s">
        <v>153</v>
      </c>
      <c r="CP974" s="103" t="s">
        <v>153</v>
      </c>
      <c r="CQ974" s="104" t="s">
        <v>153</v>
      </c>
      <c r="CR974" s="105" t="s">
        <v>153</v>
      </c>
      <c r="CS974" s="106" t="s">
        <v>153</v>
      </c>
      <c r="CT974" s="107" t="s">
        <v>153</v>
      </c>
      <c r="CU974" s="108" t="s">
        <v>153</v>
      </c>
      <c r="CV974" s="109" t="s">
        <v>153</v>
      </c>
      <c r="CW974" s="110" t="s">
        <v>153</v>
      </c>
      <c r="CX974" s="111" t="s">
        <v>153</v>
      </c>
      <c r="CY974" s="112" t="s">
        <v>153</v>
      </c>
      <c r="CZ974" s="113" t="s">
        <v>153</v>
      </c>
      <c r="DA974" s="114" t="s">
        <v>153</v>
      </c>
      <c r="DB974" s="115" t="s">
        <v>153</v>
      </c>
      <c r="DC974" s="116" t="s">
        <v>153</v>
      </c>
      <c r="DD974" s="117" t="s">
        <v>153</v>
      </c>
      <c r="DE974" s="118" t="s">
        <v>153</v>
      </c>
      <c r="DF974" s="119" t="s">
        <v>153</v>
      </c>
      <c r="DG974" s="120" t="s">
        <v>153</v>
      </c>
      <c r="DH974" s="121" t="s">
        <v>153</v>
      </c>
      <c r="DI974" s="122" t="s">
        <v>153</v>
      </c>
      <c r="DJ974" s="123" t="s">
        <v>153</v>
      </c>
      <c r="DK974" s="124" t="s">
        <v>153</v>
      </c>
      <c r="DL974" s="125" t="s">
        <v>153</v>
      </c>
      <c r="DM974" s="126" t="s">
        <v>153</v>
      </c>
      <c r="DN974" s="127" t="s">
        <v>153</v>
      </c>
      <c r="DO974" s="128" t="s">
        <v>153</v>
      </c>
      <c r="DP974" s="129" t="s">
        <v>153</v>
      </c>
      <c r="DQ974" s="130" t="s">
        <v>153</v>
      </c>
      <c r="DR974" s="131" t="s">
        <v>153</v>
      </c>
      <c r="DS974" s="132" t="s">
        <v>153</v>
      </c>
      <c r="DT974" s="133" t="s">
        <v>153</v>
      </c>
      <c r="DU974" s="134" t="s">
        <v>153</v>
      </c>
      <c r="DV974" s="135" t="s">
        <v>153</v>
      </c>
      <c r="DW974" s="136" t="s">
        <v>153</v>
      </c>
      <c r="DX974" s="137" t="s">
        <v>153</v>
      </c>
      <c r="DY974" s="138" t="s">
        <v>153</v>
      </c>
      <c r="DZ974" s="139" t="s">
        <v>191</v>
      </c>
      <c r="EA974" s="140">
        <v>44348</v>
      </c>
      <c r="EB974" s="141">
        <v>5200</v>
      </c>
      <c r="EC974" s="142">
        <v>43003</v>
      </c>
      <c r="ED974" s="143" t="s">
        <v>1524</v>
      </c>
      <c r="EE974" s="278" t="str">
        <f>HYPERLINK("https://my.pitchbook.com?c=158024-53", "View company online")</f>
        <v>View company online</v>
      </c>
    </row>
    <row r="975" spans="1:135" x14ac:dyDescent="0.45">
      <c r="A975" s="144" t="s">
        <v>19195</v>
      </c>
      <c r="B975" s="145" t="s">
        <v>19196</v>
      </c>
      <c r="C975" s="146" t="s">
        <v>153</v>
      </c>
      <c r="D975" s="147" t="s">
        <v>153</v>
      </c>
      <c r="E975" s="148" t="s">
        <v>153</v>
      </c>
      <c r="F975" s="149" t="s">
        <v>153</v>
      </c>
      <c r="G975" s="150" t="s">
        <v>19197</v>
      </c>
      <c r="H975" s="151" t="s">
        <v>153</v>
      </c>
      <c r="I975" s="152" t="s">
        <v>19195</v>
      </c>
      <c r="J975" s="153" t="s">
        <v>19198</v>
      </c>
      <c r="K975" s="154" t="s">
        <v>792</v>
      </c>
      <c r="L975" s="155" t="s">
        <v>793</v>
      </c>
      <c r="M975" s="156" t="s">
        <v>1117</v>
      </c>
      <c r="N975" s="157" t="s">
        <v>12808</v>
      </c>
      <c r="O975" s="158" t="s">
        <v>1119</v>
      </c>
      <c r="P975" s="159" t="s">
        <v>19199</v>
      </c>
      <c r="Q975" s="160" t="s">
        <v>204</v>
      </c>
      <c r="R975" s="161" t="s">
        <v>153</v>
      </c>
      <c r="S975" s="162" t="s">
        <v>163</v>
      </c>
      <c r="T975" s="163" t="s">
        <v>164</v>
      </c>
      <c r="U975" s="164" t="s">
        <v>237</v>
      </c>
      <c r="V975" s="165" t="s">
        <v>19200</v>
      </c>
      <c r="W975" s="166">
        <v>4900</v>
      </c>
      <c r="X975" s="167" t="s">
        <v>19201</v>
      </c>
      <c r="Y975" s="168" t="s">
        <v>153</v>
      </c>
      <c r="Z975" s="169" t="s">
        <v>153</v>
      </c>
      <c r="AA975" s="170">
        <v>1951</v>
      </c>
      <c r="AB975" s="171" t="s">
        <v>153</v>
      </c>
      <c r="AC975" s="172" t="s">
        <v>153</v>
      </c>
      <c r="AD975" s="173" t="s">
        <v>428</v>
      </c>
      <c r="AE975" s="174" t="s">
        <v>153</v>
      </c>
      <c r="AF975" s="175" t="s">
        <v>153</v>
      </c>
      <c r="AG975" s="176" t="s">
        <v>153</v>
      </c>
      <c r="AH975" s="177" t="s">
        <v>153</v>
      </c>
      <c r="AI975" s="178" t="s">
        <v>153</v>
      </c>
      <c r="AJ975" s="179" t="s">
        <v>153</v>
      </c>
      <c r="AK975" s="180" t="s">
        <v>153</v>
      </c>
      <c r="AL975" s="181" t="s">
        <v>153</v>
      </c>
      <c r="AM975" s="182" t="s">
        <v>153</v>
      </c>
      <c r="AN975" s="183" t="s">
        <v>456</v>
      </c>
      <c r="AO975" s="184" t="s">
        <v>19202</v>
      </c>
      <c r="AP975" s="185" t="s">
        <v>19203</v>
      </c>
      <c r="AQ975" s="186" t="s">
        <v>1241</v>
      </c>
      <c r="AR975" s="187" t="s">
        <v>19204</v>
      </c>
      <c r="AS975" s="188" t="s">
        <v>19205</v>
      </c>
      <c r="AT975" s="189" t="s">
        <v>3419</v>
      </c>
      <c r="AU975" s="190" t="s">
        <v>19206</v>
      </c>
      <c r="AV975" s="191" t="s">
        <v>19207</v>
      </c>
      <c r="AW975" s="192" t="s">
        <v>3422</v>
      </c>
      <c r="AX975" s="193" t="s">
        <v>3423</v>
      </c>
      <c r="AY975" s="194" t="s">
        <v>19208</v>
      </c>
      <c r="AZ975" s="195" t="s">
        <v>1358</v>
      </c>
      <c r="BA975" s="196" t="s">
        <v>19205</v>
      </c>
      <c r="BB975" s="197" t="s">
        <v>153</v>
      </c>
      <c r="BC975" s="198" t="s">
        <v>19209</v>
      </c>
      <c r="BD975" s="199" t="s">
        <v>216</v>
      </c>
      <c r="BE975" s="200" t="s">
        <v>217</v>
      </c>
      <c r="BF975" s="201" t="s">
        <v>19210</v>
      </c>
      <c r="BG975" s="202" t="s">
        <v>19211</v>
      </c>
      <c r="BH975" s="203">
        <v>1</v>
      </c>
      <c r="BI975" s="204" t="s">
        <v>153</v>
      </c>
      <c r="BJ975" s="205" t="s">
        <v>19212</v>
      </c>
      <c r="BK975" s="206" t="s">
        <v>153</v>
      </c>
      <c r="BL975" s="207" t="s">
        <v>19213</v>
      </c>
      <c r="BM975" s="208" t="s">
        <v>19214</v>
      </c>
      <c r="BN975" s="209" t="s">
        <v>153</v>
      </c>
      <c r="BO975" s="210" t="s">
        <v>153</v>
      </c>
      <c r="BP975" s="211" t="s">
        <v>19215</v>
      </c>
      <c r="BQ975" s="212" t="s">
        <v>153</v>
      </c>
      <c r="BR975" s="213" t="s">
        <v>153</v>
      </c>
      <c r="BS975" s="214" t="s">
        <v>153</v>
      </c>
      <c r="BT975" s="215" t="s">
        <v>153</v>
      </c>
      <c r="BU975" s="216" t="s">
        <v>153</v>
      </c>
      <c r="BV975" s="217" t="s">
        <v>251</v>
      </c>
      <c r="BW975" s="218" t="s">
        <v>153</v>
      </c>
      <c r="BX975" s="219" t="s">
        <v>153</v>
      </c>
      <c r="BY975" s="220" t="s">
        <v>252</v>
      </c>
      <c r="BZ975" s="221" t="s">
        <v>153</v>
      </c>
      <c r="CA975" s="222" t="s">
        <v>190</v>
      </c>
      <c r="CB975" s="223">
        <v>43648</v>
      </c>
      <c r="CC975" s="224">
        <v>5199.54</v>
      </c>
      <c r="CD975" s="225" t="s">
        <v>186</v>
      </c>
      <c r="CE975" s="226">
        <v>10188.08</v>
      </c>
      <c r="CF975" s="227" t="s">
        <v>187</v>
      </c>
      <c r="CG975" s="228" t="s">
        <v>226</v>
      </c>
      <c r="CH975" s="229" t="s">
        <v>153</v>
      </c>
      <c r="CI975" s="230" t="s">
        <v>153</v>
      </c>
      <c r="CJ975" s="231" t="s">
        <v>225</v>
      </c>
      <c r="CK975" s="232">
        <v>43648</v>
      </c>
      <c r="CL975" s="233" t="s">
        <v>153</v>
      </c>
      <c r="CM975" s="234" t="s">
        <v>153</v>
      </c>
      <c r="CN975" s="235" t="s">
        <v>16725</v>
      </c>
      <c r="CO975" s="236">
        <v>-0.08</v>
      </c>
      <c r="CP975" s="237">
        <v>8</v>
      </c>
      <c r="CQ975" s="238">
        <v>-0.01</v>
      </c>
      <c r="CR975" s="239">
        <v>-14.61</v>
      </c>
      <c r="CS975" s="240">
        <v>-0.16</v>
      </c>
      <c r="CT975" s="241">
        <v>7</v>
      </c>
      <c r="CU975" s="242">
        <v>-0.01</v>
      </c>
      <c r="CV975" s="243">
        <v>40</v>
      </c>
      <c r="CW975" s="244">
        <v>-0.28999999999999998</v>
      </c>
      <c r="CX975" s="245">
        <v>20</v>
      </c>
      <c r="CY975" s="246">
        <v>-0.03</v>
      </c>
      <c r="CZ975" s="247">
        <v>5</v>
      </c>
      <c r="DA975" s="248">
        <v>-0.01</v>
      </c>
      <c r="DB975" s="249">
        <v>40</v>
      </c>
      <c r="DC975" s="250">
        <v>39.130000000000003</v>
      </c>
      <c r="DD975" s="251">
        <v>98</v>
      </c>
      <c r="DE975" s="252">
        <v>0.21</v>
      </c>
      <c r="DF975" s="253">
        <v>0.53</v>
      </c>
      <c r="DG975" s="254">
        <v>42.93</v>
      </c>
      <c r="DH975" s="255">
        <v>98</v>
      </c>
      <c r="DI975" s="256">
        <v>35.33</v>
      </c>
      <c r="DJ975" s="257">
        <v>95</v>
      </c>
      <c r="DK975" s="258">
        <v>11.54</v>
      </c>
      <c r="DL975" s="259">
        <v>87</v>
      </c>
      <c r="DM975" s="260">
        <v>74.31</v>
      </c>
      <c r="DN975" s="261">
        <v>99</v>
      </c>
      <c r="DO975" s="262">
        <v>35.33</v>
      </c>
      <c r="DP975" s="263">
        <v>95</v>
      </c>
      <c r="DQ975" s="264">
        <v>6711</v>
      </c>
      <c r="DR975" s="265">
        <v>481</v>
      </c>
      <c r="DS975" s="266">
        <v>7.72</v>
      </c>
      <c r="DT975" s="267">
        <v>1186</v>
      </c>
      <c r="DU975" s="268">
        <v>6</v>
      </c>
      <c r="DV975" s="269">
        <v>0.51</v>
      </c>
      <c r="DW975" s="270">
        <v>11094</v>
      </c>
      <c r="DX975" s="271">
        <v>1</v>
      </c>
      <c r="DY975" s="272">
        <v>0.01</v>
      </c>
      <c r="DZ975" s="273" t="s">
        <v>191</v>
      </c>
      <c r="EA975" s="274">
        <v>44306</v>
      </c>
      <c r="EB975" s="275">
        <v>10188.08</v>
      </c>
      <c r="EC975" s="276">
        <v>43648</v>
      </c>
      <c r="ED975" s="277" t="s">
        <v>226</v>
      </c>
      <c r="EE975" s="279" t="str">
        <f>HYPERLINK("https://my.pitchbook.com?c=134236-45", "View company online")</f>
        <v>View company online</v>
      </c>
    </row>
    <row r="976" spans="1:135" x14ac:dyDescent="0.45">
      <c r="A976" s="10" t="s">
        <v>19216</v>
      </c>
      <c r="B976" s="11" t="s">
        <v>19217</v>
      </c>
      <c r="C976" s="12" t="s">
        <v>153</v>
      </c>
      <c r="D976" s="13" t="s">
        <v>153</v>
      </c>
      <c r="E976" s="14" t="s">
        <v>153</v>
      </c>
      <c r="F976" s="15" t="s">
        <v>19218</v>
      </c>
      <c r="G976" s="16" t="s">
        <v>19219</v>
      </c>
      <c r="H976" s="17" t="s">
        <v>153</v>
      </c>
      <c r="I976" s="18" t="s">
        <v>19216</v>
      </c>
      <c r="J976" s="19" t="s">
        <v>19220</v>
      </c>
      <c r="K976" s="20" t="s">
        <v>198</v>
      </c>
      <c r="L976" s="21" t="s">
        <v>1589</v>
      </c>
      <c r="M976" s="22" t="s">
        <v>2022</v>
      </c>
      <c r="N976" s="23" t="s">
        <v>19221</v>
      </c>
      <c r="O976" s="24" t="s">
        <v>1592</v>
      </c>
      <c r="P976" s="25" t="s">
        <v>19222</v>
      </c>
      <c r="Q976" s="26" t="s">
        <v>204</v>
      </c>
      <c r="R976" s="27" t="s">
        <v>153</v>
      </c>
      <c r="S976" s="28" t="s">
        <v>290</v>
      </c>
      <c r="T976" s="29" t="s">
        <v>164</v>
      </c>
      <c r="U976" s="30" t="s">
        <v>237</v>
      </c>
      <c r="V976" s="31" t="s">
        <v>19223</v>
      </c>
      <c r="W976" s="32">
        <v>3608</v>
      </c>
      <c r="X976" s="33" t="s">
        <v>19224</v>
      </c>
      <c r="Y976" s="34" t="s">
        <v>153</v>
      </c>
      <c r="Z976" s="35" t="s">
        <v>153</v>
      </c>
      <c r="AA976" s="36">
        <v>2003</v>
      </c>
      <c r="AB976" s="37" t="s">
        <v>5043</v>
      </c>
      <c r="AC976" s="38" t="s">
        <v>153</v>
      </c>
      <c r="AD976" s="39" t="s">
        <v>153</v>
      </c>
      <c r="AE976" s="40" t="s">
        <v>153</v>
      </c>
      <c r="AF976" s="41" t="s">
        <v>153</v>
      </c>
      <c r="AG976" s="42" t="s">
        <v>153</v>
      </c>
      <c r="AH976" s="43" t="s">
        <v>153</v>
      </c>
      <c r="AI976" s="44" t="s">
        <v>153</v>
      </c>
      <c r="AJ976" s="45" t="s">
        <v>153</v>
      </c>
      <c r="AK976" s="46" t="s">
        <v>153</v>
      </c>
      <c r="AL976" s="47" t="s">
        <v>153</v>
      </c>
      <c r="AM976" s="48" t="s">
        <v>153</v>
      </c>
      <c r="AN976" s="49" t="s">
        <v>1570</v>
      </c>
      <c r="AO976" s="50" t="s">
        <v>153</v>
      </c>
      <c r="AP976" s="51" t="s">
        <v>153</v>
      </c>
      <c r="AQ976" s="52" t="s">
        <v>153</v>
      </c>
      <c r="AR976" s="53" t="s">
        <v>153</v>
      </c>
      <c r="AS976" s="54" t="s">
        <v>153</v>
      </c>
      <c r="AT976" s="55" t="s">
        <v>19225</v>
      </c>
      <c r="AU976" s="56" t="s">
        <v>19226</v>
      </c>
      <c r="AV976" s="57" t="s">
        <v>19227</v>
      </c>
      <c r="AW976" s="58" t="s">
        <v>153</v>
      </c>
      <c r="AX976" s="59" t="s">
        <v>19228</v>
      </c>
      <c r="AY976" s="60" t="s">
        <v>153</v>
      </c>
      <c r="AZ976" s="61" t="s">
        <v>19225</v>
      </c>
      <c r="BA976" s="62" t="s">
        <v>19229</v>
      </c>
      <c r="BB976" s="63" t="s">
        <v>153</v>
      </c>
      <c r="BC976" s="64" t="s">
        <v>19230</v>
      </c>
      <c r="BD976" s="65" t="s">
        <v>1406</v>
      </c>
      <c r="BE976" s="66" t="s">
        <v>1407</v>
      </c>
      <c r="BF976" s="67" t="s">
        <v>19231</v>
      </c>
      <c r="BG976" s="68" t="s">
        <v>153</v>
      </c>
      <c r="BH976" s="69" t="s">
        <v>153</v>
      </c>
      <c r="BI976" s="70" t="s">
        <v>5043</v>
      </c>
      <c r="BJ976" s="71" t="s">
        <v>19232</v>
      </c>
      <c r="BK976" s="72" t="s">
        <v>153</v>
      </c>
      <c r="BL976" s="73" t="s">
        <v>153</v>
      </c>
      <c r="BM976" s="74" t="s">
        <v>19233</v>
      </c>
      <c r="BN976" s="75" t="s">
        <v>153</v>
      </c>
      <c r="BO976" s="76" t="s">
        <v>153</v>
      </c>
      <c r="BP976" s="77" t="s">
        <v>153</v>
      </c>
      <c r="BQ976" s="78">
        <v>37644</v>
      </c>
      <c r="BR976" s="79" t="s">
        <v>153</v>
      </c>
      <c r="BS976" s="80" t="s">
        <v>153</v>
      </c>
      <c r="BT976" s="81" t="s">
        <v>153</v>
      </c>
      <c r="BU976" s="82" t="s">
        <v>153</v>
      </c>
      <c r="BV976" s="83" t="s">
        <v>224</v>
      </c>
      <c r="BW976" s="84" t="s">
        <v>153</v>
      </c>
      <c r="BX976" s="85" t="s">
        <v>153</v>
      </c>
      <c r="BY976" s="86" t="s">
        <v>321</v>
      </c>
      <c r="BZ976" s="87" t="s">
        <v>153</v>
      </c>
      <c r="CA976" s="88" t="s">
        <v>190</v>
      </c>
      <c r="CB976" s="89">
        <v>42710</v>
      </c>
      <c r="CC976" s="90">
        <v>5191</v>
      </c>
      <c r="CD976" s="91" t="s">
        <v>186</v>
      </c>
      <c r="CE976" s="92">
        <v>7747.76</v>
      </c>
      <c r="CF976" s="93" t="s">
        <v>186</v>
      </c>
      <c r="CG976" s="94" t="s">
        <v>226</v>
      </c>
      <c r="CH976" s="95" t="s">
        <v>729</v>
      </c>
      <c r="CI976" s="96" t="s">
        <v>153</v>
      </c>
      <c r="CJ976" s="97" t="s">
        <v>225</v>
      </c>
      <c r="CK976" s="98">
        <v>42710</v>
      </c>
      <c r="CL976" s="99" t="s">
        <v>153</v>
      </c>
      <c r="CM976" s="100" t="s">
        <v>153</v>
      </c>
      <c r="CN976" s="101" t="s">
        <v>190</v>
      </c>
      <c r="CO976" s="102">
        <v>0</v>
      </c>
      <c r="CP976" s="103">
        <v>11</v>
      </c>
      <c r="CQ976" s="104">
        <v>0</v>
      </c>
      <c r="CR976" s="105">
        <v>0</v>
      </c>
      <c r="CS976" s="106">
        <v>0</v>
      </c>
      <c r="CT976" s="107">
        <v>8</v>
      </c>
      <c r="CU976" s="108" t="s">
        <v>153</v>
      </c>
      <c r="CV976" s="109" t="s">
        <v>153</v>
      </c>
      <c r="CW976" s="110" t="s">
        <v>153</v>
      </c>
      <c r="CX976" s="111" t="s">
        <v>153</v>
      </c>
      <c r="CY976" s="112">
        <v>0</v>
      </c>
      <c r="CZ976" s="113">
        <v>5</v>
      </c>
      <c r="DA976" s="114" t="s">
        <v>153</v>
      </c>
      <c r="DB976" s="115" t="s">
        <v>153</v>
      </c>
      <c r="DC976" s="116">
        <v>5.5</v>
      </c>
      <c r="DD976" s="117">
        <v>86</v>
      </c>
      <c r="DE976" s="118">
        <v>-0.06</v>
      </c>
      <c r="DF976" s="119">
        <v>-1.1200000000000001</v>
      </c>
      <c r="DG976" s="120">
        <v>5.5</v>
      </c>
      <c r="DH976" s="121">
        <v>85</v>
      </c>
      <c r="DI976" s="122" t="s">
        <v>153</v>
      </c>
      <c r="DJ976" s="123" t="s">
        <v>153</v>
      </c>
      <c r="DK976" s="124" t="s">
        <v>153</v>
      </c>
      <c r="DL976" s="125" t="s">
        <v>153</v>
      </c>
      <c r="DM976" s="126">
        <v>5.5</v>
      </c>
      <c r="DN976" s="127">
        <v>84</v>
      </c>
      <c r="DO976" s="128" t="s">
        <v>153</v>
      </c>
      <c r="DP976" s="129" t="s">
        <v>153</v>
      </c>
      <c r="DQ976" s="130" t="s">
        <v>153</v>
      </c>
      <c r="DR976" s="131" t="s">
        <v>153</v>
      </c>
      <c r="DS976" s="132" t="s">
        <v>153</v>
      </c>
      <c r="DT976" s="133">
        <v>88</v>
      </c>
      <c r="DU976" s="134">
        <v>-2</v>
      </c>
      <c r="DV976" s="135">
        <v>-2.2200000000000002</v>
      </c>
      <c r="DW976" s="136" t="s">
        <v>153</v>
      </c>
      <c r="DX976" s="137" t="s">
        <v>153</v>
      </c>
      <c r="DY976" s="138" t="s">
        <v>153</v>
      </c>
      <c r="DZ976" s="139" t="s">
        <v>191</v>
      </c>
      <c r="EA976" s="140">
        <v>44217</v>
      </c>
      <c r="EB976" s="141">
        <v>7747.76</v>
      </c>
      <c r="EC976" s="142">
        <v>42710</v>
      </c>
      <c r="ED976" s="143" t="s">
        <v>226</v>
      </c>
      <c r="EE976" s="278" t="str">
        <f>HYPERLINK("https://my.pitchbook.com?c=121596-13", "View company online")</f>
        <v>View company online</v>
      </c>
    </row>
    <row r="977" spans="1:135" x14ac:dyDescent="0.45">
      <c r="A977" s="144" t="s">
        <v>19234</v>
      </c>
      <c r="B977" s="145" t="s">
        <v>19235</v>
      </c>
      <c r="C977" s="146" t="s">
        <v>153</v>
      </c>
      <c r="D977" s="147" t="s">
        <v>153</v>
      </c>
      <c r="E977" s="148" t="s">
        <v>19236</v>
      </c>
      <c r="F977" s="149" t="s">
        <v>153</v>
      </c>
      <c r="G977" s="150" t="s">
        <v>19237</v>
      </c>
      <c r="H977" s="151" t="s">
        <v>19238</v>
      </c>
      <c r="I977" s="152" t="s">
        <v>19234</v>
      </c>
      <c r="J977" s="153" t="s">
        <v>19239</v>
      </c>
      <c r="K977" s="154" t="s">
        <v>257</v>
      </c>
      <c r="L977" s="155" t="s">
        <v>258</v>
      </c>
      <c r="M977" s="156" t="s">
        <v>259</v>
      </c>
      <c r="N977" s="157" t="s">
        <v>595</v>
      </c>
      <c r="O977" s="158" t="s">
        <v>153</v>
      </c>
      <c r="P977" s="159" t="s">
        <v>19240</v>
      </c>
      <c r="Q977" s="160" t="s">
        <v>204</v>
      </c>
      <c r="R977" s="161" t="s">
        <v>153</v>
      </c>
      <c r="S977" s="162" t="s">
        <v>368</v>
      </c>
      <c r="T977" s="163" t="s">
        <v>164</v>
      </c>
      <c r="U977" s="164" t="s">
        <v>237</v>
      </c>
      <c r="V977" s="165" t="s">
        <v>19241</v>
      </c>
      <c r="W977" s="166">
        <v>8506</v>
      </c>
      <c r="X977" s="167" t="s">
        <v>19242</v>
      </c>
      <c r="Y977" s="168" t="s">
        <v>153</v>
      </c>
      <c r="Z977" s="169" t="s">
        <v>153</v>
      </c>
      <c r="AA977" s="170">
        <v>1946</v>
      </c>
      <c r="AB977" s="171" t="s">
        <v>19243</v>
      </c>
      <c r="AC977" s="172" t="s">
        <v>153</v>
      </c>
      <c r="AD977" s="173" t="s">
        <v>153</v>
      </c>
      <c r="AE977" s="174" t="s">
        <v>153</v>
      </c>
      <c r="AF977" s="175" t="s">
        <v>153</v>
      </c>
      <c r="AG977" s="176" t="s">
        <v>153</v>
      </c>
      <c r="AH977" s="177" t="s">
        <v>153</v>
      </c>
      <c r="AI977" s="178" t="s">
        <v>153</v>
      </c>
      <c r="AJ977" s="179" t="s">
        <v>153</v>
      </c>
      <c r="AK977" s="180" t="s">
        <v>153</v>
      </c>
      <c r="AL977" s="181" t="s">
        <v>153</v>
      </c>
      <c r="AM977" s="182" t="s">
        <v>153</v>
      </c>
      <c r="AN977" s="183" t="s">
        <v>330</v>
      </c>
      <c r="AO977" s="184" t="s">
        <v>19244</v>
      </c>
      <c r="AP977" s="185" t="s">
        <v>19245</v>
      </c>
      <c r="AQ977" s="186" t="s">
        <v>3351</v>
      </c>
      <c r="AR977" s="187" t="s">
        <v>19246</v>
      </c>
      <c r="AS977" s="188" t="s">
        <v>153</v>
      </c>
      <c r="AT977" s="189" t="s">
        <v>13002</v>
      </c>
      <c r="AU977" s="190" t="s">
        <v>19247</v>
      </c>
      <c r="AV977" s="191" t="s">
        <v>153</v>
      </c>
      <c r="AW977" s="192" t="s">
        <v>13003</v>
      </c>
      <c r="AX977" s="193" t="s">
        <v>153</v>
      </c>
      <c r="AY977" s="194" t="s">
        <v>19248</v>
      </c>
      <c r="AZ977" s="195" t="s">
        <v>352</v>
      </c>
      <c r="BA977" s="196" t="s">
        <v>19249</v>
      </c>
      <c r="BB977" s="197" t="s">
        <v>19250</v>
      </c>
      <c r="BC977" s="198" t="s">
        <v>19251</v>
      </c>
      <c r="BD977" s="199" t="s">
        <v>180</v>
      </c>
      <c r="BE977" s="200" t="s">
        <v>181</v>
      </c>
      <c r="BF977" s="201" t="s">
        <v>19252</v>
      </c>
      <c r="BG977" s="202" t="s">
        <v>153</v>
      </c>
      <c r="BH977" s="203" t="s">
        <v>153</v>
      </c>
      <c r="BI977" s="204" t="s">
        <v>19243</v>
      </c>
      <c r="BJ977" s="205" t="s">
        <v>153</v>
      </c>
      <c r="BK977" s="206" t="s">
        <v>153</v>
      </c>
      <c r="BL977" s="207" t="s">
        <v>153</v>
      </c>
      <c r="BM977" s="208" t="s">
        <v>153</v>
      </c>
      <c r="BN977" s="209" t="s">
        <v>153</v>
      </c>
      <c r="BO977" s="210" t="s">
        <v>19253</v>
      </c>
      <c r="BP977" s="211" t="s">
        <v>19254</v>
      </c>
      <c r="BQ977" s="212">
        <v>34820</v>
      </c>
      <c r="BR977" s="213" t="s">
        <v>153</v>
      </c>
      <c r="BS977" s="214" t="s">
        <v>153</v>
      </c>
      <c r="BT977" s="215" t="s">
        <v>153</v>
      </c>
      <c r="BU977" s="216" t="s">
        <v>153</v>
      </c>
      <c r="BV977" s="217" t="s">
        <v>251</v>
      </c>
      <c r="BW977" s="218" t="s">
        <v>153</v>
      </c>
      <c r="BX977" s="219" t="s">
        <v>153</v>
      </c>
      <c r="BY977" s="220" t="s">
        <v>252</v>
      </c>
      <c r="BZ977" s="221" t="s">
        <v>153</v>
      </c>
      <c r="CA977" s="222" t="s">
        <v>190</v>
      </c>
      <c r="CB977" s="223">
        <v>39086</v>
      </c>
      <c r="CC977" s="224">
        <v>5185.91</v>
      </c>
      <c r="CD977" s="225" t="s">
        <v>186</v>
      </c>
      <c r="CE977" s="226">
        <v>5919.04</v>
      </c>
      <c r="CF977" s="227" t="s">
        <v>186</v>
      </c>
      <c r="CG977" s="228" t="s">
        <v>226</v>
      </c>
      <c r="CH977" s="229" t="s">
        <v>153</v>
      </c>
      <c r="CI977" s="230" t="s">
        <v>153</v>
      </c>
      <c r="CJ977" s="231" t="s">
        <v>225</v>
      </c>
      <c r="CK977" s="232">
        <v>39086</v>
      </c>
      <c r="CL977" s="233" t="s">
        <v>153</v>
      </c>
      <c r="CM977" s="234" t="s">
        <v>153</v>
      </c>
      <c r="CN977" s="235" t="s">
        <v>190</v>
      </c>
      <c r="CO977" s="236">
        <v>0.61</v>
      </c>
      <c r="CP977" s="237">
        <v>94</v>
      </c>
      <c r="CQ977" s="238">
        <v>-0.26</v>
      </c>
      <c r="CR977" s="239">
        <v>-29.95</v>
      </c>
      <c r="CS977" s="240">
        <v>0.61</v>
      </c>
      <c r="CT977" s="241">
        <v>93</v>
      </c>
      <c r="CU977" s="242" t="s">
        <v>153</v>
      </c>
      <c r="CV977" s="243" t="s">
        <v>153</v>
      </c>
      <c r="CW977" s="244" t="s">
        <v>153</v>
      </c>
      <c r="CX977" s="245" t="s">
        <v>153</v>
      </c>
      <c r="CY977" s="246">
        <v>0.61</v>
      </c>
      <c r="CZ977" s="247">
        <v>95</v>
      </c>
      <c r="DA977" s="248" t="s">
        <v>153</v>
      </c>
      <c r="DB977" s="249" t="s">
        <v>153</v>
      </c>
      <c r="DC977" s="250">
        <v>25</v>
      </c>
      <c r="DD977" s="251">
        <v>97</v>
      </c>
      <c r="DE977" s="252">
        <v>-0.31</v>
      </c>
      <c r="DF977" s="253">
        <v>-1.23</v>
      </c>
      <c r="DG977" s="254">
        <v>25</v>
      </c>
      <c r="DH977" s="255">
        <v>96</v>
      </c>
      <c r="DI977" s="256" t="s">
        <v>153</v>
      </c>
      <c r="DJ977" s="257" t="s">
        <v>153</v>
      </c>
      <c r="DK977" s="258" t="s">
        <v>153</v>
      </c>
      <c r="DL977" s="259" t="s">
        <v>153</v>
      </c>
      <c r="DM977" s="260">
        <v>25</v>
      </c>
      <c r="DN977" s="261">
        <v>96</v>
      </c>
      <c r="DO977" s="262" t="s">
        <v>153</v>
      </c>
      <c r="DP977" s="263" t="s">
        <v>153</v>
      </c>
      <c r="DQ977" s="264" t="s">
        <v>153</v>
      </c>
      <c r="DR977" s="265" t="s">
        <v>153</v>
      </c>
      <c r="DS977" s="266" t="s">
        <v>153</v>
      </c>
      <c r="DT977" s="267">
        <v>402</v>
      </c>
      <c r="DU977" s="268">
        <v>-2</v>
      </c>
      <c r="DV977" s="269">
        <v>-0.5</v>
      </c>
      <c r="DW977" s="270" t="s">
        <v>153</v>
      </c>
      <c r="DX977" s="271" t="s">
        <v>153</v>
      </c>
      <c r="DY977" s="272" t="s">
        <v>153</v>
      </c>
      <c r="DZ977" s="273" t="s">
        <v>191</v>
      </c>
      <c r="EA977" s="274">
        <v>44336</v>
      </c>
      <c r="EB977" s="275">
        <v>5919.04</v>
      </c>
      <c r="EC977" s="276">
        <v>39086</v>
      </c>
      <c r="ED977" s="277" t="s">
        <v>226</v>
      </c>
      <c r="EE977" s="279" t="str">
        <f>HYPERLINK("https://my.pitchbook.com?c=114018-31", "View company online")</f>
        <v>View company online</v>
      </c>
    </row>
    <row r="978" spans="1:135" x14ac:dyDescent="0.45">
      <c r="A978" s="10" t="s">
        <v>19255</v>
      </c>
      <c r="B978" s="11" t="s">
        <v>19256</v>
      </c>
      <c r="C978" s="12" t="s">
        <v>153</v>
      </c>
      <c r="D978" s="13" t="s">
        <v>153</v>
      </c>
      <c r="E978" s="14" t="s">
        <v>153</v>
      </c>
      <c r="F978" s="15" t="s">
        <v>19257</v>
      </c>
      <c r="G978" s="16" t="s">
        <v>19258</v>
      </c>
      <c r="H978" s="17" t="s">
        <v>153</v>
      </c>
      <c r="I978" s="18" t="s">
        <v>19255</v>
      </c>
      <c r="J978" s="19" t="s">
        <v>19259</v>
      </c>
      <c r="K978" s="20" t="s">
        <v>232</v>
      </c>
      <c r="L978" s="21" t="s">
        <v>1016</v>
      </c>
      <c r="M978" s="22" t="s">
        <v>2416</v>
      </c>
      <c r="N978" s="23" t="s">
        <v>19260</v>
      </c>
      <c r="O978" s="24" t="s">
        <v>153</v>
      </c>
      <c r="P978" s="25" t="s">
        <v>19261</v>
      </c>
      <c r="Q978" s="26" t="s">
        <v>204</v>
      </c>
      <c r="R978" s="27" t="s">
        <v>153</v>
      </c>
      <c r="S978" s="28" t="s">
        <v>163</v>
      </c>
      <c r="T978" s="29" t="s">
        <v>205</v>
      </c>
      <c r="U978" s="30" t="s">
        <v>237</v>
      </c>
      <c r="V978" s="31" t="s">
        <v>19262</v>
      </c>
      <c r="W978" s="32">
        <v>94</v>
      </c>
      <c r="X978" s="33" t="s">
        <v>19263</v>
      </c>
      <c r="Y978" s="34" t="s">
        <v>153</v>
      </c>
      <c r="Z978" s="35" t="s">
        <v>153</v>
      </c>
      <c r="AA978" s="36">
        <v>1993</v>
      </c>
      <c r="AB978" s="37" t="s">
        <v>153</v>
      </c>
      <c r="AC978" s="38" t="s">
        <v>153</v>
      </c>
      <c r="AD978" s="39" t="s">
        <v>153</v>
      </c>
      <c r="AE978" s="40" t="s">
        <v>153</v>
      </c>
      <c r="AF978" s="41" t="s">
        <v>153</v>
      </c>
      <c r="AG978" s="42" t="s">
        <v>153</v>
      </c>
      <c r="AH978" s="43" t="s">
        <v>153</v>
      </c>
      <c r="AI978" s="44" t="s">
        <v>153</v>
      </c>
      <c r="AJ978" s="45" t="s">
        <v>153</v>
      </c>
      <c r="AK978" s="46" t="s">
        <v>153</v>
      </c>
      <c r="AL978" s="47" t="s">
        <v>153</v>
      </c>
      <c r="AM978" s="48" t="s">
        <v>153</v>
      </c>
      <c r="AN978" s="49" t="s">
        <v>153</v>
      </c>
      <c r="AO978" s="50" t="s">
        <v>19264</v>
      </c>
      <c r="AP978" s="51" t="s">
        <v>19265</v>
      </c>
      <c r="AQ978" s="52" t="s">
        <v>19266</v>
      </c>
      <c r="AR978" s="53" t="s">
        <v>153</v>
      </c>
      <c r="AS978" s="54" t="s">
        <v>153</v>
      </c>
      <c r="AT978" s="55" t="s">
        <v>3972</v>
      </c>
      <c r="AU978" s="56" t="s">
        <v>19267</v>
      </c>
      <c r="AV978" s="57" t="s">
        <v>12440</v>
      </c>
      <c r="AW978" s="58" t="s">
        <v>3974</v>
      </c>
      <c r="AX978" s="59" t="s">
        <v>153</v>
      </c>
      <c r="AY978" s="60" t="s">
        <v>19268</v>
      </c>
      <c r="AZ978" s="61" t="s">
        <v>1519</v>
      </c>
      <c r="BA978" s="62" t="s">
        <v>153</v>
      </c>
      <c r="BB978" s="63" t="s">
        <v>153</v>
      </c>
      <c r="BC978" s="64" t="s">
        <v>153</v>
      </c>
      <c r="BD978" s="65" t="s">
        <v>1406</v>
      </c>
      <c r="BE978" s="66" t="s">
        <v>1407</v>
      </c>
      <c r="BF978" s="67" t="s">
        <v>19269</v>
      </c>
      <c r="BG978" s="68" t="s">
        <v>153</v>
      </c>
      <c r="BH978" s="69" t="s">
        <v>153</v>
      </c>
      <c r="BI978" s="70" t="s">
        <v>19270</v>
      </c>
      <c r="BJ978" s="71" t="s">
        <v>153</v>
      </c>
      <c r="BK978" s="72" t="s">
        <v>153</v>
      </c>
      <c r="BL978" s="73" t="s">
        <v>153</v>
      </c>
      <c r="BM978" s="74" t="s">
        <v>153</v>
      </c>
      <c r="BN978" s="75" t="s">
        <v>153</v>
      </c>
      <c r="BO978" s="76" t="s">
        <v>153</v>
      </c>
      <c r="BP978" s="77" t="s">
        <v>19271</v>
      </c>
      <c r="BQ978" s="78">
        <v>34335</v>
      </c>
      <c r="BR978" s="79" t="s">
        <v>153</v>
      </c>
      <c r="BS978" s="80" t="s">
        <v>153</v>
      </c>
      <c r="BT978" s="81" t="s">
        <v>153</v>
      </c>
      <c r="BU978" s="82" t="s">
        <v>153</v>
      </c>
      <c r="BV978" s="83" t="s">
        <v>251</v>
      </c>
      <c r="BW978" s="84" t="s">
        <v>153</v>
      </c>
      <c r="BX978" s="85" t="s">
        <v>153</v>
      </c>
      <c r="BY978" s="86" t="s">
        <v>252</v>
      </c>
      <c r="BZ978" s="87" t="s">
        <v>153</v>
      </c>
      <c r="CA978" s="88" t="s">
        <v>190</v>
      </c>
      <c r="CB978" s="89">
        <v>42020</v>
      </c>
      <c r="CC978" s="90">
        <v>5182.1099999999997</v>
      </c>
      <c r="CD978" s="91" t="s">
        <v>186</v>
      </c>
      <c r="CE978" s="92">
        <v>5182.1099999999997</v>
      </c>
      <c r="CF978" s="93" t="s">
        <v>186</v>
      </c>
      <c r="CG978" s="94" t="s">
        <v>226</v>
      </c>
      <c r="CH978" s="95" t="s">
        <v>930</v>
      </c>
      <c r="CI978" s="96" t="s">
        <v>153</v>
      </c>
      <c r="CJ978" s="97" t="s">
        <v>225</v>
      </c>
      <c r="CK978" s="98">
        <v>42020</v>
      </c>
      <c r="CL978" s="99" t="s">
        <v>153</v>
      </c>
      <c r="CM978" s="100" t="s">
        <v>153</v>
      </c>
      <c r="CN978" s="101" t="s">
        <v>190</v>
      </c>
      <c r="CO978" s="102" t="s">
        <v>153</v>
      </c>
      <c r="CP978" s="103" t="s">
        <v>153</v>
      </c>
      <c r="CQ978" s="104" t="s">
        <v>153</v>
      </c>
      <c r="CR978" s="105" t="s">
        <v>153</v>
      </c>
      <c r="CS978" s="106" t="s">
        <v>153</v>
      </c>
      <c r="CT978" s="107" t="s">
        <v>153</v>
      </c>
      <c r="CU978" s="108" t="s">
        <v>153</v>
      </c>
      <c r="CV978" s="109" t="s">
        <v>153</v>
      </c>
      <c r="CW978" s="110" t="s">
        <v>153</v>
      </c>
      <c r="CX978" s="111" t="s">
        <v>153</v>
      </c>
      <c r="CY978" s="112" t="s">
        <v>153</v>
      </c>
      <c r="CZ978" s="113" t="s">
        <v>153</v>
      </c>
      <c r="DA978" s="114" t="s">
        <v>153</v>
      </c>
      <c r="DB978" s="115" t="s">
        <v>153</v>
      </c>
      <c r="DC978" s="116" t="s">
        <v>153</v>
      </c>
      <c r="DD978" s="117" t="s">
        <v>153</v>
      </c>
      <c r="DE978" s="118" t="s">
        <v>153</v>
      </c>
      <c r="DF978" s="119" t="s">
        <v>153</v>
      </c>
      <c r="DG978" s="120" t="s">
        <v>153</v>
      </c>
      <c r="DH978" s="121" t="s">
        <v>153</v>
      </c>
      <c r="DI978" s="122" t="s">
        <v>153</v>
      </c>
      <c r="DJ978" s="123" t="s">
        <v>153</v>
      </c>
      <c r="DK978" s="124" t="s">
        <v>153</v>
      </c>
      <c r="DL978" s="125" t="s">
        <v>153</v>
      </c>
      <c r="DM978" s="126" t="s">
        <v>153</v>
      </c>
      <c r="DN978" s="127" t="s">
        <v>153</v>
      </c>
      <c r="DO978" s="128" t="s">
        <v>153</v>
      </c>
      <c r="DP978" s="129" t="s">
        <v>153</v>
      </c>
      <c r="DQ978" s="130" t="s">
        <v>153</v>
      </c>
      <c r="DR978" s="131" t="s">
        <v>153</v>
      </c>
      <c r="DS978" s="132" t="s">
        <v>153</v>
      </c>
      <c r="DT978" s="133" t="s">
        <v>153</v>
      </c>
      <c r="DU978" s="134" t="s">
        <v>153</v>
      </c>
      <c r="DV978" s="135" t="s">
        <v>153</v>
      </c>
      <c r="DW978" s="136" t="s">
        <v>153</v>
      </c>
      <c r="DX978" s="137" t="s">
        <v>153</v>
      </c>
      <c r="DY978" s="138" t="s">
        <v>153</v>
      </c>
      <c r="DZ978" s="139" t="s">
        <v>191</v>
      </c>
      <c r="EA978" s="140">
        <v>44327</v>
      </c>
      <c r="EB978" s="141">
        <v>5182.1099999999997</v>
      </c>
      <c r="EC978" s="142">
        <v>42020</v>
      </c>
      <c r="ED978" s="143" t="s">
        <v>226</v>
      </c>
      <c r="EE978" s="278" t="str">
        <f>HYPERLINK("https://my.pitchbook.com?c=65418-85", "View company online")</f>
        <v>View company online</v>
      </c>
    </row>
    <row r="979" spans="1:135" x14ac:dyDescent="0.45">
      <c r="A979" s="144" t="s">
        <v>19272</v>
      </c>
      <c r="B979" s="145" t="s">
        <v>19273</v>
      </c>
      <c r="C979" s="146" t="s">
        <v>153</v>
      </c>
      <c r="D979" s="147" t="s">
        <v>153</v>
      </c>
      <c r="E979" s="148" t="s">
        <v>153</v>
      </c>
      <c r="F979" s="149" t="s">
        <v>153</v>
      </c>
      <c r="G979" s="150" t="s">
        <v>19274</v>
      </c>
      <c r="H979" s="151" t="s">
        <v>19275</v>
      </c>
      <c r="I979" s="152" t="s">
        <v>19272</v>
      </c>
      <c r="J979" s="153" t="s">
        <v>19276</v>
      </c>
      <c r="K979" s="154" t="s">
        <v>157</v>
      </c>
      <c r="L979" s="155" t="s">
        <v>421</v>
      </c>
      <c r="M979" s="156" t="s">
        <v>503</v>
      </c>
      <c r="N979" s="157" t="s">
        <v>504</v>
      </c>
      <c r="O979" s="158" t="s">
        <v>399</v>
      </c>
      <c r="P979" s="159" t="s">
        <v>19277</v>
      </c>
      <c r="Q979" s="160" t="s">
        <v>564</v>
      </c>
      <c r="R979" s="161">
        <v>6608</v>
      </c>
      <c r="S979" s="162" t="s">
        <v>368</v>
      </c>
      <c r="T979" s="163" t="s">
        <v>164</v>
      </c>
      <c r="U979" s="164" t="s">
        <v>2025</v>
      </c>
      <c r="V979" s="165" t="s">
        <v>19278</v>
      </c>
      <c r="W979" s="166">
        <v>3000</v>
      </c>
      <c r="X979" s="167" t="s">
        <v>15178</v>
      </c>
      <c r="Y979" s="168" t="s">
        <v>153</v>
      </c>
      <c r="Z979" s="169" t="s">
        <v>153</v>
      </c>
      <c r="AA979" s="170">
        <v>2007</v>
      </c>
      <c r="AB979" s="171" t="s">
        <v>517</v>
      </c>
      <c r="AC979" s="172" t="s">
        <v>4965</v>
      </c>
      <c r="AD979" s="173" t="s">
        <v>19279</v>
      </c>
      <c r="AE979" s="174" t="s">
        <v>153</v>
      </c>
      <c r="AF979" s="175" t="s">
        <v>153</v>
      </c>
      <c r="AG979" s="176" t="s">
        <v>153</v>
      </c>
      <c r="AH979" s="177" t="s">
        <v>153</v>
      </c>
      <c r="AI979" s="178" t="s">
        <v>153</v>
      </c>
      <c r="AJ979" s="179" t="s">
        <v>153</v>
      </c>
      <c r="AK979" s="180" t="s">
        <v>153</v>
      </c>
      <c r="AL979" s="181" t="s">
        <v>153</v>
      </c>
      <c r="AM979" s="182" t="s">
        <v>153</v>
      </c>
      <c r="AN979" s="183" t="s">
        <v>1765</v>
      </c>
      <c r="AO979" s="184" t="s">
        <v>19280</v>
      </c>
      <c r="AP979" s="185" t="s">
        <v>19281</v>
      </c>
      <c r="AQ979" s="186" t="s">
        <v>968</v>
      </c>
      <c r="AR979" s="187" t="s">
        <v>19282</v>
      </c>
      <c r="AS979" s="188" t="s">
        <v>153</v>
      </c>
      <c r="AT979" s="189" t="s">
        <v>6886</v>
      </c>
      <c r="AU979" s="190" t="s">
        <v>19283</v>
      </c>
      <c r="AV979" s="191" t="s">
        <v>19284</v>
      </c>
      <c r="AW979" s="192" t="s">
        <v>6888</v>
      </c>
      <c r="AX979" s="193" t="s">
        <v>308</v>
      </c>
      <c r="AY979" s="194" t="s">
        <v>6889</v>
      </c>
      <c r="AZ979" s="195" t="s">
        <v>215</v>
      </c>
      <c r="BA979" s="196" t="s">
        <v>153</v>
      </c>
      <c r="BB979" s="197" t="s">
        <v>153</v>
      </c>
      <c r="BC979" s="198" t="s">
        <v>153</v>
      </c>
      <c r="BD979" s="199" t="s">
        <v>216</v>
      </c>
      <c r="BE979" s="200" t="s">
        <v>217</v>
      </c>
      <c r="BF979" s="201" t="s">
        <v>19285</v>
      </c>
      <c r="BG979" s="202" t="s">
        <v>519</v>
      </c>
      <c r="BH979" s="203">
        <v>1</v>
      </c>
      <c r="BI979" s="204" t="s">
        <v>517</v>
      </c>
      <c r="BJ979" s="205" t="s">
        <v>19286</v>
      </c>
      <c r="BK979" s="206" t="s">
        <v>19287</v>
      </c>
      <c r="BL979" s="207" t="s">
        <v>521</v>
      </c>
      <c r="BM979" s="208" t="s">
        <v>19288</v>
      </c>
      <c r="BN979" s="209" t="s">
        <v>19289</v>
      </c>
      <c r="BO979" s="210" t="s">
        <v>19290</v>
      </c>
      <c r="BP979" s="211" t="s">
        <v>19291</v>
      </c>
      <c r="BQ979" s="212">
        <v>39142</v>
      </c>
      <c r="BR979" s="213" t="s">
        <v>153</v>
      </c>
      <c r="BS979" s="214" t="s">
        <v>153</v>
      </c>
      <c r="BT979" s="215" t="s">
        <v>153</v>
      </c>
      <c r="BU979" s="216" t="s">
        <v>153</v>
      </c>
      <c r="BV979" s="217" t="s">
        <v>224</v>
      </c>
      <c r="BW979" s="218" t="s">
        <v>153</v>
      </c>
      <c r="BX979" s="219" t="s">
        <v>153</v>
      </c>
      <c r="BY979" s="220" t="s">
        <v>321</v>
      </c>
      <c r="BZ979" s="221" t="s">
        <v>153</v>
      </c>
      <c r="CA979" s="222" t="s">
        <v>190</v>
      </c>
      <c r="CB979" s="223">
        <v>43684</v>
      </c>
      <c r="CC979" s="224">
        <v>5175</v>
      </c>
      <c r="CD979" s="225" t="s">
        <v>186</v>
      </c>
      <c r="CE979" s="226" t="s">
        <v>153</v>
      </c>
      <c r="CF979" s="227" t="s">
        <v>153</v>
      </c>
      <c r="CG979" s="228" t="s">
        <v>4289</v>
      </c>
      <c r="CH979" s="229" t="s">
        <v>153</v>
      </c>
      <c r="CI979" s="230" t="s">
        <v>153</v>
      </c>
      <c r="CJ979" s="231" t="s">
        <v>4290</v>
      </c>
      <c r="CK979" s="232">
        <v>43684</v>
      </c>
      <c r="CL979" s="233">
        <v>5175</v>
      </c>
      <c r="CM979" s="234" t="s">
        <v>19292</v>
      </c>
      <c r="CN979" s="235" t="s">
        <v>190</v>
      </c>
      <c r="CO979" s="236" t="s">
        <v>153</v>
      </c>
      <c r="CP979" s="237" t="s">
        <v>153</v>
      </c>
      <c r="CQ979" s="238" t="s">
        <v>153</v>
      </c>
      <c r="CR979" s="239" t="s">
        <v>153</v>
      </c>
      <c r="CS979" s="240" t="s">
        <v>153</v>
      </c>
      <c r="CT979" s="241" t="s">
        <v>153</v>
      </c>
      <c r="CU979" s="242" t="s">
        <v>153</v>
      </c>
      <c r="CV979" s="243" t="s">
        <v>153</v>
      </c>
      <c r="CW979" s="244" t="s">
        <v>153</v>
      </c>
      <c r="CX979" s="245" t="s">
        <v>153</v>
      </c>
      <c r="CY979" s="246" t="s">
        <v>153</v>
      </c>
      <c r="CZ979" s="247" t="s">
        <v>153</v>
      </c>
      <c r="DA979" s="248" t="s">
        <v>153</v>
      </c>
      <c r="DB979" s="249" t="s">
        <v>153</v>
      </c>
      <c r="DC979" s="250" t="s">
        <v>153</v>
      </c>
      <c r="DD979" s="251" t="s">
        <v>153</v>
      </c>
      <c r="DE979" s="252" t="s">
        <v>153</v>
      </c>
      <c r="DF979" s="253" t="s">
        <v>153</v>
      </c>
      <c r="DG979" s="254" t="s">
        <v>153</v>
      </c>
      <c r="DH979" s="255" t="s">
        <v>153</v>
      </c>
      <c r="DI979" s="256" t="s">
        <v>153</v>
      </c>
      <c r="DJ979" s="257" t="s">
        <v>153</v>
      </c>
      <c r="DK979" s="258" t="s">
        <v>153</v>
      </c>
      <c r="DL979" s="259" t="s">
        <v>153</v>
      </c>
      <c r="DM979" s="260" t="s">
        <v>153</v>
      </c>
      <c r="DN979" s="261" t="s">
        <v>153</v>
      </c>
      <c r="DO979" s="262" t="s">
        <v>153</v>
      </c>
      <c r="DP979" s="263" t="s">
        <v>153</v>
      </c>
      <c r="DQ979" s="264" t="s">
        <v>153</v>
      </c>
      <c r="DR979" s="265" t="s">
        <v>153</v>
      </c>
      <c r="DS979" s="266" t="s">
        <v>153</v>
      </c>
      <c r="DT979" s="267" t="s">
        <v>153</v>
      </c>
      <c r="DU979" s="268" t="s">
        <v>153</v>
      </c>
      <c r="DV979" s="269" t="s">
        <v>153</v>
      </c>
      <c r="DW979" s="270" t="s">
        <v>153</v>
      </c>
      <c r="DX979" s="271" t="s">
        <v>153</v>
      </c>
      <c r="DY979" s="272" t="s">
        <v>153</v>
      </c>
      <c r="DZ979" s="273" t="s">
        <v>191</v>
      </c>
      <c r="EA979" s="274">
        <v>44402</v>
      </c>
      <c r="EB979" s="275">
        <v>15000</v>
      </c>
      <c r="EC979" s="276">
        <v>43570</v>
      </c>
      <c r="ED979" s="277" t="s">
        <v>906</v>
      </c>
      <c r="EE979" s="279" t="str">
        <f>HYPERLINK("https://my.pitchbook.com?c=10359-55", "View company online")</f>
        <v>View company online</v>
      </c>
    </row>
    <row r="980" spans="1:135" x14ac:dyDescent="0.45">
      <c r="A980" s="10" t="s">
        <v>19293</v>
      </c>
      <c r="B980" s="11" t="s">
        <v>19294</v>
      </c>
      <c r="C980" s="12" t="s">
        <v>153</v>
      </c>
      <c r="D980" s="13" t="s">
        <v>153</v>
      </c>
      <c r="E980" s="14" t="s">
        <v>19295</v>
      </c>
      <c r="F980" s="15" t="s">
        <v>19296</v>
      </c>
      <c r="G980" s="16" t="s">
        <v>19297</v>
      </c>
      <c r="H980" s="17" t="s">
        <v>19298</v>
      </c>
      <c r="I980" s="18" t="s">
        <v>19293</v>
      </c>
      <c r="J980" s="19" t="s">
        <v>19299</v>
      </c>
      <c r="K980" s="20" t="s">
        <v>792</v>
      </c>
      <c r="L980" s="21" t="s">
        <v>841</v>
      </c>
      <c r="M980" s="22" t="s">
        <v>913</v>
      </c>
      <c r="N980" s="23" t="s">
        <v>1300</v>
      </c>
      <c r="O980" s="24" t="s">
        <v>796</v>
      </c>
      <c r="P980" s="25" t="s">
        <v>19300</v>
      </c>
      <c r="Q980" s="26" t="s">
        <v>367</v>
      </c>
      <c r="R980" s="27" t="s">
        <v>153</v>
      </c>
      <c r="S980" s="28" t="s">
        <v>290</v>
      </c>
      <c r="T980" s="29" t="s">
        <v>291</v>
      </c>
      <c r="U980" s="30" t="s">
        <v>369</v>
      </c>
      <c r="V980" s="31" t="s">
        <v>19301</v>
      </c>
      <c r="W980" s="32">
        <v>1200</v>
      </c>
      <c r="X980" s="33" t="s">
        <v>19302</v>
      </c>
      <c r="Y980" s="34" t="s">
        <v>372</v>
      </c>
      <c r="Z980" s="35" t="s">
        <v>19303</v>
      </c>
      <c r="AA980" s="36">
        <v>1889</v>
      </c>
      <c r="AB980" s="37" t="s">
        <v>153</v>
      </c>
      <c r="AC980" s="38" t="s">
        <v>153</v>
      </c>
      <c r="AD980" s="39" t="s">
        <v>428</v>
      </c>
      <c r="AE980" s="40">
        <v>1344.53</v>
      </c>
      <c r="AF980" s="41">
        <v>940.99</v>
      </c>
      <c r="AG980" s="42">
        <v>149.08000000000001</v>
      </c>
      <c r="AH980" s="43">
        <v>5682.29</v>
      </c>
      <c r="AI980" s="44">
        <v>485.5</v>
      </c>
      <c r="AJ980" s="45">
        <v>257.35000000000002</v>
      </c>
      <c r="AK980" s="46">
        <v>2992.99</v>
      </c>
      <c r="AL980" s="47">
        <v>2347.96</v>
      </c>
      <c r="AM980" s="48">
        <v>0.39</v>
      </c>
      <c r="AN980" s="49" t="s">
        <v>376</v>
      </c>
      <c r="AO980" s="50" t="s">
        <v>19304</v>
      </c>
      <c r="AP980" s="51" t="s">
        <v>19305</v>
      </c>
      <c r="AQ980" s="52" t="s">
        <v>2721</v>
      </c>
      <c r="AR980" s="53" t="s">
        <v>19306</v>
      </c>
      <c r="AS980" s="54" t="s">
        <v>19307</v>
      </c>
      <c r="AT980" s="55" t="s">
        <v>19308</v>
      </c>
      <c r="AU980" s="56" t="s">
        <v>19309</v>
      </c>
      <c r="AV980" s="57" t="s">
        <v>153</v>
      </c>
      <c r="AW980" s="58" t="s">
        <v>19310</v>
      </c>
      <c r="AX980" s="59" t="s">
        <v>4741</v>
      </c>
      <c r="AY980" s="60" t="s">
        <v>19311</v>
      </c>
      <c r="AZ980" s="61" t="s">
        <v>215</v>
      </c>
      <c r="BA980" s="62" t="s">
        <v>19307</v>
      </c>
      <c r="BB980" s="63" t="s">
        <v>153</v>
      </c>
      <c r="BC980" s="64" t="s">
        <v>19312</v>
      </c>
      <c r="BD980" s="65" t="s">
        <v>216</v>
      </c>
      <c r="BE980" s="66" t="s">
        <v>217</v>
      </c>
      <c r="BF980" s="67" t="s">
        <v>19313</v>
      </c>
      <c r="BG980" s="68" t="s">
        <v>19314</v>
      </c>
      <c r="BH980" s="69">
        <v>2</v>
      </c>
      <c r="BI980" s="70" t="s">
        <v>153</v>
      </c>
      <c r="BJ980" s="71" t="s">
        <v>153</v>
      </c>
      <c r="BK980" s="72" t="s">
        <v>19315</v>
      </c>
      <c r="BL980" s="73" t="s">
        <v>19316</v>
      </c>
      <c r="BM980" s="74" t="s">
        <v>153</v>
      </c>
      <c r="BN980" s="75" t="s">
        <v>19317</v>
      </c>
      <c r="BO980" s="76" t="s">
        <v>19318</v>
      </c>
      <c r="BP980" s="77" t="s">
        <v>19319</v>
      </c>
      <c r="BQ980" s="78">
        <v>26716</v>
      </c>
      <c r="BR980" s="79" t="s">
        <v>153</v>
      </c>
      <c r="BS980" s="80" t="s">
        <v>153</v>
      </c>
      <c r="BT980" s="81" t="s">
        <v>153</v>
      </c>
      <c r="BU980" s="82" t="s">
        <v>153</v>
      </c>
      <c r="BV980" s="83" t="s">
        <v>251</v>
      </c>
      <c r="BW980" s="84" t="s">
        <v>153</v>
      </c>
      <c r="BX980" s="85" t="s">
        <v>153</v>
      </c>
      <c r="BY980" s="86" t="s">
        <v>252</v>
      </c>
      <c r="BZ980" s="87" t="s">
        <v>153</v>
      </c>
      <c r="CA980" s="88" t="s">
        <v>190</v>
      </c>
      <c r="CB980" s="89">
        <v>42935</v>
      </c>
      <c r="CC980" s="90">
        <v>5170.43</v>
      </c>
      <c r="CD980" s="91" t="s">
        <v>186</v>
      </c>
      <c r="CE980" s="92">
        <v>5170.43</v>
      </c>
      <c r="CF980" s="93" t="s">
        <v>186</v>
      </c>
      <c r="CG980" s="94" t="s">
        <v>226</v>
      </c>
      <c r="CH980" s="95" t="s">
        <v>153</v>
      </c>
      <c r="CI980" s="96" t="s">
        <v>153</v>
      </c>
      <c r="CJ980" s="97" t="s">
        <v>225</v>
      </c>
      <c r="CK980" s="98">
        <v>42935</v>
      </c>
      <c r="CL980" s="99" t="s">
        <v>153</v>
      </c>
      <c r="CM980" s="100" t="s">
        <v>153</v>
      </c>
      <c r="CN980" s="101" t="s">
        <v>394</v>
      </c>
      <c r="CO980" s="102">
        <v>2.2799999999999998</v>
      </c>
      <c r="CP980" s="103">
        <v>99</v>
      </c>
      <c r="CQ980" s="104">
        <v>-0.26</v>
      </c>
      <c r="CR980" s="105">
        <v>-10.27</v>
      </c>
      <c r="CS980" s="106">
        <v>3.89</v>
      </c>
      <c r="CT980" s="107">
        <v>99</v>
      </c>
      <c r="CU980" s="108">
        <v>0.19</v>
      </c>
      <c r="CV980" s="109">
        <v>90</v>
      </c>
      <c r="CW980" s="110">
        <v>3.89</v>
      </c>
      <c r="CX980" s="111">
        <v>92</v>
      </c>
      <c r="CY980" s="112" t="s">
        <v>153</v>
      </c>
      <c r="CZ980" s="113" t="s">
        <v>153</v>
      </c>
      <c r="DA980" s="114">
        <v>0.19</v>
      </c>
      <c r="DB980" s="115">
        <v>90</v>
      </c>
      <c r="DC980" s="116">
        <v>58.8</v>
      </c>
      <c r="DD980" s="117">
        <v>99</v>
      </c>
      <c r="DE980" s="118">
        <v>0.05</v>
      </c>
      <c r="DF980" s="119">
        <v>0.09</v>
      </c>
      <c r="DG980" s="120">
        <v>151.55000000000001</v>
      </c>
      <c r="DH980" s="121">
        <v>100</v>
      </c>
      <c r="DI980" s="122">
        <v>23.79</v>
      </c>
      <c r="DJ980" s="123">
        <v>93</v>
      </c>
      <c r="DK980" s="124">
        <v>151.55000000000001</v>
      </c>
      <c r="DL980" s="125">
        <v>98</v>
      </c>
      <c r="DM980" s="126" t="s">
        <v>153</v>
      </c>
      <c r="DN980" s="127" t="s">
        <v>153</v>
      </c>
      <c r="DO980" s="128">
        <v>23.79</v>
      </c>
      <c r="DP980" s="129">
        <v>93</v>
      </c>
      <c r="DQ980" s="130">
        <v>88745</v>
      </c>
      <c r="DR980" s="131">
        <v>4118</v>
      </c>
      <c r="DS980" s="132">
        <v>4.87</v>
      </c>
      <c r="DT980" s="133" t="s">
        <v>153</v>
      </c>
      <c r="DU980" s="134" t="s">
        <v>153</v>
      </c>
      <c r="DV980" s="135" t="s">
        <v>153</v>
      </c>
      <c r="DW980" s="136">
        <v>7466</v>
      </c>
      <c r="DX980" s="137">
        <v>55</v>
      </c>
      <c r="DY980" s="138">
        <v>0.74</v>
      </c>
      <c r="DZ980" s="139" t="s">
        <v>191</v>
      </c>
      <c r="EA980" s="140">
        <v>44400</v>
      </c>
      <c r="EB980" s="141">
        <v>5170.43</v>
      </c>
      <c r="EC980" s="142">
        <v>42935</v>
      </c>
      <c r="ED980" s="143" t="s">
        <v>226</v>
      </c>
      <c r="EE980" s="278" t="str">
        <f>HYPERLINK("https://my.pitchbook.com?c=13192-66", "View company online")</f>
        <v>View company online</v>
      </c>
    </row>
    <row r="981" spans="1:135" x14ac:dyDescent="0.45">
      <c r="A981" s="144" t="s">
        <v>19320</v>
      </c>
      <c r="B981" s="145" t="s">
        <v>19321</v>
      </c>
      <c r="C981" s="146" t="s">
        <v>153</v>
      </c>
      <c r="D981" s="147" t="s">
        <v>153</v>
      </c>
      <c r="E981" s="148" t="s">
        <v>153</v>
      </c>
      <c r="F981" s="149" t="s">
        <v>19322</v>
      </c>
      <c r="G981" s="150" t="s">
        <v>19323</v>
      </c>
      <c r="H981" s="151" t="s">
        <v>153</v>
      </c>
      <c r="I981" s="152" t="s">
        <v>19320</v>
      </c>
      <c r="J981" s="153" t="s">
        <v>19324</v>
      </c>
      <c r="K981" s="154" t="s">
        <v>882</v>
      </c>
      <c r="L981" s="155" t="s">
        <v>1257</v>
      </c>
      <c r="M981" s="156" t="s">
        <v>6983</v>
      </c>
      <c r="N981" s="157" t="s">
        <v>15730</v>
      </c>
      <c r="O981" s="158" t="s">
        <v>3141</v>
      </c>
      <c r="P981" s="159" t="s">
        <v>19325</v>
      </c>
      <c r="Q981" s="160" t="s">
        <v>162</v>
      </c>
      <c r="R981" s="161" t="s">
        <v>153</v>
      </c>
      <c r="S981" s="162" t="s">
        <v>163</v>
      </c>
      <c r="T981" s="163" t="s">
        <v>1392</v>
      </c>
      <c r="U981" s="164" t="s">
        <v>2000</v>
      </c>
      <c r="V981" s="165" t="s">
        <v>19326</v>
      </c>
      <c r="W981" s="166">
        <v>15500</v>
      </c>
      <c r="X981" s="167" t="s">
        <v>19327</v>
      </c>
      <c r="Y981" s="168" t="s">
        <v>153</v>
      </c>
      <c r="Z981" s="169" t="s">
        <v>153</v>
      </c>
      <c r="AA981" s="170">
        <v>1966</v>
      </c>
      <c r="AB981" s="171" t="s">
        <v>153</v>
      </c>
      <c r="AC981" s="172" t="s">
        <v>153</v>
      </c>
      <c r="AD981" s="173" t="s">
        <v>153</v>
      </c>
      <c r="AE981" s="174" t="s">
        <v>153</v>
      </c>
      <c r="AF981" s="175" t="s">
        <v>153</v>
      </c>
      <c r="AG981" s="176" t="s">
        <v>153</v>
      </c>
      <c r="AH981" s="177" t="s">
        <v>153</v>
      </c>
      <c r="AI981" s="178" t="s">
        <v>153</v>
      </c>
      <c r="AJ981" s="179" t="s">
        <v>153</v>
      </c>
      <c r="AK981" s="180" t="s">
        <v>153</v>
      </c>
      <c r="AL981" s="181" t="s">
        <v>153</v>
      </c>
      <c r="AM981" s="182" t="s">
        <v>153</v>
      </c>
      <c r="AN981" s="183" t="s">
        <v>484</v>
      </c>
      <c r="AO981" s="184" t="s">
        <v>19328</v>
      </c>
      <c r="AP981" s="185" t="s">
        <v>19329</v>
      </c>
      <c r="AQ981" s="186" t="s">
        <v>573</v>
      </c>
      <c r="AR981" s="187" t="s">
        <v>153</v>
      </c>
      <c r="AS981" s="188" t="s">
        <v>19330</v>
      </c>
      <c r="AT981" s="189" t="s">
        <v>19331</v>
      </c>
      <c r="AU981" s="190" t="s">
        <v>19332</v>
      </c>
      <c r="AV981" s="191" t="s">
        <v>19333</v>
      </c>
      <c r="AW981" s="192" t="s">
        <v>19334</v>
      </c>
      <c r="AX981" s="193" t="s">
        <v>153</v>
      </c>
      <c r="AY981" s="194" t="s">
        <v>19335</v>
      </c>
      <c r="AZ981" s="195" t="s">
        <v>13571</v>
      </c>
      <c r="BA981" s="196" t="s">
        <v>19336</v>
      </c>
      <c r="BB981" s="197" t="s">
        <v>19337</v>
      </c>
      <c r="BC981" s="198" t="s">
        <v>19338</v>
      </c>
      <c r="BD981" s="199" t="s">
        <v>1406</v>
      </c>
      <c r="BE981" s="200" t="s">
        <v>7536</v>
      </c>
      <c r="BF981" s="201" t="s">
        <v>19339</v>
      </c>
      <c r="BG981" s="202" t="s">
        <v>19340</v>
      </c>
      <c r="BH981" s="203">
        <v>1</v>
      </c>
      <c r="BI981" s="204" t="s">
        <v>153</v>
      </c>
      <c r="BJ981" s="205" t="s">
        <v>19341</v>
      </c>
      <c r="BK981" s="206" t="s">
        <v>19342</v>
      </c>
      <c r="BL981" s="207" t="s">
        <v>19343</v>
      </c>
      <c r="BM981" s="208" t="s">
        <v>153</v>
      </c>
      <c r="BN981" s="209" t="s">
        <v>19344</v>
      </c>
      <c r="BO981" s="210" t="s">
        <v>153</v>
      </c>
      <c r="BP981" s="211" t="s">
        <v>153</v>
      </c>
      <c r="BQ981" s="212">
        <v>37135</v>
      </c>
      <c r="BR981" s="213">
        <v>1000.04</v>
      </c>
      <c r="BS981" s="214" t="s">
        <v>186</v>
      </c>
      <c r="BT981" s="215">
        <v>1000.04</v>
      </c>
      <c r="BU981" s="216" t="s">
        <v>187</v>
      </c>
      <c r="BV981" s="217" t="s">
        <v>188</v>
      </c>
      <c r="BW981" s="218" t="s">
        <v>729</v>
      </c>
      <c r="BX981" s="219" t="s">
        <v>153</v>
      </c>
      <c r="BY981" s="220" t="s">
        <v>165</v>
      </c>
      <c r="BZ981" s="221" t="s">
        <v>153</v>
      </c>
      <c r="CA981" s="222" t="s">
        <v>190</v>
      </c>
      <c r="CB981" s="223">
        <v>40456</v>
      </c>
      <c r="CC981" s="224">
        <v>5170</v>
      </c>
      <c r="CD981" s="225" t="s">
        <v>187</v>
      </c>
      <c r="CE981" s="226">
        <v>5170</v>
      </c>
      <c r="CF981" s="227" t="s">
        <v>187</v>
      </c>
      <c r="CG981" s="228" t="s">
        <v>226</v>
      </c>
      <c r="CH981" s="229" t="s">
        <v>153</v>
      </c>
      <c r="CI981" s="230" t="s">
        <v>153</v>
      </c>
      <c r="CJ981" s="231" t="s">
        <v>225</v>
      </c>
      <c r="CK981" s="232">
        <v>40456</v>
      </c>
      <c r="CL981" s="233" t="s">
        <v>153</v>
      </c>
      <c r="CM981" s="234" t="s">
        <v>153</v>
      </c>
      <c r="CN981" s="235" t="s">
        <v>394</v>
      </c>
      <c r="CO981" s="236" t="s">
        <v>153</v>
      </c>
      <c r="CP981" s="237" t="s">
        <v>153</v>
      </c>
      <c r="CQ981" s="238" t="s">
        <v>153</v>
      </c>
      <c r="CR981" s="239" t="s">
        <v>153</v>
      </c>
      <c r="CS981" s="240" t="s">
        <v>153</v>
      </c>
      <c r="CT981" s="241" t="s">
        <v>153</v>
      </c>
      <c r="CU981" s="242" t="s">
        <v>153</v>
      </c>
      <c r="CV981" s="243" t="s">
        <v>153</v>
      </c>
      <c r="CW981" s="244" t="s">
        <v>153</v>
      </c>
      <c r="CX981" s="245" t="s">
        <v>153</v>
      </c>
      <c r="CY981" s="246" t="s">
        <v>153</v>
      </c>
      <c r="CZ981" s="247" t="s">
        <v>153</v>
      </c>
      <c r="DA981" s="248" t="s">
        <v>153</v>
      </c>
      <c r="DB981" s="249" t="s">
        <v>153</v>
      </c>
      <c r="DC981" s="250" t="s">
        <v>153</v>
      </c>
      <c r="DD981" s="251" t="s">
        <v>153</v>
      </c>
      <c r="DE981" s="252" t="s">
        <v>153</v>
      </c>
      <c r="DF981" s="253" t="s">
        <v>153</v>
      </c>
      <c r="DG981" s="254" t="s">
        <v>153</v>
      </c>
      <c r="DH981" s="255" t="s">
        <v>153</v>
      </c>
      <c r="DI981" s="256" t="s">
        <v>153</v>
      </c>
      <c r="DJ981" s="257" t="s">
        <v>153</v>
      </c>
      <c r="DK981" s="258" t="s">
        <v>153</v>
      </c>
      <c r="DL981" s="259" t="s">
        <v>153</v>
      </c>
      <c r="DM981" s="260" t="s">
        <v>153</v>
      </c>
      <c r="DN981" s="261" t="s">
        <v>153</v>
      </c>
      <c r="DO981" s="262" t="s">
        <v>153</v>
      </c>
      <c r="DP981" s="263" t="s">
        <v>153</v>
      </c>
      <c r="DQ981" s="264" t="s">
        <v>153</v>
      </c>
      <c r="DR981" s="265" t="s">
        <v>153</v>
      </c>
      <c r="DS981" s="266" t="s">
        <v>153</v>
      </c>
      <c r="DT981" s="267" t="s">
        <v>153</v>
      </c>
      <c r="DU981" s="268" t="s">
        <v>153</v>
      </c>
      <c r="DV981" s="269" t="s">
        <v>153</v>
      </c>
      <c r="DW981" s="270" t="s">
        <v>153</v>
      </c>
      <c r="DX981" s="271" t="s">
        <v>153</v>
      </c>
      <c r="DY981" s="272" t="s">
        <v>153</v>
      </c>
      <c r="DZ981" s="273" t="s">
        <v>191</v>
      </c>
      <c r="EA981" s="274">
        <v>44379</v>
      </c>
      <c r="EB981" s="275">
        <v>5170</v>
      </c>
      <c r="EC981" s="276">
        <v>40456</v>
      </c>
      <c r="ED981" s="277" t="s">
        <v>226</v>
      </c>
      <c r="EE981" s="279" t="str">
        <f>HYPERLINK("https://my.pitchbook.com?c=64159-21", "View company online")</f>
        <v>View company online</v>
      </c>
    </row>
    <row r="982" spans="1:135" x14ac:dyDescent="0.45">
      <c r="A982" s="10" t="s">
        <v>19345</v>
      </c>
      <c r="B982" s="11" t="s">
        <v>19346</v>
      </c>
      <c r="C982" s="12" t="s">
        <v>153</v>
      </c>
      <c r="D982" s="13" t="s">
        <v>153</v>
      </c>
      <c r="E982" s="14" t="s">
        <v>19347</v>
      </c>
      <c r="F982" s="15" t="s">
        <v>19348</v>
      </c>
      <c r="G982" s="16" t="s">
        <v>19349</v>
      </c>
      <c r="H982" s="17" t="s">
        <v>153</v>
      </c>
      <c r="I982" s="18" t="s">
        <v>19345</v>
      </c>
      <c r="J982" s="19" t="s">
        <v>19350</v>
      </c>
      <c r="K982" s="20" t="s">
        <v>157</v>
      </c>
      <c r="L982" s="21" t="s">
        <v>158</v>
      </c>
      <c r="M982" s="22" t="s">
        <v>159</v>
      </c>
      <c r="N982" s="23" t="s">
        <v>19351</v>
      </c>
      <c r="O982" s="24" t="s">
        <v>153</v>
      </c>
      <c r="P982" s="25" t="s">
        <v>19352</v>
      </c>
      <c r="Q982" s="26" t="s">
        <v>367</v>
      </c>
      <c r="R982" s="27" t="s">
        <v>153</v>
      </c>
      <c r="S982" s="28" t="s">
        <v>290</v>
      </c>
      <c r="T982" s="29" t="s">
        <v>291</v>
      </c>
      <c r="U982" s="30" t="s">
        <v>237</v>
      </c>
      <c r="V982" s="31" t="s">
        <v>19353</v>
      </c>
      <c r="W982" s="32">
        <v>27</v>
      </c>
      <c r="X982" s="33" t="s">
        <v>19354</v>
      </c>
      <c r="Y982" s="34" t="s">
        <v>3412</v>
      </c>
      <c r="Z982" s="35" t="s">
        <v>19355</v>
      </c>
      <c r="AA982" s="36">
        <v>2003</v>
      </c>
      <c r="AB982" s="37" t="s">
        <v>5163</v>
      </c>
      <c r="AC982" s="38" t="s">
        <v>153</v>
      </c>
      <c r="AD982" s="39" t="s">
        <v>428</v>
      </c>
      <c r="AE982" s="40">
        <v>31.98</v>
      </c>
      <c r="AF982" s="41">
        <v>31.32</v>
      </c>
      <c r="AG982" s="42">
        <v>-16.55</v>
      </c>
      <c r="AH982" s="43">
        <v>173.66</v>
      </c>
      <c r="AI982" s="44">
        <v>-6.22</v>
      </c>
      <c r="AJ982" s="45">
        <v>-12.31</v>
      </c>
      <c r="AK982" s="46">
        <v>125.37</v>
      </c>
      <c r="AL982" s="47">
        <v>50.96</v>
      </c>
      <c r="AM982" s="48">
        <v>-6.7</v>
      </c>
      <c r="AN982" s="49" t="s">
        <v>376</v>
      </c>
      <c r="AO982" s="50" t="s">
        <v>19356</v>
      </c>
      <c r="AP982" s="51" t="s">
        <v>19357</v>
      </c>
      <c r="AQ982" s="52" t="s">
        <v>4199</v>
      </c>
      <c r="AR982" s="53" t="s">
        <v>19358</v>
      </c>
      <c r="AS982" s="54" t="s">
        <v>19359</v>
      </c>
      <c r="AT982" s="55" t="s">
        <v>3708</v>
      </c>
      <c r="AU982" s="56" t="s">
        <v>19360</v>
      </c>
      <c r="AV982" s="57" t="s">
        <v>153</v>
      </c>
      <c r="AW982" s="58" t="s">
        <v>3711</v>
      </c>
      <c r="AX982" s="59" t="s">
        <v>3712</v>
      </c>
      <c r="AY982" s="60" t="s">
        <v>19361</v>
      </c>
      <c r="AZ982" s="61" t="s">
        <v>1358</v>
      </c>
      <c r="BA982" s="62" t="s">
        <v>19362</v>
      </c>
      <c r="BB982" s="63" t="s">
        <v>19363</v>
      </c>
      <c r="BC982" s="64" t="s">
        <v>19364</v>
      </c>
      <c r="BD982" s="65" t="s">
        <v>216</v>
      </c>
      <c r="BE982" s="66" t="s">
        <v>217</v>
      </c>
      <c r="BF982" s="67" t="s">
        <v>19365</v>
      </c>
      <c r="BG982" s="68" t="s">
        <v>153</v>
      </c>
      <c r="BH982" s="69" t="s">
        <v>153</v>
      </c>
      <c r="BI982" s="70" t="s">
        <v>153</v>
      </c>
      <c r="BJ982" s="71" t="s">
        <v>153</v>
      </c>
      <c r="BK982" s="72" t="s">
        <v>5163</v>
      </c>
      <c r="BL982" s="73" t="s">
        <v>153</v>
      </c>
      <c r="BM982" s="74" t="s">
        <v>153</v>
      </c>
      <c r="BN982" s="75" t="s">
        <v>16391</v>
      </c>
      <c r="BO982" s="76" t="s">
        <v>19366</v>
      </c>
      <c r="BP982" s="77" t="s">
        <v>153</v>
      </c>
      <c r="BQ982" s="78">
        <v>39652</v>
      </c>
      <c r="BR982" s="79" t="s">
        <v>153</v>
      </c>
      <c r="BS982" s="80" t="s">
        <v>153</v>
      </c>
      <c r="BT982" s="81" t="s">
        <v>153</v>
      </c>
      <c r="BU982" s="82" t="s">
        <v>153</v>
      </c>
      <c r="BV982" s="83" t="s">
        <v>251</v>
      </c>
      <c r="BW982" s="84" t="s">
        <v>153</v>
      </c>
      <c r="BX982" s="85" t="s">
        <v>153</v>
      </c>
      <c r="BY982" s="86" t="s">
        <v>252</v>
      </c>
      <c r="BZ982" s="87" t="s">
        <v>153</v>
      </c>
      <c r="CA982" s="88" t="s">
        <v>190</v>
      </c>
      <c r="CB982" s="89">
        <v>44288</v>
      </c>
      <c r="CC982" s="90">
        <v>5168.6000000000004</v>
      </c>
      <c r="CD982" s="91" t="s">
        <v>186</v>
      </c>
      <c r="CE982" s="92">
        <v>5168.6000000000004</v>
      </c>
      <c r="CF982" s="93" t="s">
        <v>153</v>
      </c>
      <c r="CG982" s="94" t="s">
        <v>226</v>
      </c>
      <c r="CH982" s="95" t="s">
        <v>153</v>
      </c>
      <c r="CI982" s="96" t="s">
        <v>153</v>
      </c>
      <c r="CJ982" s="97" t="s">
        <v>225</v>
      </c>
      <c r="CK982" s="98">
        <v>44288</v>
      </c>
      <c r="CL982" s="99" t="s">
        <v>153</v>
      </c>
      <c r="CM982" s="100" t="s">
        <v>153</v>
      </c>
      <c r="CN982" s="101" t="s">
        <v>2042</v>
      </c>
      <c r="CO982" s="102" t="s">
        <v>153</v>
      </c>
      <c r="CP982" s="103" t="s">
        <v>153</v>
      </c>
      <c r="CQ982" s="104" t="s">
        <v>153</v>
      </c>
      <c r="CR982" s="105" t="s">
        <v>153</v>
      </c>
      <c r="CS982" s="106" t="s">
        <v>153</v>
      </c>
      <c r="CT982" s="107" t="s">
        <v>153</v>
      </c>
      <c r="CU982" s="108" t="s">
        <v>153</v>
      </c>
      <c r="CV982" s="109" t="s">
        <v>153</v>
      </c>
      <c r="CW982" s="110" t="s">
        <v>153</v>
      </c>
      <c r="CX982" s="111" t="s">
        <v>153</v>
      </c>
      <c r="CY982" s="112" t="s">
        <v>153</v>
      </c>
      <c r="CZ982" s="113" t="s">
        <v>153</v>
      </c>
      <c r="DA982" s="114" t="s">
        <v>153</v>
      </c>
      <c r="DB982" s="115" t="s">
        <v>153</v>
      </c>
      <c r="DC982" s="116" t="s">
        <v>153</v>
      </c>
      <c r="DD982" s="117" t="s">
        <v>153</v>
      </c>
      <c r="DE982" s="118" t="s">
        <v>153</v>
      </c>
      <c r="DF982" s="119" t="s">
        <v>153</v>
      </c>
      <c r="DG982" s="120" t="s">
        <v>153</v>
      </c>
      <c r="DH982" s="121" t="s">
        <v>153</v>
      </c>
      <c r="DI982" s="122" t="s">
        <v>153</v>
      </c>
      <c r="DJ982" s="123" t="s">
        <v>153</v>
      </c>
      <c r="DK982" s="124" t="s">
        <v>153</v>
      </c>
      <c r="DL982" s="125" t="s">
        <v>153</v>
      </c>
      <c r="DM982" s="126" t="s">
        <v>153</v>
      </c>
      <c r="DN982" s="127" t="s">
        <v>153</v>
      </c>
      <c r="DO982" s="128" t="s">
        <v>153</v>
      </c>
      <c r="DP982" s="129" t="s">
        <v>153</v>
      </c>
      <c r="DQ982" s="130" t="s">
        <v>153</v>
      </c>
      <c r="DR982" s="131" t="s">
        <v>153</v>
      </c>
      <c r="DS982" s="132" t="s">
        <v>153</v>
      </c>
      <c r="DT982" s="133" t="s">
        <v>153</v>
      </c>
      <c r="DU982" s="134" t="s">
        <v>153</v>
      </c>
      <c r="DV982" s="135" t="s">
        <v>153</v>
      </c>
      <c r="DW982" s="136" t="s">
        <v>153</v>
      </c>
      <c r="DX982" s="137" t="s">
        <v>153</v>
      </c>
      <c r="DY982" s="138" t="s">
        <v>153</v>
      </c>
      <c r="DZ982" s="139" t="s">
        <v>191</v>
      </c>
      <c r="EA982" s="140">
        <v>44380</v>
      </c>
      <c r="EB982" s="141">
        <v>5168.6000000000004</v>
      </c>
      <c r="EC982" s="142">
        <v>44288</v>
      </c>
      <c r="ED982" s="143" t="s">
        <v>226</v>
      </c>
      <c r="EE982" s="278" t="str">
        <f>HYPERLINK("https://my.pitchbook.com?c=59648-68", "View company online")</f>
        <v>View company online</v>
      </c>
    </row>
    <row r="983" spans="1:135" x14ac:dyDescent="0.45">
      <c r="A983" s="144" t="s">
        <v>19367</v>
      </c>
      <c r="B983" s="145" t="s">
        <v>19368</v>
      </c>
      <c r="C983" s="146" t="s">
        <v>153</v>
      </c>
      <c r="D983" s="147" t="s">
        <v>153</v>
      </c>
      <c r="E983" s="148" t="s">
        <v>19369</v>
      </c>
      <c r="F983" s="149" t="s">
        <v>19370</v>
      </c>
      <c r="G983" s="150" t="s">
        <v>19371</v>
      </c>
      <c r="H983" s="151" t="s">
        <v>19372</v>
      </c>
      <c r="I983" s="152" t="s">
        <v>19367</v>
      </c>
      <c r="J983" s="153" t="s">
        <v>19373</v>
      </c>
      <c r="K983" s="154" t="s">
        <v>882</v>
      </c>
      <c r="L983" s="155" t="s">
        <v>1257</v>
      </c>
      <c r="M983" s="156" t="s">
        <v>5055</v>
      </c>
      <c r="N983" s="157" t="s">
        <v>7271</v>
      </c>
      <c r="O983" s="158" t="s">
        <v>153</v>
      </c>
      <c r="P983" s="159" t="s">
        <v>19374</v>
      </c>
      <c r="Q983" s="160" t="s">
        <v>204</v>
      </c>
      <c r="R983" s="161">
        <v>269.07</v>
      </c>
      <c r="S983" s="162" t="s">
        <v>290</v>
      </c>
      <c r="T983" s="163" t="s">
        <v>205</v>
      </c>
      <c r="U983" s="164" t="s">
        <v>2534</v>
      </c>
      <c r="V983" s="165" t="s">
        <v>19375</v>
      </c>
      <c r="W983" s="166">
        <v>7900</v>
      </c>
      <c r="X983" s="167" t="s">
        <v>19376</v>
      </c>
      <c r="Y983" s="168" t="s">
        <v>153</v>
      </c>
      <c r="Z983" s="169" t="s">
        <v>153</v>
      </c>
      <c r="AA983" s="170">
        <v>2000</v>
      </c>
      <c r="AB983" s="171" t="s">
        <v>153</v>
      </c>
      <c r="AC983" s="172" t="s">
        <v>153</v>
      </c>
      <c r="AD983" s="173" t="s">
        <v>153</v>
      </c>
      <c r="AE983" s="174" t="s">
        <v>153</v>
      </c>
      <c r="AF983" s="175" t="s">
        <v>153</v>
      </c>
      <c r="AG983" s="176" t="s">
        <v>153</v>
      </c>
      <c r="AH983" s="177" t="s">
        <v>153</v>
      </c>
      <c r="AI983" s="178" t="s">
        <v>153</v>
      </c>
      <c r="AJ983" s="179" t="s">
        <v>153</v>
      </c>
      <c r="AK983" s="180" t="s">
        <v>153</v>
      </c>
      <c r="AL983" s="181" t="s">
        <v>153</v>
      </c>
      <c r="AM983" s="182" t="s">
        <v>153</v>
      </c>
      <c r="AN983" s="183" t="s">
        <v>429</v>
      </c>
      <c r="AO983" s="184" t="s">
        <v>19377</v>
      </c>
      <c r="AP983" s="185" t="s">
        <v>19378</v>
      </c>
      <c r="AQ983" s="186" t="s">
        <v>171</v>
      </c>
      <c r="AR983" s="187" t="s">
        <v>19379</v>
      </c>
      <c r="AS983" s="188" t="s">
        <v>153</v>
      </c>
      <c r="AT983" s="189" t="s">
        <v>19380</v>
      </c>
      <c r="AU983" s="190" t="s">
        <v>19381</v>
      </c>
      <c r="AV983" s="191" t="s">
        <v>19382</v>
      </c>
      <c r="AW983" s="192" t="s">
        <v>19383</v>
      </c>
      <c r="AX983" s="193" t="s">
        <v>3712</v>
      </c>
      <c r="AY983" s="194" t="s">
        <v>19384</v>
      </c>
      <c r="AZ983" s="195" t="s">
        <v>1358</v>
      </c>
      <c r="BA983" s="196" t="s">
        <v>153</v>
      </c>
      <c r="BB983" s="197" t="s">
        <v>153</v>
      </c>
      <c r="BC983" s="198" t="s">
        <v>153</v>
      </c>
      <c r="BD983" s="199" t="s">
        <v>216</v>
      </c>
      <c r="BE983" s="200" t="s">
        <v>217</v>
      </c>
      <c r="BF983" s="201" t="s">
        <v>19385</v>
      </c>
      <c r="BG983" s="202" t="s">
        <v>153</v>
      </c>
      <c r="BH983" s="203" t="s">
        <v>153</v>
      </c>
      <c r="BI983" s="204" t="s">
        <v>19386</v>
      </c>
      <c r="BJ983" s="205" t="s">
        <v>19387</v>
      </c>
      <c r="BK983" s="206" t="s">
        <v>153</v>
      </c>
      <c r="BL983" s="207" t="s">
        <v>153</v>
      </c>
      <c r="BM983" s="208" t="s">
        <v>19388</v>
      </c>
      <c r="BN983" s="209" t="s">
        <v>153</v>
      </c>
      <c r="BO983" s="210" t="s">
        <v>153</v>
      </c>
      <c r="BP983" s="211" t="s">
        <v>19389</v>
      </c>
      <c r="BQ983" s="212">
        <v>37370</v>
      </c>
      <c r="BR983" s="213">
        <v>110.39</v>
      </c>
      <c r="BS983" s="214" t="s">
        <v>186</v>
      </c>
      <c r="BT983" s="215" t="s">
        <v>153</v>
      </c>
      <c r="BU983" s="216" t="s">
        <v>153</v>
      </c>
      <c r="BV983" s="217" t="s">
        <v>251</v>
      </c>
      <c r="BW983" s="218" t="s">
        <v>153</v>
      </c>
      <c r="BX983" s="219" t="s">
        <v>153</v>
      </c>
      <c r="BY983" s="220" t="s">
        <v>252</v>
      </c>
      <c r="BZ983" s="221" t="s">
        <v>153</v>
      </c>
      <c r="CA983" s="222" t="s">
        <v>190</v>
      </c>
      <c r="CB983" s="223">
        <v>42522</v>
      </c>
      <c r="CC983" s="224">
        <v>5166.66</v>
      </c>
      <c r="CD983" s="225" t="s">
        <v>186</v>
      </c>
      <c r="CE983" s="226">
        <v>7380.94</v>
      </c>
      <c r="CF983" s="227" t="s">
        <v>186</v>
      </c>
      <c r="CG983" s="228" t="s">
        <v>226</v>
      </c>
      <c r="CH983" s="229" t="s">
        <v>153</v>
      </c>
      <c r="CI983" s="230" t="s">
        <v>153</v>
      </c>
      <c r="CJ983" s="231" t="s">
        <v>225</v>
      </c>
      <c r="CK983" s="232">
        <v>42522</v>
      </c>
      <c r="CL983" s="233" t="s">
        <v>153</v>
      </c>
      <c r="CM983" s="234" t="s">
        <v>153</v>
      </c>
      <c r="CN983" s="235" t="s">
        <v>190</v>
      </c>
      <c r="CO983" s="236" t="s">
        <v>153</v>
      </c>
      <c r="CP983" s="237" t="s">
        <v>153</v>
      </c>
      <c r="CQ983" s="238" t="s">
        <v>153</v>
      </c>
      <c r="CR983" s="239" t="s">
        <v>153</v>
      </c>
      <c r="CS983" s="240" t="s">
        <v>153</v>
      </c>
      <c r="CT983" s="241" t="s">
        <v>153</v>
      </c>
      <c r="CU983" s="242" t="s">
        <v>153</v>
      </c>
      <c r="CV983" s="243" t="s">
        <v>153</v>
      </c>
      <c r="CW983" s="244" t="s">
        <v>153</v>
      </c>
      <c r="CX983" s="245" t="s">
        <v>153</v>
      </c>
      <c r="CY983" s="246" t="s">
        <v>153</v>
      </c>
      <c r="CZ983" s="247" t="s">
        <v>153</v>
      </c>
      <c r="DA983" s="248" t="s">
        <v>153</v>
      </c>
      <c r="DB983" s="249" t="s">
        <v>153</v>
      </c>
      <c r="DC983" s="250" t="s">
        <v>153</v>
      </c>
      <c r="DD983" s="251" t="s">
        <v>153</v>
      </c>
      <c r="DE983" s="252" t="s">
        <v>153</v>
      </c>
      <c r="DF983" s="253" t="s">
        <v>153</v>
      </c>
      <c r="DG983" s="254" t="s">
        <v>153</v>
      </c>
      <c r="DH983" s="255" t="s">
        <v>153</v>
      </c>
      <c r="DI983" s="256" t="s">
        <v>153</v>
      </c>
      <c r="DJ983" s="257" t="s">
        <v>153</v>
      </c>
      <c r="DK983" s="258" t="s">
        <v>153</v>
      </c>
      <c r="DL983" s="259" t="s">
        <v>153</v>
      </c>
      <c r="DM983" s="260" t="s">
        <v>153</v>
      </c>
      <c r="DN983" s="261" t="s">
        <v>153</v>
      </c>
      <c r="DO983" s="262" t="s">
        <v>153</v>
      </c>
      <c r="DP983" s="263" t="s">
        <v>153</v>
      </c>
      <c r="DQ983" s="264" t="s">
        <v>153</v>
      </c>
      <c r="DR983" s="265" t="s">
        <v>153</v>
      </c>
      <c r="DS983" s="266" t="s">
        <v>153</v>
      </c>
      <c r="DT983" s="267" t="s">
        <v>153</v>
      </c>
      <c r="DU983" s="268" t="s">
        <v>153</v>
      </c>
      <c r="DV983" s="269" t="s">
        <v>153</v>
      </c>
      <c r="DW983" s="270" t="s">
        <v>153</v>
      </c>
      <c r="DX983" s="271" t="s">
        <v>153</v>
      </c>
      <c r="DY983" s="272" t="s">
        <v>153</v>
      </c>
      <c r="DZ983" s="273" t="s">
        <v>191</v>
      </c>
      <c r="EA983" s="274">
        <v>44402</v>
      </c>
      <c r="EB983" s="275">
        <v>7380.94</v>
      </c>
      <c r="EC983" s="276">
        <v>42522</v>
      </c>
      <c r="ED983" s="277" t="s">
        <v>226</v>
      </c>
      <c r="EE983" s="279" t="str">
        <f>HYPERLINK("https://my.pitchbook.com?c=42437-26", "View company online")</f>
        <v>View company online</v>
      </c>
    </row>
    <row r="984" spans="1:135" x14ac:dyDescent="0.45">
      <c r="A984" s="10" t="s">
        <v>19390</v>
      </c>
      <c r="B984" s="11" t="s">
        <v>19391</v>
      </c>
      <c r="C984" s="12" t="s">
        <v>153</v>
      </c>
      <c r="D984" s="13" t="s">
        <v>153</v>
      </c>
      <c r="E984" s="14" t="s">
        <v>153</v>
      </c>
      <c r="F984" s="15" t="s">
        <v>153</v>
      </c>
      <c r="G984" s="16" t="s">
        <v>19392</v>
      </c>
      <c r="H984" s="17" t="s">
        <v>7694</v>
      </c>
      <c r="I984" s="18" t="s">
        <v>19390</v>
      </c>
      <c r="J984" s="19" t="s">
        <v>19393</v>
      </c>
      <c r="K984" s="20" t="s">
        <v>232</v>
      </c>
      <c r="L984" s="21" t="s">
        <v>1016</v>
      </c>
      <c r="M984" s="22" t="s">
        <v>1639</v>
      </c>
      <c r="N984" s="23" t="s">
        <v>5728</v>
      </c>
      <c r="O984" s="24" t="s">
        <v>153</v>
      </c>
      <c r="P984" s="25" t="s">
        <v>19394</v>
      </c>
      <c r="Q984" s="26" t="s">
        <v>204</v>
      </c>
      <c r="R984" s="27" t="s">
        <v>153</v>
      </c>
      <c r="S984" s="28" t="s">
        <v>163</v>
      </c>
      <c r="T984" s="29" t="s">
        <v>205</v>
      </c>
      <c r="U984" s="30" t="s">
        <v>206</v>
      </c>
      <c r="V984" s="31" t="s">
        <v>19395</v>
      </c>
      <c r="W984" s="32" t="s">
        <v>153</v>
      </c>
      <c r="X984" s="33" t="s">
        <v>153</v>
      </c>
      <c r="Y984" s="34" t="s">
        <v>153</v>
      </c>
      <c r="Z984" s="35" t="s">
        <v>153</v>
      </c>
      <c r="AA984" s="36">
        <v>1808</v>
      </c>
      <c r="AB984" s="37" t="s">
        <v>153</v>
      </c>
      <c r="AC984" s="38" t="s">
        <v>153</v>
      </c>
      <c r="AD984" s="39" t="s">
        <v>153</v>
      </c>
      <c r="AE984" s="40" t="s">
        <v>153</v>
      </c>
      <c r="AF984" s="41" t="s">
        <v>153</v>
      </c>
      <c r="AG984" s="42" t="s">
        <v>153</v>
      </c>
      <c r="AH984" s="43" t="s">
        <v>153</v>
      </c>
      <c r="AI984" s="44" t="s">
        <v>153</v>
      </c>
      <c r="AJ984" s="45" t="s">
        <v>153</v>
      </c>
      <c r="AK984" s="46" t="s">
        <v>153</v>
      </c>
      <c r="AL984" s="47" t="s">
        <v>153</v>
      </c>
      <c r="AM984" s="48" t="s">
        <v>153</v>
      </c>
      <c r="AN984" s="49" t="s">
        <v>456</v>
      </c>
      <c r="AO984" s="50" t="s">
        <v>153</v>
      </c>
      <c r="AP984" s="51" t="s">
        <v>153</v>
      </c>
      <c r="AQ984" s="52" t="s">
        <v>153</v>
      </c>
      <c r="AR984" s="53" t="s">
        <v>153</v>
      </c>
      <c r="AS984" s="54" t="s">
        <v>153</v>
      </c>
      <c r="AT984" s="55" t="s">
        <v>677</v>
      </c>
      <c r="AU984" s="56" t="s">
        <v>19396</v>
      </c>
      <c r="AV984" s="57" t="s">
        <v>153</v>
      </c>
      <c r="AW984" s="58" t="s">
        <v>679</v>
      </c>
      <c r="AX984" s="59" t="s">
        <v>153</v>
      </c>
      <c r="AY984" s="60" t="s">
        <v>680</v>
      </c>
      <c r="AZ984" s="61" t="s">
        <v>681</v>
      </c>
      <c r="BA984" s="62" t="s">
        <v>153</v>
      </c>
      <c r="BB984" s="63" t="s">
        <v>153</v>
      </c>
      <c r="BC984" s="64" t="s">
        <v>153</v>
      </c>
      <c r="BD984" s="65" t="s">
        <v>180</v>
      </c>
      <c r="BE984" s="66" t="s">
        <v>684</v>
      </c>
      <c r="BF984" s="67" t="s">
        <v>19397</v>
      </c>
      <c r="BG984" s="68" t="s">
        <v>153</v>
      </c>
      <c r="BH984" s="69" t="s">
        <v>153</v>
      </c>
      <c r="BI984" s="70" t="s">
        <v>19398</v>
      </c>
      <c r="BJ984" s="71" t="s">
        <v>19399</v>
      </c>
      <c r="BK984" s="72" t="s">
        <v>153</v>
      </c>
      <c r="BL984" s="73" t="s">
        <v>153</v>
      </c>
      <c r="BM984" s="74" t="s">
        <v>19400</v>
      </c>
      <c r="BN984" s="75" t="s">
        <v>153</v>
      </c>
      <c r="BO984" s="76" t="s">
        <v>19401</v>
      </c>
      <c r="BP984" s="77" t="s">
        <v>19402</v>
      </c>
      <c r="BQ984" s="78">
        <v>37617</v>
      </c>
      <c r="BR984" s="79">
        <v>109.94</v>
      </c>
      <c r="BS984" s="80" t="s">
        <v>153</v>
      </c>
      <c r="BT984" s="81">
        <v>1007.69</v>
      </c>
      <c r="BU984" s="82" t="s">
        <v>187</v>
      </c>
      <c r="BV984" s="83" t="s">
        <v>906</v>
      </c>
      <c r="BW984" s="84" t="s">
        <v>153</v>
      </c>
      <c r="BX984" s="85" t="s">
        <v>153</v>
      </c>
      <c r="BY984" s="86" t="s">
        <v>225</v>
      </c>
      <c r="BZ984" s="87" t="s">
        <v>153</v>
      </c>
      <c r="CA984" s="88" t="s">
        <v>190</v>
      </c>
      <c r="CB984" s="89">
        <v>44315</v>
      </c>
      <c r="CC984" s="90">
        <v>5162.75</v>
      </c>
      <c r="CD984" s="91" t="s">
        <v>186</v>
      </c>
      <c r="CE984" s="92">
        <v>5162.75</v>
      </c>
      <c r="CF984" s="93" t="s">
        <v>187</v>
      </c>
      <c r="CG984" s="94" t="s">
        <v>226</v>
      </c>
      <c r="CH984" s="95" t="s">
        <v>729</v>
      </c>
      <c r="CI984" s="96" t="s">
        <v>153</v>
      </c>
      <c r="CJ984" s="97" t="s">
        <v>225</v>
      </c>
      <c r="CK984" s="98">
        <v>44315</v>
      </c>
      <c r="CL984" s="99" t="s">
        <v>153</v>
      </c>
      <c r="CM984" s="100" t="s">
        <v>153</v>
      </c>
      <c r="CN984" s="101" t="s">
        <v>190</v>
      </c>
      <c r="CO984" s="102" t="s">
        <v>153</v>
      </c>
      <c r="CP984" s="103" t="s">
        <v>153</v>
      </c>
      <c r="CQ984" s="104" t="s">
        <v>153</v>
      </c>
      <c r="CR984" s="105" t="s">
        <v>153</v>
      </c>
      <c r="CS984" s="106" t="s">
        <v>153</v>
      </c>
      <c r="CT984" s="107" t="s">
        <v>153</v>
      </c>
      <c r="CU984" s="108" t="s">
        <v>153</v>
      </c>
      <c r="CV984" s="109" t="s">
        <v>153</v>
      </c>
      <c r="CW984" s="110" t="s">
        <v>153</v>
      </c>
      <c r="CX984" s="111" t="s">
        <v>153</v>
      </c>
      <c r="CY984" s="112" t="s">
        <v>153</v>
      </c>
      <c r="CZ984" s="113" t="s">
        <v>153</v>
      </c>
      <c r="DA984" s="114" t="s">
        <v>153</v>
      </c>
      <c r="DB984" s="115" t="s">
        <v>153</v>
      </c>
      <c r="DC984" s="116" t="s">
        <v>153</v>
      </c>
      <c r="DD984" s="117" t="s">
        <v>153</v>
      </c>
      <c r="DE984" s="118" t="s">
        <v>153</v>
      </c>
      <c r="DF984" s="119" t="s">
        <v>153</v>
      </c>
      <c r="DG984" s="120" t="s">
        <v>153</v>
      </c>
      <c r="DH984" s="121" t="s">
        <v>153</v>
      </c>
      <c r="DI984" s="122" t="s">
        <v>153</v>
      </c>
      <c r="DJ984" s="123" t="s">
        <v>153</v>
      </c>
      <c r="DK984" s="124" t="s">
        <v>153</v>
      </c>
      <c r="DL984" s="125" t="s">
        <v>153</v>
      </c>
      <c r="DM984" s="126" t="s">
        <v>153</v>
      </c>
      <c r="DN984" s="127" t="s">
        <v>153</v>
      </c>
      <c r="DO984" s="128" t="s">
        <v>153</v>
      </c>
      <c r="DP984" s="129" t="s">
        <v>153</v>
      </c>
      <c r="DQ984" s="130" t="s">
        <v>153</v>
      </c>
      <c r="DR984" s="131" t="s">
        <v>153</v>
      </c>
      <c r="DS984" s="132" t="s">
        <v>153</v>
      </c>
      <c r="DT984" s="133" t="s">
        <v>153</v>
      </c>
      <c r="DU984" s="134" t="s">
        <v>153</v>
      </c>
      <c r="DV984" s="135" t="s">
        <v>153</v>
      </c>
      <c r="DW984" s="136" t="s">
        <v>153</v>
      </c>
      <c r="DX984" s="137" t="s">
        <v>153</v>
      </c>
      <c r="DY984" s="138" t="s">
        <v>153</v>
      </c>
      <c r="DZ984" s="139" t="s">
        <v>191</v>
      </c>
      <c r="EA984" s="140">
        <v>44383</v>
      </c>
      <c r="EB984" s="141">
        <v>5162.75</v>
      </c>
      <c r="EC984" s="142">
        <v>44315</v>
      </c>
      <c r="ED984" s="143" t="s">
        <v>226</v>
      </c>
      <c r="EE984" s="278" t="str">
        <f>HYPERLINK("https://my.pitchbook.com?c=112945-15", "View company online")</f>
        <v>View company online</v>
      </c>
    </row>
    <row r="985" spans="1:135" x14ac:dyDescent="0.45">
      <c r="A985" s="144" t="s">
        <v>19403</v>
      </c>
      <c r="B985" s="145" t="s">
        <v>19404</v>
      </c>
      <c r="C985" s="146" t="s">
        <v>153</v>
      </c>
      <c r="D985" s="147" t="s">
        <v>153</v>
      </c>
      <c r="E985" s="148" t="s">
        <v>153</v>
      </c>
      <c r="F985" s="149" t="s">
        <v>153</v>
      </c>
      <c r="G985" s="150" t="s">
        <v>153</v>
      </c>
      <c r="H985" s="151" t="s">
        <v>153</v>
      </c>
      <c r="I985" s="152" t="s">
        <v>19403</v>
      </c>
      <c r="J985" s="153" t="s">
        <v>19405</v>
      </c>
      <c r="K985" s="154" t="s">
        <v>882</v>
      </c>
      <c r="L985" s="155" t="s">
        <v>2888</v>
      </c>
      <c r="M985" s="156" t="s">
        <v>2889</v>
      </c>
      <c r="N985" s="157" t="s">
        <v>2890</v>
      </c>
      <c r="O985" s="158" t="s">
        <v>153</v>
      </c>
      <c r="P985" s="159" t="s">
        <v>19406</v>
      </c>
      <c r="Q985" s="160" t="s">
        <v>204</v>
      </c>
      <c r="R985" s="161" t="s">
        <v>153</v>
      </c>
      <c r="S985" s="162" t="s">
        <v>153</v>
      </c>
      <c r="T985" s="163" t="s">
        <v>205</v>
      </c>
      <c r="U985" s="164" t="s">
        <v>206</v>
      </c>
      <c r="V985" s="165" t="s">
        <v>153</v>
      </c>
      <c r="W985" s="166" t="s">
        <v>153</v>
      </c>
      <c r="X985" s="167" t="s">
        <v>153</v>
      </c>
      <c r="Y985" s="168" t="s">
        <v>153</v>
      </c>
      <c r="Z985" s="169" t="s">
        <v>153</v>
      </c>
      <c r="AA985" s="170" t="s">
        <v>153</v>
      </c>
      <c r="AB985" s="171" t="s">
        <v>153</v>
      </c>
      <c r="AC985" s="172" t="s">
        <v>153</v>
      </c>
      <c r="AD985" s="173" t="s">
        <v>153</v>
      </c>
      <c r="AE985" s="174" t="s">
        <v>153</v>
      </c>
      <c r="AF985" s="175" t="s">
        <v>153</v>
      </c>
      <c r="AG985" s="176" t="s">
        <v>153</v>
      </c>
      <c r="AH985" s="177" t="s">
        <v>153</v>
      </c>
      <c r="AI985" s="178" t="s">
        <v>153</v>
      </c>
      <c r="AJ985" s="179" t="s">
        <v>153</v>
      </c>
      <c r="AK985" s="180" t="s">
        <v>153</v>
      </c>
      <c r="AL985" s="181" t="s">
        <v>153</v>
      </c>
      <c r="AM985" s="182" t="s">
        <v>153</v>
      </c>
      <c r="AN985" s="183" t="s">
        <v>153</v>
      </c>
      <c r="AO985" s="184" t="s">
        <v>153</v>
      </c>
      <c r="AP985" s="185" t="s">
        <v>153</v>
      </c>
      <c r="AQ985" s="186" t="s">
        <v>153</v>
      </c>
      <c r="AR985" s="187" t="s">
        <v>153</v>
      </c>
      <c r="AS985" s="188" t="s">
        <v>153</v>
      </c>
      <c r="AT985" s="189" t="s">
        <v>6555</v>
      </c>
      <c r="AU985" s="190" t="s">
        <v>153</v>
      </c>
      <c r="AV985" s="191" t="s">
        <v>153</v>
      </c>
      <c r="AW985" s="192" t="s">
        <v>153</v>
      </c>
      <c r="AX985" s="193" t="s">
        <v>153</v>
      </c>
      <c r="AY985" s="194" t="s">
        <v>153</v>
      </c>
      <c r="AZ985" s="195" t="s">
        <v>6555</v>
      </c>
      <c r="BA985" s="196" t="s">
        <v>153</v>
      </c>
      <c r="BB985" s="197" t="s">
        <v>153</v>
      </c>
      <c r="BC985" s="198" t="s">
        <v>153</v>
      </c>
      <c r="BD985" s="199" t="s">
        <v>1406</v>
      </c>
      <c r="BE985" s="200" t="s">
        <v>1407</v>
      </c>
      <c r="BF985" s="201" t="s">
        <v>19407</v>
      </c>
      <c r="BG985" s="202" t="s">
        <v>153</v>
      </c>
      <c r="BH985" s="203" t="s">
        <v>153</v>
      </c>
      <c r="BI985" s="204" t="s">
        <v>19408</v>
      </c>
      <c r="BJ985" s="205" t="s">
        <v>153</v>
      </c>
      <c r="BK985" s="206" t="s">
        <v>153</v>
      </c>
      <c r="BL985" s="207" t="s">
        <v>153</v>
      </c>
      <c r="BM985" s="208" t="s">
        <v>153</v>
      </c>
      <c r="BN985" s="209" t="s">
        <v>153</v>
      </c>
      <c r="BO985" s="210" t="s">
        <v>153</v>
      </c>
      <c r="BP985" s="211" t="s">
        <v>153</v>
      </c>
      <c r="BQ985" s="212">
        <v>43040</v>
      </c>
      <c r="BR985" s="213">
        <v>5150.58</v>
      </c>
      <c r="BS985" s="214" t="s">
        <v>186</v>
      </c>
      <c r="BT985" s="215">
        <v>6867.45</v>
      </c>
      <c r="BU985" s="216" t="s">
        <v>186</v>
      </c>
      <c r="BV985" s="217" t="s">
        <v>1524</v>
      </c>
      <c r="BW985" s="218" t="s">
        <v>1525</v>
      </c>
      <c r="BX985" s="219" t="s">
        <v>153</v>
      </c>
      <c r="BY985" s="220" t="s">
        <v>225</v>
      </c>
      <c r="BZ985" s="221" t="s">
        <v>153</v>
      </c>
      <c r="CA985" s="222" t="s">
        <v>190</v>
      </c>
      <c r="CB985" s="223">
        <v>43040</v>
      </c>
      <c r="CC985" s="224">
        <v>5150.58</v>
      </c>
      <c r="CD985" s="225" t="s">
        <v>186</v>
      </c>
      <c r="CE985" s="226">
        <v>6867.45</v>
      </c>
      <c r="CF985" s="227" t="s">
        <v>186</v>
      </c>
      <c r="CG985" s="228" t="s">
        <v>1524</v>
      </c>
      <c r="CH985" s="229" t="s">
        <v>1525</v>
      </c>
      <c r="CI985" s="230" t="s">
        <v>153</v>
      </c>
      <c r="CJ985" s="231" t="s">
        <v>225</v>
      </c>
      <c r="CK985" s="232">
        <v>43040</v>
      </c>
      <c r="CL985" s="233" t="s">
        <v>153</v>
      </c>
      <c r="CM985" s="234" t="s">
        <v>153</v>
      </c>
      <c r="CN985" s="235" t="s">
        <v>190</v>
      </c>
      <c r="CO985" s="236" t="s">
        <v>153</v>
      </c>
      <c r="CP985" s="237" t="s">
        <v>153</v>
      </c>
      <c r="CQ985" s="238" t="s">
        <v>153</v>
      </c>
      <c r="CR985" s="239" t="s">
        <v>153</v>
      </c>
      <c r="CS985" s="240" t="s">
        <v>153</v>
      </c>
      <c r="CT985" s="241" t="s">
        <v>153</v>
      </c>
      <c r="CU985" s="242" t="s">
        <v>153</v>
      </c>
      <c r="CV985" s="243" t="s">
        <v>153</v>
      </c>
      <c r="CW985" s="244" t="s">
        <v>153</v>
      </c>
      <c r="CX985" s="245" t="s">
        <v>153</v>
      </c>
      <c r="CY985" s="246" t="s">
        <v>153</v>
      </c>
      <c r="CZ985" s="247" t="s">
        <v>153</v>
      </c>
      <c r="DA985" s="248" t="s">
        <v>153</v>
      </c>
      <c r="DB985" s="249" t="s">
        <v>153</v>
      </c>
      <c r="DC985" s="250" t="s">
        <v>153</v>
      </c>
      <c r="DD985" s="251" t="s">
        <v>153</v>
      </c>
      <c r="DE985" s="252" t="s">
        <v>153</v>
      </c>
      <c r="DF985" s="253" t="s">
        <v>153</v>
      </c>
      <c r="DG985" s="254" t="s">
        <v>153</v>
      </c>
      <c r="DH985" s="255" t="s">
        <v>153</v>
      </c>
      <c r="DI985" s="256" t="s">
        <v>153</v>
      </c>
      <c r="DJ985" s="257" t="s">
        <v>153</v>
      </c>
      <c r="DK985" s="258" t="s">
        <v>153</v>
      </c>
      <c r="DL985" s="259" t="s">
        <v>153</v>
      </c>
      <c r="DM985" s="260" t="s">
        <v>153</v>
      </c>
      <c r="DN985" s="261" t="s">
        <v>153</v>
      </c>
      <c r="DO985" s="262" t="s">
        <v>153</v>
      </c>
      <c r="DP985" s="263" t="s">
        <v>153</v>
      </c>
      <c r="DQ985" s="264" t="s">
        <v>153</v>
      </c>
      <c r="DR985" s="265" t="s">
        <v>153</v>
      </c>
      <c r="DS985" s="266" t="s">
        <v>153</v>
      </c>
      <c r="DT985" s="267" t="s">
        <v>153</v>
      </c>
      <c r="DU985" s="268" t="s">
        <v>153</v>
      </c>
      <c r="DV985" s="269" t="s">
        <v>153</v>
      </c>
      <c r="DW985" s="270" t="s">
        <v>153</v>
      </c>
      <c r="DX985" s="271" t="s">
        <v>153</v>
      </c>
      <c r="DY985" s="272" t="s">
        <v>153</v>
      </c>
      <c r="DZ985" s="273" t="s">
        <v>191</v>
      </c>
      <c r="EA985" s="274">
        <v>43490</v>
      </c>
      <c r="EB985" s="275">
        <v>6867.45</v>
      </c>
      <c r="EC985" s="276">
        <v>43040</v>
      </c>
      <c r="ED985" s="277" t="s">
        <v>1524</v>
      </c>
      <c r="EE985" s="279" t="str">
        <f>HYPERLINK("https://my.pitchbook.com?c=227016-73", "View company online")</f>
        <v>View company online</v>
      </c>
    </row>
    <row r="986" spans="1:135" x14ac:dyDescent="0.45">
      <c r="A986" s="10" t="s">
        <v>19409</v>
      </c>
      <c r="B986" s="11" t="s">
        <v>19410</v>
      </c>
      <c r="C986" s="12" t="s">
        <v>153</v>
      </c>
      <c r="D986" s="13" t="s">
        <v>153</v>
      </c>
      <c r="E986" s="14" t="s">
        <v>153</v>
      </c>
      <c r="F986" s="15" t="s">
        <v>153</v>
      </c>
      <c r="G986" s="16" t="s">
        <v>153</v>
      </c>
      <c r="H986" s="17" t="s">
        <v>153</v>
      </c>
      <c r="I986" s="18" t="s">
        <v>19409</v>
      </c>
      <c r="J986" s="19" t="s">
        <v>19411</v>
      </c>
      <c r="K986" s="20" t="s">
        <v>257</v>
      </c>
      <c r="L986" s="21" t="s">
        <v>530</v>
      </c>
      <c r="M986" s="22" t="s">
        <v>12100</v>
      </c>
      <c r="N986" s="23" t="s">
        <v>12101</v>
      </c>
      <c r="O986" s="24" t="s">
        <v>153</v>
      </c>
      <c r="P986" s="25" t="s">
        <v>153</v>
      </c>
      <c r="Q986" s="26" t="s">
        <v>204</v>
      </c>
      <c r="R986" s="27" t="s">
        <v>153</v>
      </c>
      <c r="S986" s="28" t="s">
        <v>290</v>
      </c>
      <c r="T986" s="29" t="s">
        <v>1392</v>
      </c>
      <c r="U986" s="30" t="s">
        <v>369</v>
      </c>
      <c r="V986" s="31" t="s">
        <v>153</v>
      </c>
      <c r="W986" s="32">
        <v>42000</v>
      </c>
      <c r="X986" s="33" t="s">
        <v>19412</v>
      </c>
      <c r="Y986" s="34" t="s">
        <v>153</v>
      </c>
      <c r="Z986" s="35" t="s">
        <v>153</v>
      </c>
      <c r="AA986" s="36">
        <v>1999</v>
      </c>
      <c r="AB986" s="37" t="s">
        <v>153</v>
      </c>
      <c r="AC986" s="38" t="s">
        <v>153</v>
      </c>
      <c r="AD986" s="39" t="s">
        <v>153</v>
      </c>
      <c r="AE986" s="40" t="s">
        <v>153</v>
      </c>
      <c r="AF986" s="41" t="s">
        <v>153</v>
      </c>
      <c r="AG986" s="42" t="s">
        <v>153</v>
      </c>
      <c r="AH986" s="43" t="s">
        <v>153</v>
      </c>
      <c r="AI986" s="44" t="s">
        <v>153</v>
      </c>
      <c r="AJ986" s="45" t="s">
        <v>153</v>
      </c>
      <c r="AK986" s="46" t="s">
        <v>153</v>
      </c>
      <c r="AL986" s="47" t="s">
        <v>153</v>
      </c>
      <c r="AM986" s="48" t="s">
        <v>153</v>
      </c>
      <c r="AN986" s="49" t="s">
        <v>5953</v>
      </c>
      <c r="AO986" s="50" t="s">
        <v>19413</v>
      </c>
      <c r="AP986" s="51" t="s">
        <v>19414</v>
      </c>
      <c r="AQ986" s="52" t="s">
        <v>19415</v>
      </c>
      <c r="AR986" s="53" t="s">
        <v>153</v>
      </c>
      <c r="AS986" s="54" t="s">
        <v>19416</v>
      </c>
      <c r="AT986" s="55" t="s">
        <v>2947</v>
      </c>
      <c r="AU986" s="56" t="s">
        <v>19417</v>
      </c>
      <c r="AV986" s="57" t="s">
        <v>153</v>
      </c>
      <c r="AW986" s="58" t="s">
        <v>2949</v>
      </c>
      <c r="AX986" s="59" t="s">
        <v>1128</v>
      </c>
      <c r="AY986" s="60" t="s">
        <v>2950</v>
      </c>
      <c r="AZ986" s="61" t="s">
        <v>215</v>
      </c>
      <c r="BA986" s="62" t="s">
        <v>19416</v>
      </c>
      <c r="BB986" s="63" t="s">
        <v>153</v>
      </c>
      <c r="BC986" s="64" t="s">
        <v>153</v>
      </c>
      <c r="BD986" s="65" t="s">
        <v>216</v>
      </c>
      <c r="BE986" s="66" t="s">
        <v>217</v>
      </c>
      <c r="BF986" s="67" t="s">
        <v>19418</v>
      </c>
      <c r="BG986" s="68" t="s">
        <v>153</v>
      </c>
      <c r="BH986" s="69" t="s">
        <v>153</v>
      </c>
      <c r="BI986" s="70" t="s">
        <v>19419</v>
      </c>
      <c r="BJ986" s="71" t="s">
        <v>153</v>
      </c>
      <c r="BK986" s="72" t="s">
        <v>19420</v>
      </c>
      <c r="BL986" s="73" t="s">
        <v>153</v>
      </c>
      <c r="BM986" s="74" t="s">
        <v>153</v>
      </c>
      <c r="BN986" s="75" t="s">
        <v>9243</v>
      </c>
      <c r="BO986" s="76" t="s">
        <v>153</v>
      </c>
      <c r="BP986" s="77" t="s">
        <v>19421</v>
      </c>
      <c r="BQ986" s="78">
        <v>39160</v>
      </c>
      <c r="BR986" s="79">
        <v>4482</v>
      </c>
      <c r="BS986" s="80" t="s">
        <v>186</v>
      </c>
      <c r="BT986" s="81">
        <v>6182</v>
      </c>
      <c r="BU986" s="82" t="s">
        <v>186</v>
      </c>
      <c r="BV986" s="83" t="s">
        <v>188</v>
      </c>
      <c r="BW986" s="84" t="s">
        <v>153</v>
      </c>
      <c r="BX986" s="85" t="s">
        <v>153</v>
      </c>
      <c r="BY986" s="86" t="s">
        <v>165</v>
      </c>
      <c r="BZ986" s="87" t="s">
        <v>153</v>
      </c>
      <c r="CA986" s="88" t="s">
        <v>394</v>
      </c>
      <c r="CB986" s="89">
        <v>39288</v>
      </c>
      <c r="CC986" s="90">
        <v>5150</v>
      </c>
      <c r="CD986" s="91" t="s">
        <v>186</v>
      </c>
      <c r="CE986" s="92">
        <v>5150</v>
      </c>
      <c r="CF986" s="93" t="s">
        <v>186</v>
      </c>
      <c r="CG986" s="94" t="s">
        <v>226</v>
      </c>
      <c r="CH986" s="95" t="s">
        <v>153</v>
      </c>
      <c r="CI986" s="96" t="s">
        <v>153</v>
      </c>
      <c r="CJ986" s="97" t="s">
        <v>225</v>
      </c>
      <c r="CK986" s="98">
        <v>39288</v>
      </c>
      <c r="CL986" s="99" t="s">
        <v>153</v>
      </c>
      <c r="CM986" s="100" t="s">
        <v>153</v>
      </c>
      <c r="CN986" s="101" t="s">
        <v>190</v>
      </c>
      <c r="CO986" s="102" t="s">
        <v>153</v>
      </c>
      <c r="CP986" s="103" t="s">
        <v>153</v>
      </c>
      <c r="CQ986" s="104" t="s">
        <v>153</v>
      </c>
      <c r="CR986" s="105" t="s">
        <v>153</v>
      </c>
      <c r="CS986" s="106" t="s">
        <v>153</v>
      </c>
      <c r="CT986" s="107" t="s">
        <v>153</v>
      </c>
      <c r="CU986" s="108" t="s">
        <v>153</v>
      </c>
      <c r="CV986" s="109" t="s">
        <v>153</v>
      </c>
      <c r="CW986" s="110" t="s">
        <v>153</v>
      </c>
      <c r="CX986" s="111" t="s">
        <v>153</v>
      </c>
      <c r="CY986" s="112" t="s">
        <v>153</v>
      </c>
      <c r="CZ986" s="113" t="s">
        <v>153</v>
      </c>
      <c r="DA986" s="114" t="s">
        <v>153</v>
      </c>
      <c r="DB986" s="115" t="s">
        <v>153</v>
      </c>
      <c r="DC986" s="116" t="s">
        <v>153</v>
      </c>
      <c r="DD986" s="117" t="s">
        <v>153</v>
      </c>
      <c r="DE986" s="118" t="s">
        <v>153</v>
      </c>
      <c r="DF986" s="119" t="s">
        <v>153</v>
      </c>
      <c r="DG986" s="120" t="s">
        <v>153</v>
      </c>
      <c r="DH986" s="121" t="s">
        <v>153</v>
      </c>
      <c r="DI986" s="122" t="s">
        <v>153</v>
      </c>
      <c r="DJ986" s="123" t="s">
        <v>153</v>
      </c>
      <c r="DK986" s="124" t="s">
        <v>153</v>
      </c>
      <c r="DL986" s="125" t="s">
        <v>153</v>
      </c>
      <c r="DM986" s="126" t="s">
        <v>153</v>
      </c>
      <c r="DN986" s="127" t="s">
        <v>153</v>
      </c>
      <c r="DO986" s="128" t="s">
        <v>153</v>
      </c>
      <c r="DP986" s="129" t="s">
        <v>153</v>
      </c>
      <c r="DQ986" s="130" t="s">
        <v>153</v>
      </c>
      <c r="DR986" s="131" t="s">
        <v>153</v>
      </c>
      <c r="DS986" s="132" t="s">
        <v>153</v>
      </c>
      <c r="DT986" s="133" t="s">
        <v>153</v>
      </c>
      <c r="DU986" s="134" t="s">
        <v>153</v>
      </c>
      <c r="DV986" s="135" t="s">
        <v>153</v>
      </c>
      <c r="DW986" s="136" t="s">
        <v>153</v>
      </c>
      <c r="DX986" s="137" t="s">
        <v>153</v>
      </c>
      <c r="DY986" s="138" t="s">
        <v>153</v>
      </c>
      <c r="DZ986" s="139" t="s">
        <v>191</v>
      </c>
      <c r="EA986" s="140">
        <v>44217</v>
      </c>
      <c r="EB986" s="141">
        <v>5150</v>
      </c>
      <c r="EC986" s="142">
        <v>39288</v>
      </c>
      <c r="ED986" s="143" t="s">
        <v>226</v>
      </c>
      <c r="EE986" s="278" t="str">
        <f>HYPERLINK("https://my.pitchbook.com?c=10451-98", "View company online")</f>
        <v>View company online</v>
      </c>
    </row>
    <row r="987" spans="1:135" x14ac:dyDescent="0.45">
      <c r="A987" s="144" t="s">
        <v>19422</v>
      </c>
      <c r="B987" s="145" t="s">
        <v>19423</v>
      </c>
      <c r="C987" s="146" t="s">
        <v>153</v>
      </c>
      <c r="D987" s="147" t="s">
        <v>153</v>
      </c>
      <c r="E987" s="148" t="s">
        <v>19424</v>
      </c>
      <c r="F987" s="149" t="s">
        <v>153</v>
      </c>
      <c r="G987" s="150" t="s">
        <v>19425</v>
      </c>
      <c r="H987" s="151" t="s">
        <v>19426</v>
      </c>
      <c r="I987" s="152" t="s">
        <v>19422</v>
      </c>
      <c r="J987" s="153" t="s">
        <v>19427</v>
      </c>
      <c r="K987" s="154" t="s">
        <v>232</v>
      </c>
      <c r="L987" s="155" t="s">
        <v>233</v>
      </c>
      <c r="M987" s="156" t="s">
        <v>234</v>
      </c>
      <c r="N987" s="157" t="s">
        <v>235</v>
      </c>
      <c r="O987" s="158" t="s">
        <v>153</v>
      </c>
      <c r="P987" s="159" t="s">
        <v>19428</v>
      </c>
      <c r="Q987" s="160" t="s">
        <v>564</v>
      </c>
      <c r="R987" s="161">
        <v>4414.9799999999996</v>
      </c>
      <c r="S987" s="162" t="s">
        <v>290</v>
      </c>
      <c r="T987" s="163" t="s">
        <v>164</v>
      </c>
      <c r="U987" s="164" t="s">
        <v>565</v>
      </c>
      <c r="V987" s="165" t="s">
        <v>19429</v>
      </c>
      <c r="W987" s="166">
        <v>15950</v>
      </c>
      <c r="X987" s="167" t="s">
        <v>19430</v>
      </c>
      <c r="Y987" s="168" t="s">
        <v>153</v>
      </c>
      <c r="Z987" s="169" t="s">
        <v>153</v>
      </c>
      <c r="AA987" s="170" t="s">
        <v>153</v>
      </c>
      <c r="AB987" s="171" t="s">
        <v>19431</v>
      </c>
      <c r="AC987" s="172" t="s">
        <v>153</v>
      </c>
      <c r="AD987" s="173" t="s">
        <v>570</v>
      </c>
      <c r="AE987" s="174">
        <v>2509.96</v>
      </c>
      <c r="AF987" s="175" t="s">
        <v>153</v>
      </c>
      <c r="AG987" s="176">
        <v>261.95999999999998</v>
      </c>
      <c r="AH987" s="177" t="s">
        <v>153</v>
      </c>
      <c r="AI987" s="178" t="s">
        <v>153</v>
      </c>
      <c r="AJ987" s="179" t="s">
        <v>153</v>
      </c>
      <c r="AK987" s="180" t="s">
        <v>153</v>
      </c>
      <c r="AL987" s="181">
        <v>213172.14</v>
      </c>
      <c r="AM987" s="182">
        <v>-22.15</v>
      </c>
      <c r="AN987" s="183" t="s">
        <v>168</v>
      </c>
      <c r="AO987" s="184" t="s">
        <v>153</v>
      </c>
      <c r="AP987" s="185" t="s">
        <v>153</v>
      </c>
      <c r="AQ987" s="186" t="s">
        <v>153</v>
      </c>
      <c r="AR987" s="187" t="s">
        <v>153</v>
      </c>
      <c r="AS987" s="188" t="s">
        <v>153</v>
      </c>
      <c r="AT987" s="189" t="s">
        <v>19432</v>
      </c>
      <c r="AU987" s="190" t="s">
        <v>19433</v>
      </c>
      <c r="AV987" s="191" t="s">
        <v>153</v>
      </c>
      <c r="AW987" s="192" t="s">
        <v>19434</v>
      </c>
      <c r="AX987" s="193" t="s">
        <v>153</v>
      </c>
      <c r="AY987" s="194" t="s">
        <v>19435</v>
      </c>
      <c r="AZ987" s="195" t="s">
        <v>2121</v>
      </c>
      <c r="BA987" s="196" t="s">
        <v>153</v>
      </c>
      <c r="BB987" s="197" t="s">
        <v>153</v>
      </c>
      <c r="BC987" s="198" t="s">
        <v>153</v>
      </c>
      <c r="BD987" s="199" t="s">
        <v>180</v>
      </c>
      <c r="BE987" s="200" t="s">
        <v>684</v>
      </c>
      <c r="BF987" s="201" t="s">
        <v>19436</v>
      </c>
      <c r="BG987" s="202" t="s">
        <v>153</v>
      </c>
      <c r="BH987" s="203" t="s">
        <v>153</v>
      </c>
      <c r="BI987" s="204" t="s">
        <v>19431</v>
      </c>
      <c r="BJ987" s="205" t="s">
        <v>19437</v>
      </c>
      <c r="BK987" s="206" t="s">
        <v>153</v>
      </c>
      <c r="BL987" s="207" t="s">
        <v>153</v>
      </c>
      <c r="BM987" s="208" t="s">
        <v>19438</v>
      </c>
      <c r="BN987" s="209" t="s">
        <v>153</v>
      </c>
      <c r="BO987" s="210" t="s">
        <v>19439</v>
      </c>
      <c r="BP987" s="211" t="s">
        <v>19440</v>
      </c>
      <c r="BQ987" s="212">
        <v>37043</v>
      </c>
      <c r="BR987" s="213" t="s">
        <v>153</v>
      </c>
      <c r="BS987" s="214" t="s">
        <v>153</v>
      </c>
      <c r="BT987" s="215" t="s">
        <v>153</v>
      </c>
      <c r="BU987" s="216" t="s">
        <v>153</v>
      </c>
      <c r="BV987" s="217" t="s">
        <v>709</v>
      </c>
      <c r="BW987" s="218" t="s">
        <v>153</v>
      </c>
      <c r="BX987" s="219" t="s">
        <v>153</v>
      </c>
      <c r="BY987" s="220" t="s">
        <v>165</v>
      </c>
      <c r="BZ987" s="221" t="s">
        <v>153</v>
      </c>
      <c r="CA987" s="222" t="s">
        <v>190</v>
      </c>
      <c r="CB987" s="223">
        <v>44281</v>
      </c>
      <c r="CC987" s="224">
        <v>5142.74</v>
      </c>
      <c r="CD987" s="225" t="s">
        <v>186</v>
      </c>
      <c r="CE987" s="226">
        <v>5142.74</v>
      </c>
      <c r="CF987" s="227" t="s">
        <v>187</v>
      </c>
      <c r="CG987" s="228" t="s">
        <v>226</v>
      </c>
      <c r="CH987" s="229" t="s">
        <v>153</v>
      </c>
      <c r="CI987" s="230" t="s">
        <v>153</v>
      </c>
      <c r="CJ987" s="231" t="s">
        <v>225</v>
      </c>
      <c r="CK987" s="232">
        <v>44281</v>
      </c>
      <c r="CL987" s="233" t="s">
        <v>153</v>
      </c>
      <c r="CM987" s="234" t="s">
        <v>153</v>
      </c>
      <c r="CN987" s="235" t="s">
        <v>190</v>
      </c>
      <c r="CO987" s="236" t="s">
        <v>153</v>
      </c>
      <c r="CP987" s="237" t="s">
        <v>153</v>
      </c>
      <c r="CQ987" s="238" t="s">
        <v>153</v>
      </c>
      <c r="CR987" s="239" t="s">
        <v>153</v>
      </c>
      <c r="CS987" s="240" t="s">
        <v>153</v>
      </c>
      <c r="CT987" s="241" t="s">
        <v>153</v>
      </c>
      <c r="CU987" s="242" t="s">
        <v>153</v>
      </c>
      <c r="CV987" s="243" t="s">
        <v>153</v>
      </c>
      <c r="CW987" s="244" t="s">
        <v>153</v>
      </c>
      <c r="CX987" s="245" t="s">
        <v>153</v>
      </c>
      <c r="CY987" s="246" t="s">
        <v>153</v>
      </c>
      <c r="CZ987" s="247" t="s">
        <v>153</v>
      </c>
      <c r="DA987" s="248" t="s">
        <v>153</v>
      </c>
      <c r="DB987" s="249" t="s">
        <v>153</v>
      </c>
      <c r="DC987" s="250" t="s">
        <v>153</v>
      </c>
      <c r="DD987" s="251" t="s">
        <v>153</v>
      </c>
      <c r="DE987" s="252" t="s">
        <v>153</v>
      </c>
      <c r="DF987" s="253" t="s">
        <v>153</v>
      </c>
      <c r="DG987" s="254" t="s">
        <v>153</v>
      </c>
      <c r="DH987" s="255" t="s">
        <v>153</v>
      </c>
      <c r="DI987" s="256" t="s">
        <v>153</v>
      </c>
      <c r="DJ987" s="257" t="s">
        <v>153</v>
      </c>
      <c r="DK987" s="258" t="s">
        <v>153</v>
      </c>
      <c r="DL987" s="259" t="s">
        <v>153</v>
      </c>
      <c r="DM987" s="260" t="s">
        <v>153</v>
      </c>
      <c r="DN987" s="261" t="s">
        <v>153</v>
      </c>
      <c r="DO987" s="262" t="s">
        <v>153</v>
      </c>
      <c r="DP987" s="263" t="s">
        <v>153</v>
      </c>
      <c r="DQ987" s="264" t="s">
        <v>153</v>
      </c>
      <c r="DR987" s="265" t="s">
        <v>153</v>
      </c>
      <c r="DS987" s="266" t="s">
        <v>153</v>
      </c>
      <c r="DT987" s="267" t="s">
        <v>153</v>
      </c>
      <c r="DU987" s="268" t="s">
        <v>153</v>
      </c>
      <c r="DV987" s="269" t="s">
        <v>153</v>
      </c>
      <c r="DW987" s="270" t="s">
        <v>153</v>
      </c>
      <c r="DX987" s="271" t="s">
        <v>153</v>
      </c>
      <c r="DY987" s="272" t="s">
        <v>153</v>
      </c>
      <c r="DZ987" s="273" t="s">
        <v>191</v>
      </c>
      <c r="EA987" s="274">
        <v>44389</v>
      </c>
      <c r="EB987" s="275">
        <v>5142.74</v>
      </c>
      <c r="EC987" s="276">
        <v>44281</v>
      </c>
      <c r="ED987" s="277" t="s">
        <v>226</v>
      </c>
      <c r="EE987" s="279" t="str">
        <f>HYPERLINK("https://my.pitchbook.com?c=11027-53", "View company online")</f>
        <v>View company online</v>
      </c>
    </row>
    <row r="988" spans="1:135" x14ac:dyDescent="0.45">
      <c r="A988" s="10" t="s">
        <v>19441</v>
      </c>
      <c r="B988" s="11" t="s">
        <v>19442</v>
      </c>
      <c r="C988" s="12" t="s">
        <v>153</v>
      </c>
      <c r="D988" s="13" t="s">
        <v>153</v>
      </c>
      <c r="E988" s="14" t="s">
        <v>153</v>
      </c>
      <c r="F988" s="15" t="s">
        <v>19443</v>
      </c>
      <c r="G988" s="16" t="s">
        <v>19444</v>
      </c>
      <c r="H988" s="17" t="s">
        <v>153</v>
      </c>
      <c r="I988" s="18" t="s">
        <v>19441</v>
      </c>
      <c r="J988" s="19" t="s">
        <v>19445</v>
      </c>
      <c r="K988" s="20" t="s">
        <v>232</v>
      </c>
      <c r="L988" s="21" t="s">
        <v>2162</v>
      </c>
      <c r="M988" s="22" t="s">
        <v>14852</v>
      </c>
      <c r="N988" s="23" t="s">
        <v>19446</v>
      </c>
      <c r="O988" s="24" t="s">
        <v>153</v>
      </c>
      <c r="P988" s="25" t="s">
        <v>19447</v>
      </c>
      <c r="Q988" s="26" t="s">
        <v>204</v>
      </c>
      <c r="R988" s="27" t="s">
        <v>153</v>
      </c>
      <c r="S988" s="28" t="s">
        <v>290</v>
      </c>
      <c r="T988" s="29" t="s">
        <v>164</v>
      </c>
      <c r="U988" s="30" t="s">
        <v>206</v>
      </c>
      <c r="V988" s="31" t="s">
        <v>19448</v>
      </c>
      <c r="W988" s="32">
        <v>501</v>
      </c>
      <c r="X988" s="33" t="s">
        <v>19449</v>
      </c>
      <c r="Y988" s="34" t="s">
        <v>153</v>
      </c>
      <c r="Z988" s="35" t="s">
        <v>153</v>
      </c>
      <c r="AA988" s="36">
        <v>1978</v>
      </c>
      <c r="AB988" s="37" t="s">
        <v>153</v>
      </c>
      <c r="AC988" s="38" t="s">
        <v>153</v>
      </c>
      <c r="AD988" s="39" t="s">
        <v>153</v>
      </c>
      <c r="AE988" s="40" t="s">
        <v>153</v>
      </c>
      <c r="AF988" s="41" t="s">
        <v>153</v>
      </c>
      <c r="AG988" s="42" t="s">
        <v>153</v>
      </c>
      <c r="AH988" s="43" t="s">
        <v>153</v>
      </c>
      <c r="AI988" s="44" t="s">
        <v>153</v>
      </c>
      <c r="AJ988" s="45" t="s">
        <v>153</v>
      </c>
      <c r="AK988" s="46" t="s">
        <v>153</v>
      </c>
      <c r="AL988" s="47" t="s">
        <v>153</v>
      </c>
      <c r="AM988" s="48" t="s">
        <v>153</v>
      </c>
      <c r="AN988" s="49" t="s">
        <v>330</v>
      </c>
      <c r="AO988" s="50" t="s">
        <v>19450</v>
      </c>
      <c r="AP988" s="51" t="s">
        <v>19451</v>
      </c>
      <c r="AQ988" s="52" t="s">
        <v>512</v>
      </c>
      <c r="AR988" s="53" t="s">
        <v>19452</v>
      </c>
      <c r="AS988" s="54" t="s">
        <v>19453</v>
      </c>
      <c r="AT988" s="55" t="s">
        <v>7421</v>
      </c>
      <c r="AU988" s="56" t="s">
        <v>19454</v>
      </c>
      <c r="AV988" s="57" t="s">
        <v>153</v>
      </c>
      <c r="AW988" s="58" t="s">
        <v>7423</v>
      </c>
      <c r="AX988" s="59" t="s">
        <v>153</v>
      </c>
      <c r="AY988" s="60" t="s">
        <v>19455</v>
      </c>
      <c r="AZ988" s="61" t="s">
        <v>681</v>
      </c>
      <c r="BA988" s="62" t="s">
        <v>19453</v>
      </c>
      <c r="BB988" s="63" t="s">
        <v>153</v>
      </c>
      <c r="BC988" s="64" t="s">
        <v>19456</v>
      </c>
      <c r="BD988" s="65" t="s">
        <v>180</v>
      </c>
      <c r="BE988" s="66" t="s">
        <v>684</v>
      </c>
      <c r="BF988" s="67" t="s">
        <v>19457</v>
      </c>
      <c r="BG988" s="68" t="s">
        <v>19458</v>
      </c>
      <c r="BH988" s="69">
        <v>1</v>
      </c>
      <c r="BI988" s="70" t="s">
        <v>153</v>
      </c>
      <c r="BJ988" s="71" t="s">
        <v>19459</v>
      </c>
      <c r="BK988" s="72" t="s">
        <v>19460</v>
      </c>
      <c r="BL988" s="73" t="s">
        <v>19461</v>
      </c>
      <c r="BM988" s="74" t="s">
        <v>153</v>
      </c>
      <c r="BN988" s="75" t="s">
        <v>19462</v>
      </c>
      <c r="BO988" s="76" t="s">
        <v>19463</v>
      </c>
      <c r="BP988" s="77" t="s">
        <v>153</v>
      </c>
      <c r="BQ988" s="78">
        <v>41222</v>
      </c>
      <c r="BR988" s="79">
        <v>4783.3900000000003</v>
      </c>
      <c r="BS988" s="80" t="s">
        <v>186</v>
      </c>
      <c r="BT988" s="81">
        <v>4783.3900000000003</v>
      </c>
      <c r="BU988" s="82" t="s">
        <v>186</v>
      </c>
      <c r="BV988" s="83" t="s">
        <v>226</v>
      </c>
      <c r="BW988" s="84" t="s">
        <v>729</v>
      </c>
      <c r="BX988" s="85" t="s">
        <v>153</v>
      </c>
      <c r="BY988" s="86" t="s">
        <v>225</v>
      </c>
      <c r="BZ988" s="87" t="s">
        <v>153</v>
      </c>
      <c r="CA988" s="88" t="s">
        <v>190</v>
      </c>
      <c r="CB988" s="89">
        <v>44257</v>
      </c>
      <c r="CC988" s="90">
        <v>5139.2299999999996</v>
      </c>
      <c r="CD988" s="91" t="s">
        <v>186</v>
      </c>
      <c r="CE988" s="92">
        <v>5139.2299999999996</v>
      </c>
      <c r="CF988" s="93" t="s">
        <v>187</v>
      </c>
      <c r="CG988" s="94" t="s">
        <v>226</v>
      </c>
      <c r="CH988" s="95" t="s">
        <v>153</v>
      </c>
      <c r="CI988" s="96" t="s">
        <v>153</v>
      </c>
      <c r="CJ988" s="97" t="s">
        <v>225</v>
      </c>
      <c r="CK988" s="98">
        <v>44257</v>
      </c>
      <c r="CL988" s="99" t="s">
        <v>153</v>
      </c>
      <c r="CM988" s="100" t="s">
        <v>153</v>
      </c>
      <c r="CN988" s="101" t="s">
        <v>1278</v>
      </c>
      <c r="CO988" s="102">
        <v>0.13</v>
      </c>
      <c r="CP988" s="103">
        <v>89</v>
      </c>
      <c r="CQ988" s="104">
        <v>-0.02</v>
      </c>
      <c r="CR988" s="105">
        <v>-14.36</v>
      </c>
      <c r="CS988" s="106">
        <v>0.26</v>
      </c>
      <c r="CT988" s="107">
        <v>91</v>
      </c>
      <c r="CU988" s="108">
        <v>0</v>
      </c>
      <c r="CV988" s="109">
        <v>41</v>
      </c>
      <c r="CW988" s="110">
        <v>0</v>
      </c>
      <c r="CX988" s="111">
        <v>21</v>
      </c>
      <c r="CY988" s="112">
        <v>0.53</v>
      </c>
      <c r="CZ988" s="113">
        <v>95</v>
      </c>
      <c r="DA988" s="114">
        <v>0</v>
      </c>
      <c r="DB988" s="115">
        <v>41</v>
      </c>
      <c r="DC988" s="116">
        <v>14.58</v>
      </c>
      <c r="DD988" s="117">
        <v>94</v>
      </c>
      <c r="DE988" s="118">
        <v>0.05</v>
      </c>
      <c r="DF988" s="119">
        <v>0.32</v>
      </c>
      <c r="DG988" s="120">
        <v>29.07</v>
      </c>
      <c r="DH988" s="121">
        <v>97</v>
      </c>
      <c r="DI988" s="122">
        <v>0.08</v>
      </c>
      <c r="DJ988" s="123">
        <v>14</v>
      </c>
      <c r="DK988" s="124">
        <v>0.34</v>
      </c>
      <c r="DL988" s="125">
        <v>31</v>
      </c>
      <c r="DM988" s="126">
        <v>57.81</v>
      </c>
      <c r="DN988" s="127">
        <v>98</v>
      </c>
      <c r="DO988" s="128">
        <v>0.08</v>
      </c>
      <c r="DP988" s="129">
        <v>14</v>
      </c>
      <c r="DQ988" s="130">
        <v>197</v>
      </c>
      <c r="DR988" s="131">
        <v>4</v>
      </c>
      <c r="DS988" s="132">
        <v>2.0699999999999998</v>
      </c>
      <c r="DT988" s="133">
        <v>924</v>
      </c>
      <c r="DU988" s="134">
        <v>4</v>
      </c>
      <c r="DV988" s="135">
        <v>0.43</v>
      </c>
      <c r="DW988" s="136">
        <v>24</v>
      </c>
      <c r="DX988" s="137">
        <v>0</v>
      </c>
      <c r="DY988" s="138">
        <v>0</v>
      </c>
      <c r="DZ988" s="139" t="s">
        <v>191</v>
      </c>
      <c r="EA988" s="140">
        <v>44394</v>
      </c>
      <c r="EB988" s="141">
        <v>5139.2299999999996</v>
      </c>
      <c r="EC988" s="142">
        <v>44257</v>
      </c>
      <c r="ED988" s="143" t="s">
        <v>226</v>
      </c>
      <c r="EE988" s="278" t="str">
        <f>HYPERLINK("https://my.pitchbook.com?c=111831-13", "View company online")</f>
        <v>View company online</v>
      </c>
    </row>
    <row r="989" spans="1:135" x14ac:dyDescent="0.45">
      <c r="A989" s="144" t="s">
        <v>19464</v>
      </c>
      <c r="B989" s="145" t="s">
        <v>19465</v>
      </c>
      <c r="C989" s="146" t="s">
        <v>153</v>
      </c>
      <c r="D989" s="147" t="s">
        <v>153</v>
      </c>
      <c r="E989" s="148" t="s">
        <v>153</v>
      </c>
      <c r="F989" s="149" t="s">
        <v>153</v>
      </c>
      <c r="G989" s="150" t="s">
        <v>19466</v>
      </c>
      <c r="H989" s="151" t="s">
        <v>153</v>
      </c>
      <c r="I989" s="152" t="s">
        <v>19464</v>
      </c>
      <c r="J989" s="153" t="s">
        <v>19467</v>
      </c>
      <c r="K989" s="154" t="s">
        <v>882</v>
      </c>
      <c r="L989" s="155" t="s">
        <v>883</v>
      </c>
      <c r="M989" s="156" t="s">
        <v>3626</v>
      </c>
      <c r="N989" s="157" t="s">
        <v>19468</v>
      </c>
      <c r="O989" s="158" t="s">
        <v>365</v>
      </c>
      <c r="P989" s="159" t="s">
        <v>19469</v>
      </c>
      <c r="Q989" s="160" t="s">
        <v>204</v>
      </c>
      <c r="R989" s="161" t="s">
        <v>153</v>
      </c>
      <c r="S989" s="162" t="s">
        <v>290</v>
      </c>
      <c r="T989" s="163" t="s">
        <v>164</v>
      </c>
      <c r="U989" s="164" t="s">
        <v>206</v>
      </c>
      <c r="V989" s="165" t="s">
        <v>19470</v>
      </c>
      <c r="W989" s="166">
        <v>8700</v>
      </c>
      <c r="X989" s="167" t="s">
        <v>19471</v>
      </c>
      <c r="Y989" s="168" t="s">
        <v>153</v>
      </c>
      <c r="Z989" s="169" t="s">
        <v>153</v>
      </c>
      <c r="AA989" s="170">
        <v>1961</v>
      </c>
      <c r="AB989" s="171" t="s">
        <v>19472</v>
      </c>
      <c r="AC989" s="172" t="s">
        <v>428</v>
      </c>
      <c r="AD989" s="173" t="s">
        <v>428</v>
      </c>
      <c r="AE989" s="174" t="s">
        <v>153</v>
      </c>
      <c r="AF989" s="175" t="s">
        <v>153</v>
      </c>
      <c r="AG989" s="176" t="s">
        <v>153</v>
      </c>
      <c r="AH989" s="177" t="s">
        <v>153</v>
      </c>
      <c r="AI989" s="178" t="s">
        <v>153</v>
      </c>
      <c r="AJ989" s="179" t="s">
        <v>153</v>
      </c>
      <c r="AK989" s="180" t="s">
        <v>153</v>
      </c>
      <c r="AL989" s="181" t="s">
        <v>153</v>
      </c>
      <c r="AM989" s="182" t="s">
        <v>153</v>
      </c>
      <c r="AN989" s="183" t="s">
        <v>456</v>
      </c>
      <c r="AO989" s="184" t="s">
        <v>19473</v>
      </c>
      <c r="AP989" s="185" t="s">
        <v>19474</v>
      </c>
      <c r="AQ989" s="186" t="s">
        <v>171</v>
      </c>
      <c r="AR989" s="187" t="s">
        <v>19475</v>
      </c>
      <c r="AS989" s="188" t="s">
        <v>19476</v>
      </c>
      <c r="AT989" s="189" t="s">
        <v>19477</v>
      </c>
      <c r="AU989" s="190" t="s">
        <v>19478</v>
      </c>
      <c r="AV989" s="191" t="s">
        <v>153</v>
      </c>
      <c r="AW989" s="192" t="s">
        <v>19479</v>
      </c>
      <c r="AX989" s="193" t="s">
        <v>153</v>
      </c>
      <c r="AY989" s="194" t="s">
        <v>19480</v>
      </c>
      <c r="AZ989" s="195" t="s">
        <v>352</v>
      </c>
      <c r="BA989" s="196" t="s">
        <v>19476</v>
      </c>
      <c r="BB989" s="197" t="s">
        <v>19481</v>
      </c>
      <c r="BC989" s="198" t="s">
        <v>19482</v>
      </c>
      <c r="BD989" s="199" t="s">
        <v>180</v>
      </c>
      <c r="BE989" s="200" t="s">
        <v>181</v>
      </c>
      <c r="BF989" s="201" t="s">
        <v>19483</v>
      </c>
      <c r="BG989" s="202" t="s">
        <v>153</v>
      </c>
      <c r="BH989" s="203" t="s">
        <v>153</v>
      </c>
      <c r="BI989" s="204" t="s">
        <v>19472</v>
      </c>
      <c r="BJ989" s="205" t="s">
        <v>153</v>
      </c>
      <c r="BK989" s="206" t="s">
        <v>153</v>
      </c>
      <c r="BL989" s="207" t="s">
        <v>153</v>
      </c>
      <c r="BM989" s="208" t="s">
        <v>153</v>
      </c>
      <c r="BN989" s="209" t="s">
        <v>153</v>
      </c>
      <c r="BO989" s="210" t="s">
        <v>153</v>
      </c>
      <c r="BP989" s="211" t="s">
        <v>19484</v>
      </c>
      <c r="BQ989" s="212">
        <v>43070</v>
      </c>
      <c r="BR989" s="213">
        <v>5136</v>
      </c>
      <c r="BS989" s="214" t="s">
        <v>186</v>
      </c>
      <c r="BT989" s="215">
        <v>5136</v>
      </c>
      <c r="BU989" s="216" t="s">
        <v>187</v>
      </c>
      <c r="BV989" s="217" t="s">
        <v>226</v>
      </c>
      <c r="BW989" s="218" t="s">
        <v>153</v>
      </c>
      <c r="BX989" s="219" t="s">
        <v>153</v>
      </c>
      <c r="BY989" s="220" t="s">
        <v>225</v>
      </c>
      <c r="BZ989" s="221" t="s">
        <v>153</v>
      </c>
      <c r="CA989" s="222" t="s">
        <v>190</v>
      </c>
      <c r="CB989" s="223">
        <v>43070</v>
      </c>
      <c r="CC989" s="224">
        <v>5136</v>
      </c>
      <c r="CD989" s="225" t="s">
        <v>186</v>
      </c>
      <c r="CE989" s="226">
        <v>5136</v>
      </c>
      <c r="CF989" s="227" t="s">
        <v>187</v>
      </c>
      <c r="CG989" s="228" t="s">
        <v>226</v>
      </c>
      <c r="CH989" s="229" t="s">
        <v>153</v>
      </c>
      <c r="CI989" s="230" t="s">
        <v>153</v>
      </c>
      <c r="CJ989" s="231" t="s">
        <v>225</v>
      </c>
      <c r="CK989" s="232">
        <v>43070</v>
      </c>
      <c r="CL989" s="233" t="s">
        <v>153</v>
      </c>
      <c r="CM989" s="234" t="s">
        <v>153</v>
      </c>
      <c r="CN989" s="235" t="s">
        <v>190</v>
      </c>
      <c r="CO989" s="236">
        <v>-0.23</v>
      </c>
      <c r="CP989" s="237">
        <v>6</v>
      </c>
      <c r="CQ989" s="238">
        <v>-0.15</v>
      </c>
      <c r="CR989" s="239">
        <v>-184.25</v>
      </c>
      <c r="CS989" s="240">
        <v>-0.51</v>
      </c>
      <c r="CT989" s="241">
        <v>5</v>
      </c>
      <c r="CU989" s="242">
        <v>0.04</v>
      </c>
      <c r="CV989" s="243">
        <v>80</v>
      </c>
      <c r="CW989" s="244" t="s">
        <v>153</v>
      </c>
      <c r="CX989" s="245" t="s">
        <v>153</v>
      </c>
      <c r="CY989" s="246">
        <v>-0.51</v>
      </c>
      <c r="CZ989" s="247">
        <v>2</v>
      </c>
      <c r="DA989" s="248">
        <v>0.04</v>
      </c>
      <c r="DB989" s="249">
        <v>80</v>
      </c>
      <c r="DC989" s="250">
        <v>21.18</v>
      </c>
      <c r="DD989" s="251">
        <v>96</v>
      </c>
      <c r="DE989" s="252">
        <v>-0.22</v>
      </c>
      <c r="DF989" s="253">
        <v>-1.02</v>
      </c>
      <c r="DG989" s="254">
        <v>32.630000000000003</v>
      </c>
      <c r="DH989" s="255">
        <v>97</v>
      </c>
      <c r="DI989" s="256">
        <v>9.73</v>
      </c>
      <c r="DJ989" s="257">
        <v>86</v>
      </c>
      <c r="DK989" s="258" t="s">
        <v>153</v>
      </c>
      <c r="DL989" s="259" t="s">
        <v>153</v>
      </c>
      <c r="DM989" s="260">
        <v>32.630000000000003</v>
      </c>
      <c r="DN989" s="261">
        <v>97</v>
      </c>
      <c r="DO989" s="262">
        <v>9.73</v>
      </c>
      <c r="DP989" s="263">
        <v>86</v>
      </c>
      <c r="DQ989" s="264" t="s">
        <v>153</v>
      </c>
      <c r="DR989" s="265" t="s">
        <v>153</v>
      </c>
      <c r="DS989" s="266" t="s">
        <v>153</v>
      </c>
      <c r="DT989" s="267">
        <v>525</v>
      </c>
      <c r="DU989" s="268">
        <v>-9</v>
      </c>
      <c r="DV989" s="269">
        <v>-1.69</v>
      </c>
      <c r="DW989" s="270">
        <v>3056</v>
      </c>
      <c r="DX989" s="271">
        <v>1</v>
      </c>
      <c r="DY989" s="272">
        <v>0.03</v>
      </c>
      <c r="DZ989" s="273" t="s">
        <v>191</v>
      </c>
      <c r="EA989" s="274">
        <v>44403</v>
      </c>
      <c r="EB989" s="275">
        <v>5136</v>
      </c>
      <c r="EC989" s="276">
        <v>43070</v>
      </c>
      <c r="ED989" s="277" t="s">
        <v>226</v>
      </c>
      <c r="EE989" s="279" t="str">
        <f>HYPERLINK("https://my.pitchbook.com?c=107320-78", "View company online")</f>
        <v>View company online</v>
      </c>
    </row>
    <row r="990" spans="1:135" x14ac:dyDescent="0.45">
      <c r="A990" s="10" t="s">
        <v>19485</v>
      </c>
      <c r="B990" s="11" t="s">
        <v>19486</v>
      </c>
      <c r="C990" s="12" t="s">
        <v>153</v>
      </c>
      <c r="D990" s="13" t="s">
        <v>153</v>
      </c>
      <c r="E990" s="14" t="s">
        <v>153</v>
      </c>
      <c r="F990" s="15" t="s">
        <v>153</v>
      </c>
      <c r="G990" s="16" t="s">
        <v>153</v>
      </c>
      <c r="H990" s="17" t="s">
        <v>153</v>
      </c>
      <c r="I990" s="18" t="s">
        <v>19485</v>
      </c>
      <c r="J990" s="19" t="s">
        <v>19487</v>
      </c>
      <c r="K990" s="20" t="s">
        <v>232</v>
      </c>
      <c r="L990" s="21" t="s">
        <v>362</v>
      </c>
      <c r="M990" s="22" t="s">
        <v>362</v>
      </c>
      <c r="N990" s="23" t="s">
        <v>1102</v>
      </c>
      <c r="O990" s="24" t="s">
        <v>153</v>
      </c>
      <c r="P990" s="25" t="s">
        <v>19488</v>
      </c>
      <c r="Q990" s="26" t="s">
        <v>204</v>
      </c>
      <c r="R990" s="27" t="s">
        <v>153</v>
      </c>
      <c r="S990" s="28" t="s">
        <v>163</v>
      </c>
      <c r="T990" s="29" t="s">
        <v>205</v>
      </c>
      <c r="U990" s="30" t="s">
        <v>206</v>
      </c>
      <c r="V990" s="31" t="s">
        <v>153</v>
      </c>
      <c r="W990" s="32" t="s">
        <v>153</v>
      </c>
      <c r="X990" s="33" t="s">
        <v>153</v>
      </c>
      <c r="Y990" s="34" t="s">
        <v>153</v>
      </c>
      <c r="Z990" s="35" t="s">
        <v>153</v>
      </c>
      <c r="AA990" s="36" t="s">
        <v>153</v>
      </c>
      <c r="AB990" s="37" t="s">
        <v>153</v>
      </c>
      <c r="AC990" s="38" t="s">
        <v>153</v>
      </c>
      <c r="AD990" s="39" t="s">
        <v>153</v>
      </c>
      <c r="AE990" s="40" t="s">
        <v>153</v>
      </c>
      <c r="AF990" s="41" t="s">
        <v>153</v>
      </c>
      <c r="AG990" s="42" t="s">
        <v>153</v>
      </c>
      <c r="AH990" s="43" t="s">
        <v>153</v>
      </c>
      <c r="AI990" s="44" t="s">
        <v>153</v>
      </c>
      <c r="AJ990" s="45" t="s">
        <v>153</v>
      </c>
      <c r="AK990" s="46" t="s">
        <v>153</v>
      </c>
      <c r="AL990" s="47" t="s">
        <v>153</v>
      </c>
      <c r="AM990" s="48" t="s">
        <v>153</v>
      </c>
      <c r="AN990" s="49" t="s">
        <v>153</v>
      </c>
      <c r="AO990" s="50" t="s">
        <v>153</v>
      </c>
      <c r="AP990" s="51" t="s">
        <v>153</v>
      </c>
      <c r="AQ990" s="52" t="s">
        <v>153</v>
      </c>
      <c r="AR990" s="53" t="s">
        <v>153</v>
      </c>
      <c r="AS990" s="54" t="s">
        <v>153</v>
      </c>
      <c r="AT990" s="55" t="s">
        <v>12273</v>
      </c>
      <c r="AU990" s="56" t="s">
        <v>12274</v>
      </c>
      <c r="AV990" s="57" t="s">
        <v>153</v>
      </c>
      <c r="AW990" s="58" t="s">
        <v>12275</v>
      </c>
      <c r="AX990" s="59" t="s">
        <v>213</v>
      </c>
      <c r="AY990" s="60" t="s">
        <v>12276</v>
      </c>
      <c r="AZ990" s="61" t="s">
        <v>215</v>
      </c>
      <c r="BA990" s="62" t="s">
        <v>153</v>
      </c>
      <c r="BB990" s="63" t="s">
        <v>153</v>
      </c>
      <c r="BC990" s="64" t="s">
        <v>153</v>
      </c>
      <c r="BD990" s="65" t="s">
        <v>216</v>
      </c>
      <c r="BE990" s="66" t="s">
        <v>217</v>
      </c>
      <c r="BF990" s="67" t="s">
        <v>19489</v>
      </c>
      <c r="BG990" s="68" t="s">
        <v>153</v>
      </c>
      <c r="BH990" s="69" t="s">
        <v>153</v>
      </c>
      <c r="BI990" s="70" t="s">
        <v>19490</v>
      </c>
      <c r="BJ990" s="71" t="s">
        <v>1971</v>
      </c>
      <c r="BK990" s="72" t="s">
        <v>19491</v>
      </c>
      <c r="BL990" s="73" t="s">
        <v>153</v>
      </c>
      <c r="BM990" s="74" t="s">
        <v>1972</v>
      </c>
      <c r="BN990" s="75" t="s">
        <v>19492</v>
      </c>
      <c r="BO990" s="76" t="s">
        <v>153</v>
      </c>
      <c r="BP990" s="77" t="s">
        <v>153</v>
      </c>
      <c r="BQ990" s="78">
        <v>42461</v>
      </c>
      <c r="BR990" s="79">
        <v>5132.38</v>
      </c>
      <c r="BS990" s="80" t="s">
        <v>186</v>
      </c>
      <c r="BT990" s="81">
        <v>5132.38</v>
      </c>
      <c r="BU990" s="82" t="s">
        <v>186</v>
      </c>
      <c r="BV990" s="83" t="s">
        <v>226</v>
      </c>
      <c r="BW990" s="84" t="s">
        <v>729</v>
      </c>
      <c r="BX990" s="85" t="s">
        <v>153</v>
      </c>
      <c r="BY990" s="86" t="s">
        <v>225</v>
      </c>
      <c r="BZ990" s="87" t="s">
        <v>153</v>
      </c>
      <c r="CA990" s="88" t="s">
        <v>190</v>
      </c>
      <c r="CB990" s="89">
        <v>42461</v>
      </c>
      <c r="CC990" s="90">
        <v>5132.38</v>
      </c>
      <c r="CD990" s="91" t="s">
        <v>186</v>
      </c>
      <c r="CE990" s="92">
        <v>5132.38</v>
      </c>
      <c r="CF990" s="93" t="s">
        <v>186</v>
      </c>
      <c r="CG990" s="94" t="s">
        <v>226</v>
      </c>
      <c r="CH990" s="95" t="s">
        <v>729</v>
      </c>
      <c r="CI990" s="96" t="s">
        <v>153</v>
      </c>
      <c r="CJ990" s="97" t="s">
        <v>225</v>
      </c>
      <c r="CK990" s="98">
        <v>42461</v>
      </c>
      <c r="CL990" s="99" t="s">
        <v>153</v>
      </c>
      <c r="CM990" s="100" t="s">
        <v>153</v>
      </c>
      <c r="CN990" s="101" t="s">
        <v>190</v>
      </c>
      <c r="CO990" s="102" t="s">
        <v>153</v>
      </c>
      <c r="CP990" s="103" t="s">
        <v>153</v>
      </c>
      <c r="CQ990" s="104" t="s">
        <v>153</v>
      </c>
      <c r="CR990" s="105" t="s">
        <v>153</v>
      </c>
      <c r="CS990" s="106" t="s">
        <v>153</v>
      </c>
      <c r="CT990" s="107" t="s">
        <v>153</v>
      </c>
      <c r="CU990" s="108" t="s">
        <v>153</v>
      </c>
      <c r="CV990" s="109" t="s">
        <v>153</v>
      </c>
      <c r="CW990" s="110" t="s">
        <v>153</v>
      </c>
      <c r="CX990" s="111" t="s">
        <v>153</v>
      </c>
      <c r="CY990" s="112" t="s">
        <v>153</v>
      </c>
      <c r="CZ990" s="113" t="s">
        <v>153</v>
      </c>
      <c r="DA990" s="114" t="s">
        <v>153</v>
      </c>
      <c r="DB990" s="115" t="s">
        <v>153</v>
      </c>
      <c r="DC990" s="116" t="s">
        <v>153</v>
      </c>
      <c r="DD990" s="117" t="s">
        <v>153</v>
      </c>
      <c r="DE990" s="118" t="s">
        <v>153</v>
      </c>
      <c r="DF990" s="119" t="s">
        <v>153</v>
      </c>
      <c r="DG990" s="120" t="s">
        <v>153</v>
      </c>
      <c r="DH990" s="121" t="s">
        <v>153</v>
      </c>
      <c r="DI990" s="122" t="s">
        <v>153</v>
      </c>
      <c r="DJ990" s="123" t="s">
        <v>153</v>
      </c>
      <c r="DK990" s="124" t="s">
        <v>153</v>
      </c>
      <c r="DL990" s="125" t="s">
        <v>153</v>
      </c>
      <c r="DM990" s="126" t="s">
        <v>153</v>
      </c>
      <c r="DN990" s="127" t="s">
        <v>153</v>
      </c>
      <c r="DO990" s="128" t="s">
        <v>153</v>
      </c>
      <c r="DP990" s="129" t="s">
        <v>153</v>
      </c>
      <c r="DQ990" s="130" t="s">
        <v>153</v>
      </c>
      <c r="DR990" s="131" t="s">
        <v>153</v>
      </c>
      <c r="DS990" s="132" t="s">
        <v>153</v>
      </c>
      <c r="DT990" s="133" t="s">
        <v>153</v>
      </c>
      <c r="DU990" s="134" t="s">
        <v>153</v>
      </c>
      <c r="DV990" s="135" t="s">
        <v>153</v>
      </c>
      <c r="DW990" s="136" t="s">
        <v>153</v>
      </c>
      <c r="DX990" s="137" t="s">
        <v>153</v>
      </c>
      <c r="DY990" s="138" t="s">
        <v>153</v>
      </c>
      <c r="DZ990" s="139" t="s">
        <v>191</v>
      </c>
      <c r="EA990" s="140">
        <v>44147</v>
      </c>
      <c r="EB990" s="141">
        <v>5132.38</v>
      </c>
      <c r="EC990" s="142">
        <v>42461</v>
      </c>
      <c r="ED990" s="143" t="s">
        <v>226</v>
      </c>
      <c r="EE990" s="278" t="str">
        <f>HYPERLINK("https://my.pitchbook.com?c=113073-31", "View company online")</f>
        <v>View company online</v>
      </c>
    </row>
    <row r="991" spans="1:135" x14ac:dyDescent="0.45">
      <c r="A991" s="144" t="s">
        <v>19493</v>
      </c>
      <c r="B991" s="145" t="s">
        <v>19494</v>
      </c>
      <c r="C991" s="146" t="s">
        <v>153</v>
      </c>
      <c r="D991" s="147" t="s">
        <v>153</v>
      </c>
      <c r="E991" s="148" t="s">
        <v>153</v>
      </c>
      <c r="F991" s="149" t="s">
        <v>19495</v>
      </c>
      <c r="G991" s="150" t="s">
        <v>19496</v>
      </c>
      <c r="H991" s="151" t="s">
        <v>153</v>
      </c>
      <c r="I991" s="152" t="s">
        <v>19493</v>
      </c>
      <c r="J991" s="153" t="s">
        <v>19497</v>
      </c>
      <c r="K991" s="154" t="s">
        <v>157</v>
      </c>
      <c r="L991" s="155" t="s">
        <v>2713</v>
      </c>
      <c r="M991" s="156" t="s">
        <v>2922</v>
      </c>
      <c r="N991" s="157" t="s">
        <v>19498</v>
      </c>
      <c r="O991" s="158" t="s">
        <v>202</v>
      </c>
      <c r="P991" s="159" t="s">
        <v>19499</v>
      </c>
      <c r="Q991" s="160" t="s">
        <v>204</v>
      </c>
      <c r="R991" s="161">
        <v>386.24</v>
      </c>
      <c r="S991" s="162" t="s">
        <v>163</v>
      </c>
      <c r="T991" s="163" t="s">
        <v>164</v>
      </c>
      <c r="U991" s="164" t="s">
        <v>1706</v>
      </c>
      <c r="V991" s="165" t="s">
        <v>19500</v>
      </c>
      <c r="W991" s="166">
        <v>500</v>
      </c>
      <c r="X991" s="167" t="s">
        <v>19501</v>
      </c>
      <c r="Y991" s="168" t="s">
        <v>153</v>
      </c>
      <c r="Z991" s="169" t="s">
        <v>153</v>
      </c>
      <c r="AA991" s="170">
        <v>1989</v>
      </c>
      <c r="AB991" s="171" t="s">
        <v>19502</v>
      </c>
      <c r="AC991" s="172" t="s">
        <v>153</v>
      </c>
      <c r="AD991" s="173" t="s">
        <v>153</v>
      </c>
      <c r="AE991" s="174" t="s">
        <v>153</v>
      </c>
      <c r="AF991" s="175" t="s">
        <v>153</v>
      </c>
      <c r="AG991" s="176" t="s">
        <v>153</v>
      </c>
      <c r="AH991" s="177" t="s">
        <v>153</v>
      </c>
      <c r="AI991" s="178" t="s">
        <v>153</v>
      </c>
      <c r="AJ991" s="179" t="s">
        <v>153</v>
      </c>
      <c r="AK991" s="180" t="s">
        <v>153</v>
      </c>
      <c r="AL991" s="181" t="s">
        <v>153</v>
      </c>
      <c r="AM991" s="182" t="s">
        <v>153</v>
      </c>
      <c r="AN991" s="183" t="s">
        <v>168</v>
      </c>
      <c r="AO991" s="184" t="s">
        <v>19503</v>
      </c>
      <c r="AP991" s="185" t="s">
        <v>19504</v>
      </c>
      <c r="AQ991" s="186" t="s">
        <v>171</v>
      </c>
      <c r="AR991" s="187" t="s">
        <v>153</v>
      </c>
      <c r="AS991" s="188" t="s">
        <v>19505</v>
      </c>
      <c r="AT991" s="189" t="s">
        <v>19506</v>
      </c>
      <c r="AU991" s="190" t="s">
        <v>19507</v>
      </c>
      <c r="AV991" s="191" t="s">
        <v>153</v>
      </c>
      <c r="AW991" s="192" t="s">
        <v>19508</v>
      </c>
      <c r="AX991" s="193" t="s">
        <v>177</v>
      </c>
      <c r="AY991" s="194" t="s">
        <v>19509</v>
      </c>
      <c r="AZ991" s="195" t="s">
        <v>179</v>
      </c>
      <c r="BA991" s="196" t="s">
        <v>19505</v>
      </c>
      <c r="BB991" s="197" t="s">
        <v>153</v>
      </c>
      <c r="BC991" s="198" t="s">
        <v>153</v>
      </c>
      <c r="BD991" s="199" t="s">
        <v>180</v>
      </c>
      <c r="BE991" s="200" t="s">
        <v>181</v>
      </c>
      <c r="BF991" s="201" t="s">
        <v>19510</v>
      </c>
      <c r="BG991" s="202" t="s">
        <v>153</v>
      </c>
      <c r="BH991" s="203" t="s">
        <v>153</v>
      </c>
      <c r="BI991" s="204" t="s">
        <v>19502</v>
      </c>
      <c r="BJ991" s="205" t="s">
        <v>19511</v>
      </c>
      <c r="BK991" s="206" t="s">
        <v>153</v>
      </c>
      <c r="BL991" s="207" t="s">
        <v>153</v>
      </c>
      <c r="BM991" s="208" t="s">
        <v>19512</v>
      </c>
      <c r="BN991" s="209" t="s">
        <v>153</v>
      </c>
      <c r="BO991" s="210" t="s">
        <v>19513</v>
      </c>
      <c r="BP991" s="211" t="s">
        <v>19514</v>
      </c>
      <c r="BQ991" s="212">
        <v>36708</v>
      </c>
      <c r="BR991" s="213">
        <v>1509.89</v>
      </c>
      <c r="BS991" s="214" t="s">
        <v>186</v>
      </c>
      <c r="BT991" s="215" t="s">
        <v>153</v>
      </c>
      <c r="BU991" s="216" t="s">
        <v>153</v>
      </c>
      <c r="BV991" s="217" t="s">
        <v>251</v>
      </c>
      <c r="BW991" s="218" t="s">
        <v>153</v>
      </c>
      <c r="BX991" s="219" t="s">
        <v>153</v>
      </c>
      <c r="BY991" s="220" t="s">
        <v>252</v>
      </c>
      <c r="BZ991" s="221" t="s">
        <v>153</v>
      </c>
      <c r="CA991" s="222" t="s">
        <v>190</v>
      </c>
      <c r="CB991" s="223">
        <v>41858</v>
      </c>
      <c r="CC991" s="224">
        <v>5123.75</v>
      </c>
      <c r="CD991" s="225" t="s">
        <v>186</v>
      </c>
      <c r="CE991" s="226">
        <v>5123.75</v>
      </c>
      <c r="CF991" s="227" t="s">
        <v>187</v>
      </c>
      <c r="CG991" s="228" t="s">
        <v>226</v>
      </c>
      <c r="CH991" s="229" t="s">
        <v>153</v>
      </c>
      <c r="CI991" s="230" t="s">
        <v>153</v>
      </c>
      <c r="CJ991" s="231" t="s">
        <v>225</v>
      </c>
      <c r="CK991" s="232">
        <v>41858</v>
      </c>
      <c r="CL991" s="233" t="s">
        <v>153</v>
      </c>
      <c r="CM991" s="234" t="s">
        <v>153</v>
      </c>
      <c r="CN991" s="235" t="s">
        <v>190</v>
      </c>
      <c r="CO991" s="236">
        <v>0.02</v>
      </c>
      <c r="CP991" s="237">
        <v>87</v>
      </c>
      <c r="CQ991" s="238">
        <v>-0.05</v>
      </c>
      <c r="CR991" s="239">
        <v>-75.69</v>
      </c>
      <c r="CS991" s="240">
        <v>0.41</v>
      </c>
      <c r="CT991" s="241">
        <v>92</v>
      </c>
      <c r="CU991" s="242">
        <v>-0.16</v>
      </c>
      <c r="CV991" s="243">
        <v>9</v>
      </c>
      <c r="CW991" s="244">
        <v>0.71</v>
      </c>
      <c r="CX991" s="245">
        <v>80</v>
      </c>
      <c r="CY991" s="246">
        <v>0.1</v>
      </c>
      <c r="CZ991" s="247">
        <v>90</v>
      </c>
      <c r="DA991" s="248">
        <v>-0.16</v>
      </c>
      <c r="DB991" s="249">
        <v>9</v>
      </c>
      <c r="DC991" s="250">
        <v>260.11</v>
      </c>
      <c r="DD991" s="251">
        <v>100</v>
      </c>
      <c r="DE991" s="252">
        <v>-0.18</v>
      </c>
      <c r="DF991" s="253">
        <v>-7.0000000000000007E-2</v>
      </c>
      <c r="DG991" s="254">
        <v>540.84</v>
      </c>
      <c r="DH991" s="255">
        <v>100</v>
      </c>
      <c r="DI991" s="256">
        <v>225.97</v>
      </c>
      <c r="DJ991" s="257">
        <v>99</v>
      </c>
      <c r="DK991" s="258">
        <v>709.98</v>
      </c>
      <c r="DL991" s="259">
        <v>100</v>
      </c>
      <c r="DM991" s="260">
        <v>371.69</v>
      </c>
      <c r="DN991" s="261">
        <v>100</v>
      </c>
      <c r="DO991" s="262">
        <v>225.97</v>
      </c>
      <c r="DP991" s="263">
        <v>99</v>
      </c>
      <c r="DQ991" s="264">
        <v>421072</v>
      </c>
      <c r="DR991" s="265">
        <v>-189</v>
      </c>
      <c r="DS991" s="266">
        <v>-0.04</v>
      </c>
      <c r="DT991" s="267">
        <v>5973</v>
      </c>
      <c r="DU991" s="268">
        <v>-67</v>
      </c>
      <c r="DV991" s="269">
        <v>-1.1100000000000001</v>
      </c>
      <c r="DW991" s="270">
        <v>70970</v>
      </c>
      <c r="DX991" s="271">
        <v>-66</v>
      </c>
      <c r="DY991" s="272">
        <v>-0.09</v>
      </c>
      <c r="DZ991" s="273" t="s">
        <v>191</v>
      </c>
      <c r="EA991" s="274">
        <v>44390</v>
      </c>
      <c r="EB991" s="275">
        <v>5123.75</v>
      </c>
      <c r="EC991" s="276">
        <v>41858</v>
      </c>
      <c r="ED991" s="277" t="s">
        <v>226</v>
      </c>
      <c r="EE991" s="279" t="str">
        <f>HYPERLINK("https://my.pitchbook.com?c=40408-48", "View company online")</f>
        <v>View company online</v>
      </c>
    </row>
    <row r="992" spans="1:135" x14ac:dyDescent="0.45">
      <c r="A992" s="10" t="s">
        <v>19515</v>
      </c>
      <c r="B992" s="11" t="s">
        <v>19516</v>
      </c>
      <c r="C992" s="12" t="s">
        <v>153</v>
      </c>
      <c r="D992" s="13" t="s">
        <v>153</v>
      </c>
      <c r="E992" s="14" t="s">
        <v>153</v>
      </c>
      <c r="F992" s="15" t="s">
        <v>153</v>
      </c>
      <c r="G992" s="16" t="s">
        <v>19517</v>
      </c>
      <c r="H992" s="17" t="s">
        <v>19518</v>
      </c>
      <c r="I992" s="18" t="s">
        <v>19515</v>
      </c>
      <c r="J992" s="19" t="s">
        <v>19519</v>
      </c>
      <c r="K992" s="20" t="s">
        <v>882</v>
      </c>
      <c r="L992" s="21" t="s">
        <v>1257</v>
      </c>
      <c r="M992" s="22" t="s">
        <v>6983</v>
      </c>
      <c r="N992" s="23" t="s">
        <v>15730</v>
      </c>
      <c r="O992" s="24" t="s">
        <v>1234</v>
      </c>
      <c r="P992" s="25" t="s">
        <v>19520</v>
      </c>
      <c r="Q992" s="26" t="s">
        <v>564</v>
      </c>
      <c r="R992" s="27" t="s">
        <v>153</v>
      </c>
      <c r="S992" s="28" t="s">
        <v>290</v>
      </c>
      <c r="T992" s="29" t="s">
        <v>164</v>
      </c>
      <c r="U992" s="30" t="s">
        <v>1063</v>
      </c>
      <c r="V992" s="31" t="s">
        <v>153</v>
      </c>
      <c r="W992" s="32">
        <v>50000</v>
      </c>
      <c r="X992" s="33" t="s">
        <v>19521</v>
      </c>
      <c r="Y992" s="34" t="s">
        <v>153</v>
      </c>
      <c r="Z992" s="35" t="s">
        <v>153</v>
      </c>
      <c r="AA992" s="36">
        <v>1951</v>
      </c>
      <c r="AB992" s="37" t="s">
        <v>19522</v>
      </c>
      <c r="AC992" s="38" t="s">
        <v>153</v>
      </c>
      <c r="AD992" s="39" t="s">
        <v>153</v>
      </c>
      <c r="AE992" s="40" t="s">
        <v>153</v>
      </c>
      <c r="AF992" s="41" t="s">
        <v>153</v>
      </c>
      <c r="AG992" s="42" t="s">
        <v>153</v>
      </c>
      <c r="AH992" s="43" t="s">
        <v>153</v>
      </c>
      <c r="AI992" s="44" t="s">
        <v>153</v>
      </c>
      <c r="AJ992" s="45" t="s">
        <v>153</v>
      </c>
      <c r="AK992" s="46" t="s">
        <v>153</v>
      </c>
      <c r="AL992" s="47" t="s">
        <v>153</v>
      </c>
      <c r="AM992" s="48" t="s">
        <v>153</v>
      </c>
      <c r="AN992" s="49" t="s">
        <v>5377</v>
      </c>
      <c r="AO992" s="50" t="s">
        <v>19523</v>
      </c>
      <c r="AP992" s="51" t="s">
        <v>19524</v>
      </c>
      <c r="AQ992" s="52" t="s">
        <v>602</v>
      </c>
      <c r="AR992" s="53" t="s">
        <v>19525</v>
      </c>
      <c r="AS992" s="54" t="s">
        <v>153</v>
      </c>
      <c r="AT992" s="55" t="s">
        <v>997</v>
      </c>
      <c r="AU992" s="56" t="s">
        <v>19526</v>
      </c>
      <c r="AV992" s="57" t="s">
        <v>19527</v>
      </c>
      <c r="AW992" s="58" t="s">
        <v>999</v>
      </c>
      <c r="AX992" s="59" t="s">
        <v>308</v>
      </c>
      <c r="AY992" s="60" t="s">
        <v>19140</v>
      </c>
      <c r="AZ992" s="61" t="s">
        <v>215</v>
      </c>
      <c r="BA992" s="62" t="s">
        <v>153</v>
      </c>
      <c r="BB992" s="63" t="s">
        <v>153</v>
      </c>
      <c r="BC992" s="64" t="s">
        <v>153</v>
      </c>
      <c r="BD992" s="65" t="s">
        <v>216</v>
      </c>
      <c r="BE992" s="66" t="s">
        <v>217</v>
      </c>
      <c r="BF992" s="67" t="s">
        <v>19528</v>
      </c>
      <c r="BG992" s="68" t="s">
        <v>19529</v>
      </c>
      <c r="BH992" s="69">
        <v>1</v>
      </c>
      <c r="BI992" s="70" t="s">
        <v>19522</v>
      </c>
      <c r="BJ992" s="71" t="s">
        <v>19530</v>
      </c>
      <c r="BK992" s="72" t="s">
        <v>153</v>
      </c>
      <c r="BL992" s="73" t="s">
        <v>19531</v>
      </c>
      <c r="BM992" s="74" t="s">
        <v>19532</v>
      </c>
      <c r="BN992" s="75" t="s">
        <v>153</v>
      </c>
      <c r="BO992" s="76" t="s">
        <v>19533</v>
      </c>
      <c r="BP992" s="77" t="s">
        <v>19534</v>
      </c>
      <c r="BQ992" s="78">
        <v>37500</v>
      </c>
      <c r="BR992" s="79" t="s">
        <v>153</v>
      </c>
      <c r="BS992" s="80" t="s">
        <v>153</v>
      </c>
      <c r="BT992" s="81" t="s">
        <v>153</v>
      </c>
      <c r="BU992" s="82" t="s">
        <v>153</v>
      </c>
      <c r="BV992" s="83" t="s">
        <v>4289</v>
      </c>
      <c r="BW992" s="84" t="s">
        <v>153</v>
      </c>
      <c r="BX992" s="85" t="s">
        <v>153</v>
      </c>
      <c r="BY992" s="86" t="s">
        <v>4290</v>
      </c>
      <c r="BZ992" s="87" t="s">
        <v>19535</v>
      </c>
      <c r="CA992" s="88" t="s">
        <v>190</v>
      </c>
      <c r="CB992" s="89">
        <v>41929</v>
      </c>
      <c r="CC992" s="90">
        <v>5120.6000000000004</v>
      </c>
      <c r="CD992" s="91" t="s">
        <v>186</v>
      </c>
      <c r="CE992" s="92">
        <v>5120.6000000000004</v>
      </c>
      <c r="CF992" s="93" t="s">
        <v>186</v>
      </c>
      <c r="CG992" s="94" t="s">
        <v>226</v>
      </c>
      <c r="CH992" s="95" t="s">
        <v>153</v>
      </c>
      <c r="CI992" s="96" t="s">
        <v>153</v>
      </c>
      <c r="CJ992" s="97" t="s">
        <v>225</v>
      </c>
      <c r="CK992" s="98">
        <v>41929</v>
      </c>
      <c r="CL992" s="99" t="s">
        <v>153</v>
      </c>
      <c r="CM992" s="100" t="s">
        <v>153</v>
      </c>
      <c r="CN992" s="101" t="s">
        <v>190</v>
      </c>
      <c r="CO992" s="102" t="s">
        <v>153</v>
      </c>
      <c r="CP992" s="103" t="s">
        <v>153</v>
      </c>
      <c r="CQ992" s="104" t="s">
        <v>153</v>
      </c>
      <c r="CR992" s="105" t="s">
        <v>153</v>
      </c>
      <c r="CS992" s="106" t="s">
        <v>153</v>
      </c>
      <c r="CT992" s="107" t="s">
        <v>153</v>
      </c>
      <c r="CU992" s="108" t="s">
        <v>153</v>
      </c>
      <c r="CV992" s="109" t="s">
        <v>153</v>
      </c>
      <c r="CW992" s="110" t="s">
        <v>153</v>
      </c>
      <c r="CX992" s="111" t="s">
        <v>153</v>
      </c>
      <c r="CY992" s="112" t="s">
        <v>153</v>
      </c>
      <c r="CZ992" s="113" t="s">
        <v>153</v>
      </c>
      <c r="DA992" s="114" t="s">
        <v>153</v>
      </c>
      <c r="DB992" s="115" t="s">
        <v>153</v>
      </c>
      <c r="DC992" s="116" t="s">
        <v>153</v>
      </c>
      <c r="DD992" s="117" t="s">
        <v>153</v>
      </c>
      <c r="DE992" s="118" t="s">
        <v>153</v>
      </c>
      <c r="DF992" s="119" t="s">
        <v>153</v>
      </c>
      <c r="DG992" s="120" t="s">
        <v>153</v>
      </c>
      <c r="DH992" s="121" t="s">
        <v>153</v>
      </c>
      <c r="DI992" s="122" t="s">
        <v>153</v>
      </c>
      <c r="DJ992" s="123" t="s">
        <v>153</v>
      </c>
      <c r="DK992" s="124" t="s">
        <v>153</v>
      </c>
      <c r="DL992" s="125" t="s">
        <v>153</v>
      </c>
      <c r="DM992" s="126" t="s">
        <v>153</v>
      </c>
      <c r="DN992" s="127" t="s">
        <v>153</v>
      </c>
      <c r="DO992" s="128" t="s">
        <v>153</v>
      </c>
      <c r="DP992" s="129" t="s">
        <v>153</v>
      </c>
      <c r="DQ992" s="130" t="s">
        <v>153</v>
      </c>
      <c r="DR992" s="131" t="s">
        <v>153</v>
      </c>
      <c r="DS992" s="132" t="s">
        <v>153</v>
      </c>
      <c r="DT992" s="133" t="s">
        <v>153</v>
      </c>
      <c r="DU992" s="134" t="s">
        <v>153</v>
      </c>
      <c r="DV992" s="135" t="s">
        <v>153</v>
      </c>
      <c r="DW992" s="136" t="s">
        <v>153</v>
      </c>
      <c r="DX992" s="137" t="s">
        <v>153</v>
      </c>
      <c r="DY992" s="138" t="s">
        <v>153</v>
      </c>
      <c r="DZ992" s="139" t="s">
        <v>191</v>
      </c>
      <c r="EA992" s="140">
        <v>44390</v>
      </c>
      <c r="EB992" s="141">
        <v>5120.6000000000004</v>
      </c>
      <c r="EC992" s="142">
        <v>41929</v>
      </c>
      <c r="ED992" s="143" t="s">
        <v>226</v>
      </c>
      <c r="EE992" s="278" t="str">
        <f>HYPERLINK("https://my.pitchbook.com?c=41742-73", "View company online")</f>
        <v>View company online</v>
      </c>
    </row>
    <row r="993" spans="1:135" x14ac:dyDescent="0.45">
      <c r="A993" s="144" t="s">
        <v>19536</v>
      </c>
      <c r="B993" s="145" t="s">
        <v>19537</v>
      </c>
      <c r="C993" s="146" t="s">
        <v>153</v>
      </c>
      <c r="D993" s="147" t="s">
        <v>153</v>
      </c>
      <c r="E993" s="148" t="s">
        <v>153</v>
      </c>
      <c r="F993" s="149" t="s">
        <v>153</v>
      </c>
      <c r="G993" s="150" t="s">
        <v>19538</v>
      </c>
      <c r="H993" s="151" t="s">
        <v>153</v>
      </c>
      <c r="I993" s="152" t="s">
        <v>19536</v>
      </c>
      <c r="J993" s="153" t="s">
        <v>19539</v>
      </c>
      <c r="K993" s="154" t="s">
        <v>559</v>
      </c>
      <c r="L993" s="155" t="s">
        <v>1345</v>
      </c>
      <c r="M993" s="156" t="s">
        <v>8571</v>
      </c>
      <c r="N993" s="157" t="s">
        <v>19540</v>
      </c>
      <c r="O993" s="158" t="s">
        <v>153</v>
      </c>
      <c r="P993" s="159" t="s">
        <v>19541</v>
      </c>
      <c r="Q993" s="160" t="s">
        <v>204</v>
      </c>
      <c r="R993" s="161">
        <v>719.41</v>
      </c>
      <c r="S993" s="162" t="s">
        <v>290</v>
      </c>
      <c r="T993" s="163" t="s">
        <v>205</v>
      </c>
      <c r="U993" s="164" t="s">
        <v>237</v>
      </c>
      <c r="V993" s="165" t="s">
        <v>19542</v>
      </c>
      <c r="W993" s="166" t="s">
        <v>153</v>
      </c>
      <c r="X993" s="167" t="s">
        <v>153</v>
      </c>
      <c r="Y993" s="168" t="s">
        <v>153</v>
      </c>
      <c r="Z993" s="169" t="s">
        <v>153</v>
      </c>
      <c r="AA993" s="170">
        <v>2004</v>
      </c>
      <c r="AB993" s="171" t="s">
        <v>153</v>
      </c>
      <c r="AC993" s="172" t="s">
        <v>153</v>
      </c>
      <c r="AD993" s="173" t="s">
        <v>153</v>
      </c>
      <c r="AE993" s="174" t="s">
        <v>153</v>
      </c>
      <c r="AF993" s="175" t="s">
        <v>153</v>
      </c>
      <c r="AG993" s="176" t="s">
        <v>153</v>
      </c>
      <c r="AH993" s="177" t="s">
        <v>153</v>
      </c>
      <c r="AI993" s="178" t="s">
        <v>153</v>
      </c>
      <c r="AJ993" s="179" t="s">
        <v>153</v>
      </c>
      <c r="AK993" s="180" t="s">
        <v>153</v>
      </c>
      <c r="AL993" s="181" t="s">
        <v>153</v>
      </c>
      <c r="AM993" s="182" t="s">
        <v>153</v>
      </c>
      <c r="AN993" s="183" t="s">
        <v>153</v>
      </c>
      <c r="AO993" s="184" t="s">
        <v>19543</v>
      </c>
      <c r="AP993" s="185" t="s">
        <v>19544</v>
      </c>
      <c r="AQ993" s="186" t="s">
        <v>171</v>
      </c>
      <c r="AR993" s="187" t="s">
        <v>19545</v>
      </c>
      <c r="AS993" s="188" t="s">
        <v>19546</v>
      </c>
      <c r="AT993" s="189" t="s">
        <v>6367</v>
      </c>
      <c r="AU993" s="190" t="s">
        <v>19547</v>
      </c>
      <c r="AV993" s="191" t="s">
        <v>19548</v>
      </c>
      <c r="AW993" s="192" t="s">
        <v>6369</v>
      </c>
      <c r="AX993" s="193" t="s">
        <v>5520</v>
      </c>
      <c r="AY993" s="194" t="s">
        <v>6370</v>
      </c>
      <c r="AZ993" s="195" t="s">
        <v>2546</v>
      </c>
      <c r="BA993" s="196" t="s">
        <v>19546</v>
      </c>
      <c r="BB993" s="197" t="s">
        <v>19549</v>
      </c>
      <c r="BC993" s="198" t="s">
        <v>153</v>
      </c>
      <c r="BD993" s="199" t="s">
        <v>2547</v>
      </c>
      <c r="BE993" s="200" t="s">
        <v>2547</v>
      </c>
      <c r="BF993" s="201" t="s">
        <v>19550</v>
      </c>
      <c r="BG993" s="202" t="s">
        <v>153</v>
      </c>
      <c r="BH993" s="203" t="s">
        <v>153</v>
      </c>
      <c r="BI993" s="204" t="s">
        <v>19551</v>
      </c>
      <c r="BJ993" s="205" t="s">
        <v>153</v>
      </c>
      <c r="BK993" s="206" t="s">
        <v>153</v>
      </c>
      <c r="BL993" s="207" t="s">
        <v>153</v>
      </c>
      <c r="BM993" s="208" t="s">
        <v>153</v>
      </c>
      <c r="BN993" s="209" t="s">
        <v>153</v>
      </c>
      <c r="BO993" s="210" t="s">
        <v>19552</v>
      </c>
      <c r="BP993" s="211" t="s">
        <v>19553</v>
      </c>
      <c r="BQ993" s="212">
        <v>38079</v>
      </c>
      <c r="BR993" s="213">
        <v>719.41</v>
      </c>
      <c r="BS993" s="214" t="s">
        <v>186</v>
      </c>
      <c r="BT993" s="215" t="s">
        <v>153</v>
      </c>
      <c r="BU993" s="216" t="s">
        <v>153</v>
      </c>
      <c r="BV993" s="217" t="s">
        <v>251</v>
      </c>
      <c r="BW993" s="218" t="s">
        <v>153</v>
      </c>
      <c r="BX993" s="219" t="s">
        <v>153</v>
      </c>
      <c r="BY993" s="220" t="s">
        <v>252</v>
      </c>
      <c r="BZ993" s="221" t="s">
        <v>153</v>
      </c>
      <c r="CA993" s="222" t="s">
        <v>190</v>
      </c>
      <c r="CB993" s="223">
        <v>39510</v>
      </c>
      <c r="CC993" s="224">
        <v>5119.16</v>
      </c>
      <c r="CD993" s="225" t="s">
        <v>186</v>
      </c>
      <c r="CE993" s="226">
        <v>5119.16</v>
      </c>
      <c r="CF993" s="227" t="s">
        <v>186</v>
      </c>
      <c r="CG993" s="228" t="s">
        <v>226</v>
      </c>
      <c r="CH993" s="229" t="s">
        <v>153</v>
      </c>
      <c r="CI993" s="230" t="s">
        <v>153</v>
      </c>
      <c r="CJ993" s="231" t="s">
        <v>225</v>
      </c>
      <c r="CK993" s="232">
        <v>39510</v>
      </c>
      <c r="CL993" s="233" t="s">
        <v>153</v>
      </c>
      <c r="CM993" s="234" t="s">
        <v>153</v>
      </c>
      <c r="CN993" s="235" t="s">
        <v>190</v>
      </c>
      <c r="CO993" s="236" t="s">
        <v>153</v>
      </c>
      <c r="CP993" s="237" t="s">
        <v>153</v>
      </c>
      <c r="CQ993" s="238" t="s">
        <v>153</v>
      </c>
      <c r="CR993" s="239" t="s">
        <v>153</v>
      </c>
      <c r="CS993" s="240" t="s">
        <v>153</v>
      </c>
      <c r="CT993" s="241" t="s">
        <v>153</v>
      </c>
      <c r="CU993" s="242" t="s">
        <v>153</v>
      </c>
      <c r="CV993" s="243" t="s">
        <v>153</v>
      </c>
      <c r="CW993" s="244" t="s">
        <v>153</v>
      </c>
      <c r="CX993" s="245" t="s">
        <v>153</v>
      </c>
      <c r="CY993" s="246" t="s">
        <v>153</v>
      </c>
      <c r="CZ993" s="247" t="s">
        <v>153</v>
      </c>
      <c r="DA993" s="248" t="s">
        <v>153</v>
      </c>
      <c r="DB993" s="249" t="s">
        <v>153</v>
      </c>
      <c r="DC993" s="250" t="s">
        <v>153</v>
      </c>
      <c r="DD993" s="251" t="s">
        <v>153</v>
      </c>
      <c r="DE993" s="252" t="s">
        <v>153</v>
      </c>
      <c r="DF993" s="253" t="s">
        <v>153</v>
      </c>
      <c r="DG993" s="254" t="s">
        <v>153</v>
      </c>
      <c r="DH993" s="255" t="s">
        <v>153</v>
      </c>
      <c r="DI993" s="256" t="s">
        <v>153</v>
      </c>
      <c r="DJ993" s="257" t="s">
        <v>153</v>
      </c>
      <c r="DK993" s="258" t="s">
        <v>153</v>
      </c>
      <c r="DL993" s="259" t="s">
        <v>153</v>
      </c>
      <c r="DM993" s="260" t="s">
        <v>153</v>
      </c>
      <c r="DN993" s="261" t="s">
        <v>153</v>
      </c>
      <c r="DO993" s="262" t="s">
        <v>153</v>
      </c>
      <c r="DP993" s="263" t="s">
        <v>153</v>
      </c>
      <c r="DQ993" s="264" t="s">
        <v>153</v>
      </c>
      <c r="DR993" s="265" t="s">
        <v>153</v>
      </c>
      <c r="DS993" s="266" t="s">
        <v>153</v>
      </c>
      <c r="DT993" s="267" t="s">
        <v>153</v>
      </c>
      <c r="DU993" s="268" t="s">
        <v>153</v>
      </c>
      <c r="DV993" s="269" t="s">
        <v>153</v>
      </c>
      <c r="DW993" s="270" t="s">
        <v>153</v>
      </c>
      <c r="DX993" s="271" t="s">
        <v>153</v>
      </c>
      <c r="DY993" s="272" t="s">
        <v>153</v>
      </c>
      <c r="DZ993" s="273" t="s">
        <v>191</v>
      </c>
      <c r="EA993" s="274">
        <v>43755</v>
      </c>
      <c r="EB993" s="275">
        <v>5119.16</v>
      </c>
      <c r="EC993" s="276">
        <v>39510</v>
      </c>
      <c r="ED993" s="277" t="s">
        <v>226</v>
      </c>
      <c r="EE993" s="279" t="str">
        <f>HYPERLINK("https://my.pitchbook.com?c=125572-42", "View company online")</f>
        <v>View company online</v>
      </c>
    </row>
    <row r="994" spans="1:135" x14ac:dyDescent="0.45">
      <c r="A994" s="10" t="s">
        <v>19554</v>
      </c>
      <c r="B994" s="11" t="s">
        <v>19555</v>
      </c>
      <c r="C994" s="12" t="s">
        <v>153</v>
      </c>
      <c r="D994" s="13" t="s">
        <v>153</v>
      </c>
      <c r="E994" s="14" t="s">
        <v>153</v>
      </c>
      <c r="F994" s="15" t="s">
        <v>153</v>
      </c>
      <c r="G994" s="16" t="s">
        <v>19556</v>
      </c>
      <c r="H994" s="17" t="s">
        <v>153</v>
      </c>
      <c r="I994" s="18" t="s">
        <v>19554</v>
      </c>
      <c r="J994" s="19" t="s">
        <v>19557</v>
      </c>
      <c r="K994" s="20" t="s">
        <v>232</v>
      </c>
      <c r="L994" s="21" t="s">
        <v>362</v>
      </c>
      <c r="M994" s="22" t="s">
        <v>4656</v>
      </c>
      <c r="N994" s="23" t="s">
        <v>4657</v>
      </c>
      <c r="O994" s="24" t="s">
        <v>153</v>
      </c>
      <c r="P994" s="25" t="s">
        <v>19558</v>
      </c>
      <c r="Q994" s="26" t="s">
        <v>162</v>
      </c>
      <c r="R994" s="27">
        <v>3.2</v>
      </c>
      <c r="S994" s="28" t="s">
        <v>290</v>
      </c>
      <c r="T994" s="29" t="s">
        <v>1392</v>
      </c>
      <c r="U994" s="30" t="s">
        <v>1063</v>
      </c>
      <c r="V994" s="31" t="s">
        <v>19559</v>
      </c>
      <c r="W994" s="32">
        <v>104</v>
      </c>
      <c r="X994" s="33" t="s">
        <v>19560</v>
      </c>
      <c r="Y994" s="34" t="s">
        <v>153</v>
      </c>
      <c r="Z994" s="35" t="s">
        <v>153</v>
      </c>
      <c r="AA994" s="36">
        <v>1991</v>
      </c>
      <c r="AB994" s="37" t="s">
        <v>153</v>
      </c>
      <c r="AC994" s="38" t="s">
        <v>153</v>
      </c>
      <c r="AD994" s="39" t="s">
        <v>153</v>
      </c>
      <c r="AE994" s="40" t="s">
        <v>153</v>
      </c>
      <c r="AF994" s="41" t="s">
        <v>153</v>
      </c>
      <c r="AG994" s="42" t="s">
        <v>153</v>
      </c>
      <c r="AH994" s="43" t="s">
        <v>153</v>
      </c>
      <c r="AI994" s="44" t="s">
        <v>153</v>
      </c>
      <c r="AJ994" s="45" t="s">
        <v>153</v>
      </c>
      <c r="AK994" s="46" t="s">
        <v>153</v>
      </c>
      <c r="AL994" s="47" t="s">
        <v>153</v>
      </c>
      <c r="AM994" s="48" t="s">
        <v>153</v>
      </c>
      <c r="AN994" s="49" t="s">
        <v>2675</v>
      </c>
      <c r="AO994" s="50" t="s">
        <v>19561</v>
      </c>
      <c r="AP994" s="51" t="s">
        <v>19562</v>
      </c>
      <c r="AQ994" s="52" t="s">
        <v>19563</v>
      </c>
      <c r="AR994" s="53" t="s">
        <v>19564</v>
      </c>
      <c r="AS994" s="54" t="s">
        <v>19565</v>
      </c>
      <c r="AT994" s="55" t="s">
        <v>18395</v>
      </c>
      <c r="AU994" s="56" t="s">
        <v>19566</v>
      </c>
      <c r="AV994" s="57" t="s">
        <v>19567</v>
      </c>
      <c r="AW994" s="58" t="s">
        <v>18397</v>
      </c>
      <c r="AX994" s="59" t="s">
        <v>153</v>
      </c>
      <c r="AY994" s="60" t="s">
        <v>19568</v>
      </c>
      <c r="AZ994" s="61" t="s">
        <v>18399</v>
      </c>
      <c r="BA994" s="62" t="s">
        <v>19569</v>
      </c>
      <c r="BB994" s="63" t="s">
        <v>153</v>
      </c>
      <c r="BC994" s="64" t="s">
        <v>19570</v>
      </c>
      <c r="BD994" s="65" t="s">
        <v>180</v>
      </c>
      <c r="BE994" s="66" t="s">
        <v>2051</v>
      </c>
      <c r="BF994" s="67" t="s">
        <v>19571</v>
      </c>
      <c r="BG994" s="68" t="s">
        <v>19572</v>
      </c>
      <c r="BH994" s="69">
        <v>3</v>
      </c>
      <c r="BI994" s="70" t="s">
        <v>153</v>
      </c>
      <c r="BJ994" s="71" t="s">
        <v>19573</v>
      </c>
      <c r="BK994" s="72" t="s">
        <v>153</v>
      </c>
      <c r="BL994" s="73" t="s">
        <v>19574</v>
      </c>
      <c r="BM994" s="74" t="s">
        <v>19575</v>
      </c>
      <c r="BN994" s="75" t="s">
        <v>153</v>
      </c>
      <c r="BO994" s="76" t="s">
        <v>19576</v>
      </c>
      <c r="BP994" s="77" t="s">
        <v>19577</v>
      </c>
      <c r="BQ994" s="78">
        <v>35947</v>
      </c>
      <c r="BR994" s="79" t="s">
        <v>153</v>
      </c>
      <c r="BS994" s="80" t="s">
        <v>153</v>
      </c>
      <c r="BT994" s="81" t="s">
        <v>153</v>
      </c>
      <c r="BU994" s="82" t="s">
        <v>153</v>
      </c>
      <c r="BV994" s="83" t="s">
        <v>251</v>
      </c>
      <c r="BW994" s="84" t="s">
        <v>153</v>
      </c>
      <c r="BX994" s="85" t="s">
        <v>153</v>
      </c>
      <c r="BY994" s="86" t="s">
        <v>252</v>
      </c>
      <c r="BZ994" s="87" t="s">
        <v>153</v>
      </c>
      <c r="CA994" s="88" t="s">
        <v>190</v>
      </c>
      <c r="CB994" s="89">
        <v>42992</v>
      </c>
      <c r="CC994" s="90">
        <v>5112.49</v>
      </c>
      <c r="CD994" s="91" t="s">
        <v>187</v>
      </c>
      <c r="CE994" s="92">
        <v>5112.49</v>
      </c>
      <c r="CF994" s="93" t="s">
        <v>187</v>
      </c>
      <c r="CG994" s="94" t="s">
        <v>188</v>
      </c>
      <c r="CH994" s="95" t="s">
        <v>153</v>
      </c>
      <c r="CI994" s="96" t="s">
        <v>153</v>
      </c>
      <c r="CJ994" s="97" t="s">
        <v>165</v>
      </c>
      <c r="CK994" s="98">
        <v>42992</v>
      </c>
      <c r="CL994" s="99" t="s">
        <v>153</v>
      </c>
      <c r="CM994" s="100" t="s">
        <v>19578</v>
      </c>
      <c r="CN994" s="101" t="s">
        <v>190</v>
      </c>
      <c r="CO994" s="102">
        <v>-0.65</v>
      </c>
      <c r="CP994" s="103">
        <v>4</v>
      </c>
      <c r="CQ994" s="104">
        <v>7.0000000000000007E-2</v>
      </c>
      <c r="CR994" s="105">
        <v>9.8000000000000007</v>
      </c>
      <c r="CS994" s="106">
        <v>-0.65</v>
      </c>
      <c r="CT994" s="107">
        <v>5</v>
      </c>
      <c r="CU994" s="108" t="s">
        <v>153</v>
      </c>
      <c r="CV994" s="109" t="s">
        <v>153</v>
      </c>
      <c r="CW994" s="110" t="s">
        <v>153</v>
      </c>
      <c r="CX994" s="111" t="s">
        <v>153</v>
      </c>
      <c r="CY994" s="112">
        <v>-0.65</v>
      </c>
      <c r="CZ994" s="113">
        <v>2</v>
      </c>
      <c r="DA994" s="114" t="s">
        <v>153</v>
      </c>
      <c r="DB994" s="115" t="s">
        <v>153</v>
      </c>
      <c r="DC994" s="116">
        <v>10.5</v>
      </c>
      <c r="DD994" s="117">
        <v>92</v>
      </c>
      <c r="DE994" s="118">
        <v>0</v>
      </c>
      <c r="DF994" s="119">
        <v>0</v>
      </c>
      <c r="DG994" s="120">
        <v>10.5</v>
      </c>
      <c r="DH994" s="121">
        <v>92</v>
      </c>
      <c r="DI994" s="122" t="s">
        <v>153</v>
      </c>
      <c r="DJ994" s="123" t="s">
        <v>153</v>
      </c>
      <c r="DK994" s="124" t="s">
        <v>153</v>
      </c>
      <c r="DL994" s="125" t="s">
        <v>153</v>
      </c>
      <c r="DM994" s="126">
        <v>10.5</v>
      </c>
      <c r="DN994" s="127">
        <v>90</v>
      </c>
      <c r="DO994" s="128" t="s">
        <v>153</v>
      </c>
      <c r="DP994" s="129" t="s">
        <v>153</v>
      </c>
      <c r="DQ994" s="130" t="s">
        <v>153</v>
      </c>
      <c r="DR994" s="131" t="s">
        <v>153</v>
      </c>
      <c r="DS994" s="132" t="s">
        <v>153</v>
      </c>
      <c r="DT994" s="133">
        <v>168</v>
      </c>
      <c r="DU994" s="134">
        <v>0</v>
      </c>
      <c r="DV994" s="135">
        <v>0</v>
      </c>
      <c r="DW994" s="136" t="s">
        <v>153</v>
      </c>
      <c r="DX994" s="137" t="s">
        <v>153</v>
      </c>
      <c r="DY994" s="138" t="s">
        <v>153</v>
      </c>
      <c r="DZ994" s="139" t="s">
        <v>191</v>
      </c>
      <c r="EA994" s="140">
        <v>44402</v>
      </c>
      <c r="EB994" s="141">
        <v>5112.49</v>
      </c>
      <c r="EC994" s="142">
        <v>42992</v>
      </c>
      <c r="ED994" s="143" t="s">
        <v>188</v>
      </c>
      <c r="EE994" s="278" t="str">
        <f>HYPERLINK("https://my.pitchbook.com?c=55892-08", "View company online")</f>
        <v>View company online</v>
      </c>
    </row>
    <row r="995" spans="1:135" x14ac:dyDescent="0.45">
      <c r="A995" s="144" t="s">
        <v>19579</v>
      </c>
      <c r="B995" s="145" t="s">
        <v>19580</v>
      </c>
      <c r="C995" s="146" t="s">
        <v>153</v>
      </c>
      <c r="D995" s="147" t="s">
        <v>153</v>
      </c>
      <c r="E995" s="148" t="s">
        <v>153</v>
      </c>
      <c r="F995" s="149" t="s">
        <v>19581</v>
      </c>
      <c r="G995" s="150" t="s">
        <v>19582</v>
      </c>
      <c r="H995" s="151" t="s">
        <v>19583</v>
      </c>
      <c r="I995" s="152" t="s">
        <v>19579</v>
      </c>
      <c r="J995" s="153" t="s">
        <v>19584</v>
      </c>
      <c r="K995" s="154" t="s">
        <v>882</v>
      </c>
      <c r="L995" s="155" t="s">
        <v>1257</v>
      </c>
      <c r="M995" s="156" t="s">
        <v>2561</v>
      </c>
      <c r="N995" s="157" t="s">
        <v>19585</v>
      </c>
      <c r="O995" s="158" t="s">
        <v>153</v>
      </c>
      <c r="P995" s="159" t="s">
        <v>19586</v>
      </c>
      <c r="Q995" s="160" t="s">
        <v>204</v>
      </c>
      <c r="R995" s="161" t="s">
        <v>153</v>
      </c>
      <c r="S995" s="162" t="s">
        <v>163</v>
      </c>
      <c r="T995" s="163" t="s">
        <v>164</v>
      </c>
      <c r="U995" s="164" t="s">
        <v>206</v>
      </c>
      <c r="V995" s="165" t="s">
        <v>19587</v>
      </c>
      <c r="W995" s="166">
        <v>5000</v>
      </c>
      <c r="X995" s="167" t="s">
        <v>19588</v>
      </c>
      <c r="Y995" s="168" t="s">
        <v>153</v>
      </c>
      <c r="Z995" s="169" t="s">
        <v>153</v>
      </c>
      <c r="AA995" s="170">
        <v>1969</v>
      </c>
      <c r="AB995" s="171" t="s">
        <v>153</v>
      </c>
      <c r="AC995" s="172" t="s">
        <v>153</v>
      </c>
      <c r="AD995" s="173" t="s">
        <v>153</v>
      </c>
      <c r="AE995" s="174" t="s">
        <v>153</v>
      </c>
      <c r="AF995" s="175" t="s">
        <v>153</v>
      </c>
      <c r="AG995" s="176" t="s">
        <v>153</v>
      </c>
      <c r="AH995" s="177" t="s">
        <v>153</v>
      </c>
      <c r="AI995" s="178" t="s">
        <v>153</v>
      </c>
      <c r="AJ995" s="179" t="s">
        <v>153</v>
      </c>
      <c r="AK995" s="180" t="s">
        <v>153</v>
      </c>
      <c r="AL995" s="181" t="s">
        <v>153</v>
      </c>
      <c r="AM995" s="182" t="s">
        <v>153</v>
      </c>
      <c r="AN995" s="183" t="s">
        <v>2112</v>
      </c>
      <c r="AO995" s="184" t="s">
        <v>19589</v>
      </c>
      <c r="AP995" s="185" t="s">
        <v>19590</v>
      </c>
      <c r="AQ995" s="186" t="s">
        <v>12217</v>
      </c>
      <c r="AR995" s="187" t="s">
        <v>19591</v>
      </c>
      <c r="AS995" s="188" t="s">
        <v>19592</v>
      </c>
      <c r="AT995" s="189" t="s">
        <v>19593</v>
      </c>
      <c r="AU995" s="190" t="s">
        <v>19594</v>
      </c>
      <c r="AV995" s="191" t="s">
        <v>153</v>
      </c>
      <c r="AW995" s="192" t="s">
        <v>19595</v>
      </c>
      <c r="AX995" s="193" t="s">
        <v>153</v>
      </c>
      <c r="AY995" s="194" t="s">
        <v>19596</v>
      </c>
      <c r="AZ995" s="195" t="s">
        <v>335</v>
      </c>
      <c r="BA995" s="196" t="s">
        <v>19592</v>
      </c>
      <c r="BB995" s="197" t="s">
        <v>19597</v>
      </c>
      <c r="BC995" s="198" t="s">
        <v>19598</v>
      </c>
      <c r="BD995" s="199" t="s">
        <v>180</v>
      </c>
      <c r="BE995" s="200" t="s">
        <v>181</v>
      </c>
      <c r="BF995" s="201" t="s">
        <v>19599</v>
      </c>
      <c r="BG995" s="202" t="s">
        <v>153</v>
      </c>
      <c r="BH995" s="203" t="s">
        <v>153</v>
      </c>
      <c r="BI995" s="204" t="s">
        <v>19600</v>
      </c>
      <c r="BJ995" s="205" t="s">
        <v>19601</v>
      </c>
      <c r="BK995" s="206" t="s">
        <v>153</v>
      </c>
      <c r="BL995" s="207" t="s">
        <v>153</v>
      </c>
      <c r="BM995" s="208" t="s">
        <v>19602</v>
      </c>
      <c r="BN995" s="209" t="s">
        <v>153</v>
      </c>
      <c r="BO995" s="210" t="s">
        <v>16354</v>
      </c>
      <c r="BP995" s="211" t="s">
        <v>153</v>
      </c>
      <c r="BQ995" s="212">
        <v>25204</v>
      </c>
      <c r="BR995" s="213" t="s">
        <v>153</v>
      </c>
      <c r="BS995" s="214" t="s">
        <v>153</v>
      </c>
      <c r="BT995" s="215" t="s">
        <v>153</v>
      </c>
      <c r="BU995" s="216" t="s">
        <v>153</v>
      </c>
      <c r="BV995" s="217" t="s">
        <v>224</v>
      </c>
      <c r="BW995" s="218" t="s">
        <v>153</v>
      </c>
      <c r="BX995" s="219" t="s">
        <v>153</v>
      </c>
      <c r="BY995" s="220" t="s">
        <v>321</v>
      </c>
      <c r="BZ995" s="221" t="s">
        <v>153</v>
      </c>
      <c r="CA995" s="222" t="s">
        <v>190</v>
      </c>
      <c r="CB995" s="223">
        <v>42510</v>
      </c>
      <c r="CC995" s="224">
        <v>5106.45</v>
      </c>
      <c r="CD995" s="225" t="s">
        <v>186</v>
      </c>
      <c r="CE995" s="226">
        <v>5106.45</v>
      </c>
      <c r="CF995" s="227" t="s">
        <v>186</v>
      </c>
      <c r="CG995" s="228" t="s">
        <v>226</v>
      </c>
      <c r="CH995" s="229" t="s">
        <v>729</v>
      </c>
      <c r="CI995" s="230" t="s">
        <v>153</v>
      </c>
      <c r="CJ995" s="231" t="s">
        <v>225</v>
      </c>
      <c r="CK995" s="232">
        <v>42510</v>
      </c>
      <c r="CL995" s="233" t="s">
        <v>153</v>
      </c>
      <c r="CM995" s="234" t="s">
        <v>153</v>
      </c>
      <c r="CN995" s="235" t="s">
        <v>394</v>
      </c>
      <c r="CO995" s="236">
        <v>1.26</v>
      </c>
      <c r="CP995" s="237">
        <v>97</v>
      </c>
      <c r="CQ995" s="238">
        <v>-0.03</v>
      </c>
      <c r="CR995" s="239">
        <v>-2.4300000000000002</v>
      </c>
      <c r="CS995" s="240">
        <v>2.59</v>
      </c>
      <c r="CT995" s="241">
        <v>99</v>
      </c>
      <c r="CU995" s="242">
        <v>-7.0000000000000007E-2</v>
      </c>
      <c r="CV995" s="243">
        <v>27</v>
      </c>
      <c r="CW995" s="244">
        <v>4.6399999999999997</v>
      </c>
      <c r="CX995" s="245">
        <v>93</v>
      </c>
      <c r="CY995" s="246">
        <v>0.54</v>
      </c>
      <c r="CZ995" s="247">
        <v>95</v>
      </c>
      <c r="DA995" s="248">
        <v>-7.0000000000000007E-2</v>
      </c>
      <c r="DB995" s="249">
        <v>27</v>
      </c>
      <c r="DC995" s="250">
        <v>24.27</v>
      </c>
      <c r="DD995" s="251">
        <v>97</v>
      </c>
      <c r="DE995" s="252">
        <v>0.09</v>
      </c>
      <c r="DF995" s="253">
        <v>0.38</v>
      </c>
      <c r="DG995" s="254">
        <v>43.91</v>
      </c>
      <c r="DH995" s="255">
        <v>98</v>
      </c>
      <c r="DI995" s="256">
        <v>4.63</v>
      </c>
      <c r="DJ995" s="257">
        <v>77</v>
      </c>
      <c r="DK995" s="258">
        <v>19.940000000000001</v>
      </c>
      <c r="DL995" s="259">
        <v>91</v>
      </c>
      <c r="DM995" s="260">
        <v>67.88</v>
      </c>
      <c r="DN995" s="261">
        <v>99</v>
      </c>
      <c r="DO995" s="262">
        <v>4.63</v>
      </c>
      <c r="DP995" s="263">
        <v>77</v>
      </c>
      <c r="DQ995" s="264">
        <v>11815</v>
      </c>
      <c r="DR995" s="265">
        <v>31</v>
      </c>
      <c r="DS995" s="266">
        <v>0.26</v>
      </c>
      <c r="DT995" s="267">
        <v>1083</v>
      </c>
      <c r="DU995" s="268">
        <v>5</v>
      </c>
      <c r="DV995" s="269">
        <v>0.46</v>
      </c>
      <c r="DW995" s="270">
        <v>1455</v>
      </c>
      <c r="DX995" s="271">
        <v>0</v>
      </c>
      <c r="DY995" s="272">
        <v>0</v>
      </c>
      <c r="DZ995" s="273" t="s">
        <v>191</v>
      </c>
      <c r="EA995" s="274">
        <v>44385</v>
      </c>
      <c r="EB995" s="275">
        <v>5106.45</v>
      </c>
      <c r="EC995" s="276">
        <v>42510</v>
      </c>
      <c r="ED995" s="277" t="s">
        <v>226</v>
      </c>
      <c r="EE995" s="279" t="str">
        <f>HYPERLINK("https://my.pitchbook.com?c=60736-33", "View company online")</f>
        <v>View company online</v>
      </c>
    </row>
    <row r="996" spans="1:135" x14ac:dyDescent="0.45">
      <c r="A996" s="10" t="s">
        <v>19603</v>
      </c>
      <c r="B996" s="11" t="s">
        <v>19604</v>
      </c>
      <c r="C996" s="12" t="s">
        <v>153</v>
      </c>
      <c r="D996" s="13" t="s">
        <v>153</v>
      </c>
      <c r="E996" s="14" t="s">
        <v>153</v>
      </c>
      <c r="F996" s="15" t="s">
        <v>19605</v>
      </c>
      <c r="G996" s="16" t="s">
        <v>19606</v>
      </c>
      <c r="H996" s="17" t="s">
        <v>19607</v>
      </c>
      <c r="I996" s="18" t="s">
        <v>19603</v>
      </c>
      <c r="J996" s="19" t="s">
        <v>19608</v>
      </c>
      <c r="K996" s="20" t="s">
        <v>559</v>
      </c>
      <c r="L996" s="21" t="s">
        <v>560</v>
      </c>
      <c r="M996" s="22" t="s">
        <v>3573</v>
      </c>
      <c r="N996" s="23" t="s">
        <v>19609</v>
      </c>
      <c r="O996" s="24" t="s">
        <v>261</v>
      </c>
      <c r="P996" s="25" t="s">
        <v>19610</v>
      </c>
      <c r="Q996" s="26" t="s">
        <v>162</v>
      </c>
      <c r="R996" s="27">
        <v>997.56</v>
      </c>
      <c r="S996" s="28" t="s">
        <v>368</v>
      </c>
      <c r="T996" s="29" t="s">
        <v>291</v>
      </c>
      <c r="U996" s="30" t="s">
        <v>2534</v>
      </c>
      <c r="V996" s="31" t="s">
        <v>19611</v>
      </c>
      <c r="W996" s="32">
        <v>2059</v>
      </c>
      <c r="X996" s="33" t="s">
        <v>19612</v>
      </c>
      <c r="Y996" s="34" t="s">
        <v>372</v>
      </c>
      <c r="Z996" s="35" t="s">
        <v>19613</v>
      </c>
      <c r="AA996" s="36">
        <v>1993</v>
      </c>
      <c r="AB996" s="37" t="s">
        <v>153</v>
      </c>
      <c r="AC996" s="38" t="s">
        <v>570</v>
      </c>
      <c r="AD996" s="39" t="s">
        <v>508</v>
      </c>
      <c r="AE996" s="40">
        <v>1304.8</v>
      </c>
      <c r="AF996" s="41">
        <v>699.4</v>
      </c>
      <c r="AG996" s="42">
        <v>-321</v>
      </c>
      <c r="AH996" s="43">
        <v>5863.95</v>
      </c>
      <c r="AI996" s="44">
        <v>102</v>
      </c>
      <c r="AJ996" s="45">
        <v>-65.7</v>
      </c>
      <c r="AK996" s="46">
        <v>4826.51</v>
      </c>
      <c r="AL996" s="47">
        <v>1421.2</v>
      </c>
      <c r="AM996" s="48">
        <v>9.9499999999999993</v>
      </c>
      <c r="AN996" s="49" t="s">
        <v>376</v>
      </c>
      <c r="AO996" s="50" t="s">
        <v>19614</v>
      </c>
      <c r="AP996" s="51" t="s">
        <v>19615</v>
      </c>
      <c r="AQ996" s="52" t="s">
        <v>4199</v>
      </c>
      <c r="AR996" s="53" t="s">
        <v>19616</v>
      </c>
      <c r="AS996" s="54" t="s">
        <v>19617</v>
      </c>
      <c r="AT996" s="55" t="s">
        <v>3075</v>
      </c>
      <c r="AU996" s="56" t="s">
        <v>19618</v>
      </c>
      <c r="AV996" s="57" t="s">
        <v>153</v>
      </c>
      <c r="AW996" s="58" t="s">
        <v>3076</v>
      </c>
      <c r="AX996" s="59" t="s">
        <v>153</v>
      </c>
      <c r="AY996" s="60" t="s">
        <v>19619</v>
      </c>
      <c r="AZ996" s="61" t="s">
        <v>352</v>
      </c>
      <c r="BA996" s="62" t="s">
        <v>19617</v>
      </c>
      <c r="BB996" s="63" t="s">
        <v>19620</v>
      </c>
      <c r="BC996" s="64" t="s">
        <v>19621</v>
      </c>
      <c r="BD996" s="65" t="s">
        <v>180</v>
      </c>
      <c r="BE996" s="66" t="s">
        <v>181</v>
      </c>
      <c r="BF996" s="67" t="s">
        <v>19622</v>
      </c>
      <c r="BG996" s="68" t="s">
        <v>17494</v>
      </c>
      <c r="BH996" s="69">
        <v>1</v>
      </c>
      <c r="BI996" s="70" t="s">
        <v>153</v>
      </c>
      <c r="BJ996" s="71" t="s">
        <v>5347</v>
      </c>
      <c r="BK996" s="72" t="s">
        <v>19623</v>
      </c>
      <c r="BL996" s="73" t="s">
        <v>17495</v>
      </c>
      <c r="BM996" s="74" t="s">
        <v>5348</v>
      </c>
      <c r="BN996" s="75" t="s">
        <v>153</v>
      </c>
      <c r="BO996" s="76" t="s">
        <v>19624</v>
      </c>
      <c r="BP996" s="77" t="s">
        <v>19625</v>
      </c>
      <c r="BQ996" s="78">
        <v>42766</v>
      </c>
      <c r="BR996" s="79">
        <v>3200</v>
      </c>
      <c r="BS996" s="80" t="s">
        <v>186</v>
      </c>
      <c r="BT996" s="81">
        <v>3200</v>
      </c>
      <c r="BU996" s="82" t="s">
        <v>187</v>
      </c>
      <c r="BV996" s="83" t="s">
        <v>188</v>
      </c>
      <c r="BW996" s="84" t="s">
        <v>729</v>
      </c>
      <c r="BX996" s="85" t="s">
        <v>3593</v>
      </c>
      <c r="BY996" s="86" t="s">
        <v>165</v>
      </c>
      <c r="BZ996" s="87" t="s">
        <v>19626</v>
      </c>
      <c r="CA996" s="88" t="s">
        <v>190</v>
      </c>
      <c r="CB996" s="89">
        <v>44378</v>
      </c>
      <c r="CC996" s="90">
        <v>5100</v>
      </c>
      <c r="CD996" s="91" t="s">
        <v>186</v>
      </c>
      <c r="CE996" s="92">
        <v>5100</v>
      </c>
      <c r="CF996" s="93" t="s">
        <v>187</v>
      </c>
      <c r="CG996" s="94" t="s">
        <v>226</v>
      </c>
      <c r="CH996" s="95" t="s">
        <v>153</v>
      </c>
      <c r="CI996" s="96" t="s">
        <v>153</v>
      </c>
      <c r="CJ996" s="97" t="s">
        <v>225</v>
      </c>
      <c r="CK996" s="98">
        <v>44378</v>
      </c>
      <c r="CL996" s="99" t="s">
        <v>153</v>
      </c>
      <c r="CM996" s="100" t="s">
        <v>153</v>
      </c>
      <c r="CN996" s="101" t="s">
        <v>1278</v>
      </c>
      <c r="CO996" s="102">
        <v>-1.1200000000000001</v>
      </c>
      <c r="CP996" s="103">
        <v>3</v>
      </c>
      <c r="CQ996" s="104">
        <v>-0.02</v>
      </c>
      <c r="CR996" s="105">
        <v>-1.72</v>
      </c>
      <c r="CS996" s="106">
        <v>0.95</v>
      </c>
      <c r="CT996" s="107">
        <v>95</v>
      </c>
      <c r="CU996" s="108" t="s">
        <v>153</v>
      </c>
      <c r="CV996" s="109" t="s">
        <v>153</v>
      </c>
      <c r="CW996" s="110">
        <v>1.43</v>
      </c>
      <c r="CX996" s="111">
        <v>84</v>
      </c>
      <c r="CY996" s="112">
        <v>0.48</v>
      </c>
      <c r="CZ996" s="113">
        <v>94</v>
      </c>
      <c r="DA996" s="114" t="s">
        <v>153</v>
      </c>
      <c r="DB996" s="115" t="s">
        <v>153</v>
      </c>
      <c r="DC996" s="116">
        <v>49.3</v>
      </c>
      <c r="DD996" s="117">
        <v>98</v>
      </c>
      <c r="DE996" s="118">
        <v>0</v>
      </c>
      <c r="DF996" s="119">
        <v>0</v>
      </c>
      <c r="DG996" s="120">
        <v>42.95</v>
      </c>
      <c r="DH996" s="121">
        <v>98</v>
      </c>
      <c r="DI996" s="122" t="s">
        <v>153</v>
      </c>
      <c r="DJ996" s="123" t="s">
        <v>153</v>
      </c>
      <c r="DK996" s="124">
        <v>10.27</v>
      </c>
      <c r="DL996" s="125">
        <v>86</v>
      </c>
      <c r="DM996" s="126">
        <v>75.63</v>
      </c>
      <c r="DN996" s="127">
        <v>99</v>
      </c>
      <c r="DO996" s="128" t="s">
        <v>153</v>
      </c>
      <c r="DP996" s="129" t="s">
        <v>153</v>
      </c>
      <c r="DQ996" s="130">
        <v>6027</v>
      </c>
      <c r="DR996" s="131">
        <v>225</v>
      </c>
      <c r="DS996" s="132">
        <v>3.88</v>
      </c>
      <c r="DT996" s="133">
        <v>1210</v>
      </c>
      <c r="DU996" s="134">
        <v>0</v>
      </c>
      <c r="DV996" s="135">
        <v>0</v>
      </c>
      <c r="DW996" s="136" t="s">
        <v>153</v>
      </c>
      <c r="DX996" s="137" t="s">
        <v>153</v>
      </c>
      <c r="DY996" s="138" t="s">
        <v>153</v>
      </c>
      <c r="DZ996" s="139" t="s">
        <v>191</v>
      </c>
      <c r="EA996" s="140">
        <v>44392</v>
      </c>
      <c r="EB996" s="141">
        <v>5100</v>
      </c>
      <c r="EC996" s="142">
        <v>44378</v>
      </c>
      <c r="ED996" s="143" t="s">
        <v>226</v>
      </c>
      <c r="EE996" s="278" t="str">
        <f>HYPERLINK("https://my.pitchbook.com?c=62787-07", "View company online")</f>
        <v>View company online</v>
      </c>
    </row>
    <row r="997" spans="1:135" x14ac:dyDescent="0.45">
      <c r="A997" s="144" t="s">
        <v>19627</v>
      </c>
      <c r="B997" s="145" t="s">
        <v>19628</v>
      </c>
      <c r="C997" s="146" t="s">
        <v>153</v>
      </c>
      <c r="D997" s="147" t="s">
        <v>153</v>
      </c>
      <c r="E997" s="148" t="s">
        <v>19629</v>
      </c>
      <c r="F997" s="149" t="s">
        <v>19630</v>
      </c>
      <c r="G997" s="150" t="s">
        <v>19631</v>
      </c>
      <c r="H997" s="151" t="s">
        <v>19632</v>
      </c>
      <c r="I997" s="152" t="s">
        <v>19627</v>
      </c>
      <c r="J997" s="153" t="s">
        <v>19633</v>
      </c>
      <c r="K997" s="154" t="s">
        <v>157</v>
      </c>
      <c r="L997" s="155" t="s">
        <v>937</v>
      </c>
      <c r="M997" s="156" t="s">
        <v>19634</v>
      </c>
      <c r="N997" s="157" t="s">
        <v>19635</v>
      </c>
      <c r="O997" s="158" t="s">
        <v>399</v>
      </c>
      <c r="P997" s="159" t="s">
        <v>19636</v>
      </c>
      <c r="Q997" s="160" t="s">
        <v>204</v>
      </c>
      <c r="R997" s="161">
        <v>2.2999999999999998</v>
      </c>
      <c r="S997" s="162" t="s">
        <v>290</v>
      </c>
      <c r="T997" s="163" t="s">
        <v>205</v>
      </c>
      <c r="U997" s="164" t="s">
        <v>1706</v>
      </c>
      <c r="V997" s="165" t="s">
        <v>153</v>
      </c>
      <c r="W997" s="166">
        <v>2822</v>
      </c>
      <c r="X997" s="167" t="s">
        <v>19637</v>
      </c>
      <c r="Y997" s="168" t="s">
        <v>153</v>
      </c>
      <c r="Z997" s="169" t="s">
        <v>153</v>
      </c>
      <c r="AA997" s="170">
        <v>1932</v>
      </c>
      <c r="AB997" s="171" t="s">
        <v>153</v>
      </c>
      <c r="AC997" s="172" t="s">
        <v>153</v>
      </c>
      <c r="AD997" s="173" t="s">
        <v>153</v>
      </c>
      <c r="AE997" s="174" t="s">
        <v>153</v>
      </c>
      <c r="AF997" s="175" t="s">
        <v>153</v>
      </c>
      <c r="AG997" s="176" t="s">
        <v>153</v>
      </c>
      <c r="AH997" s="177" t="s">
        <v>153</v>
      </c>
      <c r="AI997" s="178" t="s">
        <v>153</v>
      </c>
      <c r="AJ997" s="179" t="s">
        <v>153</v>
      </c>
      <c r="AK997" s="180" t="s">
        <v>153</v>
      </c>
      <c r="AL997" s="181" t="s">
        <v>153</v>
      </c>
      <c r="AM997" s="182" t="s">
        <v>153</v>
      </c>
      <c r="AN997" s="183" t="s">
        <v>1046</v>
      </c>
      <c r="AO997" s="184" t="s">
        <v>19638</v>
      </c>
      <c r="AP997" s="185" t="s">
        <v>19639</v>
      </c>
      <c r="AQ997" s="186" t="s">
        <v>19640</v>
      </c>
      <c r="AR997" s="187" t="s">
        <v>153</v>
      </c>
      <c r="AS997" s="188" t="s">
        <v>153</v>
      </c>
      <c r="AT997" s="189" t="s">
        <v>10408</v>
      </c>
      <c r="AU997" s="190" t="s">
        <v>19641</v>
      </c>
      <c r="AV997" s="191" t="s">
        <v>153</v>
      </c>
      <c r="AW997" s="192" t="s">
        <v>10410</v>
      </c>
      <c r="AX997" s="193" t="s">
        <v>10319</v>
      </c>
      <c r="AY997" s="194" t="s">
        <v>19642</v>
      </c>
      <c r="AZ997" s="195" t="s">
        <v>215</v>
      </c>
      <c r="BA997" s="196" t="s">
        <v>153</v>
      </c>
      <c r="BB997" s="197" t="s">
        <v>153</v>
      </c>
      <c r="BC997" s="198" t="s">
        <v>153</v>
      </c>
      <c r="BD997" s="199" t="s">
        <v>216</v>
      </c>
      <c r="BE997" s="200" t="s">
        <v>217</v>
      </c>
      <c r="BF997" s="201" t="s">
        <v>19643</v>
      </c>
      <c r="BG997" s="202" t="s">
        <v>153</v>
      </c>
      <c r="BH997" s="203" t="s">
        <v>153</v>
      </c>
      <c r="BI997" s="204" t="s">
        <v>19644</v>
      </c>
      <c r="BJ997" s="205" t="s">
        <v>153</v>
      </c>
      <c r="BK997" s="206" t="s">
        <v>153</v>
      </c>
      <c r="BL997" s="207" t="s">
        <v>153</v>
      </c>
      <c r="BM997" s="208" t="s">
        <v>153</v>
      </c>
      <c r="BN997" s="209" t="s">
        <v>153</v>
      </c>
      <c r="BO997" s="210" t="s">
        <v>19645</v>
      </c>
      <c r="BP997" s="211" t="s">
        <v>19646</v>
      </c>
      <c r="BQ997" s="212">
        <v>25204</v>
      </c>
      <c r="BR997" s="213" t="s">
        <v>153</v>
      </c>
      <c r="BS997" s="214" t="s">
        <v>153</v>
      </c>
      <c r="BT997" s="215" t="s">
        <v>153</v>
      </c>
      <c r="BU997" s="216" t="s">
        <v>153</v>
      </c>
      <c r="BV997" s="217" t="s">
        <v>251</v>
      </c>
      <c r="BW997" s="218" t="s">
        <v>153</v>
      </c>
      <c r="BX997" s="219" t="s">
        <v>153</v>
      </c>
      <c r="BY997" s="220" t="s">
        <v>252</v>
      </c>
      <c r="BZ997" s="221" t="s">
        <v>153</v>
      </c>
      <c r="CA997" s="222" t="s">
        <v>190</v>
      </c>
      <c r="CB997" s="223">
        <v>41964</v>
      </c>
      <c r="CC997" s="224">
        <v>5100</v>
      </c>
      <c r="CD997" s="225" t="s">
        <v>186</v>
      </c>
      <c r="CE997" s="226">
        <v>5100</v>
      </c>
      <c r="CF997" s="227" t="s">
        <v>187</v>
      </c>
      <c r="CG997" s="228" t="s">
        <v>226</v>
      </c>
      <c r="CH997" s="229" t="s">
        <v>153</v>
      </c>
      <c r="CI997" s="230" t="s">
        <v>153</v>
      </c>
      <c r="CJ997" s="231" t="s">
        <v>225</v>
      </c>
      <c r="CK997" s="232">
        <v>41964</v>
      </c>
      <c r="CL997" s="233" t="s">
        <v>153</v>
      </c>
      <c r="CM997" s="234" t="s">
        <v>153</v>
      </c>
      <c r="CN997" s="235" t="s">
        <v>190</v>
      </c>
      <c r="CO997" s="236" t="s">
        <v>153</v>
      </c>
      <c r="CP997" s="237" t="s">
        <v>153</v>
      </c>
      <c r="CQ997" s="238" t="s">
        <v>153</v>
      </c>
      <c r="CR997" s="239" t="s">
        <v>153</v>
      </c>
      <c r="CS997" s="240" t="s">
        <v>153</v>
      </c>
      <c r="CT997" s="241" t="s">
        <v>153</v>
      </c>
      <c r="CU997" s="242" t="s">
        <v>153</v>
      </c>
      <c r="CV997" s="243" t="s">
        <v>153</v>
      </c>
      <c r="CW997" s="244" t="s">
        <v>153</v>
      </c>
      <c r="CX997" s="245" t="s">
        <v>153</v>
      </c>
      <c r="CY997" s="246" t="s">
        <v>153</v>
      </c>
      <c r="CZ997" s="247" t="s">
        <v>153</v>
      </c>
      <c r="DA997" s="248" t="s">
        <v>153</v>
      </c>
      <c r="DB997" s="249" t="s">
        <v>153</v>
      </c>
      <c r="DC997" s="250" t="s">
        <v>153</v>
      </c>
      <c r="DD997" s="251" t="s">
        <v>153</v>
      </c>
      <c r="DE997" s="252" t="s">
        <v>153</v>
      </c>
      <c r="DF997" s="253" t="s">
        <v>153</v>
      </c>
      <c r="DG997" s="254" t="s">
        <v>153</v>
      </c>
      <c r="DH997" s="255" t="s">
        <v>153</v>
      </c>
      <c r="DI997" s="256" t="s">
        <v>153</v>
      </c>
      <c r="DJ997" s="257" t="s">
        <v>153</v>
      </c>
      <c r="DK997" s="258" t="s">
        <v>153</v>
      </c>
      <c r="DL997" s="259" t="s">
        <v>153</v>
      </c>
      <c r="DM997" s="260" t="s">
        <v>153</v>
      </c>
      <c r="DN997" s="261" t="s">
        <v>153</v>
      </c>
      <c r="DO997" s="262" t="s">
        <v>153</v>
      </c>
      <c r="DP997" s="263" t="s">
        <v>153</v>
      </c>
      <c r="DQ997" s="264" t="s">
        <v>153</v>
      </c>
      <c r="DR997" s="265" t="s">
        <v>153</v>
      </c>
      <c r="DS997" s="266" t="s">
        <v>153</v>
      </c>
      <c r="DT997" s="267" t="s">
        <v>153</v>
      </c>
      <c r="DU997" s="268" t="s">
        <v>153</v>
      </c>
      <c r="DV997" s="269" t="s">
        <v>153</v>
      </c>
      <c r="DW997" s="270" t="s">
        <v>153</v>
      </c>
      <c r="DX997" s="271" t="s">
        <v>153</v>
      </c>
      <c r="DY997" s="272" t="s">
        <v>153</v>
      </c>
      <c r="DZ997" s="273" t="s">
        <v>191</v>
      </c>
      <c r="EA997" s="274">
        <v>44217</v>
      </c>
      <c r="EB997" s="275">
        <v>5100</v>
      </c>
      <c r="EC997" s="276">
        <v>41964</v>
      </c>
      <c r="ED997" s="277" t="s">
        <v>226</v>
      </c>
      <c r="EE997" s="279" t="str">
        <f>HYPERLINK("https://my.pitchbook.com?c=41956-30", "View company online")</f>
        <v>View company online</v>
      </c>
    </row>
    <row r="998" spans="1:135" x14ac:dyDescent="0.45">
      <c r="A998" s="10" t="s">
        <v>19647</v>
      </c>
      <c r="B998" s="11" t="s">
        <v>19648</v>
      </c>
      <c r="C998" s="12" t="s">
        <v>153</v>
      </c>
      <c r="D998" s="13" t="s">
        <v>153</v>
      </c>
      <c r="E998" s="14" t="s">
        <v>153</v>
      </c>
      <c r="F998" s="15" t="s">
        <v>19649</v>
      </c>
      <c r="G998" s="16" t="s">
        <v>19650</v>
      </c>
      <c r="H998" s="17" t="s">
        <v>153</v>
      </c>
      <c r="I998" s="18" t="s">
        <v>19647</v>
      </c>
      <c r="J998" s="19" t="s">
        <v>19651</v>
      </c>
      <c r="K998" s="20" t="s">
        <v>257</v>
      </c>
      <c r="L998" s="21" t="s">
        <v>258</v>
      </c>
      <c r="M998" s="22" t="s">
        <v>448</v>
      </c>
      <c r="N998" s="23" t="s">
        <v>1942</v>
      </c>
      <c r="O998" s="24" t="s">
        <v>450</v>
      </c>
      <c r="P998" s="25" t="s">
        <v>19652</v>
      </c>
      <c r="Q998" s="26" t="s">
        <v>289</v>
      </c>
      <c r="R998" s="27">
        <v>21</v>
      </c>
      <c r="S998" s="28" t="s">
        <v>163</v>
      </c>
      <c r="T998" s="29" t="s">
        <v>205</v>
      </c>
      <c r="U998" s="30" t="s">
        <v>941</v>
      </c>
      <c r="V998" s="31" t="s">
        <v>19653</v>
      </c>
      <c r="W998" s="32">
        <v>30000</v>
      </c>
      <c r="X998" s="33" t="s">
        <v>19654</v>
      </c>
      <c r="Y998" s="34" t="s">
        <v>153</v>
      </c>
      <c r="Z998" s="35" t="s">
        <v>153</v>
      </c>
      <c r="AA998" s="36">
        <v>1979</v>
      </c>
      <c r="AB998" s="37" t="s">
        <v>153</v>
      </c>
      <c r="AC998" s="38" t="s">
        <v>153</v>
      </c>
      <c r="AD998" s="39" t="s">
        <v>153</v>
      </c>
      <c r="AE998" s="40" t="s">
        <v>153</v>
      </c>
      <c r="AF998" s="41" t="s">
        <v>153</v>
      </c>
      <c r="AG998" s="42" t="s">
        <v>153</v>
      </c>
      <c r="AH998" s="43" t="s">
        <v>153</v>
      </c>
      <c r="AI998" s="44" t="s">
        <v>153</v>
      </c>
      <c r="AJ998" s="45" t="s">
        <v>153</v>
      </c>
      <c r="AK998" s="46" t="s">
        <v>153</v>
      </c>
      <c r="AL998" s="47" t="s">
        <v>153</v>
      </c>
      <c r="AM998" s="48" t="s">
        <v>153</v>
      </c>
      <c r="AN998" s="49" t="s">
        <v>153</v>
      </c>
      <c r="AO998" s="50" t="s">
        <v>153</v>
      </c>
      <c r="AP998" s="51" t="s">
        <v>153</v>
      </c>
      <c r="AQ998" s="52" t="s">
        <v>153</v>
      </c>
      <c r="AR998" s="53" t="s">
        <v>153</v>
      </c>
      <c r="AS998" s="54" t="s">
        <v>153</v>
      </c>
      <c r="AT998" s="55" t="s">
        <v>6404</v>
      </c>
      <c r="AU998" s="56" t="s">
        <v>19655</v>
      </c>
      <c r="AV998" s="57" t="s">
        <v>153</v>
      </c>
      <c r="AW998" s="58" t="s">
        <v>6406</v>
      </c>
      <c r="AX998" s="59" t="s">
        <v>2727</v>
      </c>
      <c r="AY998" s="60" t="s">
        <v>6407</v>
      </c>
      <c r="AZ998" s="61" t="s">
        <v>215</v>
      </c>
      <c r="BA998" s="62" t="s">
        <v>153</v>
      </c>
      <c r="BB998" s="63" t="s">
        <v>153</v>
      </c>
      <c r="BC998" s="64" t="s">
        <v>153</v>
      </c>
      <c r="BD998" s="65" t="s">
        <v>216</v>
      </c>
      <c r="BE998" s="66" t="s">
        <v>217</v>
      </c>
      <c r="BF998" s="67" t="s">
        <v>19656</v>
      </c>
      <c r="BG998" s="68" t="s">
        <v>153</v>
      </c>
      <c r="BH998" s="69" t="s">
        <v>153</v>
      </c>
      <c r="BI998" s="70" t="s">
        <v>2138</v>
      </c>
      <c r="BJ998" s="71" t="s">
        <v>19657</v>
      </c>
      <c r="BK998" s="72" t="s">
        <v>153</v>
      </c>
      <c r="BL998" s="73" t="s">
        <v>153</v>
      </c>
      <c r="BM998" s="74" t="s">
        <v>19658</v>
      </c>
      <c r="BN998" s="75" t="s">
        <v>153</v>
      </c>
      <c r="BO998" s="76" t="s">
        <v>153</v>
      </c>
      <c r="BP998" s="77" t="s">
        <v>153</v>
      </c>
      <c r="BQ998" s="78">
        <v>29221</v>
      </c>
      <c r="BR998" s="79" t="s">
        <v>153</v>
      </c>
      <c r="BS998" s="80" t="s">
        <v>153</v>
      </c>
      <c r="BT998" s="81" t="s">
        <v>153</v>
      </c>
      <c r="BU998" s="82" t="s">
        <v>153</v>
      </c>
      <c r="BV998" s="83" t="s">
        <v>471</v>
      </c>
      <c r="BW998" s="84" t="s">
        <v>153</v>
      </c>
      <c r="BX998" s="85" t="s">
        <v>153</v>
      </c>
      <c r="BY998" s="86" t="s">
        <v>472</v>
      </c>
      <c r="BZ998" s="87" t="s">
        <v>153</v>
      </c>
      <c r="CA998" s="88" t="s">
        <v>190</v>
      </c>
      <c r="CB998" s="89">
        <v>36439</v>
      </c>
      <c r="CC998" s="90">
        <v>5100</v>
      </c>
      <c r="CD998" s="91" t="s">
        <v>186</v>
      </c>
      <c r="CE998" s="92">
        <v>5100</v>
      </c>
      <c r="CF998" s="93" t="s">
        <v>186</v>
      </c>
      <c r="CG998" s="94" t="s">
        <v>226</v>
      </c>
      <c r="CH998" s="95" t="s">
        <v>153</v>
      </c>
      <c r="CI998" s="96" t="s">
        <v>153</v>
      </c>
      <c r="CJ998" s="97" t="s">
        <v>225</v>
      </c>
      <c r="CK998" s="98">
        <v>36439</v>
      </c>
      <c r="CL998" s="99" t="s">
        <v>153</v>
      </c>
      <c r="CM998" s="100" t="s">
        <v>153</v>
      </c>
      <c r="CN998" s="101" t="s">
        <v>190</v>
      </c>
      <c r="CO998" s="102" t="s">
        <v>153</v>
      </c>
      <c r="CP998" s="103" t="s">
        <v>153</v>
      </c>
      <c r="CQ998" s="104" t="s">
        <v>153</v>
      </c>
      <c r="CR998" s="105" t="s">
        <v>153</v>
      </c>
      <c r="CS998" s="106" t="s">
        <v>153</v>
      </c>
      <c r="CT998" s="107" t="s">
        <v>153</v>
      </c>
      <c r="CU998" s="108" t="s">
        <v>153</v>
      </c>
      <c r="CV998" s="109" t="s">
        <v>153</v>
      </c>
      <c r="CW998" s="110" t="s">
        <v>153</v>
      </c>
      <c r="CX998" s="111" t="s">
        <v>153</v>
      </c>
      <c r="CY998" s="112" t="s">
        <v>153</v>
      </c>
      <c r="CZ998" s="113" t="s">
        <v>153</v>
      </c>
      <c r="DA998" s="114" t="s">
        <v>153</v>
      </c>
      <c r="DB998" s="115" t="s">
        <v>153</v>
      </c>
      <c r="DC998" s="116" t="s">
        <v>153</v>
      </c>
      <c r="DD998" s="117" t="s">
        <v>153</v>
      </c>
      <c r="DE998" s="118" t="s">
        <v>153</v>
      </c>
      <c r="DF998" s="119" t="s">
        <v>153</v>
      </c>
      <c r="DG998" s="120" t="s">
        <v>153</v>
      </c>
      <c r="DH998" s="121" t="s">
        <v>153</v>
      </c>
      <c r="DI998" s="122" t="s">
        <v>153</v>
      </c>
      <c r="DJ998" s="123" t="s">
        <v>153</v>
      </c>
      <c r="DK998" s="124" t="s">
        <v>153</v>
      </c>
      <c r="DL998" s="125" t="s">
        <v>153</v>
      </c>
      <c r="DM998" s="126" t="s">
        <v>153</v>
      </c>
      <c r="DN998" s="127" t="s">
        <v>153</v>
      </c>
      <c r="DO998" s="128" t="s">
        <v>153</v>
      </c>
      <c r="DP998" s="129" t="s">
        <v>153</v>
      </c>
      <c r="DQ998" s="130" t="s">
        <v>153</v>
      </c>
      <c r="DR998" s="131" t="s">
        <v>153</v>
      </c>
      <c r="DS998" s="132" t="s">
        <v>153</v>
      </c>
      <c r="DT998" s="133" t="s">
        <v>153</v>
      </c>
      <c r="DU998" s="134" t="s">
        <v>153</v>
      </c>
      <c r="DV998" s="135" t="s">
        <v>153</v>
      </c>
      <c r="DW998" s="136" t="s">
        <v>153</v>
      </c>
      <c r="DX998" s="137" t="s">
        <v>153</v>
      </c>
      <c r="DY998" s="138" t="s">
        <v>153</v>
      </c>
      <c r="DZ998" s="139" t="s">
        <v>191</v>
      </c>
      <c r="EA998" s="140">
        <v>44147</v>
      </c>
      <c r="EB998" s="141">
        <v>5100</v>
      </c>
      <c r="EC998" s="142">
        <v>36439</v>
      </c>
      <c r="ED998" s="143" t="s">
        <v>226</v>
      </c>
      <c r="EE998" s="278" t="str">
        <f>HYPERLINK("https://my.pitchbook.com?c=52882-48", "View company online")</f>
        <v>View company online</v>
      </c>
    </row>
    <row r="999" spans="1:135" x14ac:dyDescent="0.45">
      <c r="A999" s="144" t="s">
        <v>19659</v>
      </c>
      <c r="B999" s="145" t="s">
        <v>19660</v>
      </c>
      <c r="C999" s="146" t="s">
        <v>153</v>
      </c>
      <c r="D999" s="147" t="s">
        <v>153</v>
      </c>
      <c r="E999" s="148" t="s">
        <v>19661</v>
      </c>
      <c r="F999" s="149" t="s">
        <v>153</v>
      </c>
      <c r="G999" s="150" t="s">
        <v>19662</v>
      </c>
      <c r="H999" s="151" t="s">
        <v>19663</v>
      </c>
      <c r="I999" s="152" t="s">
        <v>19659</v>
      </c>
      <c r="J999" s="153" t="s">
        <v>19664</v>
      </c>
      <c r="K999" s="154" t="s">
        <v>792</v>
      </c>
      <c r="L999" s="155" t="s">
        <v>793</v>
      </c>
      <c r="M999" s="156" t="s">
        <v>3119</v>
      </c>
      <c r="N999" s="157" t="s">
        <v>8253</v>
      </c>
      <c r="O999" s="158" t="s">
        <v>1119</v>
      </c>
      <c r="P999" s="159" t="s">
        <v>19665</v>
      </c>
      <c r="Q999" s="160" t="s">
        <v>204</v>
      </c>
      <c r="R999" s="161">
        <v>354</v>
      </c>
      <c r="S999" s="162" t="s">
        <v>368</v>
      </c>
      <c r="T999" s="163" t="s">
        <v>205</v>
      </c>
      <c r="U999" s="164" t="s">
        <v>1169</v>
      </c>
      <c r="V999" s="165" t="s">
        <v>19666</v>
      </c>
      <c r="W999" s="166">
        <v>880</v>
      </c>
      <c r="X999" s="167" t="s">
        <v>19667</v>
      </c>
      <c r="Y999" s="168" t="s">
        <v>153</v>
      </c>
      <c r="Z999" s="169" t="s">
        <v>153</v>
      </c>
      <c r="AA999" s="170">
        <v>2000</v>
      </c>
      <c r="AB999" s="171" t="s">
        <v>153</v>
      </c>
      <c r="AC999" s="172" t="s">
        <v>153</v>
      </c>
      <c r="AD999" s="173" t="s">
        <v>153</v>
      </c>
      <c r="AE999" s="174" t="s">
        <v>153</v>
      </c>
      <c r="AF999" s="175" t="s">
        <v>153</v>
      </c>
      <c r="AG999" s="176" t="s">
        <v>153</v>
      </c>
      <c r="AH999" s="177" t="s">
        <v>153</v>
      </c>
      <c r="AI999" s="178" t="s">
        <v>153</v>
      </c>
      <c r="AJ999" s="179" t="s">
        <v>153</v>
      </c>
      <c r="AK999" s="180" t="s">
        <v>153</v>
      </c>
      <c r="AL999" s="181" t="s">
        <v>153</v>
      </c>
      <c r="AM999" s="182" t="s">
        <v>153</v>
      </c>
      <c r="AN999" s="183" t="s">
        <v>1908</v>
      </c>
      <c r="AO999" s="184" t="s">
        <v>19668</v>
      </c>
      <c r="AP999" s="185" t="s">
        <v>19669</v>
      </c>
      <c r="AQ999" s="186" t="s">
        <v>302</v>
      </c>
      <c r="AR999" s="187" t="s">
        <v>153</v>
      </c>
      <c r="AS999" s="188" t="s">
        <v>153</v>
      </c>
      <c r="AT999" s="189" t="s">
        <v>17525</v>
      </c>
      <c r="AU999" s="190" t="s">
        <v>19670</v>
      </c>
      <c r="AV999" s="191" t="s">
        <v>4698</v>
      </c>
      <c r="AW999" s="192" t="s">
        <v>17526</v>
      </c>
      <c r="AX999" s="193" t="s">
        <v>17527</v>
      </c>
      <c r="AY999" s="194" t="s">
        <v>19671</v>
      </c>
      <c r="AZ999" s="195" t="s">
        <v>215</v>
      </c>
      <c r="BA999" s="196" t="s">
        <v>153</v>
      </c>
      <c r="BB999" s="197" t="s">
        <v>153</v>
      </c>
      <c r="BC999" s="198" t="s">
        <v>153</v>
      </c>
      <c r="BD999" s="199" t="s">
        <v>216</v>
      </c>
      <c r="BE999" s="200" t="s">
        <v>217</v>
      </c>
      <c r="BF999" s="201" t="s">
        <v>19672</v>
      </c>
      <c r="BG999" s="202" t="s">
        <v>153</v>
      </c>
      <c r="BH999" s="203" t="s">
        <v>153</v>
      </c>
      <c r="BI999" s="204" t="s">
        <v>3123</v>
      </c>
      <c r="BJ999" s="205" t="s">
        <v>19673</v>
      </c>
      <c r="BK999" s="206" t="s">
        <v>19674</v>
      </c>
      <c r="BL999" s="207" t="s">
        <v>153</v>
      </c>
      <c r="BM999" s="208" t="s">
        <v>19675</v>
      </c>
      <c r="BN999" s="209" t="s">
        <v>19676</v>
      </c>
      <c r="BO999" s="210" t="s">
        <v>19677</v>
      </c>
      <c r="BP999" s="211" t="s">
        <v>19678</v>
      </c>
      <c r="BQ999" s="212">
        <v>36739</v>
      </c>
      <c r="BR999" s="213" t="s">
        <v>153</v>
      </c>
      <c r="BS999" s="214" t="s">
        <v>153</v>
      </c>
      <c r="BT999" s="215" t="s">
        <v>153</v>
      </c>
      <c r="BU999" s="216" t="s">
        <v>153</v>
      </c>
      <c r="BV999" s="217" t="s">
        <v>709</v>
      </c>
      <c r="BW999" s="218" t="s">
        <v>153</v>
      </c>
      <c r="BX999" s="219" t="s">
        <v>153</v>
      </c>
      <c r="BY999" s="220" t="s">
        <v>165</v>
      </c>
      <c r="BZ999" s="221" t="s">
        <v>153</v>
      </c>
      <c r="CA999" s="222" t="s">
        <v>190</v>
      </c>
      <c r="CB999" s="223">
        <v>43804</v>
      </c>
      <c r="CC999" s="224">
        <v>5100</v>
      </c>
      <c r="CD999" s="225" t="s">
        <v>186</v>
      </c>
      <c r="CE999" s="226">
        <v>5100</v>
      </c>
      <c r="CF999" s="227" t="s">
        <v>187</v>
      </c>
      <c r="CG999" s="228" t="s">
        <v>226</v>
      </c>
      <c r="CH999" s="229" t="s">
        <v>930</v>
      </c>
      <c r="CI999" s="230" t="s">
        <v>153</v>
      </c>
      <c r="CJ999" s="231" t="s">
        <v>225</v>
      </c>
      <c r="CK999" s="232">
        <v>43804</v>
      </c>
      <c r="CL999" s="233" t="s">
        <v>153</v>
      </c>
      <c r="CM999" s="234" t="s">
        <v>153</v>
      </c>
      <c r="CN999" s="235" t="s">
        <v>190</v>
      </c>
      <c r="CO999" s="236" t="s">
        <v>153</v>
      </c>
      <c r="CP999" s="237" t="s">
        <v>153</v>
      </c>
      <c r="CQ999" s="238" t="s">
        <v>153</v>
      </c>
      <c r="CR999" s="239" t="s">
        <v>153</v>
      </c>
      <c r="CS999" s="240" t="s">
        <v>153</v>
      </c>
      <c r="CT999" s="241" t="s">
        <v>153</v>
      </c>
      <c r="CU999" s="242" t="s">
        <v>153</v>
      </c>
      <c r="CV999" s="243" t="s">
        <v>153</v>
      </c>
      <c r="CW999" s="244" t="s">
        <v>153</v>
      </c>
      <c r="CX999" s="245" t="s">
        <v>153</v>
      </c>
      <c r="CY999" s="246" t="s">
        <v>153</v>
      </c>
      <c r="CZ999" s="247" t="s">
        <v>153</v>
      </c>
      <c r="DA999" s="248" t="s">
        <v>153</v>
      </c>
      <c r="DB999" s="249" t="s">
        <v>153</v>
      </c>
      <c r="DC999" s="250" t="s">
        <v>153</v>
      </c>
      <c r="DD999" s="251" t="s">
        <v>153</v>
      </c>
      <c r="DE999" s="252" t="s">
        <v>153</v>
      </c>
      <c r="DF999" s="253" t="s">
        <v>153</v>
      </c>
      <c r="DG999" s="254" t="s">
        <v>153</v>
      </c>
      <c r="DH999" s="255" t="s">
        <v>153</v>
      </c>
      <c r="DI999" s="256" t="s">
        <v>153</v>
      </c>
      <c r="DJ999" s="257" t="s">
        <v>153</v>
      </c>
      <c r="DK999" s="258" t="s">
        <v>153</v>
      </c>
      <c r="DL999" s="259" t="s">
        <v>153</v>
      </c>
      <c r="DM999" s="260" t="s">
        <v>153</v>
      </c>
      <c r="DN999" s="261" t="s">
        <v>153</v>
      </c>
      <c r="DO999" s="262" t="s">
        <v>153</v>
      </c>
      <c r="DP999" s="263" t="s">
        <v>153</v>
      </c>
      <c r="DQ999" s="264" t="s">
        <v>153</v>
      </c>
      <c r="DR999" s="265" t="s">
        <v>153</v>
      </c>
      <c r="DS999" s="266" t="s">
        <v>153</v>
      </c>
      <c r="DT999" s="267" t="s">
        <v>153</v>
      </c>
      <c r="DU999" s="268" t="s">
        <v>153</v>
      </c>
      <c r="DV999" s="269" t="s">
        <v>153</v>
      </c>
      <c r="DW999" s="270" t="s">
        <v>153</v>
      </c>
      <c r="DX999" s="271" t="s">
        <v>153</v>
      </c>
      <c r="DY999" s="272" t="s">
        <v>153</v>
      </c>
      <c r="DZ999" s="273" t="s">
        <v>191</v>
      </c>
      <c r="EA999" s="274">
        <v>44320</v>
      </c>
      <c r="EB999" s="275">
        <v>5100</v>
      </c>
      <c r="EC999" s="276">
        <v>43804</v>
      </c>
      <c r="ED999" s="277" t="s">
        <v>226</v>
      </c>
      <c r="EE999" s="279" t="str">
        <f>HYPERLINK("https://my.pitchbook.com?c=51422-41", "View company online")</f>
        <v>View company online</v>
      </c>
    </row>
    <row r="1000" spans="1:135" x14ac:dyDescent="0.45">
      <c r="A1000" s="10" t="s">
        <v>19679</v>
      </c>
      <c r="B1000" s="11" t="s">
        <v>19680</v>
      </c>
      <c r="C1000" s="12" t="s">
        <v>153</v>
      </c>
      <c r="D1000" s="13" t="s">
        <v>153</v>
      </c>
      <c r="E1000" s="14" t="s">
        <v>19681</v>
      </c>
      <c r="F1000" s="15" t="s">
        <v>19682</v>
      </c>
      <c r="G1000" s="16" t="s">
        <v>19683</v>
      </c>
      <c r="H1000" s="17" t="s">
        <v>19684</v>
      </c>
      <c r="I1000" s="18" t="s">
        <v>19679</v>
      </c>
      <c r="J1000" s="19" t="s">
        <v>19685</v>
      </c>
      <c r="K1000" s="20" t="s">
        <v>559</v>
      </c>
      <c r="L1000" s="21" t="s">
        <v>1345</v>
      </c>
      <c r="M1000" s="22" t="s">
        <v>5257</v>
      </c>
      <c r="N1000" s="23" t="s">
        <v>19686</v>
      </c>
      <c r="O1000" s="24" t="s">
        <v>153</v>
      </c>
      <c r="P1000" s="25" t="s">
        <v>19687</v>
      </c>
      <c r="Q1000" s="26" t="s">
        <v>367</v>
      </c>
      <c r="R1000" s="27" t="s">
        <v>153</v>
      </c>
      <c r="S1000" s="28" t="s">
        <v>290</v>
      </c>
      <c r="T1000" s="29" t="s">
        <v>291</v>
      </c>
      <c r="U1000" s="30" t="s">
        <v>565</v>
      </c>
      <c r="V1000" s="31" t="s">
        <v>19688</v>
      </c>
      <c r="W1000" s="32">
        <v>10076</v>
      </c>
      <c r="X1000" s="33" t="s">
        <v>19689</v>
      </c>
      <c r="Y1000" s="34" t="s">
        <v>3412</v>
      </c>
      <c r="Z1000" s="35" t="s">
        <v>19690</v>
      </c>
      <c r="AA1000" s="36">
        <v>1994</v>
      </c>
      <c r="AB1000" s="37" t="s">
        <v>153</v>
      </c>
      <c r="AC1000" s="38" t="s">
        <v>153</v>
      </c>
      <c r="AD1000" s="39" t="s">
        <v>570</v>
      </c>
      <c r="AE1000" s="40">
        <v>2345</v>
      </c>
      <c r="AF1000" s="41">
        <v>773.25</v>
      </c>
      <c r="AG1000" s="42">
        <v>415.47</v>
      </c>
      <c r="AH1000" s="43">
        <v>8133.66</v>
      </c>
      <c r="AI1000" s="44">
        <v>524860.93999999994</v>
      </c>
      <c r="AJ1000" s="45">
        <v>606.92999999999995</v>
      </c>
      <c r="AK1000" s="46">
        <v>6633.81</v>
      </c>
      <c r="AL1000" s="47">
        <v>6.65</v>
      </c>
      <c r="AM1000" s="48">
        <v>26.46</v>
      </c>
      <c r="AN1000" s="49" t="s">
        <v>376</v>
      </c>
      <c r="AO1000" s="50" t="s">
        <v>19691</v>
      </c>
      <c r="AP1000" s="51" t="s">
        <v>19692</v>
      </c>
      <c r="AQ1000" s="52" t="s">
        <v>379</v>
      </c>
      <c r="AR1000" s="53" t="s">
        <v>19693</v>
      </c>
      <c r="AS1000" s="54" t="s">
        <v>19694</v>
      </c>
      <c r="AT1000" s="55" t="s">
        <v>3708</v>
      </c>
      <c r="AU1000" s="56" t="s">
        <v>19695</v>
      </c>
      <c r="AV1000" s="57" t="s">
        <v>19696</v>
      </c>
      <c r="AW1000" s="58" t="s">
        <v>3711</v>
      </c>
      <c r="AX1000" s="59" t="s">
        <v>3712</v>
      </c>
      <c r="AY1000" s="60" t="s">
        <v>19697</v>
      </c>
      <c r="AZ1000" s="61" t="s">
        <v>1358</v>
      </c>
      <c r="BA1000" s="62" t="s">
        <v>19694</v>
      </c>
      <c r="BB1000" s="63" t="s">
        <v>19698</v>
      </c>
      <c r="BC1000" s="64" t="s">
        <v>19699</v>
      </c>
      <c r="BD1000" s="65" t="s">
        <v>216</v>
      </c>
      <c r="BE1000" s="66" t="s">
        <v>217</v>
      </c>
      <c r="BF1000" s="67" t="s">
        <v>19700</v>
      </c>
      <c r="BG1000" s="68" t="s">
        <v>19701</v>
      </c>
      <c r="BH1000" s="69">
        <v>2</v>
      </c>
      <c r="BI1000" s="70" t="s">
        <v>153</v>
      </c>
      <c r="BJ1000" s="71" t="s">
        <v>153</v>
      </c>
      <c r="BK1000" s="72" t="s">
        <v>19702</v>
      </c>
      <c r="BL1000" s="73" t="s">
        <v>19703</v>
      </c>
      <c r="BM1000" s="74" t="s">
        <v>153</v>
      </c>
      <c r="BN1000" s="75" t="s">
        <v>19704</v>
      </c>
      <c r="BO1000" s="76" t="s">
        <v>19705</v>
      </c>
      <c r="BP1000" s="77" t="s">
        <v>19706</v>
      </c>
      <c r="BQ1000" s="78">
        <v>34762</v>
      </c>
      <c r="BR1000" s="79" t="s">
        <v>153</v>
      </c>
      <c r="BS1000" s="80" t="s">
        <v>153</v>
      </c>
      <c r="BT1000" s="81" t="s">
        <v>153</v>
      </c>
      <c r="BU1000" s="82" t="s">
        <v>153</v>
      </c>
      <c r="BV1000" s="83" t="s">
        <v>251</v>
      </c>
      <c r="BW1000" s="84" t="s">
        <v>153</v>
      </c>
      <c r="BX1000" s="85" t="s">
        <v>153</v>
      </c>
      <c r="BY1000" s="86" t="s">
        <v>252</v>
      </c>
      <c r="BZ1000" s="87" t="s">
        <v>153</v>
      </c>
      <c r="CA1000" s="88" t="s">
        <v>190</v>
      </c>
      <c r="CB1000" s="89">
        <v>40688</v>
      </c>
      <c r="CC1000" s="90">
        <v>5095.82</v>
      </c>
      <c r="CD1000" s="91" t="s">
        <v>186</v>
      </c>
      <c r="CE1000" s="92">
        <v>5095.82</v>
      </c>
      <c r="CF1000" s="93" t="s">
        <v>186</v>
      </c>
      <c r="CG1000" s="94" t="s">
        <v>188</v>
      </c>
      <c r="CH1000" s="95" t="s">
        <v>153</v>
      </c>
      <c r="CI1000" s="96" t="s">
        <v>153</v>
      </c>
      <c r="CJ1000" s="97" t="s">
        <v>165</v>
      </c>
      <c r="CK1000" s="98">
        <v>40688</v>
      </c>
      <c r="CL1000" s="99" t="s">
        <v>153</v>
      </c>
      <c r="CM1000" s="100" t="s">
        <v>153</v>
      </c>
      <c r="CN1000" s="101" t="s">
        <v>394</v>
      </c>
      <c r="CO1000" s="102">
        <v>0.32</v>
      </c>
      <c r="CP1000" s="103">
        <v>92</v>
      </c>
      <c r="CQ1000" s="104">
        <v>-0.16</v>
      </c>
      <c r="CR1000" s="105">
        <v>-33.67</v>
      </c>
      <c r="CS1000" s="106">
        <v>0.32</v>
      </c>
      <c r="CT1000" s="107">
        <v>91</v>
      </c>
      <c r="CU1000" s="108" t="s">
        <v>153</v>
      </c>
      <c r="CV1000" s="109" t="s">
        <v>153</v>
      </c>
      <c r="CW1000" s="110" t="s">
        <v>153</v>
      </c>
      <c r="CX1000" s="111" t="s">
        <v>153</v>
      </c>
      <c r="CY1000" s="112">
        <v>0.32</v>
      </c>
      <c r="CZ1000" s="113">
        <v>93</v>
      </c>
      <c r="DA1000" s="114" t="s">
        <v>153</v>
      </c>
      <c r="DB1000" s="115" t="s">
        <v>153</v>
      </c>
      <c r="DC1000" s="116">
        <v>39.94</v>
      </c>
      <c r="DD1000" s="117">
        <v>98</v>
      </c>
      <c r="DE1000" s="118">
        <v>-0.19</v>
      </c>
      <c r="DF1000" s="119">
        <v>-0.47</v>
      </c>
      <c r="DG1000" s="120">
        <v>39.94</v>
      </c>
      <c r="DH1000" s="121">
        <v>98</v>
      </c>
      <c r="DI1000" s="122" t="s">
        <v>153</v>
      </c>
      <c r="DJ1000" s="123" t="s">
        <v>153</v>
      </c>
      <c r="DK1000" s="124" t="s">
        <v>153</v>
      </c>
      <c r="DL1000" s="125" t="s">
        <v>153</v>
      </c>
      <c r="DM1000" s="126">
        <v>39.94</v>
      </c>
      <c r="DN1000" s="127">
        <v>98</v>
      </c>
      <c r="DO1000" s="128" t="s">
        <v>153</v>
      </c>
      <c r="DP1000" s="129" t="s">
        <v>153</v>
      </c>
      <c r="DQ1000" s="130" t="s">
        <v>153</v>
      </c>
      <c r="DR1000" s="131" t="s">
        <v>153</v>
      </c>
      <c r="DS1000" s="132" t="s">
        <v>153</v>
      </c>
      <c r="DT1000" s="133">
        <v>640</v>
      </c>
      <c r="DU1000" s="134">
        <v>-1</v>
      </c>
      <c r="DV1000" s="135">
        <v>-0.16</v>
      </c>
      <c r="DW1000" s="136" t="s">
        <v>153</v>
      </c>
      <c r="DX1000" s="137" t="s">
        <v>153</v>
      </c>
      <c r="DY1000" s="138" t="s">
        <v>153</v>
      </c>
      <c r="DZ1000" s="139" t="s">
        <v>191</v>
      </c>
      <c r="EA1000" s="140">
        <v>44400</v>
      </c>
      <c r="EB1000" s="141">
        <v>5095.82</v>
      </c>
      <c r="EC1000" s="142">
        <v>40688</v>
      </c>
      <c r="ED1000" s="143" t="s">
        <v>188</v>
      </c>
      <c r="EE1000" s="278" t="str">
        <f>HYPERLINK("https://my.pitchbook.com?c=52146-55", "View company online")</f>
        <v>View company online</v>
      </c>
    </row>
    <row r="1001" spans="1:135" x14ac:dyDescent="0.45">
      <c r="A1001" s="144" t="s">
        <v>19707</v>
      </c>
      <c r="B1001" s="145" t="s">
        <v>19708</v>
      </c>
      <c r="C1001" s="146" t="s">
        <v>153</v>
      </c>
      <c r="D1001" s="147" t="s">
        <v>153</v>
      </c>
      <c r="E1001" s="148" t="s">
        <v>153</v>
      </c>
      <c r="F1001" s="149" t="s">
        <v>153</v>
      </c>
      <c r="G1001" s="150" t="s">
        <v>19709</v>
      </c>
      <c r="H1001" s="151" t="s">
        <v>153</v>
      </c>
      <c r="I1001" s="152" t="s">
        <v>19707</v>
      </c>
      <c r="J1001" s="153" t="s">
        <v>19710</v>
      </c>
      <c r="K1001" s="154" t="s">
        <v>792</v>
      </c>
      <c r="L1001" s="155" t="s">
        <v>841</v>
      </c>
      <c r="M1001" s="156" t="s">
        <v>842</v>
      </c>
      <c r="N1001" s="157" t="s">
        <v>19711</v>
      </c>
      <c r="O1001" s="158" t="s">
        <v>1119</v>
      </c>
      <c r="P1001" s="159" t="s">
        <v>19712</v>
      </c>
      <c r="Q1001" s="160" t="s">
        <v>204</v>
      </c>
      <c r="R1001" s="161" t="s">
        <v>153</v>
      </c>
      <c r="S1001" s="162" t="s">
        <v>163</v>
      </c>
      <c r="T1001" s="163" t="s">
        <v>205</v>
      </c>
      <c r="U1001" s="164" t="s">
        <v>237</v>
      </c>
      <c r="V1001" s="165" t="s">
        <v>153</v>
      </c>
      <c r="W1001" s="166" t="s">
        <v>153</v>
      </c>
      <c r="X1001" s="167" t="s">
        <v>153</v>
      </c>
      <c r="Y1001" s="168" t="s">
        <v>153</v>
      </c>
      <c r="Z1001" s="169" t="s">
        <v>153</v>
      </c>
      <c r="AA1001" s="170" t="s">
        <v>153</v>
      </c>
      <c r="AB1001" s="171" t="s">
        <v>153</v>
      </c>
      <c r="AC1001" s="172" t="s">
        <v>153</v>
      </c>
      <c r="AD1001" s="173" t="s">
        <v>153</v>
      </c>
      <c r="AE1001" s="174" t="s">
        <v>153</v>
      </c>
      <c r="AF1001" s="175" t="s">
        <v>153</v>
      </c>
      <c r="AG1001" s="176" t="s">
        <v>153</v>
      </c>
      <c r="AH1001" s="177" t="s">
        <v>153</v>
      </c>
      <c r="AI1001" s="178" t="s">
        <v>153</v>
      </c>
      <c r="AJ1001" s="179" t="s">
        <v>153</v>
      </c>
      <c r="AK1001" s="180" t="s">
        <v>153</v>
      </c>
      <c r="AL1001" s="181" t="s">
        <v>153</v>
      </c>
      <c r="AM1001" s="182" t="s">
        <v>153</v>
      </c>
      <c r="AN1001" s="183" t="s">
        <v>153</v>
      </c>
      <c r="AO1001" s="184" t="s">
        <v>19713</v>
      </c>
      <c r="AP1001" s="185" t="s">
        <v>19714</v>
      </c>
      <c r="AQ1001" s="186" t="s">
        <v>171</v>
      </c>
      <c r="AR1001" s="187" t="s">
        <v>153</v>
      </c>
      <c r="AS1001" s="188" t="s">
        <v>153</v>
      </c>
      <c r="AT1001" s="189" t="s">
        <v>19715</v>
      </c>
      <c r="AU1001" s="190" t="s">
        <v>19716</v>
      </c>
      <c r="AV1001" s="191" t="s">
        <v>153</v>
      </c>
      <c r="AW1001" s="192" t="s">
        <v>19717</v>
      </c>
      <c r="AX1001" s="193" t="s">
        <v>153</v>
      </c>
      <c r="AY1001" s="194" t="s">
        <v>19718</v>
      </c>
      <c r="AZ1001" s="195" t="s">
        <v>19719</v>
      </c>
      <c r="BA1001" s="196" t="s">
        <v>153</v>
      </c>
      <c r="BB1001" s="197" t="s">
        <v>153</v>
      </c>
      <c r="BC1001" s="198" t="s">
        <v>153</v>
      </c>
      <c r="BD1001" s="199" t="s">
        <v>1406</v>
      </c>
      <c r="BE1001" s="200" t="s">
        <v>19720</v>
      </c>
      <c r="BF1001" s="201" t="s">
        <v>19721</v>
      </c>
      <c r="BG1001" s="202" t="s">
        <v>153</v>
      </c>
      <c r="BH1001" s="203" t="s">
        <v>153</v>
      </c>
      <c r="BI1001" s="204" t="s">
        <v>19722</v>
      </c>
      <c r="BJ1001" s="205" t="s">
        <v>19723</v>
      </c>
      <c r="BK1001" s="206" t="s">
        <v>153</v>
      </c>
      <c r="BL1001" s="207" t="s">
        <v>153</v>
      </c>
      <c r="BM1001" s="208" t="s">
        <v>153</v>
      </c>
      <c r="BN1001" s="209" t="s">
        <v>153</v>
      </c>
      <c r="BO1001" s="210" t="s">
        <v>153</v>
      </c>
      <c r="BP1001" s="211" t="s">
        <v>153</v>
      </c>
      <c r="BQ1001" s="212">
        <v>40508</v>
      </c>
      <c r="BR1001" s="213" t="s">
        <v>153</v>
      </c>
      <c r="BS1001" s="214" t="s">
        <v>153</v>
      </c>
      <c r="BT1001" s="215" t="s">
        <v>153</v>
      </c>
      <c r="BU1001" s="216" t="s">
        <v>153</v>
      </c>
      <c r="BV1001" s="217" t="s">
        <v>251</v>
      </c>
      <c r="BW1001" s="218" t="s">
        <v>153</v>
      </c>
      <c r="BX1001" s="219" t="s">
        <v>153</v>
      </c>
      <c r="BY1001" s="220" t="s">
        <v>252</v>
      </c>
      <c r="BZ1001" s="221" t="s">
        <v>153</v>
      </c>
      <c r="CA1001" s="222" t="s">
        <v>190</v>
      </c>
      <c r="CB1001" s="223">
        <v>40620</v>
      </c>
      <c r="CC1001" s="224">
        <v>5095.32</v>
      </c>
      <c r="CD1001" s="225" t="s">
        <v>186</v>
      </c>
      <c r="CE1001" s="226">
        <v>5095.32</v>
      </c>
      <c r="CF1001" s="227" t="s">
        <v>186</v>
      </c>
      <c r="CG1001" s="228" t="s">
        <v>226</v>
      </c>
      <c r="CH1001" s="229" t="s">
        <v>729</v>
      </c>
      <c r="CI1001" s="230" t="s">
        <v>153</v>
      </c>
      <c r="CJ1001" s="231" t="s">
        <v>225</v>
      </c>
      <c r="CK1001" s="232">
        <v>40620</v>
      </c>
      <c r="CL1001" s="233" t="s">
        <v>153</v>
      </c>
      <c r="CM1001" s="234" t="s">
        <v>153</v>
      </c>
      <c r="CN1001" s="235" t="s">
        <v>190</v>
      </c>
      <c r="CO1001" s="236" t="s">
        <v>153</v>
      </c>
      <c r="CP1001" s="237" t="s">
        <v>153</v>
      </c>
      <c r="CQ1001" s="238" t="s">
        <v>153</v>
      </c>
      <c r="CR1001" s="239" t="s">
        <v>153</v>
      </c>
      <c r="CS1001" s="240" t="s">
        <v>153</v>
      </c>
      <c r="CT1001" s="241" t="s">
        <v>153</v>
      </c>
      <c r="CU1001" s="242" t="s">
        <v>153</v>
      </c>
      <c r="CV1001" s="243" t="s">
        <v>153</v>
      </c>
      <c r="CW1001" s="244" t="s">
        <v>153</v>
      </c>
      <c r="CX1001" s="245" t="s">
        <v>153</v>
      </c>
      <c r="CY1001" s="246" t="s">
        <v>153</v>
      </c>
      <c r="CZ1001" s="247" t="s">
        <v>153</v>
      </c>
      <c r="DA1001" s="248" t="s">
        <v>153</v>
      </c>
      <c r="DB1001" s="249" t="s">
        <v>153</v>
      </c>
      <c r="DC1001" s="250" t="s">
        <v>153</v>
      </c>
      <c r="DD1001" s="251" t="s">
        <v>153</v>
      </c>
      <c r="DE1001" s="252" t="s">
        <v>153</v>
      </c>
      <c r="DF1001" s="253" t="s">
        <v>153</v>
      </c>
      <c r="DG1001" s="254" t="s">
        <v>153</v>
      </c>
      <c r="DH1001" s="255" t="s">
        <v>153</v>
      </c>
      <c r="DI1001" s="256" t="s">
        <v>153</v>
      </c>
      <c r="DJ1001" s="257" t="s">
        <v>153</v>
      </c>
      <c r="DK1001" s="258" t="s">
        <v>153</v>
      </c>
      <c r="DL1001" s="259" t="s">
        <v>153</v>
      </c>
      <c r="DM1001" s="260" t="s">
        <v>153</v>
      </c>
      <c r="DN1001" s="261" t="s">
        <v>153</v>
      </c>
      <c r="DO1001" s="262" t="s">
        <v>153</v>
      </c>
      <c r="DP1001" s="263" t="s">
        <v>153</v>
      </c>
      <c r="DQ1001" s="264" t="s">
        <v>153</v>
      </c>
      <c r="DR1001" s="265" t="s">
        <v>153</v>
      </c>
      <c r="DS1001" s="266" t="s">
        <v>153</v>
      </c>
      <c r="DT1001" s="267" t="s">
        <v>153</v>
      </c>
      <c r="DU1001" s="268" t="s">
        <v>153</v>
      </c>
      <c r="DV1001" s="269" t="s">
        <v>153</v>
      </c>
      <c r="DW1001" s="270" t="s">
        <v>153</v>
      </c>
      <c r="DX1001" s="271" t="s">
        <v>153</v>
      </c>
      <c r="DY1001" s="272" t="s">
        <v>153</v>
      </c>
      <c r="DZ1001" s="273" t="s">
        <v>191</v>
      </c>
      <c r="EA1001" s="274">
        <v>44147</v>
      </c>
      <c r="EB1001" s="275">
        <v>5095.32</v>
      </c>
      <c r="EC1001" s="276">
        <v>40620</v>
      </c>
      <c r="ED1001" s="277" t="s">
        <v>226</v>
      </c>
      <c r="EE1001" s="279" t="str">
        <f>HYPERLINK("https://my.pitchbook.com?c=109782-91", "View company online")</f>
        <v>View company online</v>
      </c>
    </row>
    <row r="1002" spans="1:135" x14ac:dyDescent="0.45">
      <c r="A1002" s="10" t="s">
        <v>19724</v>
      </c>
      <c r="B1002" s="11" t="s">
        <v>19725</v>
      </c>
      <c r="C1002" s="12" t="s">
        <v>153</v>
      </c>
      <c r="D1002" s="13" t="s">
        <v>153</v>
      </c>
      <c r="E1002" s="14" t="s">
        <v>19726</v>
      </c>
      <c r="F1002" s="15" t="s">
        <v>19727</v>
      </c>
      <c r="G1002" s="16" t="s">
        <v>19728</v>
      </c>
      <c r="H1002" s="17" t="s">
        <v>19729</v>
      </c>
      <c r="I1002" s="18" t="s">
        <v>19724</v>
      </c>
      <c r="J1002" s="19" t="s">
        <v>19730</v>
      </c>
      <c r="K1002" s="20" t="s">
        <v>882</v>
      </c>
      <c r="L1002" s="21" t="s">
        <v>1257</v>
      </c>
      <c r="M1002" s="22" t="s">
        <v>6835</v>
      </c>
      <c r="N1002" s="23" t="s">
        <v>19731</v>
      </c>
      <c r="O1002" s="24" t="s">
        <v>153</v>
      </c>
      <c r="P1002" s="25" t="s">
        <v>19732</v>
      </c>
      <c r="Q1002" s="26" t="s">
        <v>204</v>
      </c>
      <c r="R1002" s="27" t="s">
        <v>153</v>
      </c>
      <c r="S1002" s="28" t="s">
        <v>163</v>
      </c>
      <c r="T1002" s="29" t="s">
        <v>205</v>
      </c>
      <c r="U1002" s="30" t="s">
        <v>237</v>
      </c>
      <c r="V1002" s="31" t="s">
        <v>19733</v>
      </c>
      <c r="W1002" s="32">
        <v>6000</v>
      </c>
      <c r="X1002" s="33" t="s">
        <v>19734</v>
      </c>
      <c r="Y1002" s="34" t="s">
        <v>153</v>
      </c>
      <c r="Z1002" s="35" t="s">
        <v>153</v>
      </c>
      <c r="AA1002" s="36">
        <v>1918</v>
      </c>
      <c r="AB1002" s="37" t="s">
        <v>153</v>
      </c>
      <c r="AC1002" s="38" t="s">
        <v>153</v>
      </c>
      <c r="AD1002" s="39" t="s">
        <v>153</v>
      </c>
      <c r="AE1002" s="40" t="s">
        <v>153</v>
      </c>
      <c r="AF1002" s="41" t="s">
        <v>153</v>
      </c>
      <c r="AG1002" s="42" t="s">
        <v>153</v>
      </c>
      <c r="AH1002" s="43" t="s">
        <v>153</v>
      </c>
      <c r="AI1002" s="44" t="s">
        <v>153</v>
      </c>
      <c r="AJ1002" s="45" t="s">
        <v>153</v>
      </c>
      <c r="AK1002" s="46" t="s">
        <v>153</v>
      </c>
      <c r="AL1002" s="47" t="s">
        <v>153</v>
      </c>
      <c r="AM1002" s="48" t="s">
        <v>153</v>
      </c>
      <c r="AN1002" s="49" t="s">
        <v>868</v>
      </c>
      <c r="AO1002" s="50" t="s">
        <v>153</v>
      </c>
      <c r="AP1002" s="51" t="s">
        <v>153</v>
      </c>
      <c r="AQ1002" s="52" t="s">
        <v>153</v>
      </c>
      <c r="AR1002" s="53" t="s">
        <v>153</v>
      </c>
      <c r="AS1002" s="54" t="s">
        <v>153</v>
      </c>
      <c r="AT1002" s="55" t="s">
        <v>1071</v>
      </c>
      <c r="AU1002" s="56" t="s">
        <v>19735</v>
      </c>
      <c r="AV1002" s="57" t="s">
        <v>153</v>
      </c>
      <c r="AW1002" s="58" t="s">
        <v>1074</v>
      </c>
      <c r="AX1002" s="59" t="s">
        <v>177</v>
      </c>
      <c r="AY1002" s="60" t="s">
        <v>19736</v>
      </c>
      <c r="AZ1002" s="61" t="s">
        <v>179</v>
      </c>
      <c r="BA1002" s="62" t="s">
        <v>153</v>
      </c>
      <c r="BB1002" s="63" t="s">
        <v>153</v>
      </c>
      <c r="BC1002" s="64" t="s">
        <v>153</v>
      </c>
      <c r="BD1002" s="65" t="s">
        <v>180</v>
      </c>
      <c r="BE1002" s="66" t="s">
        <v>181</v>
      </c>
      <c r="BF1002" s="67" t="s">
        <v>19737</v>
      </c>
      <c r="BG1002" s="68" t="s">
        <v>153</v>
      </c>
      <c r="BH1002" s="69" t="s">
        <v>153</v>
      </c>
      <c r="BI1002" s="70" t="s">
        <v>19738</v>
      </c>
      <c r="BJ1002" s="71" t="s">
        <v>153</v>
      </c>
      <c r="BK1002" s="72" t="s">
        <v>153</v>
      </c>
      <c r="BL1002" s="73" t="s">
        <v>153</v>
      </c>
      <c r="BM1002" s="74" t="s">
        <v>153</v>
      </c>
      <c r="BN1002" s="75" t="s">
        <v>153</v>
      </c>
      <c r="BO1002" s="76" t="s">
        <v>19739</v>
      </c>
      <c r="BP1002" s="77" t="s">
        <v>19740</v>
      </c>
      <c r="BQ1002" s="78">
        <v>35074</v>
      </c>
      <c r="BR1002" s="79" t="s">
        <v>153</v>
      </c>
      <c r="BS1002" s="80" t="s">
        <v>153</v>
      </c>
      <c r="BT1002" s="81" t="s">
        <v>153</v>
      </c>
      <c r="BU1002" s="82" t="s">
        <v>153</v>
      </c>
      <c r="BV1002" s="83" t="s">
        <v>251</v>
      </c>
      <c r="BW1002" s="84" t="s">
        <v>153</v>
      </c>
      <c r="BX1002" s="85" t="s">
        <v>153</v>
      </c>
      <c r="BY1002" s="86" t="s">
        <v>252</v>
      </c>
      <c r="BZ1002" s="87" t="s">
        <v>153</v>
      </c>
      <c r="CA1002" s="88" t="s">
        <v>190</v>
      </c>
      <c r="CB1002" s="89">
        <v>43266</v>
      </c>
      <c r="CC1002" s="90">
        <v>5080.99</v>
      </c>
      <c r="CD1002" s="91" t="s">
        <v>187</v>
      </c>
      <c r="CE1002" s="92">
        <v>5080.99</v>
      </c>
      <c r="CF1002" s="93" t="s">
        <v>187</v>
      </c>
      <c r="CG1002" s="94" t="s">
        <v>226</v>
      </c>
      <c r="CH1002" s="95" t="s">
        <v>153</v>
      </c>
      <c r="CI1002" s="96" t="s">
        <v>153</v>
      </c>
      <c r="CJ1002" s="97" t="s">
        <v>225</v>
      </c>
      <c r="CK1002" s="98">
        <v>43266</v>
      </c>
      <c r="CL1002" s="99" t="s">
        <v>153</v>
      </c>
      <c r="CM1002" s="100" t="s">
        <v>153</v>
      </c>
      <c r="CN1002" s="101" t="s">
        <v>190</v>
      </c>
      <c r="CO1002" s="102" t="s">
        <v>153</v>
      </c>
      <c r="CP1002" s="103" t="s">
        <v>153</v>
      </c>
      <c r="CQ1002" s="104" t="s">
        <v>153</v>
      </c>
      <c r="CR1002" s="105" t="s">
        <v>153</v>
      </c>
      <c r="CS1002" s="106" t="s">
        <v>153</v>
      </c>
      <c r="CT1002" s="107" t="s">
        <v>153</v>
      </c>
      <c r="CU1002" s="108" t="s">
        <v>153</v>
      </c>
      <c r="CV1002" s="109" t="s">
        <v>153</v>
      </c>
      <c r="CW1002" s="110" t="s">
        <v>153</v>
      </c>
      <c r="CX1002" s="111" t="s">
        <v>153</v>
      </c>
      <c r="CY1002" s="112" t="s">
        <v>153</v>
      </c>
      <c r="CZ1002" s="113" t="s">
        <v>153</v>
      </c>
      <c r="DA1002" s="114" t="s">
        <v>153</v>
      </c>
      <c r="DB1002" s="115" t="s">
        <v>153</v>
      </c>
      <c r="DC1002" s="116" t="s">
        <v>153</v>
      </c>
      <c r="DD1002" s="117" t="s">
        <v>153</v>
      </c>
      <c r="DE1002" s="118" t="s">
        <v>153</v>
      </c>
      <c r="DF1002" s="119" t="s">
        <v>153</v>
      </c>
      <c r="DG1002" s="120" t="s">
        <v>153</v>
      </c>
      <c r="DH1002" s="121" t="s">
        <v>153</v>
      </c>
      <c r="DI1002" s="122" t="s">
        <v>153</v>
      </c>
      <c r="DJ1002" s="123" t="s">
        <v>153</v>
      </c>
      <c r="DK1002" s="124" t="s">
        <v>153</v>
      </c>
      <c r="DL1002" s="125" t="s">
        <v>153</v>
      </c>
      <c r="DM1002" s="126" t="s">
        <v>153</v>
      </c>
      <c r="DN1002" s="127" t="s">
        <v>153</v>
      </c>
      <c r="DO1002" s="128" t="s">
        <v>153</v>
      </c>
      <c r="DP1002" s="129" t="s">
        <v>153</v>
      </c>
      <c r="DQ1002" s="130" t="s">
        <v>153</v>
      </c>
      <c r="DR1002" s="131" t="s">
        <v>153</v>
      </c>
      <c r="DS1002" s="132" t="s">
        <v>153</v>
      </c>
      <c r="DT1002" s="133" t="s">
        <v>153</v>
      </c>
      <c r="DU1002" s="134" t="s">
        <v>153</v>
      </c>
      <c r="DV1002" s="135" t="s">
        <v>153</v>
      </c>
      <c r="DW1002" s="136" t="s">
        <v>153</v>
      </c>
      <c r="DX1002" s="137" t="s">
        <v>153</v>
      </c>
      <c r="DY1002" s="138" t="s">
        <v>153</v>
      </c>
      <c r="DZ1002" s="139" t="s">
        <v>191</v>
      </c>
      <c r="EA1002" s="140">
        <v>44217</v>
      </c>
      <c r="EB1002" s="141">
        <v>5080.99</v>
      </c>
      <c r="EC1002" s="142">
        <v>43266</v>
      </c>
      <c r="ED1002" s="143" t="s">
        <v>226</v>
      </c>
      <c r="EE1002" s="278" t="str">
        <f>HYPERLINK("https://my.pitchbook.com?c=57636-19", "View company online")</f>
        <v>View company online</v>
      </c>
    </row>
    <row r="1003" spans="1:135" x14ac:dyDescent="0.45">
      <c r="A1003" s="144" t="s">
        <v>19741</v>
      </c>
      <c r="B1003" s="145" t="s">
        <v>19742</v>
      </c>
      <c r="C1003" s="146" t="s">
        <v>153</v>
      </c>
      <c r="D1003" s="147" t="s">
        <v>153</v>
      </c>
      <c r="E1003" s="148" t="s">
        <v>19743</v>
      </c>
      <c r="F1003" s="149" t="s">
        <v>19744</v>
      </c>
      <c r="G1003" s="150" t="s">
        <v>19745</v>
      </c>
      <c r="H1003" s="151" t="s">
        <v>19746</v>
      </c>
      <c r="I1003" s="152" t="s">
        <v>19741</v>
      </c>
      <c r="J1003" s="153" t="s">
        <v>19747</v>
      </c>
      <c r="K1003" s="154" t="s">
        <v>198</v>
      </c>
      <c r="L1003" s="155" t="s">
        <v>984</v>
      </c>
      <c r="M1003" s="156" t="s">
        <v>1165</v>
      </c>
      <c r="N1003" s="157" t="s">
        <v>19748</v>
      </c>
      <c r="O1003" s="158" t="s">
        <v>19749</v>
      </c>
      <c r="P1003" s="159" t="s">
        <v>19750</v>
      </c>
      <c r="Q1003" s="160" t="s">
        <v>564</v>
      </c>
      <c r="R1003" s="161">
        <v>828</v>
      </c>
      <c r="S1003" s="162" t="s">
        <v>290</v>
      </c>
      <c r="T1003" s="163" t="s">
        <v>205</v>
      </c>
      <c r="U1003" s="164" t="s">
        <v>1169</v>
      </c>
      <c r="V1003" s="165" t="s">
        <v>19751</v>
      </c>
      <c r="W1003" s="166">
        <v>25000</v>
      </c>
      <c r="X1003" s="167" t="s">
        <v>19752</v>
      </c>
      <c r="Y1003" s="168" t="s">
        <v>153</v>
      </c>
      <c r="Z1003" s="169" t="s">
        <v>153</v>
      </c>
      <c r="AA1003" s="170">
        <v>1983</v>
      </c>
      <c r="AB1003" s="171" t="s">
        <v>153</v>
      </c>
      <c r="AC1003" s="172" t="s">
        <v>428</v>
      </c>
      <c r="AD1003" s="173" t="s">
        <v>570</v>
      </c>
      <c r="AE1003" s="174" t="s">
        <v>153</v>
      </c>
      <c r="AF1003" s="175" t="s">
        <v>153</v>
      </c>
      <c r="AG1003" s="176" t="s">
        <v>153</v>
      </c>
      <c r="AH1003" s="177" t="s">
        <v>153</v>
      </c>
      <c r="AI1003" s="178" t="s">
        <v>153</v>
      </c>
      <c r="AJ1003" s="179" t="s">
        <v>153</v>
      </c>
      <c r="AK1003" s="180" t="s">
        <v>153</v>
      </c>
      <c r="AL1003" s="181" t="s">
        <v>153</v>
      </c>
      <c r="AM1003" s="182" t="s">
        <v>153</v>
      </c>
      <c r="AN1003" s="183" t="s">
        <v>1595</v>
      </c>
      <c r="AO1003" s="184" t="s">
        <v>153</v>
      </c>
      <c r="AP1003" s="185" t="s">
        <v>153</v>
      </c>
      <c r="AQ1003" s="186" t="s">
        <v>153</v>
      </c>
      <c r="AR1003" s="187" t="s">
        <v>153</v>
      </c>
      <c r="AS1003" s="188" t="s">
        <v>153</v>
      </c>
      <c r="AT1003" s="189" t="s">
        <v>6058</v>
      </c>
      <c r="AU1003" s="190" t="s">
        <v>19753</v>
      </c>
      <c r="AV1003" s="191" t="s">
        <v>153</v>
      </c>
      <c r="AW1003" s="192" t="s">
        <v>6061</v>
      </c>
      <c r="AX1003" s="193" t="s">
        <v>2727</v>
      </c>
      <c r="AY1003" s="194" t="s">
        <v>6062</v>
      </c>
      <c r="AZ1003" s="195" t="s">
        <v>215</v>
      </c>
      <c r="BA1003" s="196" t="s">
        <v>153</v>
      </c>
      <c r="BB1003" s="197" t="s">
        <v>153</v>
      </c>
      <c r="BC1003" s="198" t="s">
        <v>153</v>
      </c>
      <c r="BD1003" s="199" t="s">
        <v>216</v>
      </c>
      <c r="BE1003" s="200" t="s">
        <v>217</v>
      </c>
      <c r="BF1003" s="201" t="s">
        <v>19754</v>
      </c>
      <c r="BG1003" s="202" t="s">
        <v>153</v>
      </c>
      <c r="BH1003" s="203" t="s">
        <v>153</v>
      </c>
      <c r="BI1003" s="204" t="s">
        <v>1066</v>
      </c>
      <c r="BJ1003" s="205" t="s">
        <v>19755</v>
      </c>
      <c r="BK1003" s="206" t="s">
        <v>153</v>
      </c>
      <c r="BL1003" s="207" t="s">
        <v>153</v>
      </c>
      <c r="BM1003" s="208" t="s">
        <v>19756</v>
      </c>
      <c r="BN1003" s="209" t="s">
        <v>153</v>
      </c>
      <c r="BO1003" s="210" t="s">
        <v>19757</v>
      </c>
      <c r="BP1003" s="211" t="s">
        <v>19758</v>
      </c>
      <c r="BQ1003" s="212">
        <v>31484</v>
      </c>
      <c r="BR1003" s="213" t="s">
        <v>153</v>
      </c>
      <c r="BS1003" s="214" t="s">
        <v>153</v>
      </c>
      <c r="BT1003" s="215" t="s">
        <v>153</v>
      </c>
      <c r="BU1003" s="216" t="s">
        <v>153</v>
      </c>
      <c r="BV1003" s="217" t="s">
        <v>251</v>
      </c>
      <c r="BW1003" s="218" t="s">
        <v>153</v>
      </c>
      <c r="BX1003" s="219" t="s">
        <v>153</v>
      </c>
      <c r="BY1003" s="220" t="s">
        <v>252</v>
      </c>
      <c r="BZ1003" s="221" t="s">
        <v>153</v>
      </c>
      <c r="CA1003" s="222" t="s">
        <v>190</v>
      </c>
      <c r="CB1003" s="223">
        <v>42338</v>
      </c>
      <c r="CC1003" s="224">
        <v>5079</v>
      </c>
      <c r="CD1003" s="225" t="s">
        <v>186</v>
      </c>
      <c r="CE1003" s="226">
        <v>5079</v>
      </c>
      <c r="CF1003" s="227" t="s">
        <v>187</v>
      </c>
      <c r="CG1003" s="228" t="s">
        <v>226</v>
      </c>
      <c r="CH1003" s="229" t="s">
        <v>153</v>
      </c>
      <c r="CI1003" s="230" t="s">
        <v>153</v>
      </c>
      <c r="CJ1003" s="231" t="s">
        <v>225</v>
      </c>
      <c r="CK1003" s="232">
        <v>42338</v>
      </c>
      <c r="CL1003" s="233" t="s">
        <v>153</v>
      </c>
      <c r="CM1003" s="234" t="s">
        <v>153</v>
      </c>
      <c r="CN1003" s="235" t="s">
        <v>190</v>
      </c>
      <c r="CO1003" s="236">
        <v>-0.02</v>
      </c>
      <c r="CP1003" s="237">
        <v>10</v>
      </c>
      <c r="CQ1003" s="238">
        <v>0</v>
      </c>
      <c r="CR1003" s="239">
        <v>0</v>
      </c>
      <c r="CS1003" s="240" t="s">
        <v>153</v>
      </c>
      <c r="CT1003" s="241" t="s">
        <v>153</v>
      </c>
      <c r="CU1003" s="242" t="s">
        <v>153</v>
      </c>
      <c r="CV1003" s="243" t="s">
        <v>153</v>
      </c>
      <c r="CW1003" s="244" t="s">
        <v>153</v>
      </c>
      <c r="CX1003" s="245" t="s">
        <v>153</v>
      </c>
      <c r="CY1003" s="246" t="s">
        <v>153</v>
      </c>
      <c r="CZ1003" s="247" t="s">
        <v>153</v>
      </c>
      <c r="DA1003" s="248" t="s">
        <v>153</v>
      </c>
      <c r="DB1003" s="249" t="s">
        <v>153</v>
      </c>
      <c r="DC1003" s="250">
        <v>675.68</v>
      </c>
      <c r="DD1003" s="251">
        <v>100</v>
      </c>
      <c r="DE1003" s="252">
        <v>0</v>
      </c>
      <c r="DF1003" s="253">
        <v>0</v>
      </c>
      <c r="DG1003" s="254" t="s">
        <v>153</v>
      </c>
      <c r="DH1003" s="255" t="s">
        <v>153</v>
      </c>
      <c r="DI1003" s="256" t="s">
        <v>153</v>
      </c>
      <c r="DJ1003" s="257" t="s">
        <v>153</v>
      </c>
      <c r="DK1003" s="258" t="s">
        <v>153</v>
      </c>
      <c r="DL1003" s="259" t="s">
        <v>153</v>
      </c>
      <c r="DM1003" s="260" t="s">
        <v>153</v>
      </c>
      <c r="DN1003" s="261" t="s">
        <v>153</v>
      </c>
      <c r="DO1003" s="262" t="s">
        <v>153</v>
      </c>
      <c r="DP1003" s="263" t="s">
        <v>153</v>
      </c>
      <c r="DQ1003" s="264" t="s">
        <v>153</v>
      </c>
      <c r="DR1003" s="265" t="s">
        <v>153</v>
      </c>
      <c r="DS1003" s="266" t="s">
        <v>153</v>
      </c>
      <c r="DT1003" s="267" t="s">
        <v>153</v>
      </c>
      <c r="DU1003" s="268" t="s">
        <v>153</v>
      </c>
      <c r="DV1003" s="269" t="s">
        <v>153</v>
      </c>
      <c r="DW1003" s="270" t="s">
        <v>153</v>
      </c>
      <c r="DX1003" s="271" t="s">
        <v>153</v>
      </c>
      <c r="DY1003" s="272" t="s">
        <v>153</v>
      </c>
      <c r="DZ1003" s="273" t="s">
        <v>191</v>
      </c>
      <c r="EA1003" s="274">
        <v>44364</v>
      </c>
      <c r="EB1003" s="275">
        <v>5079</v>
      </c>
      <c r="EC1003" s="276">
        <v>42338</v>
      </c>
      <c r="ED1003" s="277" t="s">
        <v>226</v>
      </c>
      <c r="EE1003" s="279" t="str">
        <f>HYPERLINK("https://my.pitchbook.com?c=10609-30", "View company online")</f>
        <v>View company online</v>
      </c>
    </row>
    <row r="1004" spans="1:135" x14ac:dyDescent="0.45">
      <c r="A1004" s="10" t="s">
        <v>19759</v>
      </c>
      <c r="B1004" s="11" t="s">
        <v>19760</v>
      </c>
      <c r="C1004" s="12" t="s">
        <v>153</v>
      </c>
      <c r="D1004" s="13" t="s">
        <v>153</v>
      </c>
      <c r="E1004" s="14" t="s">
        <v>19761</v>
      </c>
      <c r="F1004" s="15" t="s">
        <v>19762</v>
      </c>
      <c r="G1004" s="16" t="s">
        <v>19763</v>
      </c>
      <c r="H1004" s="17" t="s">
        <v>19764</v>
      </c>
      <c r="I1004" s="18" t="s">
        <v>19759</v>
      </c>
      <c r="J1004" s="19" t="s">
        <v>19765</v>
      </c>
      <c r="K1004" s="20" t="s">
        <v>232</v>
      </c>
      <c r="L1004" s="21" t="s">
        <v>362</v>
      </c>
      <c r="M1004" s="22" t="s">
        <v>362</v>
      </c>
      <c r="N1004" s="23" t="s">
        <v>19766</v>
      </c>
      <c r="O1004" s="24" t="s">
        <v>1234</v>
      </c>
      <c r="P1004" s="25" t="s">
        <v>19767</v>
      </c>
      <c r="Q1004" s="26" t="s">
        <v>204</v>
      </c>
      <c r="R1004" s="27">
        <v>225</v>
      </c>
      <c r="S1004" s="28" t="s">
        <v>163</v>
      </c>
      <c r="T1004" s="29" t="s">
        <v>164</v>
      </c>
      <c r="U1004" s="30" t="s">
        <v>482</v>
      </c>
      <c r="V1004" s="31" t="s">
        <v>19768</v>
      </c>
      <c r="W1004" s="32">
        <v>5000</v>
      </c>
      <c r="X1004" s="33" t="s">
        <v>19769</v>
      </c>
      <c r="Y1004" s="34" t="s">
        <v>153</v>
      </c>
      <c r="Z1004" s="35" t="s">
        <v>153</v>
      </c>
      <c r="AA1004" s="36" t="s">
        <v>153</v>
      </c>
      <c r="AB1004" s="37" t="s">
        <v>7575</v>
      </c>
      <c r="AC1004" s="38" t="s">
        <v>153</v>
      </c>
      <c r="AD1004" s="39" t="s">
        <v>428</v>
      </c>
      <c r="AE1004" s="40" t="s">
        <v>153</v>
      </c>
      <c r="AF1004" s="41" t="s">
        <v>153</v>
      </c>
      <c r="AG1004" s="42" t="s">
        <v>153</v>
      </c>
      <c r="AH1004" s="43" t="s">
        <v>153</v>
      </c>
      <c r="AI1004" s="44" t="s">
        <v>153</v>
      </c>
      <c r="AJ1004" s="45" t="s">
        <v>153</v>
      </c>
      <c r="AK1004" s="46" t="s">
        <v>153</v>
      </c>
      <c r="AL1004" s="47" t="s">
        <v>153</v>
      </c>
      <c r="AM1004" s="48" t="s">
        <v>153</v>
      </c>
      <c r="AN1004" s="49" t="s">
        <v>1442</v>
      </c>
      <c r="AO1004" s="50" t="s">
        <v>19770</v>
      </c>
      <c r="AP1004" s="51" t="s">
        <v>19771</v>
      </c>
      <c r="AQ1004" s="52" t="s">
        <v>19772</v>
      </c>
      <c r="AR1004" s="53" t="s">
        <v>153</v>
      </c>
      <c r="AS1004" s="54" t="s">
        <v>19773</v>
      </c>
      <c r="AT1004" s="55" t="s">
        <v>1071</v>
      </c>
      <c r="AU1004" s="56" t="s">
        <v>19774</v>
      </c>
      <c r="AV1004" s="57" t="s">
        <v>19775</v>
      </c>
      <c r="AW1004" s="58" t="s">
        <v>1074</v>
      </c>
      <c r="AX1004" s="59" t="s">
        <v>177</v>
      </c>
      <c r="AY1004" s="60" t="s">
        <v>19776</v>
      </c>
      <c r="AZ1004" s="61" t="s">
        <v>179</v>
      </c>
      <c r="BA1004" s="62" t="s">
        <v>19777</v>
      </c>
      <c r="BB1004" s="63" t="s">
        <v>153</v>
      </c>
      <c r="BC1004" s="64" t="s">
        <v>19778</v>
      </c>
      <c r="BD1004" s="65" t="s">
        <v>180</v>
      </c>
      <c r="BE1004" s="66" t="s">
        <v>181</v>
      </c>
      <c r="BF1004" s="67" t="s">
        <v>19779</v>
      </c>
      <c r="BG1004" s="68" t="s">
        <v>153</v>
      </c>
      <c r="BH1004" s="69" t="s">
        <v>153</v>
      </c>
      <c r="BI1004" s="70" t="s">
        <v>7575</v>
      </c>
      <c r="BJ1004" s="71" t="s">
        <v>19780</v>
      </c>
      <c r="BK1004" s="72" t="s">
        <v>153</v>
      </c>
      <c r="BL1004" s="73" t="s">
        <v>153</v>
      </c>
      <c r="BM1004" s="74" t="s">
        <v>19781</v>
      </c>
      <c r="BN1004" s="75" t="s">
        <v>153</v>
      </c>
      <c r="BO1004" s="76" t="s">
        <v>19782</v>
      </c>
      <c r="BP1004" s="77" t="s">
        <v>19783</v>
      </c>
      <c r="BQ1004" s="78">
        <v>36116</v>
      </c>
      <c r="BR1004" s="79" t="s">
        <v>153</v>
      </c>
      <c r="BS1004" s="80" t="s">
        <v>153</v>
      </c>
      <c r="BT1004" s="81" t="s">
        <v>153</v>
      </c>
      <c r="BU1004" s="82" t="s">
        <v>153</v>
      </c>
      <c r="BV1004" s="83" t="s">
        <v>251</v>
      </c>
      <c r="BW1004" s="84" t="s">
        <v>153</v>
      </c>
      <c r="BX1004" s="85" t="s">
        <v>153</v>
      </c>
      <c r="BY1004" s="86" t="s">
        <v>252</v>
      </c>
      <c r="BZ1004" s="87" t="s">
        <v>153</v>
      </c>
      <c r="CA1004" s="88" t="s">
        <v>190</v>
      </c>
      <c r="CB1004" s="89">
        <v>43406</v>
      </c>
      <c r="CC1004" s="90">
        <v>5077.53</v>
      </c>
      <c r="CD1004" s="91" t="s">
        <v>187</v>
      </c>
      <c r="CE1004" s="92">
        <v>5077.53</v>
      </c>
      <c r="CF1004" s="93" t="s">
        <v>187</v>
      </c>
      <c r="CG1004" s="94" t="s">
        <v>226</v>
      </c>
      <c r="CH1004" s="95" t="s">
        <v>153</v>
      </c>
      <c r="CI1004" s="96" t="s">
        <v>153</v>
      </c>
      <c r="CJ1004" s="97" t="s">
        <v>225</v>
      </c>
      <c r="CK1004" s="98">
        <v>43406</v>
      </c>
      <c r="CL1004" s="99" t="s">
        <v>153</v>
      </c>
      <c r="CM1004" s="100" t="s">
        <v>153</v>
      </c>
      <c r="CN1004" s="101" t="s">
        <v>190</v>
      </c>
      <c r="CO1004" s="102">
        <v>-0.28999999999999998</v>
      </c>
      <c r="CP1004" s="103">
        <v>6</v>
      </c>
      <c r="CQ1004" s="104">
        <v>-0.11</v>
      </c>
      <c r="CR1004" s="105">
        <v>-64</v>
      </c>
      <c r="CS1004" s="106">
        <v>-0.48</v>
      </c>
      <c r="CT1004" s="107">
        <v>5</v>
      </c>
      <c r="CU1004" s="108">
        <v>-0.09</v>
      </c>
      <c r="CV1004" s="109">
        <v>21</v>
      </c>
      <c r="CW1004" s="110" t="s">
        <v>153</v>
      </c>
      <c r="CX1004" s="111" t="s">
        <v>153</v>
      </c>
      <c r="CY1004" s="112">
        <v>-0.48</v>
      </c>
      <c r="CZ1004" s="113">
        <v>2</v>
      </c>
      <c r="DA1004" s="114">
        <v>-0.09</v>
      </c>
      <c r="DB1004" s="115">
        <v>21</v>
      </c>
      <c r="DC1004" s="116">
        <v>10.94</v>
      </c>
      <c r="DD1004" s="117">
        <v>92</v>
      </c>
      <c r="DE1004" s="118">
        <v>-0.06</v>
      </c>
      <c r="DF1004" s="119">
        <v>-0.53</v>
      </c>
      <c r="DG1004" s="120">
        <v>20.56</v>
      </c>
      <c r="DH1004" s="121">
        <v>96</v>
      </c>
      <c r="DI1004" s="122">
        <v>1.32</v>
      </c>
      <c r="DJ1004" s="123">
        <v>55</v>
      </c>
      <c r="DK1004" s="124" t="s">
        <v>153</v>
      </c>
      <c r="DL1004" s="125" t="s">
        <v>153</v>
      </c>
      <c r="DM1004" s="126">
        <v>20.56</v>
      </c>
      <c r="DN1004" s="127">
        <v>95</v>
      </c>
      <c r="DO1004" s="128">
        <v>1.32</v>
      </c>
      <c r="DP1004" s="129">
        <v>55</v>
      </c>
      <c r="DQ1004" s="130">
        <v>523</v>
      </c>
      <c r="DR1004" s="131">
        <v>-168</v>
      </c>
      <c r="DS1004" s="132">
        <v>-24.31</v>
      </c>
      <c r="DT1004" s="133">
        <v>329</v>
      </c>
      <c r="DU1004" s="134">
        <v>-2</v>
      </c>
      <c r="DV1004" s="135">
        <v>-0.6</v>
      </c>
      <c r="DW1004" s="136">
        <v>414</v>
      </c>
      <c r="DX1004" s="137">
        <v>-1</v>
      </c>
      <c r="DY1004" s="138">
        <v>-0.24</v>
      </c>
      <c r="DZ1004" s="139" t="s">
        <v>191</v>
      </c>
      <c r="EA1004" s="140">
        <v>44382</v>
      </c>
      <c r="EB1004" s="141">
        <v>5077.53</v>
      </c>
      <c r="EC1004" s="142">
        <v>43406</v>
      </c>
      <c r="ED1004" s="143" t="s">
        <v>226</v>
      </c>
      <c r="EE1004" s="278" t="str">
        <f>HYPERLINK("https://my.pitchbook.com?c=49787-83", "View company online")</f>
        <v>View company online</v>
      </c>
    </row>
    <row r="1005" spans="1:135" x14ac:dyDescent="0.45">
      <c r="A1005" s="144" t="s">
        <v>19784</v>
      </c>
      <c r="B1005" s="145" t="s">
        <v>19785</v>
      </c>
      <c r="C1005" s="146" t="s">
        <v>153</v>
      </c>
      <c r="D1005" s="147" t="s">
        <v>153</v>
      </c>
      <c r="E1005" s="148" t="s">
        <v>153</v>
      </c>
      <c r="F1005" s="149" t="s">
        <v>19786</v>
      </c>
      <c r="G1005" s="150" t="s">
        <v>19787</v>
      </c>
      <c r="H1005" s="151" t="s">
        <v>153</v>
      </c>
      <c r="I1005" s="152" t="s">
        <v>19784</v>
      </c>
      <c r="J1005" s="153" t="s">
        <v>19788</v>
      </c>
      <c r="K1005" s="154" t="s">
        <v>157</v>
      </c>
      <c r="L1005" s="155" t="s">
        <v>2713</v>
      </c>
      <c r="M1005" s="156" t="s">
        <v>2922</v>
      </c>
      <c r="N1005" s="157" t="s">
        <v>19789</v>
      </c>
      <c r="O1005" s="158" t="s">
        <v>6325</v>
      </c>
      <c r="P1005" s="159" t="s">
        <v>19790</v>
      </c>
      <c r="Q1005" s="160" t="s">
        <v>564</v>
      </c>
      <c r="R1005" s="161">
        <v>2055.9</v>
      </c>
      <c r="S1005" s="162" t="s">
        <v>290</v>
      </c>
      <c r="T1005" s="163" t="s">
        <v>291</v>
      </c>
      <c r="U1005" s="164" t="s">
        <v>452</v>
      </c>
      <c r="V1005" s="165" t="s">
        <v>19791</v>
      </c>
      <c r="W1005" s="166">
        <v>11239</v>
      </c>
      <c r="X1005" s="167" t="s">
        <v>19792</v>
      </c>
      <c r="Y1005" s="168" t="s">
        <v>12313</v>
      </c>
      <c r="Z1005" s="169" t="s">
        <v>19793</v>
      </c>
      <c r="AA1005" s="170">
        <v>1999</v>
      </c>
      <c r="AB1005" s="171" t="s">
        <v>153</v>
      </c>
      <c r="AC1005" s="172" t="s">
        <v>153</v>
      </c>
      <c r="AD1005" s="173" t="s">
        <v>153</v>
      </c>
      <c r="AE1005" s="174">
        <v>1459.81</v>
      </c>
      <c r="AF1005" s="175">
        <v>649.97</v>
      </c>
      <c r="AG1005" s="176">
        <v>253.62</v>
      </c>
      <c r="AH1005" s="177">
        <v>7325.37</v>
      </c>
      <c r="AI1005" s="178">
        <v>417.71</v>
      </c>
      <c r="AJ1005" s="179">
        <v>417.71</v>
      </c>
      <c r="AK1005" s="180">
        <v>5417.58</v>
      </c>
      <c r="AL1005" s="181">
        <v>3011.95</v>
      </c>
      <c r="AM1005" s="182">
        <v>3.97</v>
      </c>
      <c r="AN1005" s="183" t="s">
        <v>376</v>
      </c>
      <c r="AO1005" s="184" t="s">
        <v>19794</v>
      </c>
      <c r="AP1005" s="185" t="s">
        <v>19795</v>
      </c>
      <c r="AQ1005" s="186" t="s">
        <v>994</v>
      </c>
      <c r="AR1005" s="187" t="s">
        <v>19796</v>
      </c>
      <c r="AS1005" s="188" t="s">
        <v>19797</v>
      </c>
      <c r="AT1005" s="189" t="s">
        <v>3972</v>
      </c>
      <c r="AU1005" s="190" t="s">
        <v>19798</v>
      </c>
      <c r="AV1005" s="191" t="s">
        <v>19799</v>
      </c>
      <c r="AW1005" s="192" t="s">
        <v>3974</v>
      </c>
      <c r="AX1005" s="193" t="s">
        <v>153</v>
      </c>
      <c r="AY1005" s="194" t="s">
        <v>153</v>
      </c>
      <c r="AZ1005" s="195" t="s">
        <v>1519</v>
      </c>
      <c r="BA1005" s="196" t="s">
        <v>19797</v>
      </c>
      <c r="BB1005" s="197" t="s">
        <v>153</v>
      </c>
      <c r="BC1005" s="198" t="s">
        <v>153</v>
      </c>
      <c r="BD1005" s="199" t="s">
        <v>1406</v>
      </c>
      <c r="BE1005" s="200" t="s">
        <v>1407</v>
      </c>
      <c r="BF1005" s="201" t="s">
        <v>19800</v>
      </c>
      <c r="BG1005" s="202" t="s">
        <v>153</v>
      </c>
      <c r="BH1005" s="203" t="s">
        <v>153</v>
      </c>
      <c r="BI1005" s="204" t="s">
        <v>19801</v>
      </c>
      <c r="BJ1005" s="205" t="s">
        <v>19802</v>
      </c>
      <c r="BK1005" s="206" t="s">
        <v>153</v>
      </c>
      <c r="BL1005" s="207" t="s">
        <v>153</v>
      </c>
      <c r="BM1005" s="208" t="s">
        <v>19803</v>
      </c>
      <c r="BN1005" s="209" t="s">
        <v>153</v>
      </c>
      <c r="BO1005" s="210" t="s">
        <v>153</v>
      </c>
      <c r="BP1005" s="211" t="s">
        <v>153</v>
      </c>
      <c r="BQ1005" s="212">
        <v>43152</v>
      </c>
      <c r="BR1005" s="213">
        <v>2055.9</v>
      </c>
      <c r="BS1005" s="214" t="s">
        <v>186</v>
      </c>
      <c r="BT1005" s="215">
        <v>5710.81</v>
      </c>
      <c r="BU1005" s="216" t="s">
        <v>187</v>
      </c>
      <c r="BV1005" s="217" t="s">
        <v>709</v>
      </c>
      <c r="BW1005" s="218" t="s">
        <v>153</v>
      </c>
      <c r="BX1005" s="219" t="s">
        <v>153</v>
      </c>
      <c r="BY1005" s="220" t="s">
        <v>165</v>
      </c>
      <c r="BZ1005" s="221" t="s">
        <v>153</v>
      </c>
      <c r="CA1005" s="222" t="s">
        <v>190</v>
      </c>
      <c r="CB1005" s="223">
        <v>43825</v>
      </c>
      <c r="CC1005" s="224">
        <v>5077</v>
      </c>
      <c r="CD1005" s="225" t="s">
        <v>186</v>
      </c>
      <c r="CE1005" s="226" t="s">
        <v>153</v>
      </c>
      <c r="CF1005" s="227" t="s">
        <v>153</v>
      </c>
      <c r="CG1005" s="228" t="s">
        <v>748</v>
      </c>
      <c r="CH1005" s="229" t="s">
        <v>153</v>
      </c>
      <c r="CI1005" s="230" t="s">
        <v>153</v>
      </c>
      <c r="CJ1005" s="231" t="s">
        <v>225</v>
      </c>
      <c r="CK1005" s="232">
        <v>43825</v>
      </c>
      <c r="CL1005" s="233" t="s">
        <v>153</v>
      </c>
      <c r="CM1005" s="234" t="s">
        <v>153</v>
      </c>
      <c r="CN1005" s="235" t="s">
        <v>190</v>
      </c>
      <c r="CO1005" s="236">
        <v>-1.43</v>
      </c>
      <c r="CP1005" s="237">
        <v>3</v>
      </c>
      <c r="CQ1005" s="238">
        <v>-0.21</v>
      </c>
      <c r="CR1005" s="239">
        <v>-17.440000000000001</v>
      </c>
      <c r="CS1005" s="240">
        <v>-1.43</v>
      </c>
      <c r="CT1005" s="241">
        <v>3</v>
      </c>
      <c r="CU1005" s="242" t="s">
        <v>153</v>
      </c>
      <c r="CV1005" s="243" t="s">
        <v>153</v>
      </c>
      <c r="CW1005" s="244" t="s">
        <v>153</v>
      </c>
      <c r="CX1005" s="245" t="s">
        <v>153</v>
      </c>
      <c r="CY1005" s="246">
        <v>-1.43</v>
      </c>
      <c r="CZ1005" s="247">
        <v>1</v>
      </c>
      <c r="DA1005" s="248" t="s">
        <v>153</v>
      </c>
      <c r="DB1005" s="249" t="s">
        <v>153</v>
      </c>
      <c r="DC1005" s="250">
        <v>214.56</v>
      </c>
      <c r="DD1005" s="251">
        <v>100</v>
      </c>
      <c r="DE1005" s="252">
        <v>-3.25</v>
      </c>
      <c r="DF1005" s="253">
        <v>-1.49</v>
      </c>
      <c r="DG1005" s="254">
        <v>214.56</v>
      </c>
      <c r="DH1005" s="255">
        <v>100</v>
      </c>
      <c r="DI1005" s="256" t="s">
        <v>153</v>
      </c>
      <c r="DJ1005" s="257" t="s">
        <v>153</v>
      </c>
      <c r="DK1005" s="258" t="s">
        <v>153</v>
      </c>
      <c r="DL1005" s="259" t="s">
        <v>153</v>
      </c>
      <c r="DM1005" s="260">
        <v>214.56</v>
      </c>
      <c r="DN1005" s="261">
        <v>100</v>
      </c>
      <c r="DO1005" s="262" t="s">
        <v>153</v>
      </c>
      <c r="DP1005" s="263" t="s">
        <v>153</v>
      </c>
      <c r="DQ1005" s="264" t="s">
        <v>153</v>
      </c>
      <c r="DR1005" s="265" t="s">
        <v>153</v>
      </c>
      <c r="DS1005" s="266" t="s">
        <v>153</v>
      </c>
      <c r="DT1005" s="267">
        <v>3454</v>
      </c>
      <c r="DU1005" s="268">
        <v>-56</v>
      </c>
      <c r="DV1005" s="269">
        <v>-1.6</v>
      </c>
      <c r="DW1005" s="270" t="s">
        <v>153</v>
      </c>
      <c r="DX1005" s="271" t="s">
        <v>153</v>
      </c>
      <c r="DY1005" s="272" t="s">
        <v>153</v>
      </c>
      <c r="DZ1005" s="273" t="s">
        <v>191</v>
      </c>
      <c r="EA1005" s="274">
        <v>44321</v>
      </c>
      <c r="EB1005" s="275">
        <v>5710.81</v>
      </c>
      <c r="EC1005" s="276">
        <v>43152</v>
      </c>
      <c r="ED1005" s="277" t="s">
        <v>709</v>
      </c>
      <c r="EE1005" s="279" t="str">
        <f>HYPERLINK("https://my.pitchbook.com?c=225792-64", "View company online")</f>
        <v>View company online</v>
      </c>
    </row>
    <row r="1006" spans="1:135" x14ac:dyDescent="0.45">
      <c r="A1006" s="10" t="s">
        <v>19804</v>
      </c>
      <c r="B1006" s="11" t="s">
        <v>19805</v>
      </c>
      <c r="C1006" s="12" t="s">
        <v>153</v>
      </c>
      <c r="D1006" s="13" t="s">
        <v>153</v>
      </c>
      <c r="E1006" s="14" t="s">
        <v>153</v>
      </c>
      <c r="F1006" s="15" t="s">
        <v>153</v>
      </c>
      <c r="G1006" s="16" t="s">
        <v>153</v>
      </c>
      <c r="H1006" s="17" t="s">
        <v>153</v>
      </c>
      <c r="I1006" s="18" t="s">
        <v>19804</v>
      </c>
      <c r="J1006" s="19" t="s">
        <v>19806</v>
      </c>
      <c r="K1006" s="20" t="s">
        <v>882</v>
      </c>
      <c r="L1006" s="21" t="s">
        <v>2888</v>
      </c>
      <c r="M1006" s="22" t="s">
        <v>2889</v>
      </c>
      <c r="N1006" s="23" t="s">
        <v>2890</v>
      </c>
      <c r="O1006" s="24" t="s">
        <v>153</v>
      </c>
      <c r="P1006" s="25" t="s">
        <v>19807</v>
      </c>
      <c r="Q1006" s="26" t="s">
        <v>1487</v>
      </c>
      <c r="R1006" s="27" t="s">
        <v>153</v>
      </c>
      <c r="S1006" s="28" t="s">
        <v>153</v>
      </c>
      <c r="T1006" s="29" t="s">
        <v>1488</v>
      </c>
      <c r="U1006" s="30" t="s">
        <v>206</v>
      </c>
      <c r="V1006" s="31" t="s">
        <v>153</v>
      </c>
      <c r="W1006" s="32">
        <v>280</v>
      </c>
      <c r="X1006" s="33" t="s">
        <v>19808</v>
      </c>
      <c r="Y1006" s="34" t="s">
        <v>153</v>
      </c>
      <c r="Z1006" s="35" t="s">
        <v>153</v>
      </c>
      <c r="AA1006" s="36" t="s">
        <v>153</v>
      </c>
      <c r="AB1006" s="37" t="s">
        <v>153</v>
      </c>
      <c r="AC1006" s="38" t="s">
        <v>153</v>
      </c>
      <c r="AD1006" s="39" t="s">
        <v>428</v>
      </c>
      <c r="AE1006" s="40" t="s">
        <v>153</v>
      </c>
      <c r="AF1006" s="41" t="s">
        <v>153</v>
      </c>
      <c r="AG1006" s="42" t="s">
        <v>153</v>
      </c>
      <c r="AH1006" s="43" t="s">
        <v>153</v>
      </c>
      <c r="AI1006" s="44" t="s">
        <v>153</v>
      </c>
      <c r="AJ1006" s="45" t="s">
        <v>153</v>
      </c>
      <c r="AK1006" s="46" t="s">
        <v>153</v>
      </c>
      <c r="AL1006" s="47" t="s">
        <v>153</v>
      </c>
      <c r="AM1006" s="48" t="s">
        <v>153</v>
      </c>
      <c r="AN1006" s="49" t="s">
        <v>153</v>
      </c>
      <c r="AO1006" s="50" t="s">
        <v>153</v>
      </c>
      <c r="AP1006" s="51" t="s">
        <v>153</v>
      </c>
      <c r="AQ1006" s="52" t="s">
        <v>153</v>
      </c>
      <c r="AR1006" s="53" t="s">
        <v>153</v>
      </c>
      <c r="AS1006" s="54" t="s">
        <v>153</v>
      </c>
      <c r="AT1006" s="55" t="s">
        <v>624</v>
      </c>
      <c r="AU1006" s="56" t="s">
        <v>19809</v>
      </c>
      <c r="AV1006" s="57" t="s">
        <v>19810</v>
      </c>
      <c r="AW1006" s="58" t="s">
        <v>627</v>
      </c>
      <c r="AX1006" s="59" t="s">
        <v>153</v>
      </c>
      <c r="AY1006" s="60" t="s">
        <v>19811</v>
      </c>
      <c r="AZ1006" s="61" t="s">
        <v>629</v>
      </c>
      <c r="BA1006" s="62" t="s">
        <v>153</v>
      </c>
      <c r="BB1006" s="63" t="s">
        <v>153</v>
      </c>
      <c r="BC1006" s="64" t="s">
        <v>153</v>
      </c>
      <c r="BD1006" s="65" t="s">
        <v>180</v>
      </c>
      <c r="BE1006" s="66" t="s">
        <v>181</v>
      </c>
      <c r="BF1006" s="67" t="s">
        <v>19812</v>
      </c>
      <c r="BG1006" s="68" t="s">
        <v>19813</v>
      </c>
      <c r="BH1006" s="69">
        <v>1</v>
      </c>
      <c r="BI1006" s="70" t="s">
        <v>153</v>
      </c>
      <c r="BJ1006" s="71" t="s">
        <v>153</v>
      </c>
      <c r="BK1006" s="72" t="s">
        <v>19814</v>
      </c>
      <c r="BL1006" s="73" t="s">
        <v>19815</v>
      </c>
      <c r="BM1006" s="74" t="s">
        <v>153</v>
      </c>
      <c r="BN1006" s="75" t="s">
        <v>19816</v>
      </c>
      <c r="BO1006" s="76" t="s">
        <v>153</v>
      </c>
      <c r="BP1006" s="77" t="s">
        <v>153</v>
      </c>
      <c r="BQ1006" s="78">
        <v>44375</v>
      </c>
      <c r="BR1006" s="79">
        <v>5066.76</v>
      </c>
      <c r="BS1006" s="80" t="s">
        <v>187</v>
      </c>
      <c r="BT1006" s="81">
        <v>5066.76</v>
      </c>
      <c r="BU1006" s="82" t="s">
        <v>187</v>
      </c>
      <c r="BV1006" s="83" t="s">
        <v>1524</v>
      </c>
      <c r="BW1006" s="84" t="s">
        <v>1525</v>
      </c>
      <c r="BX1006" s="85" t="s">
        <v>1526</v>
      </c>
      <c r="BY1006" s="86" t="s">
        <v>225</v>
      </c>
      <c r="BZ1006" s="87" t="s">
        <v>153</v>
      </c>
      <c r="CA1006" s="88" t="s">
        <v>1278</v>
      </c>
      <c r="CB1006" s="89">
        <v>44375</v>
      </c>
      <c r="CC1006" s="90">
        <v>5066.76</v>
      </c>
      <c r="CD1006" s="91" t="s">
        <v>187</v>
      </c>
      <c r="CE1006" s="92">
        <v>5066.76</v>
      </c>
      <c r="CF1006" s="93" t="s">
        <v>187</v>
      </c>
      <c r="CG1006" s="94" t="s">
        <v>1524</v>
      </c>
      <c r="CH1006" s="95" t="s">
        <v>1525</v>
      </c>
      <c r="CI1006" s="96" t="s">
        <v>1526</v>
      </c>
      <c r="CJ1006" s="97" t="s">
        <v>225</v>
      </c>
      <c r="CK1006" s="98">
        <v>44375</v>
      </c>
      <c r="CL1006" s="99" t="s">
        <v>153</v>
      </c>
      <c r="CM1006" s="100" t="s">
        <v>153</v>
      </c>
      <c r="CN1006" s="101" t="s">
        <v>1278</v>
      </c>
      <c r="CO1006" s="102" t="s">
        <v>153</v>
      </c>
      <c r="CP1006" s="103" t="s">
        <v>153</v>
      </c>
      <c r="CQ1006" s="104" t="s">
        <v>153</v>
      </c>
      <c r="CR1006" s="105" t="s">
        <v>153</v>
      </c>
      <c r="CS1006" s="106" t="s">
        <v>153</v>
      </c>
      <c r="CT1006" s="107" t="s">
        <v>153</v>
      </c>
      <c r="CU1006" s="108" t="s">
        <v>153</v>
      </c>
      <c r="CV1006" s="109" t="s">
        <v>153</v>
      </c>
      <c r="CW1006" s="110" t="s">
        <v>153</v>
      </c>
      <c r="CX1006" s="111" t="s">
        <v>153</v>
      </c>
      <c r="CY1006" s="112" t="s">
        <v>153</v>
      </c>
      <c r="CZ1006" s="113" t="s">
        <v>153</v>
      </c>
      <c r="DA1006" s="114" t="s">
        <v>153</v>
      </c>
      <c r="DB1006" s="115" t="s">
        <v>153</v>
      </c>
      <c r="DC1006" s="116" t="s">
        <v>153</v>
      </c>
      <c r="DD1006" s="117" t="s">
        <v>153</v>
      </c>
      <c r="DE1006" s="118" t="s">
        <v>153</v>
      </c>
      <c r="DF1006" s="119" t="s">
        <v>153</v>
      </c>
      <c r="DG1006" s="120" t="s">
        <v>153</v>
      </c>
      <c r="DH1006" s="121" t="s">
        <v>153</v>
      </c>
      <c r="DI1006" s="122" t="s">
        <v>153</v>
      </c>
      <c r="DJ1006" s="123" t="s">
        <v>153</v>
      </c>
      <c r="DK1006" s="124" t="s">
        <v>153</v>
      </c>
      <c r="DL1006" s="125" t="s">
        <v>153</v>
      </c>
      <c r="DM1006" s="126" t="s">
        <v>153</v>
      </c>
      <c r="DN1006" s="127" t="s">
        <v>153</v>
      </c>
      <c r="DO1006" s="128" t="s">
        <v>153</v>
      </c>
      <c r="DP1006" s="129" t="s">
        <v>153</v>
      </c>
      <c r="DQ1006" s="130" t="s">
        <v>153</v>
      </c>
      <c r="DR1006" s="131" t="s">
        <v>153</v>
      </c>
      <c r="DS1006" s="132" t="s">
        <v>153</v>
      </c>
      <c r="DT1006" s="133" t="s">
        <v>153</v>
      </c>
      <c r="DU1006" s="134" t="s">
        <v>153</v>
      </c>
      <c r="DV1006" s="135" t="s">
        <v>153</v>
      </c>
      <c r="DW1006" s="136" t="s">
        <v>153</v>
      </c>
      <c r="DX1006" s="137" t="s">
        <v>153</v>
      </c>
      <c r="DY1006" s="138" t="s">
        <v>153</v>
      </c>
      <c r="DZ1006" s="139" t="s">
        <v>191</v>
      </c>
      <c r="EA1006" s="140">
        <v>44375</v>
      </c>
      <c r="EB1006" s="141">
        <v>5066.76</v>
      </c>
      <c r="EC1006" s="142">
        <v>44375</v>
      </c>
      <c r="ED1006" s="143" t="s">
        <v>1524</v>
      </c>
      <c r="EE1006" s="278" t="str">
        <f>HYPERLINK("https://my.pitchbook.com?c=465957-37", "View company online")</f>
        <v>View company online</v>
      </c>
    </row>
    <row r="1007" spans="1:135" x14ac:dyDescent="0.45">
      <c r="A1007" s="144" t="s">
        <v>19817</v>
      </c>
      <c r="B1007" s="145" t="s">
        <v>19818</v>
      </c>
      <c r="C1007" s="146" t="s">
        <v>153</v>
      </c>
      <c r="D1007" s="147" t="s">
        <v>153</v>
      </c>
      <c r="E1007" s="148" t="s">
        <v>153</v>
      </c>
      <c r="F1007" s="149" t="s">
        <v>153</v>
      </c>
      <c r="G1007" s="150" t="s">
        <v>19819</v>
      </c>
      <c r="H1007" s="151" t="s">
        <v>153</v>
      </c>
      <c r="I1007" s="152" t="s">
        <v>19817</v>
      </c>
      <c r="J1007" s="153" t="s">
        <v>19820</v>
      </c>
      <c r="K1007" s="154" t="s">
        <v>232</v>
      </c>
      <c r="L1007" s="155" t="s">
        <v>362</v>
      </c>
      <c r="M1007" s="156" t="s">
        <v>363</v>
      </c>
      <c r="N1007" s="157" t="s">
        <v>19821</v>
      </c>
      <c r="O1007" s="158" t="s">
        <v>1234</v>
      </c>
      <c r="P1007" s="159" t="s">
        <v>19822</v>
      </c>
      <c r="Q1007" s="160" t="s">
        <v>204</v>
      </c>
      <c r="R1007" s="161" t="s">
        <v>153</v>
      </c>
      <c r="S1007" s="162" t="s">
        <v>163</v>
      </c>
      <c r="T1007" s="163" t="s">
        <v>205</v>
      </c>
      <c r="U1007" s="164" t="s">
        <v>237</v>
      </c>
      <c r="V1007" s="165" t="s">
        <v>19823</v>
      </c>
      <c r="W1007" s="166">
        <v>15933</v>
      </c>
      <c r="X1007" s="167" t="s">
        <v>19824</v>
      </c>
      <c r="Y1007" s="168" t="s">
        <v>153</v>
      </c>
      <c r="Z1007" s="169" t="s">
        <v>153</v>
      </c>
      <c r="AA1007" s="170">
        <v>1997</v>
      </c>
      <c r="AB1007" s="171" t="s">
        <v>153</v>
      </c>
      <c r="AC1007" s="172" t="s">
        <v>153</v>
      </c>
      <c r="AD1007" s="173" t="s">
        <v>153</v>
      </c>
      <c r="AE1007" s="174" t="s">
        <v>153</v>
      </c>
      <c r="AF1007" s="175" t="s">
        <v>153</v>
      </c>
      <c r="AG1007" s="176" t="s">
        <v>153</v>
      </c>
      <c r="AH1007" s="177" t="s">
        <v>153</v>
      </c>
      <c r="AI1007" s="178" t="s">
        <v>153</v>
      </c>
      <c r="AJ1007" s="179" t="s">
        <v>153</v>
      </c>
      <c r="AK1007" s="180" t="s">
        <v>153</v>
      </c>
      <c r="AL1007" s="181" t="s">
        <v>153</v>
      </c>
      <c r="AM1007" s="182" t="s">
        <v>153</v>
      </c>
      <c r="AN1007" s="183" t="s">
        <v>4414</v>
      </c>
      <c r="AO1007" s="184" t="s">
        <v>153</v>
      </c>
      <c r="AP1007" s="185" t="s">
        <v>153</v>
      </c>
      <c r="AQ1007" s="186" t="s">
        <v>153</v>
      </c>
      <c r="AR1007" s="187" t="s">
        <v>153</v>
      </c>
      <c r="AS1007" s="188" t="s">
        <v>153</v>
      </c>
      <c r="AT1007" s="189" t="s">
        <v>331</v>
      </c>
      <c r="AU1007" s="190" t="s">
        <v>19825</v>
      </c>
      <c r="AV1007" s="191" t="s">
        <v>153</v>
      </c>
      <c r="AW1007" s="192" t="s">
        <v>333</v>
      </c>
      <c r="AX1007" s="193" t="s">
        <v>153</v>
      </c>
      <c r="AY1007" s="194" t="s">
        <v>19826</v>
      </c>
      <c r="AZ1007" s="195" t="s">
        <v>335</v>
      </c>
      <c r="BA1007" s="196" t="s">
        <v>153</v>
      </c>
      <c r="BB1007" s="197" t="s">
        <v>153</v>
      </c>
      <c r="BC1007" s="198" t="s">
        <v>153</v>
      </c>
      <c r="BD1007" s="199" t="s">
        <v>180</v>
      </c>
      <c r="BE1007" s="200" t="s">
        <v>181</v>
      </c>
      <c r="BF1007" s="201" t="s">
        <v>19827</v>
      </c>
      <c r="BG1007" s="202" t="s">
        <v>153</v>
      </c>
      <c r="BH1007" s="203" t="s">
        <v>153</v>
      </c>
      <c r="BI1007" s="204" t="s">
        <v>19828</v>
      </c>
      <c r="BJ1007" s="205" t="s">
        <v>153</v>
      </c>
      <c r="BK1007" s="206" t="s">
        <v>153</v>
      </c>
      <c r="BL1007" s="207" t="s">
        <v>153</v>
      </c>
      <c r="BM1007" s="208" t="s">
        <v>153</v>
      </c>
      <c r="BN1007" s="209" t="s">
        <v>153</v>
      </c>
      <c r="BO1007" s="210" t="s">
        <v>153</v>
      </c>
      <c r="BP1007" s="211" t="s">
        <v>153</v>
      </c>
      <c r="BQ1007" s="212">
        <v>35536</v>
      </c>
      <c r="BR1007" s="213" t="s">
        <v>153</v>
      </c>
      <c r="BS1007" s="214" t="s">
        <v>153</v>
      </c>
      <c r="BT1007" s="215" t="s">
        <v>153</v>
      </c>
      <c r="BU1007" s="216" t="s">
        <v>153</v>
      </c>
      <c r="BV1007" s="217" t="s">
        <v>251</v>
      </c>
      <c r="BW1007" s="218" t="s">
        <v>524</v>
      </c>
      <c r="BX1007" s="219" t="s">
        <v>153</v>
      </c>
      <c r="BY1007" s="220" t="s">
        <v>252</v>
      </c>
      <c r="BZ1007" s="221" t="s">
        <v>153</v>
      </c>
      <c r="CA1007" s="222" t="s">
        <v>190</v>
      </c>
      <c r="CB1007" s="223">
        <v>39584</v>
      </c>
      <c r="CC1007" s="224">
        <v>5060.2</v>
      </c>
      <c r="CD1007" s="225" t="s">
        <v>186</v>
      </c>
      <c r="CE1007" s="226">
        <v>5060.2</v>
      </c>
      <c r="CF1007" s="227" t="s">
        <v>187</v>
      </c>
      <c r="CG1007" s="228" t="s">
        <v>226</v>
      </c>
      <c r="CH1007" s="229" t="s">
        <v>153</v>
      </c>
      <c r="CI1007" s="230" t="s">
        <v>153</v>
      </c>
      <c r="CJ1007" s="231" t="s">
        <v>225</v>
      </c>
      <c r="CK1007" s="232">
        <v>39584</v>
      </c>
      <c r="CL1007" s="233" t="s">
        <v>153</v>
      </c>
      <c r="CM1007" s="234" t="s">
        <v>153</v>
      </c>
      <c r="CN1007" s="235" t="s">
        <v>190</v>
      </c>
      <c r="CO1007" s="236" t="s">
        <v>153</v>
      </c>
      <c r="CP1007" s="237" t="s">
        <v>153</v>
      </c>
      <c r="CQ1007" s="238" t="s">
        <v>153</v>
      </c>
      <c r="CR1007" s="239" t="s">
        <v>153</v>
      </c>
      <c r="CS1007" s="240" t="s">
        <v>153</v>
      </c>
      <c r="CT1007" s="241" t="s">
        <v>153</v>
      </c>
      <c r="CU1007" s="242" t="s">
        <v>153</v>
      </c>
      <c r="CV1007" s="243" t="s">
        <v>153</v>
      </c>
      <c r="CW1007" s="244" t="s">
        <v>153</v>
      </c>
      <c r="CX1007" s="245" t="s">
        <v>153</v>
      </c>
      <c r="CY1007" s="246" t="s">
        <v>153</v>
      </c>
      <c r="CZ1007" s="247" t="s">
        <v>153</v>
      </c>
      <c r="DA1007" s="248" t="s">
        <v>153</v>
      </c>
      <c r="DB1007" s="249" t="s">
        <v>153</v>
      </c>
      <c r="DC1007" s="250" t="s">
        <v>153</v>
      </c>
      <c r="DD1007" s="251" t="s">
        <v>153</v>
      </c>
      <c r="DE1007" s="252" t="s">
        <v>153</v>
      </c>
      <c r="DF1007" s="253" t="s">
        <v>153</v>
      </c>
      <c r="DG1007" s="254" t="s">
        <v>153</v>
      </c>
      <c r="DH1007" s="255" t="s">
        <v>153</v>
      </c>
      <c r="DI1007" s="256" t="s">
        <v>153</v>
      </c>
      <c r="DJ1007" s="257" t="s">
        <v>153</v>
      </c>
      <c r="DK1007" s="258" t="s">
        <v>153</v>
      </c>
      <c r="DL1007" s="259" t="s">
        <v>153</v>
      </c>
      <c r="DM1007" s="260" t="s">
        <v>153</v>
      </c>
      <c r="DN1007" s="261" t="s">
        <v>153</v>
      </c>
      <c r="DO1007" s="262" t="s">
        <v>153</v>
      </c>
      <c r="DP1007" s="263" t="s">
        <v>153</v>
      </c>
      <c r="DQ1007" s="264" t="s">
        <v>153</v>
      </c>
      <c r="DR1007" s="265" t="s">
        <v>153</v>
      </c>
      <c r="DS1007" s="266" t="s">
        <v>153</v>
      </c>
      <c r="DT1007" s="267" t="s">
        <v>153</v>
      </c>
      <c r="DU1007" s="268" t="s">
        <v>153</v>
      </c>
      <c r="DV1007" s="269" t="s">
        <v>153</v>
      </c>
      <c r="DW1007" s="270" t="s">
        <v>153</v>
      </c>
      <c r="DX1007" s="271" t="s">
        <v>153</v>
      </c>
      <c r="DY1007" s="272" t="s">
        <v>153</v>
      </c>
      <c r="DZ1007" s="273" t="s">
        <v>191</v>
      </c>
      <c r="EA1007" s="274">
        <v>44342</v>
      </c>
      <c r="EB1007" s="275">
        <v>5060.2</v>
      </c>
      <c r="EC1007" s="276">
        <v>39584</v>
      </c>
      <c r="ED1007" s="277" t="s">
        <v>226</v>
      </c>
      <c r="EE1007" s="279" t="str">
        <f>HYPERLINK("https://my.pitchbook.com?c=40729-33", "View company online")</f>
        <v>View company online</v>
      </c>
    </row>
    <row r="1008" spans="1:135" x14ac:dyDescent="0.45">
      <c r="A1008" s="10" t="s">
        <v>19829</v>
      </c>
      <c r="B1008" s="11" t="s">
        <v>19830</v>
      </c>
      <c r="C1008" s="12" t="s">
        <v>153</v>
      </c>
      <c r="D1008" s="13" t="s">
        <v>153</v>
      </c>
      <c r="E1008" s="14" t="s">
        <v>153</v>
      </c>
      <c r="F1008" s="15" t="s">
        <v>153</v>
      </c>
      <c r="G1008" s="16" t="s">
        <v>19831</v>
      </c>
      <c r="H1008" s="17" t="s">
        <v>153</v>
      </c>
      <c r="I1008" s="18" t="s">
        <v>19829</v>
      </c>
      <c r="J1008" s="19" t="s">
        <v>19832</v>
      </c>
      <c r="K1008" s="20" t="s">
        <v>882</v>
      </c>
      <c r="L1008" s="21" t="s">
        <v>2888</v>
      </c>
      <c r="M1008" s="22" t="s">
        <v>19833</v>
      </c>
      <c r="N1008" s="23" t="s">
        <v>19834</v>
      </c>
      <c r="O1008" s="24" t="s">
        <v>153</v>
      </c>
      <c r="P1008" s="25" t="s">
        <v>19835</v>
      </c>
      <c r="Q1008" s="26" t="s">
        <v>162</v>
      </c>
      <c r="R1008" s="27">
        <v>5059.95</v>
      </c>
      <c r="S1008" s="28" t="s">
        <v>290</v>
      </c>
      <c r="T1008" s="29" t="s">
        <v>1392</v>
      </c>
      <c r="U1008" s="30" t="s">
        <v>165</v>
      </c>
      <c r="V1008" s="31" t="s">
        <v>19836</v>
      </c>
      <c r="W1008" s="32" t="s">
        <v>153</v>
      </c>
      <c r="X1008" s="33" t="s">
        <v>153</v>
      </c>
      <c r="Y1008" s="34" t="s">
        <v>153</v>
      </c>
      <c r="Z1008" s="35" t="s">
        <v>153</v>
      </c>
      <c r="AA1008" s="36">
        <v>1996</v>
      </c>
      <c r="AB1008" s="37" t="s">
        <v>153</v>
      </c>
      <c r="AC1008" s="38" t="s">
        <v>153</v>
      </c>
      <c r="AD1008" s="39" t="s">
        <v>153</v>
      </c>
      <c r="AE1008" s="40" t="s">
        <v>153</v>
      </c>
      <c r="AF1008" s="41" t="s">
        <v>153</v>
      </c>
      <c r="AG1008" s="42" t="s">
        <v>153</v>
      </c>
      <c r="AH1008" s="43" t="s">
        <v>153</v>
      </c>
      <c r="AI1008" s="44" t="s">
        <v>153</v>
      </c>
      <c r="AJ1008" s="45" t="s">
        <v>153</v>
      </c>
      <c r="AK1008" s="46" t="s">
        <v>153</v>
      </c>
      <c r="AL1008" s="47" t="s">
        <v>153</v>
      </c>
      <c r="AM1008" s="48" t="s">
        <v>153</v>
      </c>
      <c r="AN1008" s="49" t="s">
        <v>168</v>
      </c>
      <c r="AO1008" s="50" t="s">
        <v>19837</v>
      </c>
      <c r="AP1008" s="51" t="s">
        <v>19838</v>
      </c>
      <c r="AQ1008" s="52" t="s">
        <v>2655</v>
      </c>
      <c r="AR1008" s="53" t="s">
        <v>153</v>
      </c>
      <c r="AS1008" s="54" t="s">
        <v>19839</v>
      </c>
      <c r="AT1008" s="55" t="s">
        <v>1071</v>
      </c>
      <c r="AU1008" s="56" t="s">
        <v>19840</v>
      </c>
      <c r="AV1008" s="57" t="s">
        <v>153</v>
      </c>
      <c r="AW1008" s="58" t="s">
        <v>1074</v>
      </c>
      <c r="AX1008" s="59" t="s">
        <v>177</v>
      </c>
      <c r="AY1008" s="60" t="s">
        <v>19841</v>
      </c>
      <c r="AZ1008" s="61" t="s">
        <v>179</v>
      </c>
      <c r="BA1008" s="62" t="s">
        <v>19839</v>
      </c>
      <c r="BB1008" s="63" t="s">
        <v>153</v>
      </c>
      <c r="BC1008" s="64" t="s">
        <v>19842</v>
      </c>
      <c r="BD1008" s="65" t="s">
        <v>180</v>
      </c>
      <c r="BE1008" s="66" t="s">
        <v>181</v>
      </c>
      <c r="BF1008" s="67" t="s">
        <v>19843</v>
      </c>
      <c r="BG1008" s="68" t="s">
        <v>19844</v>
      </c>
      <c r="BH1008" s="69">
        <v>1</v>
      </c>
      <c r="BI1008" s="70" t="s">
        <v>153</v>
      </c>
      <c r="BJ1008" s="71" t="s">
        <v>19845</v>
      </c>
      <c r="BK1008" s="72" t="s">
        <v>153</v>
      </c>
      <c r="BL1008" s="73" t="s">
        <v>19846</v>
      </c>
      <c r="BM1008" s="74" t="s">
        <v>19847</v>
      </c>
      <c r="BN1008" s="75" t="s">
        <v>153</v>
      </c>
      <c r="BO1008" s="76" t="s">
        <v>2579</v>
      </c>
      <c r="BP1008" s="77" t="s">
        <v>19848</v>
      </c>
      <c r="BQ1008" s="78">
        <v>35065</v>
      </c>
      <c r="BR1008" s="79" t="s">
        <v>153</v>
      </c>
      <c r="BS1008" s="80" t="s">
        <v>153</v>
      </c>
      <c r="BT1008" s="81" t="s">
        <v>153</v>
      </c>
      <c r="BU1008" s="82" t="s">
        <v>153</v>
      </c>
      <c r="BV1008" s="83" t="s">
        <v>188</v>
      </c>
      <c r="BW1008" s="84" t="s">
        <v>153</v>
      </c>
      <c r="BX1008" s="85" t="s">
        <v>153</v>
      </c>
      <c r="BY1008" s="86" t="s">
        <v>165</v>
      </c>
      <c r="BZ1008" s="87" t="s">
        <v>153</v>
      </c>
      <c r="CA1008" s="88" t="s">
        <v>190</v>
      </c>
      <c r="CB1008" s="89">
        <v>42921</v>
      </c>
      <c r="CC1008" s="90">
        <v>5059.95</v>
      </c>
      <c r="CD1008" s="91" t="s">
        <v>186</v>
      </c>
      <c r="CE1008" s="92" t="s">
        <v>153</v>
      </c>
      <c r="CF1008" s="93" t="s">
        <v>153</v>
      </c>
      <c r="CG1008" s="94" t="s">
        <v>709</v>
      </c>
      <c r="CH1008" s="95" t="s">
        <v>4234</v>
      </c>
      <c r="CI1008" s="96" t="s">
        <v>153</v>
      </c>
      <c r="CJ1008" s="97" t="s">
        <v>165</v>
      </c>
      <c r="CK1008" s="98">
        <v>42921</v>
      </c>
      <c r="CL1008" s="99">
        <v>4355.3999999999996</v>
      </c>
      <c r="CM1008" s="100" t="s">
        <v>19849</v>
      </c>
      <c r="CN1008" s="101" t="s">
        <v>190</v>
      </c>
      <c r="CO1008" s="102">
        <v>-0.06</v>
      </c>
      <c r="CP1008" s="103">
        <v>9</v>
      </c>
      <c r="CQ1008" s="104">
        <v>0</v>
      </c>
      <c r="CR1008" s="105">
        <v>0</v>
      </c>
      <c r="CS1008" s="106">
        <v>0</v>
      </c>
      <c r="CT1008" s="107">
        <v>8</v>
      </c>
      <c r="CU1008" s="108">
        <v>-0.12</v>
      </c>
      <c r="CV1008" s="109">
        <v>15</v>
      </c>
      <c r="CW1008" s="110" t="s">
        <v>153</v>
      </c>
      <c r="CX1008" s="111" t="s">
        <v>153</v>
      </c>
      <c r="CY1008" s="112">
        <v>0</v>
      </c>
      <c r="CZ1008" s="113">
        <v>5</v>
      </c>
      <c r="DA1008" s="114">
        <v>-0.12</v>
      </c>
      <c r="DB1008" s="115">
        <v>15</v>
      </c>
      <c r="DC1008" s="116">
        <v>3.09</v>
      </c>
      <c r="DD1008" s="117">
        <v>77</v>
      </c>
      <c r="DE1008" s="118">
        <v>0.01</v>
      </c>
      <c r="DF1008" s="119">
        <v>0.2</v>
      </c>
      <c r="DG1008" s="120">
        <v>4.1900000000000004</v>
      </c>
      <c r="DH1008" s="121">
        <v>81</v>
      </c>
      <c r="DI1008" s="122">
        <v>1.99</v>
      </c>
      <c r="DJ1008" s="123">
        <v>63</v>
      </c>
      <c r="DK1008" s="124" t="s">
        <v>153</v>
      </c>
      <c r="DL1008" s="125" t="s">
        <v>153</v>
      </c>
      <c r="DM1008" s="126">
        <v>4.1900000000000004</v>
      </c>
      <c r="DN1008" s="127">
        <v>80</v>
      </c>
      <c r="DO1008" s="128">
        <v>1.99</v>
      </c>
      <c r="DP1008" s="129">
        <v>63</v>
      </c>
      <c r="DQ1008" s="130" t="s">
        <v>153</v>
      </c>
      <c r="DR1008" s="131" t="s">
        <v>153</v>
      </c>
      <c r="DS1008" s="132" t="s">
        <v>153</v>
      </c>
      <c r="DT1008" s="133">
        <v>67</v>
      </c>
      <c r="DU1008" s="134">
        <v>0</v>
      </c>
      <c r="DV1008" s="135">
        <v>0</v>
      </c>
      <c r="DW1008" s="136">
        <v>623</v>
      </c>
      <c r="DX1008" s="137">
        <v>0</v>
      </c>
      <c r="DY1008" s="138">
        <v>0</v>
      </c>
      <c r="DZ1008" s="139" t="s">
        <v>191</v>
      </c>
      <c r="EA1008" s="140">
        <v>44331</v>
      </c>
      <c r="EB1008" s="141">
        <v>1601.71</v>
      </c>
      <c r="EC1008" s="142">
        <v>41257</v>
      </c>
      <c r="ED1008" s="143" t="s">
        <v>188</v>
      </c>
      <c r="EE1008" s="278" t="str">
        <f>HYPERLINK("https://my.pitchbook.com?c=13379-59", "View company online")</f>
        <v>View company online</v>
      </c>
    </row>
    <row r="1009" spans="1:135" x14ac:dyDescent="0.45">
      <c r="A1009" s="144" t="s">
        <v>19850</v>
      </c>
      <c r="B1009" s="145" t="s">
        <v>19851</v>
      </c>
      <c r="C1009" s="146" t="s">
        <v>153</v>
      </c>
      <c r="D1009" s="147" t="s">
        <v>153</v>
      </c>
      <c r="E1009" s="148" t="s">
        <v>3860</v>
      </c>
      <c r="F1009" s="149" t="s">
        <v>19852</v>
      </c>
      <c r="G1009" s="150" t="s">
        <v>19853</v>
      </c>
      <c r="H1009" s="151" t="s">
        <v>153</v>
      </c>
      <c r="I1009" s="152" t="s">
        <v>19850</v>
      </c>
      <c r="J1009" s="153" t="s">
        <v>19854</v>
      </c>
      <c r="K1009" s="154" t="s">
        <v>792</v>
      </c>
      <c r="L1009" s="155" t="s">
        <v>841</v>
      </c>
      <c r="M1009" s="156" t="s">
        <v>913</v>
      </c>
      <c r="N1009" s="157" t="s">
        <v>10376</v>
      </c>
      <c r="O1009" s="158" t="s">
        <v>796</v>
      </c>
      <c r="P1009" s="159" t="s">
        <v>19855</v>
      </c>
      <c r="Q1009" s="160" t="s">
        <v>564</v>
      </c>
      <c r="R1009" s="161">
        <v>4.92</v>
      </c>
      <c r="S1009" s="162" t="s">
        <v>163</v>
      </c>
      <c r="T1009" s="163" t="s">
        <v>164</v>
      </c>
      <c r="U1009" s="164" t="s">
        <v>565</v>
      </c>
      <c r="V1009" s="165" t="s">
        <v>19856</v>
      </c>
      <c r="W1009" s="166">
        <v>142</v>
      </c>
      <c r="X1009" s="167" t="s">
        <v>19857</v>
      </c>
      <c r="Y1009" s="168" t="s">
        <v>153</v>
      </c>
      <c r="Z1009" s="169" t="s">
        <v>153</v>
      </c>
      <c r="AA1009" s="170" t="s">
        <v>153</v>
      </c>
      <c r="AB1009" s="171" t="s">
        <v>19858</v>
      </c>
      <c r="AC1009" s="172" t="s">
        <v>153</v>
      </c>
      <c r="AD1009" s="173" t="s">
        <v>153</v>
      </c>
      <c r="AE1009" s="174" t="s">
        <v>153</v>
      </c>
      <c r="AF1009" s="175" t="s">
        <v>153</v>
      </c>
      <c r="AG1009" s="176" t="s">
        <v>153</v>
      </c>
      <c r="AH1009" s="177" t="s">
        <v>153</v>
      </c>
      <c r="AI1009" s="178" t="s">
        <v>153</v>
      </c>
      <c r="AJ1009" s="179" t="s">
        <v>153</v>
      </c>
      <c r="AK1009" s="180" t="s">
        <v>153</v>
      </c>
      <c r="AL1009" s="181" t="s">
        <v>153</v>
      </c>
      <c r="AM1009" s="182" t="s">
        <v>153</v>
      </c>
      <c r="AN1009" s="183" t="s">
        <v>6569</v>
      </c>
      <c r="AO1009" s="184" t="s">
        <v>19859</v>
      </c>
      <c r="AP1009" s="185" t="s">
        <v>19860</v>
      </c>
      <c r="AQ1009" s="186" t="s">
        <v>19861</v>
      </c>
      <c r="AR1009" s="187" t="s">
        <v>19862</v>
      </c>
      <c r="AS1009" s="188" t="s">
        <v>19863</v>
      </c>
      <c r="AT1009" s="189" t="s">
        <v>3419</v>
      </c>
      <c r="AU1009" s="190" t="s">
        <v>19864</v>
      </c>
      <c r="AV1009" s="191" t="s">
        <v>153</v>
      </c>
      <c r="AW1009" s="192" t="s">
        <v>3422</v>
      </c>
      <c r="AX1009" s="193" t="s">
        <v>3423</v>
      </c>
      <c r="AY1009" s="194" t="s">
        <v>19865</v>
      </c>
      <c r="AZ1009" s="195" t="s">
        <v>1358</v>
      </c>
      <c r="BA1009" s="196" t="s">
        <v>19863</v>
      </c>
      <c r="BB1009" s="197" t="s">
        <v>19866</v>
      </c>
      <c r="BC1009" s="198" t="s">
        <v>19867</v>
      </c>
      <c r="BD1009" s="199" t="s">
        <v>216</v>
      </c>
      <c r="BE1009" s="200" t="s">
        <v>217</v>
      </c>
      <c r="BF1009" s="201" t="s">
        <v>19868</v>
      </c>
      <c r="BG1009" s="202" t="s">
        <v>153</v>
      </c>
      <c r="BH1009" s="203" t="s">
        <v>153</v>
      </c>
      <c r="BI1009" s="204" t="s">
        <v>19869</v>
      </c>
      <c r="BJ1009" s="205" t="s">
        <v>19870</v>
      </c>
      <c r="BK1009" s="206" t="s">
        <v>153</v>
      </c>
      <c r="BL1009" s="207" t="s">
        <v>153</v>
      </c>
      <c r="BM1009" s="208" t="s">
        <v>19871</v>
      </c>
      <c r="BN1009" s="209" t="s">
        <v>153</v>
      </c>
      <c r="BO1009" s="210" t="s">
        <v>19872</v>
      </c>
      <c r="BP1009" s="211" t="s">
        <v>19873</v>
      </c>
      <c r="BQ1009" s="212">
        <v>36859</v>
      </c>
      <c r="BR1009" s="213">
        <v>4.92</v>
      </c>
      <c r="BS1009" s="214" t="s">
        <v>186</v>
      </c>
      <c r="BT1009" s="215" t="s">
        <v>153</v>
      </c>
      <c r="BU1009" s="216" t="s">
        <v>153</v>
      </c>
      <c r="BV1009" s="217" t="s">
        <v>393</v>
      </c>
      <c r="BW1009" s="218" t="s">
        <v>153</v>
      </c>
      <c r="BX1009" s="219" t="s">
        <v>153</v>
      </c>
      <c r="BY1009" s="220" t="s">
        <v>165</v>
      </c>
      <c r="BZ1009" s="221" t="s">
        <v>153</v>
      </c>
      <c r="CA1009" s="222" t="s">
        <v>190</v>
      </c>
      <c r="CB1009" s="223">
        <v>41088</v>
      </c>
      <c r="CC1009" s="224">
        <v>5057.55</v>
      </c>
      <c r="CD1009" s="225" t="s">
        <v>186</v>
      </c>
      <c r="CE1009" s="226">
        <v>5057.55</v>
      </c>
      <c r="CF1009" s="227" t="s">
        <v>186</v>
      </c>
      <c r="CG1009" s="228" t="s">
        <v>226</v>
      </c>
      <c r="CH1009" s="229" t="s">
        <v>153</v>
      </c>
      <c r="CI1009" s="230" t="s">
        <v>153</v>
      </c>
      <c r="CJ1009" s="231" t="s">
        <v>225</v>
      </c>
      <c r="CK1009" s="232">
        <v>41088</v>
      </c>
      <c r="CL1009" s="233" t="s">
        <v>153</v>
      </c>
      <c r="CM1009" s="234" t="s">
        <v>153</v>
      </c>
      <c r="CN1009" s="235" t="s">
        <v>190</v>
      </c>
      <c r="CO1009" s="236" t="s">
        <v>153</v>
      </c>
      <c r="CP1009" s="237" t="s">
        <v>153</v>
      </c>
      <c r="CQ1009" s="238" t="s">
        <v>153</v>
      </c>
      <c r="CR1009" s="239" t="s">
        <v>153</v>
      </c>
      <c r="CS1009" s="240" t="s">
        <v>153</v>
      </c>
      <c r="CT1009" s="241" t="s">
        <v>153</v>
      </c>
      <c r="CU1009" s="242" t="s">
        <v>153</v>
      </c>
      <c r="CV1009" s="243" t="s">
        <v>153</v>
      </c>
      <c r="CW1009" s="244" t="s">
        <v>153</v>
      </c>
      <c r="CX1009" s="245" t="s">
        <v>153</v>
      </c>
      <c r="CY1009" s="246" t="s">
        <v>153</v>
      </c>
      <c r="CZ1009" s="247" t="s">
        <v>153</v>
      </c>
      <c r="DA1009" s="248" t="s">
        <v>153</v>
      </c>
      <c r="DB1009" s="249" t="s">
        <v>153</v>
      </c>
      <c r="DC1009" s="250" t="s">
        <v>153</v>
      </c>
      <c r="DD1009" s="251" t="s">
        <v>153</v>
      </c>
      <c r="DE1009" s="252" t="s">
        <v>153</v>
      </c>
      <c r="DF1009" s="253" t="s">
        <v>153</v>
      </c>
      <c r="DG1009" s="254" t="s">
        <v>153</v>
      </c>
      <c r="DH1009" s="255" t="s">
        <v>153</v>
      </c>
      <c r="DI1009" s="256" t="s">
        <v>153</v>
      </c>
      <c r="DJ1009" s="257" t="s">
        <v>153</v>
      </c>
      <c r="DK1009" s="258" t="s">
        <v>153</v>
      </c>
      <c r="DL1009" s="259" t="s">
        <v>153</v>
      </c>
      <c r="DM1009" s="260" t="s">
        <v>153</v>
      </c>
      <c r="DN1009" s="261" t="s">
        <v>153</v>
      </c>
      <c r="DO1009" s="262" t="s">
        <v>153</v>
      </c>
      <c r="DP1009" s="263" t="s">
        <v>153</v>
      </c>
      <c r="DQ1009" s="264" t="s">
        <v>153</v>
      </c>
      <c r="DR1009" s="265" t="s">
        <v>153</v>
      </c>
      <c r="DS1009" s="266" t="s">
        <v>153</v>
      </c>
      <c r="DT1009" s="267" t="s">
        <v>153</v>
      </c>
      <c r="DU1009" s="268" t="s">
        <v>153</v>
      </c>
      <c r="DV1009" s="269" t="s">
        <v>153</v>
      </c>
      <c r="DW1009" s="270" t="s">
        <v>153</v>
      </c>
      <c r="DX1009" s="271" t="s">
        <v>153</v>
      </c>
      <c r="DY1009" s="272" t="s">
        <v>153</v>
      </c>
      <c r="DZ1009" s="273" t="s">
        <v>191</v>
      </c>
      <c r="EA1009" s="274">
        <v>44368</v>
      </c>
      <c r="EB1009" s="275">
        <v>5057.55</v>
      </c>
      <c r="EC1009" s="276">
        <v>41088</v>
      </c>
      <c r="ED1009" s="277" t="s">
        <v>226</v>
      </c>
      <c r="EE1009" s="279" t="str">
        <f>HYPERLINK("https://my.pitchbook.com?c=43026-58", "View company online")</f>
        <v>View company online</v>
      </c>
    </row>
    <row r="1011" spans="1:135" x14ac:dyDescent="0.45">
      <c r="B1011" s="9" t="s">
        <v>150</v>
      </c>
    </row>
  </sheetData>
  <mergeCells count="2">
    <mergeCell ref="B4:D6"/>
    <mergeCell ref="B3:C3"/>
  </mergeCells>
  <hyperlinks>
    <hyperlink ref="B3"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
  <sheetViews>
    <sheetView showGridLines="0" workbookViewId="0">
      <selection activeCell="A100" sqref="A100"/>
    </sheetView>
  </sheetViews>
  <sheetFormatPr defaultRowHeight="14.25" x14ac:dyDescent="0.45"/>
  <cols>
    <col min="1" max="1" width="19.1328125" customWidth="1"/>
    <col min="2" max="2" width="23.1328125" customWidth="1"/>
    <col min="3" max="7" width="9.1328125" customWidth="1"/>
    <col min="8" max="8" width="2.796875" customWidth="1"/>
    <col min="9" max="9" width="26.46484375" customWidth="1"/>
    <col min="10" max="17" width="9.1328125" customWidth="1"/>
  </cols>
  <sheetData>
    <row r="1" spans="1:9" ht="17.649999999999999" x14ac:dyDescent="0.5">
      <c r="A1" s="280" t="s">
        <v>142</v>
      </c>
    </row>
    <row r="3" spans="1:9" x14ac:dyDescent="0.45">
      <c r="A3" s="281" t="s">
        <v>143</v>
      </c>
    </row>
    <row r="4" spans="1:9" x14ac:dyDescent="0.45">
      <c r="A4" s="286" t="s">
        <v>144</v>
      </c>
    </row>
    <row r="6" spans="1:9" x14ac:dyDescent="0.45">
      <c r="A6" s="282" t="s">
        <v>145</v>
      </c>
      <c r="B6" s="285" t="s">
        <v>146</v>
      </c>
      <c r="C6" s="283" t="s">
        <v>147</v>
      </c>
    </row>
    <row r="8" spans="1:9" x14ac:dyDescent="0.45">
      <c r="A8" s="284" t="s">
        <v>148</v>
      </c>
      <c r="I8" s="287" t="s">
        <v>149</v>
      </c>
    </row>
    <row r="10" spans="1:9" x14ac:dyDescent="0.45">
      <c r="A10" s="288" t="s">
        <v>150</v>
      </c>
    </row>
  </sheetData>
  <sheetProtection password="C9C1" sheet="1" objects="1" scenarios="1"/>
  <hyperlinks>
    <hyperlink ref="B6" r:id="rId1" xr:uid="{00000000-0004-0000-0100-000000000000}"/>
    <hyperlink ref="A4" r:id="rId2" xr:uid="{00000000-0004-0000-0100-000001000000}"/>
    <hyperlink ref="I8" r:id="rId3" xr:uid="{00000000-0004-0000-01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Data</vt:lpstr>
      <vt:lpstr>Disclaimer</vt:lpstr>
      <vt:lpstr>CreatedFor</vt:lpstr>
      <vt:lpstr>CreatedForTitle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PitchBook</dc:creator>
  <cp:lastModifiedBy>Matt sartalis</cp:lastModifiedBy>
  <dcterms:created xsi:type="dcterms:W3CDTF">2010-12-15T16:54:07Z</dcterms:created>
  <dcterms:modified xsi:type="dcterms:W3CDTF">2021-07-26T21:43:45Z</dcterms:modified>
</cp:coreProperties>
</file>